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Normalised 1-10" sheetId="2" r:id="rId5"/>
    <sheet state="visible" name="Rural Train" sheetId="3" r:id="rId6"/>
    <sheet state="visible" name="Urban Train" sheetId="4" r:id="rId7"/>
    <sheet state="visible" name="Rural Test" sheetId="5" r:id="rId8"/>
    <sheet state="visible" name="Urban Test" sheetId="6" r:id="rId9"/>
    <sheet state="visible" name="NORMALISED" sheetId="7" r:id="rId10"/>
    <sheet state="visible" name="CVD CALCULATION" sheetId="8" r:id="rId11"/>
    <sheet state="visible" name="CLEAN DATA" sheetId="9" r:id="rId12"/>
    <sheet state="visible" name="Sheet4" sheetId="10" r:id="rId13"/>
    <sheet state="visible" name="Sheet5" sheetId="11" r:id="rId14"/>
  </sheets>
  <definedNames/>
  <calcPr/>
</workbook>
</file>

<file path=xl/sharedStrings.xml><?xml version="1.0" encoding="utf-8"?>
<sst xmlns="http://schemas.openxmlformats.org/spreadsheetml/2006/main" count="781" uniqueCount="135">
  <si>
    <t>DIRECT</t>
  </si>
  <si>
    <t>INDIRECT</t>
  </si>
  <si>
    <t>SOCIAL</t>
  </si>
  <si>
    <t>STATES AND UNION TERRITORIES OF INDIA</t>
  </si>
  <si>
    <t>YEAR</t>
  </si>
  <si>
    <t>BINARY CLIMATE</t>
  </si>
  <si>
    <t>CLIMATE CHANGE(STORMS,DROUGHT, FLOOD, HEATWAVES)  [Sub population AREA]</t>
  </si>
  <si>
    <t>TEMP [℃]</t>
  </si>
  <si>
    <t>PM2.5</t>
  </si>
  <si>
    <t>HEALTH QUOTIENT</t>
  </si>
  <si>
    <t>HDI</t>
  </si>
  <si>
    <t xml:space="preserve">CVD </t>
  </si>
  <si>
    <r>
      <rPr>
        <sz val="11.0"/>
      </rPr>
      <t xml:space="preserve">CVD India has one of the highest burdens of cardiovascular disease (CVD) worldwide. The annual number of deaths from CVD in India is projected to rise from 2.26 million (1990) to 4.77 million (2020) Coronary heart disease prevalence rates in India have been estimated over the past several decades and have ranged from 1.6% to 7.4% in rural populations and from 1% to 13.2% in urban populations </t>
    </r>
    <r>
      <rPr>
        <color rgb="FF1155CC"/>
        <sz val="11.0"/>
        <u/>
      </rPr>
      <t>https://www.ncbi.nlm.nih.gov/pmc/articles/PMC3408699/</t>
    </r>
  </si>
  <si>
    <t>RURAL</t>
  </si>
  <si>
    <t>URBAN</t>
  </si>
  <si>
    <t>MIN</t>
  </si>
  <si>
    <t>MAX</t>
  </si>
  <si>
    <t>AVG</t>
  </si>
  <si>
    <t>UNIT: micro-gm/m^3</t>
  </si>
  <si>
    <t>TOTAL RURAL</t>
  </si>
  <si>
    <t>TOTAL URBAN</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</si>
  <si>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</si>
  <si>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</si>
  <si>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</si>
  <si>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</si>
  <si>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</si>
  <si>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</si>
  <si>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</si>
  <si>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</si>
  <si>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</si>
  <si>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</si>
  <si>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</si>
  <si>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</si>
  <si>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</si>
  <si>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</si>
  <si>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</si>
  <si>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</si>
  <si>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</si>
  <si>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</si>
  <si>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</si>
  <si>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</si>
  <si>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</si>
  <si>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</si>
  <si>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</si>
  <si>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</si>
  <si>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</si>
  <si>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Uttarakhand</t>
  </si>
  <si>
    <t>Uttar Pradesh</t>
  </si>
  <si>
    <t>West Bengal</t>
  </si>
  <si>
    <t>Andaman &amp; Nicobar islands</t>
  </si>
  <si>
    <t>Chandigarh</t>
  </si>
  <si>
    <t>Dadra &amp; Nagar Haveli &amp; Daman &amp; diu</t>
  </si>
  <si>
    <t>Jammu &amp; Kashmir</t>
  </si>
  <si>
    <t>Puducherry</t>
  </si>
  <si>
    <t>disasters in india data source</t>
  </si>
  <si>
    <t>temperature</t>
  </si>
  <si>
    <t>pm2.5 data source</t>
  </si>
  <si>
    <t>health quotient data source</t>
  </si>
  <si>
    <t>hdi 2015-2019</t>
  </si>
  <si>
    <t xml:space="preserve">cvd cases urban+rural </t>
  </si>
  <si>
    <t>PM 2.5 2022</t>
  </si>
  <si>
    <t>ref row no of raw dataset</t>
  </si>
  <si>
    <t>AVG TEMP</t>
  </si>
  <si>
    <t>MIN RURAL CVD</t>
  </si>
  <si>
    <t>MAX RURAL CVD</t>
  </si>
  <si>
    <t>MIN URBAN CVD</t>
  </si>
  <si>
    <t>MAX URBAN CVD</t>
  </si>
  <si>
    <r>
      <rPr>
        <sz val="11.0"/>
      </rPr>
      <t xml:space="preserve">CVD India has one of the highest burdens of cardiovascular disease (CVD) worldwide. The annual number of deaths from CVD in India is projected to rise from 2.26 million (1990) to 4.77 million (2020) Coronary heart disease prevalence rates in India have been estimated over the past several decades and have ranged from 1.6% to 7.4% in rural populations and from 1% to 13.2% in urban populations </t>
    </r>
    <r>
      <rPr>
        <color rgb="FF1155CC"/>
        <sz val="11.0"/>
        <u/>
      </rPr>
      <t>https://www.ncbi.nlm.nih.gov/pmc/articles/PMC3408699/</t>
    </r>
  </si>
  <si>
    <t>STATE</t>
  </si>
  <si>
    <t>CLIMATE DISASTERS</t>
  </si>
  <si>
    <t>MIN TEMP</t>
  </si>
  <si>
    <t>MAX TEMP</t>
  </si>
  <si>
    <t>pm2.5</t>
  </si>
  <si>
    <t>health quotient</t>
  </si>
  <si>
    <t>hdi</t>
  </si>
  <si>
    <t>ANDHRA PRADESH</t>
  </si>
  <si>
    <t>*1.6*66.4/10000</t>
  </si>
  <si>
    <t>BIHAR</t>
  </si>
  <si>
    <t>TOTAL</t>
  </si>
  <si>
    <t>rural min</t>
  </si>
  <si>
    <t>rural max</t>
  </si>
  <si>
    <t>urban min</t>
  </si>
  <si>
    <t>urban max</t>
  </si>
  <si>
    <t>total population</t>
  </si>
  <si>
    <t>rural</t>
  </si>
  <si>
    <t>urban</t>
  </si>
  <si>
    <t>ARUNACHAL PRADESH</t>
  </si>
  <si>
    <t>CHATTISGARH</t>
  </si>
  <si>
    <t>rural population</t>
  </si>
  <si>
    <t>total</t>
  </si>
  <si>
    <t>GOA</t>
  </si>
  <si>
    <t>ASSAM</t>
  </si>
  <si>
    <t>HARYANA</t>
  </si>
  <si>
    <t>RURAL MIN</t>
  </si>
  <si>
    <t>RURAL MAX</t>
  </si>
  <si>
    <t>URBAN MIN</t>
  </si>
  <si>
    <t>URBAN MAX</t>
  </si>
  <si>
    <t>GUJARAT</t>
  </si>
  <si>
    <t>HIMACHAL</t>
  </si>
  <si>
    <t>JHARKHAND</t>
  </si>
  <si>
    <t>KARNATAKA</t>
  </si>
  <si>
    <t>MAHARASHTRA</t>
  </si>
  <si>
    <t>KERALA</t>
  </si>
  <si>
    <t>CVD _RURAL MIN</t>
  </si>
  <si>
    <t>CVD_RURAL MAX</t>
  </si>
  <si>
    <t>CVD_URBAN MIN</t>
  </si>
  <si>
    <t>CVD_URBAN MAX</t>
  </si>
  <si>
    <t>MANIPUR</t>
  </si>
  <si>
    <t>MADHYA PRADESH</t>
  </si>
  <si>
    <t>MEGHALAYA</t>
  </si>
  <si>
    <t>MIZORAM</t>
  </si>
  <si>
    <t>NAGALAND</t>
  </si>
  <si>
    <t>ODISHA</t>
  </si>
  <si>
    <t>PUNJAB</t>
  </si>
  <si>
    <t>RAJASTHAN</t>
  </si>
  <si>
    <t>SIKKIM</t>
  </si>
  <si>
    <t>TAMIL NADU</t>
  </si>
  <si>
    <t>TELANGANA</t>
  </si>
  <si>
    <t>telangana population</t>
  </si>
  <si>
    <t>(andhra+telangana)</t>
  </si>
  <si>
    <t>TRIPURA</t>
  </si>
  <si>
    <t>UTTARAKHAND</t>
  </si>
  <si>
    <t>UTTAR PRADESH</t>
  </si>
  <si>
    <t>WEST BENGAL</t>
  </si>
  <si>
    <t>ANDAMAN AND NICOBAR ISLANDS</t>
  </si>
  <si>
    <t>CHANDIGARH</t>
  </si>
  <si>
    <t>DADRA &amp; NAGAR HAVELI</t>
  </si>
  <si>
    <t>JAMMU AND KASHMIR</t>
  </si>
  <si>
    <t>DAMAN AND DIU</t>
  </si>
  <si>
    <t>PUDUCHERRY</t>
  </si>
  <si>
    <t>\</t>
  </si>
  <si>
    <t>daman diu+ dnh</t>
  </si>
  <si>
    <r>
      <rPr>
        <sz val="11.0"/>
      </rPr>
      <t xml:space="preserve">CVD India has one of the highest burdens of cardiovascular disease (CVD) worldwide. The annual number of deaths from CVD in India is projected to rise from 2.26 million (1990) to 4.77 million (2020) Coronary heart disease prevalence rates in India have been estimated over the past several decades and have ranged from 1.6% to 7.4% in rural populations and from 1% to 13.2% in urban populations </t>
    </r>
    <r>
      <rPr>
        <color rgb="FF1155CC"/>
        <sz val="11.0"/>
        <u/>
      </rPr>
      <t>https://www.ncbi.nlm.nih.gov/pmc/articles/PMC3408699/</t>
    </r>
  </si>
  <si>
    <t>cvd cases urban+rural data source</t>
  </si>
  <si>
    <r>
      <rPr>
        <sz val="11.0"/>
      </rPr>
      <t xml:space="preserve">CVD India has one of the highest burdens of cardiovascular disease (CVD) worldwide. The annual number of deaths from CVD in India is projected to rise from 2.26 million (1990) to 4.77 million (2020) Coronary heart disease prevalence rates in India have been estimated over the past several decades and have ranged from 1.6% to 7.4% in rural populations and from 1% to 13.2% in urban populations </t>
    </r>
    <r>
      <rPr>
        <color rgb="FF1155CC"/>
        <sz val="11.0"/>
        <u/>
      </rPr>
      <t>https://www.ncbi.nlm.nih.gov/pmc/articles/PMC3408699/</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</si>
</sst>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
    <numFmt numFmtId="166" formatCode="0.000"/>
    <numFmt numFmtId="167" formatCode="0.000000"/>
    <numFmt numFmtId="168" formatCode="#,##0.000"/>
  </numFmts>
  <fonts count="37">
    <font>
      <sz val="10.0"/>
      <color rgb="FF000000"/>
      <name val="Arial"/>
      <scheme val="minor"/>
    </font>
    <font>
      <sz val="11.0"/>
      <color theme="1"/>
      <name val="Arial"/>
      <scheme val="minor"/>
    </font>
    <font>
      <sz val="11.0"/>
      <color rgb="FFFFFFFF"/>
      <name val="Arial"/>
      <scheme val="minor"/>
    </font>
    <font/>
    <font>
      <color theme="1"/>
      <name val="Arial"/>
      <scheme val="minor"/>
    </font>
    <font>
      <sz val="11.0"/>
      <color rgb="FFFFFFFF"/>
      <name val="Arial"/>
    </font>
    <font>
      <sz val="11.0"/>
      <color rgb="FF000000"/>
      <name val="Arial"/>
      <scheme val="minor"/>
    </font>
    <font>
      <u/>
      <sz val="11.0"/>
      <color rgb="FF0000FF"/>
    </font>
    <font>
      <sz val="11.0"/>
      <color rgb="FF000000"/>
      <name val="Arial"/>
    </font>
    <font>
      <sz val="11.0"/>
      <color theme="1"/>
      <name val="Arial"/>
    </font>
    <font>
      <sz val="11.0"/>
      <color rgb="FF000000"/>
      <name val="Open_sansregular"/>
    </font>
    <font>
      <color rgb="FF000000"/>
      <name val="Roboto"/>
    </font>
    <font>
      <sz val="11.0"/>
      <color rgb="FF212529"/>
      <name val="Arial"/>
      <scheme val="minor"/>
    </font>
    <font>
      <sz val="11.0"/>
      <color theme="1"/>
      <name val="Open_sansregular"/>
    </font>
    <font>
      <u/>
      <sz val="11.0"/>
      <color rgb="FF0000FF"/>
    </font>
    <font>
      <u/>
      <color rgb="FF0000FF"/>
      <name val="Arial"/>
    </font>
    <font>
      <u/>
      <sz val="12.0"/>
      <color rgb="FF0000FF"/>
      <name val="&quot;Times New Roman&quot;"/>
    </font>
    <font>
      <u/>
      <sz val="11.0"/>
      <color rgb="FF0000FF"/>
    </font>
    <font>
      <u/>
      <sz val="12.0"/>
      <color rgb="FF0000FF"/>
      <name val="Times New Roman"/>
    </font>
    <font>
      <sz val="11.0"/>
      <color rgb="FF666666"/>
      <name val="Arial"/>
    </font>
    <font>
      <sz val="11.0"/>
      <color rgb="FF333333"/>
      <name val="&quot;helvetica neue&quot;"/>
    </font>
    <font>
      <sz val="10.0"/>
      <color rgb="FF000000"/>
      <name val="Arial"/>
    </font>
    <font>
      <b/>
      <sz val="11.0"/>
      <color rgb="FF000000"/>
      <name val="Calibri"/>
    </font>
    <font>
      <sz val="11.0"/>
      <color rgb="FF000000"/>
      <name val="Calibri"/>
    </font>
    <font>
      <b/>
      <sz val="11.0"/>
      <color theme="1"/>
      <name val="Arial"/>
    </font>
    <font>
      <color theme="1"/>
      <name val="Arial"/>
    </font>
    <font>
      <u/>
      <color rgb="FF0000FF"/>
    </font>
    <font>
      <u/>
      <color rgb="FF0000FF"/>
    </font>
    <font>
      <color rgb="FF212529"/>
      <name val="System-ui"/>
    </font>
    <font>
      <sz val="11.0"/>
      <color rgb="FF1155CC"/>
      <name val="Inconsolata"/>
    </font>
    <font>
      <sz val="11.0"/>
      <color rgb="FF212529"/>
      <name val="System-ui"/>
    </font>
    <font>
      <sz val="11.0"/>
      <color rgb="FF212529"/>
      <name val="Arial"/>
    </font>
    <font>
      <color rgb="FF212529"/>
      <name val="Arial"/>
    </font>
    <font>
      <b/>
      <color theme="1"/>
      <name val="Arial"/>
    </font>
    <font>
      <sz val="12.0"/>
      <color rgb="FF212529"/>
      <name val="System-ui"/>
    </font>
    <font>
      <sz val="11.0"/>
      <color rgb="FF666666"/>
      <name val="System-ui"/>
    </font>
    <font>
      <sz val="11.0"/>
      <color theme="1"/>
      <name val="Calibri"/>
    </font>
  </fonts>
  <fills count="10">
    <fill>
      <patternFill patternType="none"/>
    </fill>
    <fill>
      <patternFill patternType="lightGray"/>
    </fill>
    <fill>
      <patternFill patternType="solid">
        <fgColor rgb="FFFFE599"/>
        <bgColor rgb="FFFFE599"/>
      </patternFill>
    </fill>
    <fill>
      <patternFill patternType="solid">
        <fgColor rgb="FFA61C00"/>
        <bgColor rgb="FFA61C00"/>
      </patternFill>
    </fill>
    <fill>
      <patternFill patternType="solid">
        <fgColor rgb="FFFF0000"/>
        <bgColor rgb="FFFF0000"/>
      </patternFill>
    </fill>
    <fill>
      <patternFill patternType="solid">
        <fgColor rgb="FF38761D"/>
        <bgColor rgb="FF38761D"/>
      </patternFill>
    </fill>
    <fill>
      <patternFill patternType="solid">
        <fgColor rgb="FFD5A6BD"/>
        <bgColor rgb="FFD5A6BD"/>
      </patternFill>
    </fill>
    <fill>
      <patternFill patternType="solid">
        <fgColor rgb="FFFFFFFF"/>
        <bgColor rgb="FFFFFFFF"/>
      </patternFill>
    </fill>
    <fill>
      <patternFill patternType="solid">
        <fgColor rgb="FF9FC5E8"/>
        <bgColor rgb="FF9FC5E8"/>
      </patternFill>
    </fill>
    <fill>
      <patternFill patternType="solid">
        <fgColor theme="0"/>
        <bgColor theme="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E9E9E9"/>
      </right>
      <top style="thin">
        <color rgb="FFDDDDDD"/>
      </top>
      <bottom style="thin">
        <color rgb="FFE9E9E9"/>
      </bottom>
    </border>
    <border>
      <bottom style="thin">
        <color rgb="FFDDDDDD"/>
      </bottom>
    </border>
    <border>
      <right style="thin">
        <color rgb="FFE9E9E9"/>
      </right>
      <bottom style="thin">
        <color rgb="FFDDDDDD"/>
      </bottom>
    </border>
    <border>
      <right style="thin">
        <color rgb="FFE9E9E9"/>
      </right>
      <bottom style="thin">
        <color rgb="FFE9E9E9"/>
      </bottom>
    </border>
    <border>
      <right style="thin">
        <color rgb="FFE9E9E9"/>
      </right>
    </border>
    <border>
      <right style="thin">
        <color rgb="FF000000"/>
      </right>
    </border>
    <border>
      <right style="medium">
        <color rgb="FF000000"/>
      </right>
      <top style="medium">
        <color rgb="FF000000"/>
      </top>
      <bottom style="medium">
        <color rgb="FF000000"/>
      </bottom>
    </border>
    <border>
      <right style="medium">
        <color rgb="FF000000"/>
      </right>
      <bottom style="medium">
        <color rgb="FF000000"/>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3" fontId="2" numFmtId="0" xfId="0" applyAlignment="1" applyBorder="1" applyFill="1" applyFont="1">
      <alignment horizontal="center" readingOrder="0" shrinkToFit="0" wrapText="1"/>
    </xf>
    <xf borderId="2" fillId="3" fontId="2" numFmtId="0" xfId="0" applyAlignment="1" applyBorder="1" applyFont="1">
      <alignment horizontal="center" readingOrder="0" shrinkToFit="0" wrapText="1"/>
    </xf>
    <xf borderId="3" fillId="0" fontId="3" numFmtId="0" xfId="0" applyBorder="1" applyFont="1"/>
    <xf borderId="4" fillId="0" fontId="3" numFmtId="0" xfId="0" applyBorder="1" applyFont="1"/>
    <xf borderId="1" fillId="4" fontId="2" numFmtId="0" xfId="0" applyAlignment="1" applyBorder="1" applyFill="1" applyFont="1">
      <alignment horizontal="center" readingOrder="0" shrinkToFit="0" wrapText="1"/>
    </xf>
    <xf borderId="2" fillId="5" fontId="2" numFmtId="0" xfId="0" applyAlignment="1" applyBorder="1" applyFill="1" applyFont="1">
      <alignment horizontal="center" readingOrder="0" shrinkToFit="0" wrapText="1"/>
    </xf>
    <xf borderId="1" fillId="6" fontId="2" numFmtId="0" xfId="0" applyAlignment="1" applyBorder="1" applyFill="1" applyFont="1">
      <alignment horizontal="center" readingOrder="0" shrinkToFit="0" wrapText="1"/>
    </xf>
    <xf borderId="1" fillId="6" fontId="1" numFmtId="0" xfId="0" applyAlignment="1" applyBorder="1" applyFont="1">
      <alignment horizontal="center" readingOrder="0" shrinkToFit="0" wrapText="1"/>
    </xf>
    <xf borderId="1" fillId="6" fontId="1" numFmtId="0" xfId="0" applyAlignment="1" applyBorder="1" applyFont="1">
      <alignment readingOrder="0" shrinkToFit="0" wrapText="1"/>
    </xf>
    <xf borderId="0" fillId="0" fontId="4" numFmtId="0" xfId="0" applyAlignment="1" applyFont="1">
      <alignment shrinkToFit="0" wrapText="1"/>
    </xf>
    <xf borderId="0" fillId="0" fontId="4" numFmtId="0" xfId="0" applyAlignment="1" applyFont="1">
      <alignment readingOrder="0" shrinkToFit="0" wrapText="1"/>
    </xf>
    <xf borderId="1" fillId="2" fontId="1"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2" fillId="3" fontId="5"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1" fillId="5" fontId="2" numFmtId="0" xfId="0" applyAlignment="1" applyBorder="1" applyFont="1">
      <alignment horizontal="center" readingOrder="0" shrinkToFit="0" vertical="center" wrapText="1"/>
    </xf>
    <xf borderId="2" fillId="6" fontId="6"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vertical="center"/>
    </xf>
    <xf borderId="1" fillId="0" fontId="1" numFmtId="0" xfId="0" applyAlignment="1" applyBorder="1" applyFont="1">
      <alignment horizontal="center" readingOrder="0" shrinkToFit="0" wrapText="1"/>
    </xf>
    <xf borderId="1" fillId="7" fontId="8" numFmtId="0" xfId="0" applyAlignment="1" applyBorder="1" applyFill="1" applyFont="1">
      <alignment horizontal="center" readingOrder="0"/>
    </xf>
    <xf borderId="1" fillId="0" fontId="9" numFmtId="0" xfId="0" applyAlignment="1" applyBorder="1" applyFont="1">
      <alignment horizontal="center" readingOrder="0" shrinkToFit="0" vertical="bottom" wrapText="1"/>
    </xf>
    <xf borderId="1" fillId="0" fontId="9" numFmtId="0" xfId="0" applyAlignment="1" applyBorder="1" applyFont="1">
      <alignment horizontal="center" shrinkToFit="0" vertical="bottom" wrapText="1"/>
    </xf>
    <xf borderId="1" fillId="0" fontId="1" numFmtId="2" xfId="0" applyAlignment="1" applyBorder="1" applyFont="1" applyNumberFormat="1">
      <alignment horizontal="center" readingOrder="0" shrinkToFit="0" wrapText="1"/>
    </xf>
    <xf borderId="2" fillId="0" fontId="1" numFmtId="0" xfId="0" applyAlignment="1" applyBorder="1" applyFont="1">
      <alignment horizontal="center" readingOrder="0" shrinkToFit="0" wrapText="1"/>
    </xf>
    <xf borderId="1" fillId="8" fontId="1" numFmtId="0" xfId="0" applyAlignment="1" applyBorder="1" applyFill="1" applyFont="1">
      <alignment horizontal="center" readingOrder="0"/>
    </xf>
    <xf borderId="1" fillId="0" fontId="1" numFmtId="0" xfId="0" applyAlignment="1" applyBorder="1" applyFont="1">
      <alignment horizontal="center" readingOrder="0"/>
    </xf>
    <xf borderId="1" fillId="7" fontId="9" numFmtId="2" xfId="0" applyAlignment="1" applyBorder="1" applyFont="1" applyNumberFormat="1">
      <alignment horizontal="center" shrinkToFit="0" vertical="bottom" wrapText="1"/>
    </xf>
    <xf borderId="1" fillId="0" fontId="9" numFmtId="2" xfId="0" applyAlignment="1" applyBorder="1" applyFont="1" applyNumberFormat="1">
      <alignment horizontal="center" shrinkToFit="0" vertical="bottom" wrapText="1"/>
    </xf>
    <xf borderId="1" fillId="0" fontId="9" numFmtId="2" xfId="0" applyAlignment="1" applyBorder="1" applyFont="1" applyNumberFormat="1">
      <alignment horizontal="center" readingOrder="0" vertical="bottom"/>
    </xf>
    <xf borderId="1" fillId="0" fontId="1" numFmtId="164" xfId="0" applyAlignment="1" applyBorder="1" applyFont="1" applyNumberFormat="1">
      <alignment horizontal="center" readingOrder="0"/>
    </xf>
    <xf borderId="1" fillId="0" fontId="10" numFmtId="2" xfId="0" applyAlignment="1" applyBorder="1" applyFont="1" applyNumberFormat="1">
      <alignment horizontal="center" readingOrder="0"/>
    </xf>
    <xf borderId="1" fillId="0" fontId="6" numFmtId="165" xfId="0" applyAlignment="1" applyBorder="1" applyFont="1" applyNumberFormat="1">
      <alignment horizontal="center" readingOrder="0" shrinkToFit="1" vertical="top" wrapText="0"/>
    </xf>
    <xf borderId="1" fillId="0" fontId="1" numFmtId="166" xfId="0" applyAlignment="1" applyBorder="1" applyFont="1" applyNumberFormat="1">
      <alignment horizontal="center" readingOrder="0"/>
    </xf>
    <xf borderId="1" fillId="7" fontId="8" numFmtId="165" xfId="0" applyAlignment="1" applyBorder="1" applyFont="1" applyNumberFormat="1">
      <alignment horizontal="center" readingOrder="0"/>
    </xf>
    <xf borderId="1" fillId="7" fontId="8" numFmtId="165" xfId="0" applyAlignment="1" applyBorder="1" applyFont="1" applyNumberFormat="1">
      <alignment horizontal="center" readingOrder="0" vertical="top"/>
    </xf>
    <xf borderId="1" fillId="0" fontId="6" numFmtId="165" xfId="0" applyAlignment="1" applyBorder="1" applyFont="1" applyNumberFormat="1">
      <alignment horizontal="center" readingOrder="0"/>
    </xf>
    <xf borderId="0" fillId="0" fontId="6" numFmtId="0" xfId="0" applyFont="1"/>
    <xf borderId="1" fillId="0" fontId="1" numFmtId="0" xfId="0" applyAlignment="1" applyBorder="1" applyFont="1">
      <alignment horizontal="center"/>
    </xf>
    <xf borderId="1" fillId="7" fontId="6" numFmtId="165" xfId="0" applyAlignment="1" applyBorder="1" applyFont="1" applyNumberFormat="1">
      <alignment horizontal="center" readingOrder="0" vertical="top"/>
    </xf>
    <xf borderId="1" fillId="0" fontId="9" numFmtId="2" xfId="0" applyAlignment="1" applyBorder="1" applyFont="1" applyNumberFormat="1">
      <alignment horizontal="center" readingOrder="0" shrinkToFit="0" vertical="bottom" wrapText="1"/>
    </xf>
    <xf borderId="0" fillId="0" fontId="4" numFmtId="0" xfId="0" applyAlignment="1" applyFont="1">
      <alignment readingOrder="0"/>
    </xf>
    <xf borderId="1" fillId="0" fontId="6" numFmtId="2" xfId="0" applyAlignment="1" applyBorder="1" applyFont="1" applyNumberFormat="1">
      <alignment horizontal="center" readingOrder="0"/>
    </xf>
    <xf borderId="1" fillId="9" fontId="1" numFmtId="164" xfId="0" applyAlignment="1" applyBorder="1" applyFill="1" applyFont="1" applyNumberFormat="1">
      <alignment horizontal="center"/>
    </xf>
    <xf borderId="1" fillId="9" fontId="1" numFmtId="164" xfId="0" applyAlignment="1" applyBorder="1" applyFont="1" applyNumberFormat="1">
      <alignment horizontal="center" readingOrder="0"/>
    </xf>
    <xf borderId="1" fillId="7" fontId="6" numFmtId="2" xfId="0" applyAlignment="1" applyBorder="1" applyFont="1" applyNumberFormat="1">
      <alignment horizontal="center" readingOrder="0"/>
    </xf>
    <xf borderId="1" fillId="7" fontId="6" numFmtId="165" xfId="0" applyAlignment="1" applyBorder="1" applyFont="1" applyNumberFormat="1">
      <alignment horizontal="center" readingOrder="0"/>
    </xf>
    <xf borderId="1" fillId="0" fontId="9" numFmtId="0" xfId="0" applyAlignment="1" applyBorder="1" applyFont="1">
      <alignment horizontal="center" vertical="bottom"/>
    </xf>
    <xf borderId="0" fillId="7" fontId="11" numFmtId="164" xfId="0" applyAlignment="1" applyFont="1" applyNumberFormat="1">
      <alignment readingOrder="0"/>
    </xf>
    <xf borderId="1" fillId="0" fontId="6" numFmtId="2" xfId="0" applyAlignment="1" applyBorder="1" applyFont="1" applyNumberFormat="1">
      <alignment horizontal="center"/>
    </xf>
    <xf borderId="1" fillId="0" fontId="1" numFmtId="165" xfId="0" applyAlignment="1" applyBorder="1" applyFont="1" applyNumberFormat="1">
      <alignment horizontal="center"/>
    </xf>
    <xf borderId="1" fillId="0" fontId="1" numFmtId="165" xfId="0" applyAlignment="1" applyBorder="1" applyFont="1" applyNumberFormat="1">
      <alignment horizontal="center"/>
    </xf>
    <xf borderId="1" fillId="0" fontId="1" numFmtId="165" xfId="0" applyAlignment="1" applyBorder="1" applyFont="1" applyNumberFormat="1">
      <alignment horizontal="center" readingOrder="0"/>
    </xf>
    <xf borderId="1" fillId="0" fontId="1" numFmtId="165" xfId="0" applyAlignment="1" applyBorder="1" applyFont="1" applyNumberFormat="1">
      <alignment horizontal="center" readingOrder="0"/>
    </xf>
    <xf borderId="1" fillId="9" fontId="6" numFmtId="164" xfId="0" applyAlignment="1" applyBorder="1" applyFont="1" applyNumberFormat="1">
      <alignment horizontal="center"/>
    </xf>
    <xf borderId="1" fillId="0" fontId="9" numFmtId="2" xfId="0" applyAlignment="1" applyBorder="1" applyFont="1" applyNumberFormat="1">
      <alignment horizontal="center" vertical="bottom"/>
    </xf>
    <xf borderId="1" fillId="0" fontId="1" numFmtId="164" xfId="0" applyAlignment="1" applyBorder="1" applyFont="1" applyNumberFormat="1">
      <alignment horizontal="center"/>
    </xf>
    <xf borderId="5" fillId="7" fontId="12" numFmtId="166" xfId="0" applyAlignment="1" applyBorder="1" applyFont="1" applyNumberFormat="1">
      <alignment readingOrder="0" vertical="bottom"/>
    </xf>
    <xf borderId="1" fillId="0" fontId="6" numFmtId="164" xfId="0" applyAlignment="1" applyBorder="1" applyFont="1" applyNumberFormat="1">
      <alignment horizontal="center" readingOrder="0" shrinkToFit="0" vertical="bottom" wrapText="0"/>
    </xf>
    <xf borderId="1" fillId="0" fontId="13" numFmtId="2" xfId="0" applyAlignment="1" applyBorder="1" applyFont="1" applyNumberFormat="1">
      <alignment horizontal="center" readingOrder="0"/>
    </xf>
    <xf borderId="0" fillId="0" fontId="1" numFmtId="165" xfId="0" applyAlignment="1" applyFont="1" applyNumberFormat="1">
      <alignment readingOrder="0" vertical="bottom"/>
    </xf>
    <xf borderId="1" fillId="9" fontId="6" numFmtId="4" xfId="0" applyAlignment="1" applyBorder="1" applyFont="1" applyNumberFormat="1">
      <alignment horizontal="center" readingOrder="0"/>
    </xf>
    <xf borderId="1" fillId="0" fontId="1" numFmtId="2" xfId="0" applyAlignment="1" applyBorder="1" applyFont="1" applyNumberFormat="1">
      <alignment horizontal="center"/>
    </xf>
    <xf borderId="1" fillId="0" fontId="9" numFmtId="165" xfId="0" applyAlignment="1" applyBorder="1" applyFont="1" applyNumberFormat="1">
      <alignment horizontal="center" readingOrder="0" vertical="bottom"/>
    </xf>
    <xf borderId="1" fillId="0" fontId="9" numFmtId="165" xfId="0" applyAlignment="1" applyBorder="1" applyFont="1" applyNumberFormat="1">
      <alignment horizontal="center" vertical="bottom"/>
    </xf>
    <xf borderId="4" fillId="0" fontId="9" numFmtId="165" xfId="0" applyAlignment="1" applyBorder="1" applyFont="1" applyNumberFormat="1">
      <alignment horizontal="center" vertical="bottom"/>
    </xf>
    <xf borderId="4" fillId="0" fontId="9" numFmtId="165" xfId="0" applyAlignment="1" applyBorder="1" applyFont="1" applyNumberFormat="1">
      <alignment horizontal="center" readingOrder="0" vertical="bottom"/>
    </xf>
    <xf borderId="6" fillId="0" fontId="9" numFmtId="165" xfId="0" applyAlignment="1" applyBorder="1" applyFont="1" applyNumberFormat="1">
      <alignment horizontal="center" readingOrder="0" vertical="bottom"/>
    </xf>
    <xf borderId="6" fillId="0" fontId="9" numFmtId="165" xfId="0" applyAlignment="1" applyBorder="1" applyFont="1" applyNumberFormat="1">
      <alignment horizontal="center" vertical="bottom"/>
    </xf>
    <xf borderId="7" fillId="0" fontId="9" numFmtId="165" xfId="0" applyAlignment="1" applyBorder="1" applyFont="1" applyNumberFormat="1">
      <alignment horizontal="center" vertical="bottom"/>
    </xf>
    <xf borderId="7" fillId="0" fontId="9" numFmtId="165" xfId="0" applyAlignment="1" applyBorder="1" applyFont="1" applyNumberFormat="1">
      <alignment horizontal="center" readingOrder="0" vertical="bottom"/>
    </xf>
    <xf borderId="1" fillId="9" fontId="10" numFmtId="2" xfId="0" applyAlignment="1" applyBorder="1" applyFont="1" applyNumberFormat="1">
      <alignment horizontal="center" readingOrder="0"/>
    </xf>
    <xf borderId="1" fillId="9" fontId="6" numFmtId="2" xfId="0" applyAlignment="1" applyBorder="1" applyFont="1" applyNumberFormat="1">
      <alignment horizontal="center"/>
    </xf>
    <xf borderId="0" fillId="7" fontId="1" numFmtId="165" xfId="0" applyAlignment="1" applyFont="1" applyNumberFormat="1">
      <alignment horizontal="center" readingOrder="0" vertical="bottom"/>
    </xf>
    <xf borderId="1" fillId="7" fontId="8" numFmtId="165" xfId="0" applyAlignment="1" applyBorder="1" applyFont="1" applyNumberFormat="1">
      <alignment horizontal="center" readingOrder="0" vertical="top"/>
    </xf>
    <xf borderId="1" fillId="0" fontId="8" numFmtId="165" xfId="0" applyAlignment="1" applyBorder="1" applyFont="1" applyNumberFormat="1">
      <alignment horizontal="center" readingOrder="0" vertical="bottom"/>
    </xf>
    <xf borderId="1" fillId="0" fontId="1" numFmtId="2" xfId="0" applyAlignment="1" applyBorder="1" applyFont="1" applyNumberFormat="1">
      <alignment horizontal="center" readingOrder="0"/>
    </xf>
    <xf borderId="1" fillId="9" fontId="13" numFmtId="2" xfId="0" applyAlignment="1" applyBorder="1" applyFont="1" applyNumberFormat="1">
      <alignment horizontal="center" readingOrder="0"/>
    </xf>
    <xf borderId="0" fillId="0" fontId="1" numFmtId="166" xfId="0" applyAlignment="1" applyFont="1" applyNumberFormat="1">
      <alignment readingOrder="0" vertical="bottom"/>
    </xf>
    <xf borderId="1" fillId="9" fontId="1" numFmtId="2" xfId="0" applyAlignment="1" applyBorder="1" applyFont="1" applyNumberFormat="1">
      <alignment horizontal="center"/>
    </xf>
    <xf borderId="1" fillId="7" fontId="6" numFmtId="165" xfId="0" applyAlignment="1" applyBorder="1" applyFont="1" applyNumberFormat="1">
      <alignment horizontal="center" readingOrder="0" shrinkToFit="0" vertical="top" wrapText="0"/>
    </xf>
    <xf borderId="0" fillId="0" fontId="1" numFmtId="0" xfId="0" applyAlignment="1" applyFont="1">
      <alignment horizontal="center"/>
    </xf>
    <xf borderId="0" fillId="0" fontId="1" numFmtId="0" xfId="0" applyAlignment="1" applyFont="1">
      <alignment horizontal="center" readingOrder="0" shrinkToFit="0" wrapText="1"/>
    </xf>
    <xf borderId="0" fillId="0" fontId="14" numFmtId="0" xfId="0" applyAlignment="1" applyFont="1">
      <alignment horizontal="center" readingOrder="0" shrinkToFit="0" wrapText="1"/>
    </xf>
    <xf borderId="0" fillId="7" fontId="15" numFmtId="0" xfId="0" applyAlignment="1" applyFont="1">
      <alignment horizontal="center" readingOrder="0"/>
    </xf>
    <xf borderId="0" fillId="0" fontId="16" numFmtId="0" xfId="0" applyAlignment="1" applyFont="1">
      <alignment horizontal="center" readingOrder="0" shrinkToFit="0" wrapText="1"/>
    </xf>
    <xf borderId="0" fillId="0" fontId="17" numFmtId="0" xfId="0" applyAlignment="1" applyFont="1">
      <alignment horizontal="center" readingOrder="0"/>
    </xf>
    <xf borderId="0" fillId="0" fontId="4" numFmtId="0" xfId="0" applyAlignment="1" applyFont="1">
      <alignment horizontal="center"/>
    </xf>
    <xf borderId="0" fillId="0" fontId="18" numFmtId="0" xfId="0" applyAlignment="1" applyFont="1">
      <alignment horizontal="center" readingOrder="0"/>
    </xf>
    <xf borderId="0" fillId="7" fontId="19" numFmtId="0" xfId="0" applyAlignment="1" applyFont="1">
      <alignment horizontal="center" readingOrder="0" vertical="top"/>
    </xf>
    <xf borderId="8" fillId="7" fontId="19" numFmtId="0" xfId="0" applyAlignment="1" applyBorder="1" applyFont="1">
      <alignment horizontal="center" readingOrder="0" vertical="top"/>
    </xf>
    <xf borderId="8" fillId="7" fontId="19" numFmtId="3" xfId="0" applyAlignment="1" applyBorder="1" applyFont="1" applyNumberFormat="1">
      <alignment horizontal="center" readingOrder="0" vertical="top"/>
    </xf>
    <xf borderId="0" fillId="7" fontId="20" numFmtId="0" xfId="0" applyFont="1"/>
    <xf borderId="8" fillId="7" fontId="0" numFmtId="0" xfId="0" applyAlignment="1" applyBorder="1" applyFont="1">
      <alignment horizontal="center" readingOrder="0" vertical="top"/>
    </xf>
    <xf borderId="8" fillId="7" fontId="21" numFmtId="0" xfId="0" applyAlignment="1" applyBorder="1" applyFont="1">
      <alignment horizontal="center" readingOrder="0" vertical="top"/>
    </xf>
    <xf borderId="8" fillId="7" fontId="8" numFmtId="0" xfId="0" applyAlignment="1" applyBorder="1" applyFont="1">
      <alignment horizontal="center" readingOrder="0" vertical="top"/>
    </xf>
    <xf borderId="0" fillId="0" fontId="8" numFmtId="0" xfId="0" applyFont="1"/>
    <xf borderId="0" fillId="0" fontId="1" numFmtId="0" xfId="0" applyFont="1"/>
    <xf borderId="0" fillId="0" fontId="22"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0" fontId="23" numFmtId="0" xfId="0" applyAlignment="1" applyFont="1">
      <alignment shrinkToFit="0" vertical="bottom" wrapText="0"/>
    </xf>
    <xf borderId="0" fillId="0" fontId="23" numFmtId="0" xfId="0" applyAlignment="1" applyFont="1">
      <alignment readingOrder="0" shrinkToFit="0" vertical="bottom" wrapText="0"/>
    </xf>
    <xf borderId="1" fillId="7" fontId="24" numFmtId="0" xfId="0" applyAlignment="1" applyBorder="1" applyFont="1">
      <alignment horizontal="center" shrinkToFit="0" vertical="bottom" wrapText="1"/>
    </xf>
    <xf borderId="4" fillId="7" fontId="24" numFmtId="0" xfId="0" applyAlignment="1" applyBorder="1" applyFont="1">
      <alignment horizontal="center" shrinkToFit="0" vertical="bottom" wrapText="1"/>
    </xf>
    <xf borderId="4" fillId="7" fontId="24" numFmtId="2" xfId="0" applyAlignment="1" applyBorder="1" applyFont="1" applyNumberFormat="1">
      <alignment horizontal="center" shrinkToFit="0" vertical="bottom" wrapText="1"/>
    </xf>
    <xf borderId="6" fillId="7" fontId="9" numFmtId="0" xfId="0" applyAlignment="1" applyBorder="1" applyFont="1">
      <alignment horizontal="center" vertical="bottom"/>
    </xf>
    <xf borderId="7" fillId="0" fontId="9" numFmtId="0" xfId="0" applyAlignment="1" applyBorder="1" applyFont="1">
      <alignment horizontal="center" vertical="bottom"/>
    </xf>
    <xf borderId="7" fillId="7" fontId="9" numFmtId="2" xfId="0" applyAlignment="1" applyBorder="1" applyFont="1" applyNumberFormat="1">
      <alignment horizontal="center" shrinkToFit="0" vertical="bottom" wrapText="1"/>
    </xf>
    <xf borderId="7" fillId="0" fontId="9" numFmtId="2" xfId="0" applyAlignment="1" applyBorder="1" applyFont="1" applyNumberFormat="1">
      <alignment horizontal="center" shrinkToFit="0" vertical="bottom" wrapText="1"/>
    </xf>
    <xf borderId="7" fillId="0" fontId="9" numFmtId="2" xfId="0" applyAlignment="1" applyBorder="1" applyFont="1" applyNumberFormat="1">
      <alignment horizontal="center" vertical="bottom"/>
    </xf>
    <xf borderId="7" fillId="0" fontId="9" numFmtId="164" xfId="0" applyAlignment="1" applyBorder="1" applyFont="1" applyNumberFormat="1">
      <alignment horizontal="center" vertical="bottom"/>
    </xf>
    <xf borderId="7" fillId="0" fontId="9" numFmtId="165" xfId="0" applyAlignment="1" applyBorder="1" applyFont="1" applyNumberFormat="1">
      <alignment horizontal="center" vertical="top"/>
    </xf>
    <xf borderId="7" fillId="0" fontId="9" numFmtId="167" xfId="0" applyAlignment="1" applyBorder="1" applyFont="1" applyNumberFormat="1">
      <alignment horizontal="right" vertical="bottom"/>
    </xf>
    <xf borderId="7" fillId="0" fontId="25" numFmtId="167" xfId="0" applyAlignment="1" applyBorder="1" applyFont="1" applyNumberFormat="1">
      <alignment horizontal="right" vertical="bottom"/>
    </xf>
    <xf borderId="7" fillId="7" fontId="9" numFmtId="164" xfId="0" applyAlignment="1" applyBorder="1" applyFont="1" applyNumberFormat="1">
      <alignment horizontal="center" vertical="bottom"/>
    </xf>
    <xf borderId="7" fillId="7" fontId="9" numFmtId="2" xfId="0" applyAlignment="1" applyBorder="1" applyFont="1" applyNumberFormat="1">
      <alignment horizontal="center" vertical="bottom"/>
    </xf>
    <xf borderId="7" fillId="0" fontId="9" numFmtId="0" xfId="0" applyAlignment="1" applyBorder="1" applyFont="1">
      <alignment horizontal="center" shrinkToFit="0" vertical="bottom" wrapText="1"/>
    </xf>
    <xf borderId="7" fillId="7" fontId="9" numFmtId="4" xfId="0" applyAlignment="1" applyBorder="1" applyFont="1" applyNumberFormat="1">
      <alignment horizontal="center" vertical="bottom"/>
    </xf>
    <xf borderId="7" fillId="7" fontId="9" numFmtId="165" xfId="0" applyAlignment="1" applyBorder="1" applyFont="1" applyNumberFormat="1">
      <alignment horizontal="center" vertical="top"/>
    </xf>
    <xf borderId="0" fillId="0" fontId="26" numFmtId="0" xfId="0" applyAlignment="1" applyFont="1">
      <alignment readingOrder="0"/>
    </xf>
    <xf borderId="0" fillId="0" fontId="27" numFmtId="0" xfId="0" applyAlignment="1" applyFont="1">
      <alignment horizontal="center" readingOrder="0"/>
    </xf>
    <xf borderId="0" fillId="0" fontId="25" numFmtId="0" xfId="0" applyAlignment="1" applyFont="1">
      <alignment vertical="bottom"/>
    </xf>
    <xf borderId="0" fillId="0" fontId="25" numFmtId="168" xfId="0" applyAlignment="1" applyFont="1" applyNumberFormat="1">
      <alignment vertical="bottom"/>
    </xf>
    <xf borderId="0" fillId="7" fontId="25" numFmtId="0" xfId="0" applyAlignment="1" applyFont="1">
      <alignment vertical="bottom"/>
    </xf>
    <xf borderId="9" fillId="7" fontId="25" numFmtId="0" xfId="0" applyAlignment="1" applyBorder="1" applyFont="1">
      <alignment vertical="bottom"/>
    </xf>
    <xf borderId="9" fillId="0" fontId="25" numFmtId="0" xfId="0" applyAlignment="1" applyBorder="1" applyFont="1">
      <alignment vertical="bottom"/>
    </xf>
    <xf borderId="9" fillId="0" fontId="25" numFmtId="168" xfId="0" applyAlignment="1" applyBorder="1" applyFont="1" applyNumberFormat="1">
      <alignment vertical="bottom"/>
    </xf>
    <xf borderId="10" fillId="7" fontId="19" numFmtId="0" xfId="0" applyAlignment="1" applyBorder="1" applyFont="1">
      <alignment horizontal="center" vertical="top"/>
    </xf>
    <xf borderId="10" fillId="7" fontId="19" numFmtId="3" xfId="0" applyAlignment="1" applyBorder="1" applyFont="1" applyNumberFormat="1">
      <alignment horizontal="center" vertical="top"/>
    </xf>
    <xf borderId="0" fillId="0" fontId="25" numFmtId="0" xfId="0" applyAlignment="1" applyFont="1">
      <alignment horizontal="right" vertical="bottom"/>
    </xf>
    <xf borderId="10" fillId="7" fontId="25" numFmtId="168" xfId="0" applyAlignment="1" applyBorder="1" applyFont="1" applyNumberFormat="1">
      <alignment vertical="top"/>
    </xf>
    <xf borderId="11" fillId="7" fontId="19" numFmtId="0" xfId="0" applyAlignment="1" applyBorder="1" applyFont="1">
      <alignment horizontal="center" vertical="top"/>
    </xf>
    <xf borderId="11" fillId="7" fontId="19" numFmtId="3" xfId="0" applyAlignment="1" applyBorder="1" applyFont="1" applyNumberFormat="1">
      <alignment horizontal="center" vertical="top"/>
    </xf>
    <xf borderId="12" fillId="7" fontId="19" numFmtId="0" xfId="0" applyAlignment="1" applyBorder="1" applyFont="1">
      <alignment horizontal="center" vertical="top"/>
    </xf>
    <xf borderId="12" fillId="7" fontId="19" numFmtId="3" xfId="0" applyAlignment="1" applyBorder="1" applyFont="1" applyNumberFormat="1">
      <alignment horizontal="center" vertical="top"/>
    </xf>
    <xf borderId="12" fillId="7" fontId="25" numFmtId="168" xfId="0" applyAlignment="1" applyBorder="1" applyFont="1" applyNumberFormat="1">
      <alignment vertical="top"/>
    </xf>
    <xf borderId="11" fillId="7" fontId="19" numFmtId="168" xfId="0" applyAlignment="1" applyBorder="1" applyFont="1" applyNumberFormat="1">
      <alignment horizontal="center" vertical="top"/>
    </xf>
    <xf borderId="0" fillId="0" fontId="25" numFmtId="0" xfId="0" applyAlignment="1" applyFont="1">
      <alignment readingOrder="0" vertical="bottom"/>
    </xf>
    <xf borderId="5" fillId="7" fontId="28" numFmtId="3" xfId="0" applyAlignment="1" applyBorder="1" applyFont="1" applyNumberFormat="1">
      <alignment readingOrder="0" vertical="bottom"/>
    </xf>
    <xf borderId="0" fillId="7" fontId="28" numFmtId="0" xfId="0" applyAlignment="1" applyFont="1">
      <alignment readingOrder="0" vertical="bottom"/>
    </xf>
    <xf borderId="0" fillId="7" fontId="28" numFmtId="3" xfId="0" applyAlignment="1" applyFont="1" applyNumberFormat="1">
      <alignment readingOrder="0" vertical="bottom"/>
    </xf>
    <xf borderId="0" fillId="7" fontId="29" numFmtId="0" xfId="0" applyFont="1"/>
    <xf borderId="0" fillId="7" fontId="25" numFmtId="0" xfId="0" applyAlignment="1" applyFont="1">
      <alignment shrinkToFit="0" vertical="bottom" wrapText="0"/>
    </xf>
    <xf borderId="9" fillId="0" fontId="25" numFmtId="0" xfId="0" applyAlignment="1" applyBorder="1" applyFont="1">
      <alignment readingOrder="0" vertical="bottom"/>
    </xf>
    <xf borderId="9" fillId="0" fontId="25" numFmtId="168" xfId="0" applyAlignment="1" applyBorder="1" applyFont="1" applyNumberFormat="1">
      <alignment readingOrder="0" vertical="bottom"/>
    </xf>
    <xf borderId="0" fillId="7" fontId="30" numFmtId="3" xfId="0" applyAlignment="1" applyFont="1" applyNumberFormat="1">
      <alignment readingOrder="0"/>
    </xf>
    <xf borderId="0" fillId="7" fontId="31" numFmtId="3" xfId="0" applyAlignment="1" applyFont="1" applyNumberFormat="1">
      <alignment readingOrder="0"/>
    </xf>
    <xf borderId="9" fillId="0" fontId="25" numFmtId="0" xfId="0" applyAlignment="1" applyBorder="1" applyFont="1">
      <alignment readingOrder="0" vertical="bottom"/>
    </xf>
    <xf borderId="0" fillId="0" fontId="19" numFmtId="0" xfId="0" applyAlignment="1" applyFont="1">
      <alignment horizontal="center" readingOrder="0" vertical="bottom"/>
    </xf>
    <xf borderId="0" fillId="0" fontId="25" numFmtId="3" xfId="0" applyAlignment="1" applyFont="1" applyNumberFormat="1">
      <alignment readingOrder="0" vertical="bottom"/>
    </xf>
    <xf borderId="0" fillId="7" fontId="30" numFmtId="3" xfId="0" applyAlignment="1" applyFont="1" applyNumberFormat="1">
      <alignment readingOrder="0" vertical="bottom"/>
    </xf>
    <xf borderId="0" fillId="7" fontId="25" numFmtId="168" xfId="0" applyAlignment="1" applyFont="1" applyNumberFormat="1">
      <alignment vertical="top"/>
    </xf>
    <xf borderId="10" fillId="7" fontId="19" numFmtId="166" xfId="0" applyAlignment="1" applyBorder="1" applyFont="1" applyNumberFormat="1">
      <alignment horizontal="center" vertical="top"/>
    </xf>
    <xf borderId="5" fillId="7" fontId="32" numFmtId="3" xfId="0" applyAlignment="1" applyBorder="1" applyFont="1" applyNumberFormat="1">
      <alignment readingOrder="0" vertical="bottom"/>
    </xf>
    <xf borderId="5" fillId="0" fontId="25" numFmtId="0" xfId="0" applyAlignment="1" applyBorder="1" applyFont="1">
      <alignment vertical="bottom"/>
    </xf>
    <xf borderId="13" fillId="0" fontId="25" numFmtId="0" xfId="0" applyAlignment="1" applyBorder="1" applyFont="1">
      <alignment vertical="bottom"/>
    </xf>
    <xf borderId="7" fillId="0" fontId="33" numFmtId="0" xfId="0" applyAlignment="1" applyBorder="1" applyFont="1">
      <alignment vertical="bottom"/>
    </xf>
    <xf borderId="7" fillId="0" fontId="33" numFmtId="0" xfId="0" applyAlignment="1" applyBorder="1" applyFont="1">
      <alignment shrinkToFit="0" vertical="bottom" wrapText="1"/>
    </xf>
    <xf borderId="7" fillId="0" fontId="9" numFmtId="0" xfId="0" applyAlignment="1" applyBorder="1" applyFont="1">
      <alignment horizontal="right" vertical="bottom"/>
    </xf>
    <xf borderId="0" fillId="0" fontId="25" numFmtId="166" xfId="0" applyAlignment="1" applyFont="1" applyNumberFormat="1">
      <alignment horizontal="right" vertical="bottom"/>
    </xf>
    <xf borderId="0" fillId="7" fontId="25" numFmtId="0" xfId="0" applyAlignment="1" applyFont="1">
      <alignment readingOrder="0" vertical="bottom"/>
    </xf>
    <xf borderId="5" fillId="7" fontId="34" numFmtId="3" xfId="0" applyAlignment="1" applyBorder="1" applyFont="1" applyNumberFormat="1">
      <alignment readingOrder="0" vertical="bottom"/>
    </xf>
    <xf borderId="0" fillId="0" fontId="25" numFmtId="166" xfId="0" applyAlignment="1" applyFont="1" applyNumberFormat="1">
      <alignment vertical="bottom"/>
    </xf>
    <xf borderId="10" fillId="7" fontId="25" numFmtId="0" xfId="0" applyAlignment="1" applyBorder="1" applyFont="1">
      <alignment horizontal="center" vertical="top"/>
    </xf>
    <xf borderId="10" fillId="7" fontId="25" numFmtId="0" xfId="0" applyAlignment="1" applyBorder="1" applyFont="1">
      <alignment vertical="top"/>
    </xf>
    <xf borderId="11" fillId="7" fontId="25" numFmtId="0" xfId="0" applyAlignment="1" applyBorder="1" applyFont="1">
      <alignment vertical="top"/>
    </xf>
    <xf borderId="11" fillId="7" fontId="25" numFmtId="0" xfId="0" applyAlignment="1" applyBorder="1" applyFont="1">
      <alignment horizontal="center" vertical="top"/>
    </xf>
    <xf borderId="10" fillId="7" fontId="9" numFmtId="0" xfId="0" applyAlignment="1" applyBorder="1" applyFont="1">
      <alignment horizontal="center" vertical="top"/>
    </xf>
    <xf borderId="0" fillId="0" fontId="9" numFmtId="0" xfId="0" applyAlignment="1" applyFont="1">
      <alignment horizontal="right" vertical="bottom"/>
    </xf>
    <xf borderId="11" fillId="7" fontId="9" numFmtId="0" xfId="0" applyAlignment="1" applyBorder="1" applyFont="1">
      <alignment horizontal="center" vertical="top"/>
    </xf>
    <xf borderId="0" fillId="0" fontId="25" numFmtId="168" xfId="0" applyAlignment="1" applyFont="1" applyNumberFormat="1">
      <alignment readingOrder="0" vertical="bottom"/>
    </xf>
    <xf borderId="10" fillId="7" fontId="19" numFmtId="166" xfId="0" applyAlignment="1" applyBorder="1" applyFont="1" applyNumberFormat="1">
      <alignment horizontal="center" readingOrder="0" vertical="top"/>
    </xf>
    <xf borderId="0" fillId="0" fontId="25" numFmtId="166" xfId="0" applyAlignment="1" applyFont="1" applyNumberFormat="1">
      <alignment horizontal="right" readingOrder="0" vertical="bottom"/>
    </xf>
    <xf borderId="0" fillId="7" fontId="29" numFmtId="166" xfId="0" applyAlignment="1" applyFont="1" applyNumberFormat="1">
      <alignment readingOrder="0"/>
    </xf>
    <xf borderId="11" fillId="7" fontId="19" numFmtId="166" xfId="0" applyAlignment="1" applyBorder="1" applyFont="1" applyNumberFormat="1">
      <alignment horizontal="center" readingOrder="0" vertical="top"/>
    </xf>
    <xf borderId="0" fillId="0" fontId="25" numFmtId="0" xfId="0" applyAlignment="1" applyFont="1">
      <alignment readingOrder="0" vertical="bottom"/>
    </xf>
    <xf borderId="0" fillId="0" fontId="25" numFmtId="166" xfId="0" applyAlignment="1" applyFont="1" applyNumberFormat="1">
      <alignment readingOrder="0" vertical="bottom"/>
    </xf>
    <xf borderId="5" fillId="7" fontId="35" numFmtId="3" xfId="0" applyAlignment="1" applyBorder="1" applyFont="1" applyNumberFormat="1">
      <alignment horizontal="center" readingOrder="0" vertical="bottom"/>
    </xf>
    <xf borderId="11" fillId="7" fontId="19" numFmtId="166" xfId="0" applyAlignment="1" applyBorder="1" applyFont="1" applyNumberFormat="1">
      <alignment horizontal="center" vertical="top"/>
    </xf>
    <xf borderId="0" fillId="7" fontId="19" numFmtId="0" xfId="0" applyAlignment="1" applyFont="1">
      <alignment horizontal="center" vertical="top"/>
    </xf>
    <xf borderId="14" fillId="0" fontId="8" numFmtId="0" xfId="0" applyAlignment="1" applyBorder="1" applyFont="1">
      <alignment horizontal="center" readingOrder="0" vertical="bottom"/>
    </xf>
    <xf borderId="15" fillId="7" fontId="8" numFmtId="2" xfId="0" applyAlignment="1" applyBorder="1" applyFont="1" applyNumberFormat="1">
      <alignment horizontal="center" readingOrder="0" vertical="bottom"/>
    </xf>
    <xf borderId="15" fillId="0" fontId="8" numFmtId="2" xfId="0" applyAlignment="1" applyBorder="1" applyFont="1" applyNumberFormat="1">
      <alignment horizontal="center" readingOrder="0" vertical="bottom"/>
    </xf>
    <xf borderId="15" fillId="0" fontId="36" numFmtId="0" xfId="0" applyAlignment="1" applyBorder="1" applyFont="1">
      <alignment horizontal="left" vertical="bottom"/>
    </xf>
    <xf borderId="15" fillId="0" fontId="36" numFmtId="2" xfId="0" applyAlignment="1" applyBorder="1" applyFont="1" applyNumberFormat="1">
      <alignment horizontal="center" vertical="bottom"/>
    </xf>
    <xf borderId="15" fillId="0" fontId="36" numFmtId="2" xfId="0" applyAlignment="1" applyBorder="1" applyFont="1" applyNumberFormat="1">
      <alignment horizontal="left" vertical="bottom"/>
    </xf>
    <xf borderId="15" fillId="0" fontId="8" numFmtId="2" xfId="0" applyAlignment="1" applyBorder="1" applyFont="1" applyNumberFormat="1">
      <alignment horizontal="right" readingOrder="0" vertical="bottom"/>
    </xf>
    <xf borderId="15" fillId="0" fontId="36" numFmtId="2" xfId="0" applyAlignment="1" applyBorder="1" applyFont="1" applyNumberFormat="1">
      <alignment horizontal="left" readingOrder="0" vertical="bottom"/>
    </xf>
    <xf borderId="0" fillId="0" fontId="36" numFmtId="0" xfId="0" applyAlignment="1" applyFont="1">
      <alignment horizontal="left" vertical="bottom"/>
    </xf>
    <xf borderId="0" fillId="0" fontId="1" numFmtId="0" xfId="0" applyAlignment="1" applyFon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pmc/articles/PMC3408699/" TargetMode="External"/><Relationship Id="rId2" Type="http://schemas.openxmlformats.org/officeDocument/2006/relationships/hyperlink" Target="https://www.indiastat.com/data/meteorological-data/natural-calamities" TargetMode="External"/><Relationship Id="rId3" Type="http://schemas.openxmlformats.org/officeDocument/2006/relationships/hyperlink" Target="https://tcktcktck.org/india/maharashtra/kamptee/january-2015" TargetMode="External"/><Relationship Id="rId4" Type="http://schemas.openxmlformats.org/officeDocument/2006/relationships/hyperlink" Target="https://sites.wustl.edu/acag/datasets/surface-pm2-5/" TargetMode="External"/><Relationship Id="rId9" Type="http://schemas.openxmlformats.org/officeDocument/2006/relationships/drawing" Target="../drawings/drawing1.xml"/><Relationship Id="rId5" Type="http://schemas.openxmlformats.org/officeDocument/2006/relationships/hyperlink" Target="http://social.niti.gov.in/hlt-ranking/?round=2" TargetMode="External"/><Relationship Id="rId6" Type="http://schemas.openxmlformats.org/officeDocument/2006/relationships/hyperlink" Target="https://globaldatalab.org/shdi/table/shdi/IND/" TargetMode="External"/><Relationship Id="rId7" Type="http://schemas.openxmlformats.org/officeDocument/2006/relationships/hyperlink" Target="https://www.census2011.co.in/states.php" TargetMode="External"/><Relationship Id="rId8" Type="http://schemas.openxmlformats.org/officeDocument/2006/relationships/hyperlink" Target="https://www.aqi.in/dashboard/indi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ncbi.nlm.nih.gov/pmc/articles/PMC3408699/" TargetMode="External"/><Relationship Id="rId2" Type="http://schemas.openxmlformats.org/officeDocument/2006/relationships/hyperlink" Target="https://www.indiastat.com/data/meteorological-data/natural-calamities" TargetMode="External"/><Relationship Id="rId3" Type="http://schemas.openxmlformats.org/officeDocument/2006/relationships/hyperlink" Target="https://sites.wustl.edu/acag/datasets/surface-pm2-5/" TargetMode="External"/><Relationship Id="rId4" Type="http://schemas.openxmlformats.org/officeDocument/2006/relationships/hyperlink" Target="http://social.niti.gov.in/hlt-ranking/?round=2" TargetMode="External"/><Relationship Id="rId5" Type="http://schemas.openxmlformats.org/officeDocument/2006/relationships/hyperlink" Target="https://globaldatalab.org/shdi/table/shdi/IND/" TargetMode="External"/><Relationship Id="rId6" Type="http://schemas.openxmlformats.org/officeDocument/2006/relationships/hyperlink" Target="https://www.census2011.co.in/states.php" TargetMode="External"/><Relationship Id="rId7" Type="http://schemas.openxmlformats.org/officeDocument/2006/relationships/hyperlink" Target="https://www.aqi.in/dashboard/india" TargetMode="External"/><Relationship Id="rId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ncbi.nlm.nih.gov/pmc/articles/PMC3408699/"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mc/articles/PMC3408699/" TargetMode="External"/><Relationship Id="rId2" Type="http://schemas.openxmlformats.org/officeDocument/2006/relationships/hyperlink" Target="https://www.indiastat.com/data/meteorological-data/natural-calamities" TargetMode="External"/><Relationship Id="rId3" Type="http://schemas.openxmlformats.org/officeDocument/2006/relationships/hyperlink" Target="https://tcktcktck.org/india/maharashtra/kamptee/january-2015" TargetMode="External"/><Relationship Id="rId4" Type="http://schemas.openxmlformats.org/officeDocument/2006/relationships/hyperlink" Target="https://sites.wustl.edu/acag/datasets/surface-pm2-5/" TargetMode="External"/><Relationship Id="rId5" Type="http://schemas.openxmlformats.org/officeDocument/2006/relationships/hyperlink" Target="http://social.niti.gov.in/hlt-ranking/?round=2" TargetMode="External"/><Relationship Id="rId6" Type="http://schemas.openxmlformats.org/officeDocument/2006/relationships/hyperlink" Target="https://globaldatalab.org/shdi/table/shdi/IND/" TargetMode="External"/><Relationship Id="rId7" Type="http://schemas.openxmlformats.org/officeDocument/2006/relationships/hyperlink" Target="https://www.census2011.co.in/states.php"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9.13"/>
    <col customWidth="1" min="3" max="3" width="8.13"/>
    <col customWidth="1" min="4" max="4" width="8.88"/>
    <col customWidth="1" min="5" max="7" width="12.5"/>
    <col customWidth="1" min="8" max="8" width="16.5"/>
    <col customWidth="1" min="9" max="9" width="11.5"/>
    <col customWidth="1" min="10" max="10" width="11.0"/>
    <col customWidth="1" min="11" max="11" width="14.0"/>
    <col customWidth="1" min="12" max="12" width="12.5"/>
    <col customWidth="1" min="13" max="13" width="14.0"/>
    <col customWidth="1" min="14" max="14" width="13.5"/>
    <col customWidth="1" min="15" max="15" width="14.75"/>
    <col customWidth="1" min="16" max="16" width="14.25"/>
  </cols>
  <sheetData>
    <row r="1">
      <c r="A1" s="1"/>
      <c r="B1" s="1"/>
      <c r="C1" s="2"/>
      <c r="D1" s="3" t="s">
        <v>0</v>
      </c>
      <c r="E1" s="4"/>
      <c r="F1" s="4"/>
      <c r="G1" s="5"/>
      <c r="H1" s="6" t="s">
        <v>1</v>
      </c>
      <c r="I1" s="7" t="s">
        <v>2</v>
      </c>
      <c r="J1" s="5"/>
      <c r="K1" s="8"/>
      <c r="L1" s="8"/>
      <c r="M1" s="9"/>
      <c r="N1" s="9"/>
      <c r="O1" s="9"/>
      <c r="P1" s="10"/>
      <c r="Q1" s="11"/>
      <c r="R1" s="11"/>
      <c r="S1" s="11"/>
      <c r="T1" s="12"/>
      <c r="U1" s="11"/>
      <c r="V1" s="11"/>
      <c r="W1" s="11"/>
      <c r="X1" s="11"/>
      <c r="Y1" s="11"/>
      <c r="Z1" s="11"/>
      <c r="AA1" s="11"/>
      <c r="AB1" s="11"/>
      <c r="AC1" s="11"/>
      <c r="AD1" s="11"/>
      <c r="AE1" s="11"/>
      <c r="AF1" s="11"/>
      <c r="AG1" s="11"/>
      <c r="AH1" s="11"/>
    </row>
    <row r="2">
      <c r="A2" s="13" t="s">
        <v>3</v>
      </c>
      <c r="B2" s="13" t="s">
        <v>4</v>
      </c>
      <c r="C2" s="14" t="s">
        <v>5</v>
      </c>
      <c r="D2" s="14" t="s">
        <v>6</v>
      </c>
      <c r="E2" s="15" t="s">
        <v>7</v>
      </c>
      <c r="F2" s="4"/>
      <c r="G2" s="5"/>
      <c r="H2" s="16" t="s">
        <v>8</v>
      </c>
      <c r="I2" s="17" t="s">
        <v>9</v>
      </c>
      <c r="J2" s="17" t="s">
        <v>10</v>
      </c>
      <c r="K2" s="18" t="s">
        <v>11</v>
      </c>
      <c r="L2" s="5"/>
      <c r="M2" s="19" t="s">
        <v>12</v>
      </c>
      <c r="N2" s="4"/>
      <c r="O2" s="4"/>
      <c r="P2" s="5"/>
      <c r="Q2" s="20"/>
      <c r="R2" s="20"/>
      <c r="S2" s="20"/>
      <c r="T2" s="20"/>
      <c r="U2" s="20"/>
      <c r="V2" s="20"/>
      <c r="W2" s="20"/>
      <c r="X2" s="20"/>
      <c r="Y2" s="20"/>
      <c r="Z2" s="20"/>
      <c r="AA2" s="20"/>
      <c r="AB2" s="20"/>
      <c r="AC2" s="21"/>
      <c r="AD2" s="21"/>
      <c r="AE2" s="21"/>
      <c r="AF2" s="21"/>
      <c r="AG2" s="21"/>
      <c r="AH2" s="21"/>
    </row>
    <row r="3">
      <c r="A3" s="22"/>
      <c r="B3" s="22"/>
      <c r="C3" s="23"/>
      <c r="D3" s="23"/>
      <c r="E3" s="24"/>
      <c r="F3" s="25"/>
      <c r="G3" s="25"/>
      <c r="H3" s="22"/>
      <c r="I3" s="26"/>
      <c r="J3" s="22"/>
      <c r="K3" s="22"/>
      <c r="L3" s="27" t="s">
        <v>13</v>
      </c>
      <c r="M3" s="5"/>
      <c r="N3" s="22"/>
      <c r="O3" s="27" t="s">
        <v>14</v>
      </c>
      <c r="P3" s="5"/>
      <c r="Q3" s="11"/>
      <c r="R3" s="11"/>
      <c r="S3" s="11"/>
      <c r="T3" s="11"/>
      <c r="U3" s="11"/>
      <c r="V3" s="11"/>
      <c r="W3" s="11"/>
      <c r="X3" s="11"/>
      <c r="Y3" s="11"/>
      <c r="Z3" s="11"/>
      <c r="AA3" s="11"/>
      <c r="AB3" s="11"/>
      <c r="AC3" s="11"/>
    </row>
    <row r="4">
      <c r="A4" s="22"/>
      <c r="B4" s="22"/>
      <c r="C4" s="23"/>
      <c r="D4" s="23"/>
      <c r="E4" s="24" t="s">
        <v>15</v>
      </c>
      <c r="F4" s="25" t="s">
        <v>16</v>
      </c>
      <c r="G4" s="25" t="s">
        <v>17</v>
      </c>
      <c r="H4" s="22" t="s">
        <v>18</v>
      </c>
      <c r="I4" s="26"/>
      <c r="J4" s="22"/>
      <c r="K4" s="22" t="s">
        <v>19</v>
      </c>
      <c r="L4" s="22" t="s">
        <v>15</v>
      </c>
      <c r="M4" s="22" t="s">
        <v>16</v>
      </c>
      <c r="N4" s="22" t="s">
        <v>20</v>
      </c>
      <c r="O4" s="22" t="s">
        <v>15</v>
      </c>
      <c r="P4" s="22" t="s">
        <v>16</v>
      </c>
      <c r="Q4" s="11"/>
      <c r="R4" s="11"/>
      <c r="S4" s="11"/>
      <c r="T4" s="11"/>
      <c r="U4" s="11"/>
      <c r="V4" s="11"/>
      <c r="W4" s="11"/>
      <c r="X4" s="11"/>
      <c r="Y4" s="11"/>
      <c r="Z4" s="11"/>
      <c r="AA4" s="11"/>
      <c r="AB4" s="11"/>
      <c r="AC4" s="11"/>
    </row>
    <row r="5">
      <c r="A5" s="28" t="s">
        <v>21</v>
      </c>
      <c r="B5" s="29">
        <v>2015.0</v>
      </c>
      <c r="C5" s="29">
        <v>1.0</v>
      </c>
      <c r="D5" s="29">
        <v>2.0</v>
      </c>
      <c r="E5" s="30">
        <v>22.33333333</v>
      </c>
      <c r="F5" s="31">
        <v>31.41666667</v>
      </c>
      <c r="G5" s="32">
        <v>26.87</v>
      </c>
      <c r="H5" s="33">
        <v>28.6</v>
      </c>
      <c r="I5" s="34">
        <v>57.75</v>
      </c>
      <c r="J5" s="35">
        <v>0.627</v>
      </c>
      <c r="K5" s="36">
        <v>3.3951434778E7</v>
      </c>
      <c r="L5" s="37">
        <v>541266.571</v>
      </c>
      <c r="M5" s="38">
        <v>2503357.892</v>
      </c>
      <c r="N5" s="39">
        <v>1.6996096402E7</v>
      </c>
      <c r="O5" s="39">
        <v>169960.964</v>
      </c>
      <c r="P5" s="39">
        <v>2243484.725</v>
      </c>
      <c r="Q5" s="40"/>
    </row>
    <row r="6">
      <c r="A6" s="41"/>
      <c r="B6" s="29">
        <v>2016.0</v>
      </c>
      <c r="C6" s="29">
        <v>1.0</v>
      </c>
      <c r="D6" s="29">
        <v>2.0</v>
      </c>
      <c r="E6" s="31">
        <v>22.33333333</v>
      </c>
      <c r="F6" s="31">
        <v>31.5</v>
      </c>
      <c r="G6" s="32">
        <f t="shared" ref="G6:G11" si="1">AVERAGE(E6:F6)</f>
        <v>26.91666667</v>
      </c>
      <c r="H6" s="33">
        <v>28.9</v>
      </c>
      <c r="I6" s="34">
        <v>60.16</v>
      </c>
      <c r="J6" s="35">
        <v>0.633</v>
      </c>
      <c r="K6" s="36">
        <v>3.4257976286E7</v>
      </c>
      <c r="L6" s="42">
        <v>546153.572</v>
      </c>
      <c r="M6" s="38">
        <v>2525960.268</v>
      </c>
      <c r="N6" s="39">
        <v>1.7149551154E7</v>
      </c>
      <c r="O6" s="39">
        <v>171495.512</v>
      </c>
      <c r="P6" s="39">
        <v>2263740.752</v>
      </c>
      <c r="Q6" s="40"/>
    </row>
    <row r="7">
      <c r="A7" s="41"/>
      <c r="B7" s="29">
        <v>2017.0</v>
      </c>
      <c r="C7" s="29">
        <v>1.0</v>
      </c>
      <c r="D7" s="29">
        <v>1.0</v>
      </c>
      <c r="E7" s="43">
        <v>23.25</v>
      </c>
      <c r="F7" s="31">
        <v>31.66666667</v>
      </c>
      <c r="G7" s="32">
        <f t="shared" si="1"/>
        <v>27.45833334</v>
      </c>
      <c r="H7" s="33">
        <v>31.9</v>
      </c>
      <c r="I7" s="34">
        <v>65.13</v>
      </c>
      <c r="J7" s="35">
        <v>0.644</v>
      </c>
      <c r="K7" s="36">
        <v>3.4561099095E7</v>
      </c>
      <c r="L7" s="42">
        <v>550986.07</v>
      </c>
      <c r="M7" s="38">
        <v>2548310.572</v>
      </c>
      <c r="N7" s="39">
        <v>1.7301294505E7</v>
      </c>
      <c r="O7" s="39">
        <v>173012.945</v>
      </c>
      <c r="P7" s="39">
        <v>2283770.875</v>
      </c>
      <c r="Q7" s="40"/>
      <c r="R7" s="44"/>
      <c r="S7" s="44"/>
    </row>
    <row r="8">
      <c r="A8" s="41"/>
      <c r="B8" s="29">
        <v>2018.0</v>
      </c>
      <c r="C8" s="29">
        <v>0.0</v>
      </c>
      <c r="D8" s="29">
        <v>0.0</v>
      </c>
      <c r="E8" s="31">
        <v>24.91666667</v>
      </c>
      <c r="F8" s="43">
        <v>36.7</v>
      </c>
      <c r="G8" s="32">
        <f t="shared" si="1"/>
        <v>30.80833334</v>
      </c>
      <c r="H8" s="33">
        <v>31.8</v>
      </c>
      <c r="I8" s="34">
        <v>64.17</v>
      </c>
      <c r="J8" s="35">
        <v>0.646</v>
      </c>
      <c r="K8" s="36">
        <v>3.4860787745E7</v>
      </c>
      <c r="L8" s="42">
        <v>555763.819</v>
      </c>
      <c r="M8" s="38">
        <v>2570407.663</v>
      </c>
      <c r="N8" s="39">
        <v>1.7451318715E7</v>
      </c>
      <c r="O8" s="39">
        <v>174513.187</v>
      </c>
      <c r="P8" s="39">
        <v>2303574.07</v>
      </c>
      <c r="Q8" s="40"/>
    </row>
    <row r="9">
      <c r="A9" s="41"/>
      <c r="B9" s="29">
        <v>2019.0</v>
      </c>
      <c r="C9" s="29">
        <v>1.0</v>
      </c>
      <c r="D9" s="29">
        <v>1.0</v>
      </c>
      <c r="E9" s="31">
        <v>24.0</v>
      </c>
      <c r="F9" s="31">
        <v>32.5</v>
      </c>
      <c r="G9" s="32">
        <f t="shared" si="1"/>
        <v>28.25</v>
      </c>
      <c r="H9" s="33">
        <v>29.0</v>
      </c>
      <c r="I9" s="34">
        <v>68.88</v>
      </c>
      <c r="J9" s="35">
        <v>0.649</v>
      </c>
      <c r="K9" s="36">
        <v>3.5157029867E7</v>
      </c>
      <c r="L9" s="42">
        <v>560486.623</v>
      </c>
      <c r="M9" s="38">
        <v>2592250.63</v>
      </c>
      <c r="N9" s="39">
        <v>1.7599617593E7</v>
      </c>
      <c r="O9" s="39">
        <v>175996.176</v>
      </c>
      <c r="P9" s="39">
        <v>2323149.522</v>
      </c>
      <c r="Q9" s="40"/>
    </row>
    <row r="10">
      <c r="A10" s="41"/>
      <c r="B10" s="29">
        <v>2020.0</v>
      </c>
      <c r="C10" s="29">
        <v>1.0</v>
      </c>
      <c r="D10" s="29">
        <v>4.0</v>
      </c>
      <c r="E10" s="31">
        <v>22.66666667</v>
      </c>
      <c r="F10" s="31">
        <v>29.91666667</v>
      </c>
      <c r="G10" s="32">
        <f t="shared" si="1"/>
        <v>26.29166667</v>
      </c>
      <c r="H10" s="33">
        <v>29.4</v>
      </c>
      <c r="I10" s="45">
        <v>69.95</v>
      </c>
      <c r="J10" s="35">
        <f>J9+((J9-J8)+(J8-J7)+(J7-J6)+(J6-J5))/4</f>
        <v>0.6545</v>
      </c>
      <c r="K10" s="36">
        <v>3.5449813867E7</v>
      </c>
      <c r="L10" s="42">
        <v>565154.296</v>
      </c>
      <c r="M10" s="38">
        <v>2613838.617</v>
      </c>
      <c r="N10" s="39">
        <v>1.7746185333E7</v>
      </c>
      <c r="O10" s="39">
        <v>177461.853</v>
      </c>
      <c r="P10" s="39">
        <v>2342496.464</v>
      </c>
      <c r="Q10" s="40"/>
    </row>
    <row r="11">
      <c r="A11" s="41"/>
      <c r="B11" s="29">
        <v>2021.0</v>
      </c>
      <c r="C11" s="29">
        <v>1.0</v>
      </c>
      <c r="D11" s="29">
        <v>1.0</v>
      </c>
      <c r="E11" s="31">
        <v>22.91666667</v>
      </c>
      <c r="F11" s="31">
        <v>31.5</v>
      </c>
      <c r="G11" s="32">
        <f t="shared" si="1"/>
        <v>27.20833334</v>
      </c>
      <c r="H11" s="46">
        <f>MEDIAN(H5:H10)</f>
        <v>29.2</v>
      </c>
      <c r="I11" s="45">
        <f t="shared" ref="I11:I12" si="2">I10+1.07</f>
        <v>71.02</v>
      </c>
      <c r="J11" s="35">
        <f>(((J10-J9)+(J9-J8)+(J8-J7)+(J7-J6)+(J6-J5))/5)+J10</f>
        <v>0.66</v>
      </c>
      <c r="K11" s="36">
        <v>3.5739131627E7</v>
      </c>
      <c r="L11" s="42">
        <v>569766.708</v>
      </c>
      <c r="M11" s="38">
        <v>2635171.026</v>
      </c>
      <c r="N11" s="39">
        <v>1.7891017873E7</v>
      </c>
      <c r="O11" s="39">
        <v>178910.179</v>
      </c>
      <c r="P11" s="39">
        <v>2361614.359</v>
      </c>
      <c r="Q11" s="40"/>
    </row>
    <row r="12">
      <c r="A12" s="41"/>
      <c r="B12" s="29">
        <v>2022.0</v>
      </c>
      <c r="C12" s="29">
        <v>1.0</v>
      </c>
      <c r="D12" s="29">
        <v>1.0</v>
      </c>
      <c r="E12" s="43">
        <v>21.8</v>
      </c>
      <c r="F12" s="43">
        <v>34.42</v>
      </c>
      <c r="G12" s="32">
        <v>27.98</v>
      </c>
      <c r="H12" s="47">
        <v>37.0</v>
      </c>
      <c r="I12" s="48">
        <f t="shared" si="2"/>
        <v>72.09</v>
      </c>
      <c r="J12" s="35">
        <f>(((J11-J10)+(J10-J9)+(J9-J8)+(J8-J7)+(J7-J6)+(J6-J5))/6)+J11</f>
        <v>0.6655</v>
      </c>
      <c r="K12" s="42">
        <v>3.626255584E7</v>
      </c>
      <c r="L12" s="42">
        <v>578111.334</v>
      </c>
      <c r="M12" s="38">
        <v>2673764.922</v>
      </c>
      <c r="N12" s="49">
        <v>1.815304416E7</v>
      </c>
      <c r="O12" s="49">
        <v>181530.442</v>
      </c>
      <c r="P12" s="49">
        <v>2396201.829</v>
      </c>
      <c r="Q12" s="40"/>
    </row>
    <row r="13">
      <c r="A13" s="41"/>
      <c r="B13" s="22"/>
      <c r="C13" s="41"/>
      <c r="D13" s="41"/>
      <c r="E13" s="50"/>
      <c r="F13" s="50"/>
      <c r="G13" s="32"/>
      <c r="H13" s="51"/>
      <c r="I13" s="52"/>
      <c r="J13" s="53"/>
      <c r="K13" s="54"/>
      <c r="L13" s="41"/>
      <c r="M13" s="41"/>
      <c r="N13" s="54"/>
      <c r="O13" s="41"/>
      <c r="P13" s="41"/>
    </row>
    <row r="14">
      <c r="A14" s="28" t="s">
        <v>22</v>
      </c>
      <c r="B14" s="29">
        <v>2015.0</v>
      </c>
      <c r="C14" s="29">
        <v>0.0</v>
      </c>
      <c r="D14" s="29">
        <v>0.0</v>
      </c>
      <c r="E14" s="31">
        <v>17.91666667</v>
      </c>
      <c r="F14" s="31">
        <v>29.25</v>
      </c>
      <c r="G14" s="32">
        <f t="shared" ref="G14:G20" si="3">AVERAGE(E14:F14)</f>
        <v>23.58333334</v>
      </c>
      <c r="H14" s="33">
        <v>12.4</v>
      </c>
      <c r="I14" s="34">
        <v>50.6</v>
      </c>
      <c r="J14" s="55">
        <v>0.66</v>
      </c>
      <c r="K14" s="56">
        <v>1177643.25</v>
      </c>
      <c r="L14" s="55">
        <v>18842.291993600003</v>
      </c>
      <c r="M14" s="55">
        <v>87145.60047</v>
      </c>
      <c r="N14" s="56">
        <v>350572.75</v>
      </c>
      <c r="O14" s="53">
        <v>3505.727504</v>
      </c>
      <c r="P14" s="53">
        <v>46275.6030528</v>
      </c>
    </row>
    <row r="15">
      <c r="A15" s="41"/>
      <c r="B15" s="29">
        <v>2016.0</v>
      </c>
      <c r="C15" s="29">
        <v>1.0</v>
      </c>
      <c r="D15" s="29">
        <v>1.0</v>
      </c>
      <c r="E15" s="31">
        <v>18.83333333</v>
      </c>
      <c r="F15" s="31">
        <v>29.91666667</v>
      </c>
      <c r="G15" s="32">
        <f t="shared" si="3"/>
        <v>24.375</v>
      </c>
      <c r="H15" s="33">
        <v>13.0</v>
      </c>
      <c r="I15" s="34">
        <v>49.51</v>
      </c>
      <c r="J15" s="55">
        <v>0.644</v>
      </c>
      <c r="K15" s="56">
        <v>1205784.791</v>
      </c>
      <c r="L15" s="55">
        <v>19292.556656000004</v>
      </c>
      <c r="M15" s="55">
        <v>89228.07453</v>
      </c>
      <c r="N15" s="56">
        <v>358950.209</v>
      </c>
      <c r="O15" s="53">
        <v>3589.50209</v>
      </c>
      <c r="P15" s="53">
        <v>47381.42758799999</v>
      </c>
    </row>
    <row r="16">
      <c r="A16" s="41"/>
      <c r="B16" s="29">
        <v>2017.0</v>
      </c>
      <c r="C16" s="29">
        <v>1.0</v>
      </c>
      <c r="D16" s="29">
        <v>1.0</v>
      </c>
      <c r="E16" s="31">
        <v>19.33333333</v>
      </c>
      <c r="F16" s="31">
        <v>32.16666667</v>
      </c>
      <c r="G16" s="32">
        <f t="shared" si="3"/>
        <v>25.75</v>
      </c>
      <c r="H16" s="33">
        <v>12.9</v>
      </c>
      <c r="I16" s="34">
        <v>46.07</v>
      </c>
      <c r="J16" s="55">
        <v>0.655</v>
      </c>
      <c r="K16" s="56">
        <v>1234023.428</v>
      </c>
      <c r="L16" s="55">
        <v>19744.374848000003</v>
      </c>
      <c r="M16" s="55">
        <v>91317.73367</v>
      </c>
      <c r="N16" s="56">
        <v>367356.572</v>
      </c>
      <c r="O16" s="53">
        <v>3673.5657200000005</v>
      </c>
      <c r="P16" s="53">
        <v>48491.067504</v>
      </c>
    </row>
    <row r="17">
      <c r="A17" s="41"/>
      <c r="B17" s="29">
        <v>2018.0</v>
      </c>
      <c r="C17" s="29">
        <v>0.0</v>
      </c>
      <c r="D17" s="29">
        <v>0.0</v>
      </c>
      <c r="E17" s="31">
        <v>20.08333333</v>
      </c>
      <c r="F17" s="31">
        <v>30.0</v>
      </c>
      <c r="G17" s="32">
        <f t="shared" si="3"/>
        <v>25.04166667</v>
      </c>
      <c r="H17" s="33">
        <v>13.5</v>
      </c>
      <c r="I17" s="34">
        <v>43.29</v>
      </c>
      <c r="J17" s="55">
        <v>0.657</v>
      </c>
      <c r="K17" s="56">
        <v>1262344.519</v>
      </c>
      <c r="L17" s="55">
        <v>20197.512307200002</v>
      </c>
      <c r="M17" s="55">
        <v>93413.49442</v>
      </c>
      <c r="N17" s="56">
        <v>375787.481</v>
      </c>
      <c r="O17" s="53">
        <v>3757.8748080000005</v>
      </c>
      <c r="P17" s="53">
        <v>49603.94746560001</v>
      </c>
    </row>
    <row r="18">
      <c r="A18" s="41"/>
      <c r="B18" s="29">
        <v>2019.0</v>
      </c>
      <c r="C18" s="29">
        <v>0.0</v>
      </c>
      <c r="D18" s="29">
        <v>0.0</v>
      </c>
      <c r="E18" s="31">
        <v>20.83333333</v>
      </c>
      <c r="F18" s="43">
        <v>34.58333333</v>
      </c>
      <c r="G18" s="32">
        <f t="shared" si="3"/>
        <v>27.70833333</v>
      </c>
      <c r="H18" s="33">
        <v>13.5</v>
      </c>
      <c r="I18" s="34">
        <v>40.59</v>
      </c>
      <c r="J18" s="55">
        <v>0.661</v>
      </c>
      <c r="K18" s="56">
        <v>1290736.506</v>
      </c>
      <c r="L18" s="55">
        <v>20651.7840896</v>
      </c>
      <c r="M18" s="55">
        <v>95514.50141</v>
      </c>
      <c r="N18" s="56">
        <v>384239.494</v>
      </c>
      <c r="O18" s="53">
        <v>3842.3949440000006</v>
      </c>
      <c r="P18" s="53">
        <v>50719.613260800004</v>
      </c>
    </row>
    <row r="19">
      <c r="A19" s="41"/>
      <c r="B19" s="29">
        <v>2020.0</v>
      </c>
      <c r="C19" s="29">
        <v>1.0</v>
      </c>
      <c r="D19" s="29">
        <v>1.0</v>
      </c>
      <c r="E19" s="31">
        <v>21.33333333</v>
      </c>
      <c r="F19" s="31">
        <v>29.08333333</v>
      </c>
      <c r="G19" s="32">
        <f t="shared" si="3"/>
        <v>25.20833333</v>
      </c>
      <c r="H19" s="33">
        <v>12.3</v>
      </c>
      <c r="I19" s="34">
        <v>33.92</v>
      </c>
      <c r="J19" s="55">
        <f>J18+((J18-J17)+(J17-J16)+(J16-J15)+(J15-J14))/4</f>
        <v>0.66125</v>
      </c>
      <c r="K19" s="56">
        <v>1319186.287</v>
      </c>
      <c r="L19" s="55">
        <v>21106.980592</v>
      </c>
      <c r="M19" s="55">
        <v>97619.78524</v>
      </c>
      <c r="N19" s="56">
        <v>392708.713</v>
      </c>
      <c r="O19" s="53">
        <v>3927.0871300000003</v>
      </c>
      <c r="P19" s="53">
        <v>51837.550116000006</v>
      </c>
    </row>
    <row r="20">
      <c r="A20" s="29"/>
      <c r="B20" s="29">
        <v>2021.0</v>
      </c>
      <c r="C20" s="29">
        <v>1.0</v>
      </c>
      <c r="D20" s="29">
        <v>1.0</v>
      </c>
      <c r="E20" s="31">
        <v>20.16666667</v>
      </c>
      <c r="F20" s="31">
        <v>30.58333333</v>
      </c>
      <c r="G20" s="32">
        <f t="shared" si="3"/>
        <v>25.375</v>
      </c>
      <c r="H20" s="57">
        <f>MEDIAN(H14:H19)</f>
        <v>12.95</v>
      </c>
      <c r="I20" s="45">
        <f t="shared" ref="I20:I21" si="4">I19-1.53</f>
        <v>32.39</v>
      </c>
      <c r="J20" s="55">
        <f>J19+((J19-J18)+(J18-J17)+(J17-J16)+(J16-J15)+(J15-J14))/5</f>
        <v>0.6615</v>
      </c>
      <c r="K20" s="56">
        <v>1347681.534</v>
      </c>
      <c r="L20" s="55">
        <v>21562.9045408</v>
      </c>
      <c r="M20" s="55">
        <v>99728.4335</v>
      </c>
      <c r="N20" s="56">
        <v>401191.466</v>
      </c>
      <c r="O20" s="53">
        <v>4011.9146620000006</v>
      </c>
      <c r="P20" s="53">
        <v>52957.273538400004</v>
      </c>
    </row>
    <row r="21">
      <c r="A21" s="41"/>
      <c r="B21" s="22">
        <v>2022.0</v>
      </c>
      <c r="C21" s="29">
        <v>1.0</v>
      </c>
      <c r="D21" s="29">
        <v>1.0</v>
      </c>
      <c r="E21" s="32">
        <v>10.47</v>
      </c>
      <c r="F21" s="32">
        <v>33.75</v>
      </c>
      <c r="G21" s="32">
        <v>25.39</v>
      </c>
      <c r="H21" s="33">
        <v>56.0</v>
      </c>
      <c r="I21" s="52">
        <f t="shared" si="4"/>
        <v>30.86</v>
      </c>
      <c r="J21" s="55">
        <f>J20+((J19-J18)+(J18-J17)+(J17-J16)+(J16-J15)+(J15-J14)+(J20-J19))/6</f>
        <v>0.66175</v>
      </c>
      <c r="K21" s="56">
        <v>1371668.0</v>
      </c>
      <c r="L21" s="55">
        <v>21946.688</v>
      </c>
      <c r="M21" s="55">
        <v>101503.432</v>
      </c>
      <c r="N21" s="56">
        <v>408332.0</v>
      </c>
      <c r="O21" s="55">
        <v>4083.32</v>
      </c>
      <c r="P21" s="55">
        <v>53899.824</v>
      </c>
    </row>
    <row r="22">
      <c r="A22" s="41"/>
      <c r="B22" s="22"/>
      <c r="C22" s="41"/>
      <c r="D22" s="41"/>
      <c r="E22" s="58"/>
      <c r="F22" s="58"/>
      <c r="G22" s="58"/>
      <c r="H22" s="59"/>
      <c r="I22" s="52"/>
      <c r="J22" s="53"/>
      <c r="K22" s="54"/>
      <c r="L22" s="53"/>
      <c r="M22" s="53"/>
      <c r="N22" s="54"/>
      <c r="O22" s="53"/>
      <c r="P22" s="53"/>
    </row>
    <row r="23">
      <c r="A23" s="28" t="s">
        <v>23</v>
      </c>
      <c r="B23" s="29">
        <v>2015.0</v>
      </c>
      <c r="C23" s="29">
        <v>1.0</v>
      </c>
      <c r="D23" s="29">
        <v>1.0</v>
      </c>
      <c r="E23" s="31">
        <v>18.83333333</v>
      </c>
      <c r="F23" s="31">
        <v>29.16666667</v>
      </c>
      <c r="G23" s="58">
        <f t="shared" ref="G23:G29" si="5">AVERAGE(E23:F23)</f>
        <v>24</v>
      </c>
      <c r="H23" s="33">
        <v>29.5</v>
      </c>
      <c r="I23" s="34">
        <v>43.53</v>
      </c>
      <c r="J23" s="55">
        <v>0.595</v>
      </c>
      <c r="K23" s="56">
        <v>2.866400536E7</v>
      </c>
      <c r="L23" s="55">
        <v>458624.08576000005</v>
      </c>
      <c r="M23" s="55">
        <v>2121136.397</v>
      </c>
      <c r="N23" s="56">
        <v>4705034.64</v>
      </c>
      <c r="O23" s="53">
        <v>49719.8696</v>
      </c>
      <c r="P23" s="53">
        <v>62106.45724799999</v>
      </c>
    </row>
    <row r="24">
      <c r="A24" s="41"/>
      <c r="B24" s="29">
        <v>2016.0</v>
      </c>
      <c r="C24" s="29">
        <v>1.0</v>
      </c>
      <c r="D24" s="29">
        <v>4.0</v>
      </c>
      <c r="E24" s="31">
        <v>19.08333333</v>
      </c>
      <c r="F24" s="31">
        <v>30.16666667</v>
      </c>
      <c r="G24" s="58">
        <f t="shared" si="5"/>
        <v>24.625</v>
      </c>
      <c r="H24" s="33">
        <v>29.4</v>
      </c>
      <c r="I24" s="34">
        <v>44.13</v>
      </c>
      <c r="J24" s="55">
        <v>0.598</v>
      </c>
      <c r="K24" s="56">
        <v>2.9124428501E7</v>
      </c>
      <c r="L24" s="55">
        <v>465990.8560160001</v>
      </c>
      <c r="M24" s="55">
        <v>2155207.709</v>
      </c>
      <c r="N24" s="56">
        <v>4780610.499</v>
      </c>
      <c r="O24" s="53">
        <v>50518.50811</v>
      </c>
      <c r="P24" s="53">
        <v>63104.05858679999</v>
      </c>
    </row>
    <row r="25">
      <c r="A25" s="41"/>
      <c r="B25" s="29">
        <v>2017.0</v>
      </c>
      <c r="C25" s="29">
        <v>1.0</v>
      </c>
      <c r="D25" s="29">
        <v>2.0</v>
      </c>
      <c r="E25" s="31">
        <v>19.91666667</v>
      </c>
      <c r="F25" s="31">
        <v>30.08333333</v>
      </c>
      <c r="G25" s="58">
        <f t="shared" si="5"/>
        <v>25</v>
      </c>
      <c r="H25" s="33">
        <v>30.9</v>
      </c>
      <c r="I25" s="34">
        <v>48.85</v>
      </c>
      <c r="J25" s="55">
        <v>0.608</v>
      </c>
      <c r="K25" s="56">
        <v>2.9582891404E7</v>
      </c>
      <c r="L25" s="55">
        <v>473326.262464</v>
      </c>
      <c r="M25" s="55">
        <v>2189133.964</v>
      </c>
      <c r="N25" s="56">
        <v>4855864.596</v>
      </c>
      <c r="O25" s="53">
        <v>51313.74644</v>
      </c>
      <c r="P25" s="53">
        <v>64097.41266719999</v>
      </c>
    </row>
    <row r="26">
      <c r="A26" s="41"/>
      <c r="B26" s="29">
        <v>2018.0</v>
      </c>
      <c r="C26" s="29">
        <v>0.0</v>
      </c>
      <c r="D26" s="29">
        <v>0.0</v>
      </c>
      <c r="E26" s="31">
        <v>20.75</v>
      </c>
      <c r="F26" s="31">
        <v>30.08333333</v>
      </c>
      <c r="G26" s="58">
        <f t="shared" si="5"/>
        <v>25.41666667</v>
      </c>
      <c r="H26" s="33">
        <v>35.0</v>
      </c>
      <c r="I26" s="34">
        <v>50.91</v>
      </c>
      <c r="J26" s="55">
        <v>0.61</v>
      </c>
      <c r="K26" s="56">
        <v>3.0039257488E7</v>
      </c>
      <c r="L26" s="55">
        <v>480628.1198080001</v>
      </c>
      <c r="M26" s="55">
        <v>2222905.054</v>
      </c>
      <c r="N26" s="56">
        <v>4930774.512</v>
      </c>
      <c r="O26" s="53">
        <v>52105.34768</v>
      </c>
      <c r="P26" s="53">
        <v>65086.22355839999</v>
      </c>
    </row>
    <row r="27">
      <c r="A27" s="41"/>
      <c r="B27" s="29">
        <v>2019.0</v>
      </c>
      <c r="C27" s="29">
        <v>1.0</v>
      </c>
      <c r="D27" s="29">
        <v>2.0</v>
      </c>
      <c r="E27" s="31">
        <v>21.33333333</v>
      </c>
      <c r="F27" s="31">
        <v>30.58333333</v>
      </c>
      <c r="G27" s="58">
        <f t="shared" si="5"/>
        <v>25.95833333</v>
      </c>
      <c r="H27" s="33">
        <v>32.0</v>
      </c>
      <c r="I27" s="34">
        <v>52.49</v>
      </c>
      <c r="J27" s="55">
        <v>0.613</v>
      </c>
      <c r="K27" s="56">
        <v>3.0493395326E7</v>
      </c>
      <c r="L27" s="55">
        <v>487894.3252160001</v>
      </c>
      <c r="M27" s="55">
        <v>2256511.254</v>
      </c>
      <c r="N27" s="56">
        <v>5005318.674</v>
      </c>
      <c r="O27" s="53">
        <v>52893.08386</v>
      </c>
      <c r="P27" s="53">
        <v>66070.20649679999</v>
      </c>
    </row>
    <row r="28">
      <c r="A28" s="41"/>
      <c r="B28" s="29">
        <v>2020.0</v>
      </c>
      <c r="C28" s="29">
        <v>1.0</v>
      </c>
      <c r="D28" s="29">
        <v>3.0</v>
      </c>
      <c r="E28" s="31">
        <v>22.5</v>
      </c>
      <c r="F28" s="31">
        <v>30.08333333</v>
      </c>
      <c r="G28" s="58">
        <f t="shared" si="5"/>
        <v>26.29166667</v>
      </c>
      <c r="H28" s="33">
        <v>32.4</v>
      </c>
      <c r="I28" s="34">
        <v>47.74</v>
      </c>
      <c r="J28" s="55">
        <f>J27+(((J27-J26)+(J26-J25)+(J25-J24)+(J24-J23))/4)</f>
        <v>0.6175</v>
      </c>
      <c r="K28" s="56">
        <v>3.0945179504E7</v>
      </c>
      <c r="L28" s="55">
        <v>495122.87206400005</v>
      </c>
      <c r="M28" s="55">
        <v>2289943.283</v>
      </c>
      <c r="N28" s="56">
        <v>5079476.496</v>
      </c>
      <c r="O28" s="53">
        <v>53676.737440000004</v>
      </c>
      <c r="P28" s="53">
        <v>67049.08974719999</v>
      </c>
    </row>
    <row r="29">
      <c r="A29" s="41"/>
      <c r="B29" s="29">
        <v>2021.0</v>
      </c>
      <c r="C29" s="29">
        <v>1.0</v>
      </c>
      <c r="D29" s="29">
        <v>1.0</v>
      </c>
      <c r="E29" s="31">
        <v>21.66666667</v>
      </c>
      <c r="F29" s="31">
        <v>30.5</v>
      </c>
      <c r="G29" s="58">
        <f t="shared" si="5"/>
        <v>26.08333334</v>
      </c>
      <c r="H29" s="59">
        <f>MEDIAN(H23:H28)</f>
        <v>31.45</v>
      </c>
      <c r="I29" s="45">
        <f t="shared" ref="I29:I30" si="6">I28+4.35</f>
        <v>52.09</v>
      </c>
      <c r="J29" s="55">
        <f>J28+(((J28-J27)+(J27-J26)+(J26-J25)+(J25-J24)+(J24-J23))/5)</f>
        <v>0.622</v>
      </c>
      <c r="K29" s="56">
        <v>3.1394487185E7</v>
      </c>
      <c r="L29" s="55">
        <v>502311.79496</v>
      </c>
      <c r="M29" s="55">
        <v>2323192.052</v>
      </c>
      <c r="N29" s="56">
        <v>5153227.815</v>
      </c>
      <c r="O29" s="53">
        <v>54456.09535</v>
      </c>
      <c r="P29" s="53">
        <v>68022.607158</v>
      </c>
    </row>
    <row r="30">
      <c r="A30" s="41"/>
      <c r="B30" s="22">
        <v>2022.0</v>
      </c>
      <c r="C30" s="29">
        <v>1.0</v>
      </c>
      <c r="D30" s="29">
        <v>3.0</v>
      </c>
      <c r="E30" s="32">
        <v>20.47</v>
      </c>
      <c r="F30" s="32">
        <v>33.75</v>
      </c>
      <c r="G30" s="32">
        <v>25.39</v>
      </c>
      <c r="H30" s="33">
        <v>82.0</v>
      </c>
      <c r="I30" s="52">
        <f t="shared" si="6"/>
        <v>56.44</v>
      </c>
      <c r="J30" s="55">
        <f>J29+(((J28-J27)+(J27-J26)+(J26-J25)+(J25-J24)+(J24-J23)+(J29-J28))/6)</f>
        <v>0.6265</v>
      </c>
      <c r="K30" s="56">
        <v>3.113016E7</v>
      </c>
      <c r="L30" s="55">
        <v>498082.56</v>
      </c>
      <c r="M30" s="55">
        <v>2303631.84</v>
      </c>
      <c r="N30" s="56">
        <v>5109840.0</v>
      </c>
      <c r="O30" s="55">
        <v>53997.6</v>
      </c>
      <c r="P30" s="55">
        <v>67449.888</v>
      </c>
    </row>
    <row r="31">
      <c r="A31" s="41"/>
      <c r="B31" s="22"/>
      <c r="C31" s="41"/>
      <c r="D31" s="41"/>
      <c r="E31" s="58"/>
      <c r="F31" s="58"/>
      <c r="G31" s="58"/>
      <c r="H31" s="59"/>
      <c r="I31" s="52"/>
      <c r="J31" s="53"/>
      <c r="K31" s="54"/>
      <c r="L31" s="53"/>
      <c r="M31" s="53"/>
      <c r="N31" s="54"/>
      <c r="O31" s="53"/>
      <c r="P31" s="53"/>
    </row>
    <row r="32">
      <c r="A32" s="28" t="s">
        <v>24</v>
      </c>
      <c r="B32" s="29">
        <v>2015.0</v>
      </c>
      <c r="C32" s="29">
        <v>1.0</v>
      </c>
      <c r="D32" s="29">
        <v>2.0</v>
      </c>
      <c r="E32" s="31">
        <v>24.66666667</v>
      </c>
      <c r="F32" s="31">
        <v>34.16666667</v>
      </c>
      <c r="G32" s="58">
        <f t="shared" ref="G32:G38" si="7">AVERAGE(E32:F32)</f>
        <v>29.41666667</v>
      </c>
      <c r="H32" s="33">
        <v>78.2</v>
      </c>
      <c r="I32" s="34">
        <v>34.7</v>
      </c>
      <c r="J32" s="55">
        <v>0.554</v>
      </c>
      <c r="K32" s="56">
        <v>1.018677333E8</v>
      </c>
      <c r="L32" s="55">
        <v>1629883.73328</v>
      </c>
      <c r="M32" s="55">
        <v>7538212.266</v>
      </c>
      <c r="N32" s="56">
        <v>1.296456667E7</v>
      </c>
      <c r="O32" s="53">
        <v>129645.6667</v>
      </c>
      <c r="P32" s="53">
        <v>1711322.80044</v>
      </c>
    </row>
    <row r="33">
      <c r="A33" s="41"/>
      <c r="B33" s="29">
        <v>2016.0</v>
      </c>
      <c r="C33" s="29">
        <v>1.0</v>
      </c>
      <c r="D33" s="29">
        <v>2.0</v>
      </c>
      <c r="E33" s="31">
        <v>24.25</v>
      </c>
      <c r="F33" s="31">
        <v>34.66666667</v>
      </c>
      <c r="G33" s="58">
        <f t="shared" si="7"/>
        <v>29.45833334</v>
      </c>
      <c r="H33" s="33">
        <v>83.8</v>
      </c>
      <c r="I33" s="34">
        <v>38.46</v>
      </c>
      <c r="J33" s="55">
        <v>0.559</v>
      </c>
      <c r="K33" s="56">
        <v>1.042724068E8</v>
      </c>
      <c r="L33" s="55">
        <v>1668358.5093168</v>
      </c>
      <c r="M33" s="55">
        <v>7716158.106</v>
      </c>
      <c r="N33" s="56">
        <v>1.327060617E7</v>
      </c>
      <c r="O33" s="53">
        <v>132706.061677</v>
      </c>
      <c r="P33" s="53">
        <v>1751720.0141363998</v>
      </c>
    </row>
    <row r="34">
      <c r="A34" s="41"/>
      <c r="B34" s="29">
        <v>2017.0</v>
      </c>
      <c r="C34" s="29">
        <v>1.0</v>
      </c>
      <c r="D34" s="29">
        <v>3.0</v>
      </c>
      <c r="E34" s="31">
        <v>24.08333333</v>
      </c>
      <c r="F34" s="31">
        <v>33.83333333</v>
      </c>
      <c r="G34" s="58">
        <f t="shared" si="7"/>
        <v>28.95833333</v>
      </c>
      <c r="H34" s="33">
        <v>77.3</v>
      </c>
      <c r="I34" s="34">
        <v>32.11</v>
      </c>
      <c r="J34" s="55">
        <v>0.569</v>
      </c>
      <c r="K34" s="56">
        <v>1.066846162E8</v>
      </c>
      <c r="L34" s="55">
        <v>1706953.8599856</v>
      </c>
      <c r="M34" s="55">
        <v>7894661.602</v>
      </c>
      <c r="N34" s="56">
        <v>1.357760475E7</v>
      </c>
      <c r="O34" s="53">
        <v>135776.047509</v>
      </c>
      <c r="P34" s="53">
        <v>1792243.8271187996</v>
      </c>
    </row>
    <row r="35">
      <c r="A35" s="41"/>
      <c r="B35" s="29">
        <v>2018.0</v>
      </c>
      <c r="C35" s="29">
        <v>0.0</v>
      </c>
      <c r="D35" s="29">
        <v>0.0</v>
      </c>
      <c r="E35" s="31">
        <v>25.16666667</v>
      </c>
      <c r="F35" s="31">
        <v>34.58333333</v>
      </c>
      <c r="G35" s="58">
        <f t="shared" si="7"/>
        <v>29.875</v>
      </c>
      <c r="H35" s="33">
        <v>82.8</v>
      </c>
      <c r="I35" s="34">
        <v>34.48</v>
      </c>
      <c r="J35" s="55">
        <v>0.571</v>
      </c>
      <c r="K35" s="56">
        <v>1.091032678E8</v>
      </c>
      <c r="L35" s="55">
        <v>1745652.2845775997</v>
      </c>
      <c r="M35" s="55">
        <v>8073641.816</v>
      </c>
      <c r="N35" s="56">
        <v>1.388542321E7</v>
      </c>
      <c r="O35" s="53">
        <v>138854.232139</v>
      </c>
      <c r="P35" s="53">
        <v>1832875.8642347995</v>
      </c>
    </row>
    <row r="36">
      <c r="A36" s="41"/>
      <c r="B36" s="29">
        <v>2019.0</v>
      </c>
      <c r="C36" s="29">
        <v>1.0</v>
      </c>
      <c r="D36" s="29">
        <v>2.0</v>
      </c>
      <c r="E36" s="31">
        <v>24.91666667</v>
      </c>
      <c r="F36" s="31">
        <v>34.25</v>
      </c>
      <c r="G36" s="58">
        <f t="shared" si="7"/>
        <v>29.58333334</v>
      </c>
      <c r="H36" s="33">
        <v>81.0</v>
      </c>
      <c r="I36" s="34">
        <v>36.39</v>
      </c>
      <c r="J36" s="55">
        <v>0.574</v>
      </c>
      <c r="K36" s="56">
        <v>1.115272836E8</v>
      </c>
      <c r="L36" s="55">
        <v>1784436.5378687999</v>
      </c>
      <c r="M36" s="55">
        <v>8253018.988</v>
      </c>
      <c r="N36" s="56">
        <v>1.419392438E7</v>
      </c>
      <c r="O36" s="53">
        <v>141939.243832</v>
      </c>
      <c r="P36" s="53">
        <v>1873598.0185823997</v>
      </c>
    </row>
    <row r="37">
      <c r="A37" s="41"/>
      <c r="B37" s="29">
        <v>2020.0</v>
      </c>
      <c r="C37" s="29">
        <v>1.0</v>
      </c>
      <c r="D37" s="29">
        <v>1.0</v>
      </c>
      <c r="E37" s="31">
        <v>25.41666667</v>
      </c>
      <c r="F37" s="31">
        <v>33.75</v>
      </c>
      <c r="G37" s="58">
        <f t="shared" si="7"/>
        <v>29.58333334</v>
      </c>
      <c r="H37" s="33">
        <v>84.0</v>
      </c>
      <c r="I37" s="34">
        <v>30.24</v>
      </c>
      <c r="J37" s="55">
        <f>J36+(((J36-J35)+(J35-J34)+(J34-J33)+(J33-J32))/4)</f>
        <v>0.579</v>
      </c>
      <c r="K37" s="56">
        <v>1.139555974E8</v>
      </c>
      <c r="L37" s="55">
        <v>1823289.5591520001</v>
      </c>
      <c r="M37" s="55">
        <v>8432714.211</v>
      </c>
      <c r="N37" s="56">
        <v>1.450297255E7</v>
      </c>
      <c r="O37" s="53">
        <v>145029.72553</v>
      </c>
      <c r="P37" s="53">
        <v>1914392.3769959998</v>
      </c>
    </row>
    <row r="38">
      <c r="A38" s="41"/>
      <c r="B38" s="29">
        <v>2021.0</v>
      </c>
      <c r="C38" s="29">
        <v>1.0</v>
      </c>
      <c r="D38" s="29">
        <v>1.0</v>
      </c>
      <c r="E38" s="31">
        <v>23.08333333</v>
      </c>
      <c r="F38" s="31">
        <v>33.5</v>
      </c>
      <c r="G38" s="58">
        <f t="shared" si="7"/>
        <v>28.29166667</v>
      </c>
      <c r="H38" s="59">
        <f>MEDIAN(H32:H37)</f>
        <v>81.9</v>
      </c>
      <c r="I38" s="45">
        <f t="shared" ref="I38:I39" si="8">I37+0.76</f>
        <v>31</v>
      </c>
      <c r="J38" s="55">
        <f>J37+(((J37-J36)+(J36-J35)+(J35-J34)+(J34-J33)+(J33-J32))/5)</f>
        <v>0.584</v>
      </c>
      <c r="K38" s="56">
        <v>1.163871607E8</v>
      </c>
      <c r="L38" s="55">
        <v>1862194.5715919998</v>
      </c>
      <c r="M38" s="55">
        <v>8612649.894</v>
      </c>
      <c r="N38" s="56">
        <v>1.481243428E7</v>
      </c>
      <c r="O38" s="53">
        <v>148124.342755</v>
      </c>
      <c r="P38" s="53">
        <v>1955241.324366</v>
      </c>
    </row>
    <row r="39">
      <c r="A39" s="41"/>
      <c r="B39" s="22">
        <v>2022.0</v>
      </c>
      <c r="C39" s="29">
        <v>1.0</v>
      </c>
      <c r="D39" s="29">
        <v>1.0</v>
      </c>
      <c r="E39" s="32">
        <v>20.36</v>
      </c>
      <c r="F39" s="32">
        <v>33.75</v>
      </c>
      <c r="G39" s="32">
        <v>25.39</v>
      </c>
      <c r="H39" s="33">
        <v>140.0</v>
      </c>
      <c r="I39" s="52">
        <f t="shared" si="8"/>
        <v>31.76</v>
      </c>
      <c r="J39" s="55">
        <f>J38+(((J37-J36)+(J36-J35)+(J35-J34)+(J34-J33)+(J33-J32)+(J38-J37)/6))</f>
        <v>0.6098333333</v>
      </c>
      <c r="K39" s="60">
        <v>1.14444771E8</v>
      </c>
      <c r="L39" s="55">
        <v>1831116.336</v>
      </c>
      <c r="M39" s="55">
        <v>8468913.054</v>
      </c>
      <c r="N39" s="56">
        <v>1.4565229E7</v>
      </c>
      <c r="O39" s="55">
        <v>145652.29</v>
      </c>
      <c r="P39" s="55">
        <v>1922610.228</v>
      </c>
    </row>
    <row r="40">
      <c r="A40" s="41"/>
      <c r="B40" s="22"/>
      <c r="C40" s="41"/>
      <c r="D40" s="41"/>
      <c r="E40" s="58"/>
      <c r="F40" s="58"/>
      <c r="G40" s="58"/>
      <c r="H40" s="59"/>
      <c r="I40" s="52"/>
      <c r="J40" s="53"/>
      <c r="K40" s="54"/>
      <c r="L40" s="53"/>
      <c r="M40" s="53"/>
      <c r="N40" s="54"/>
      <c r="O40" s="53"/>
      <c r="P40" s="53"/>
    </row>
    <row r="41">
      <c r="A41" s="28" t="s">
        <v>25</v>
      </c>
      <c r="B41" s="29">
        <v>2015.0</v>
      </c>
      <c r="C41" s="29">
        <v>0.0</v>
      </c>
      <c r="D41" s="29">
        <v>0.0</v>
      </c>
      <c r="E41" s="31">
        <v>23.91666667</v>
      </c>
      <c r="F41" s="31">
        <v>33.91666667</v>
      </c>
      <c r="G41" s="58">
        <f t="shared" ref="G41:G47" si="9">AVERAGE(E41:F41)</f>
        <v>28.91666667</v>
      </c>
      <c r="H41" s="33">
        <v>50.3</v>
      </c>
      <c r="I41" s="34">
        <v>48.63</v>
      </c>
      <c r="J41" s="55">
        <v>0.59</v>
      </c>
      <c r="K41" s="56">
        <v>2.184133799E7</v>
      </c>
      <c r="L41" s="55">
        <v>349461.4078592001</v>
      </c>
      <c r="M41" s="55">
        <v>1616259.011</v>
      </c>
      <c r="N41" s="56">
        <v>6612724.009</v>
      </c>
      <c r="O41" s="53">
        <v>66127.240088</v>
      </c>
      <c r="P41" s="53">
        <v>872879.5691616</v>
      </c>
    </row>
    <row r="42">
      <c r="A42" s="41"/>
      <c r="B42" s="29">
        <v>2016.0</v>
      </c>
      <c r="C42" s="29">
        <v>1.0</v>
      </c>
      <c r="D42" s="29">
        <v>1.0</v>
      </c>
      <c r="E42" s="31">
        <v>23.75</v>
      </c>
      <c r="F42" s="31">
        <v>33.75</v>
      </c>
      <c r="G42" s="58">
        <f t="shared" si="9"/>
        <v>28.75</v>
      </c>
      <c r="H42" s="33">
        <v>49.2</v>
      </c>
      <c r="I42" s="34">
        <v>52.02</v>
      </c>
      <c r="J42" s="55">
        <v>0.596</v>
      </c>
      <c r="K42" s="56">
        <v>2.240866117E7</v>
      </c>
      <c r="L42" s="55">
        <v>358538.57875840005</v>
      </c>
      <c r="M42" s="55">
        <v>1658240.927</v>
      </c>
      <c r="N42" s="56">
        <v>6784487.828</v>
      </c>
      <c r="O42" s="53">
        <v>67844.878276</v>
      </c>
      <c r="P42" s="53">
        <v>895552.3932431999</v>
      </c>
    </row>
    <row r="43">
      <c r="A43" s="41"/>
      <c r="B43" s="29">
        <v>2017.0</v>
      </c>
      <c r="C43" s="29">
        <v>0.0</v>
      </c>
      <c r="D43" s="29">
        <v>0.0</v>
      </c>
      <c r="E43" s="31">
        <v>23.08333333</v>
      </c>
      <c r="F43" s="31">
        <v>35.25</v>
      </c>
      <c r="G43" s="58">
        <f t="shared" si="9"/>
        <v>29.16666667</v>
      </c>
      <c r="H43" s="33">
        <v>48.9</v>
      </c>
      <c r="I43" s="34">
        <v>56.09</v>
      </c>
      <c r="J43" s="55">
        <v>0.606</v>
      </c>
      <c r="K43" s="56">
        <v>2.297907932E7</v>
      </c>
      <c r="L43" s="55">
        <v>367665.2690688001</v>
      </c>
      <c r="M43" s="55">
        <v>1700451.869</v>
      </c>
      <c r="N43" s="56">
        <v>6957188.683</v>
      </c>
      <c r="O43" s="53">
        <v>69571.88683199999</v>
      </c>
      <c r="P43" s="53">
        <v>918348.9061824</v>
      </c>
    </row>
    <row r="44">
      <c r="A44" s="41"/>
      <c r="B44" s="29">
        <v>2018.0</v>
      </c>
      <c r="C44" s="29">
        <v>0.0</v>
      </c>
      <c r="D44" s="29">
        <v>0.0</v>
      </c>
      <c r="E44" s="31">
        <v>24.5</v>
      </c>
      <c r="F44" s="31">
        <v>34.66666667</v>
      </c>
      <c r="G44" s="58">
        <f t="shared" si="9"/>
        <v>29.58333334</v>
      </c>
      <c r="H44" s="33">
        <v>49.4</v>
      </c>
      <c r="I44" s="34">
        <v>53.15</v>
      </c>
      <c r="J44" s="55">
        <v>0.608</v>
      </c>
      <c r="K44" s="56">
        <v>2.355231839E7</v>
      </c>
      <c r="L44" s="55">
        <v>376837.0942592001</v>
      </c>
      <c r="M44" s="55">
        <v>1742871.561</v>
      </c>
      <c r="N44" s="56">
        <v>7130743.609</v>
      </c>
      <c r="O44" s="53">
        <v>71307.436088</v>
      </c>
      <c r="P44" s="53">
        <v>941258.1563615999</v>
      </c>
    </row>
    <row r="45">
      <c r="A45" s="41"/>
      <c r="B45" s="29">
        <v>2019.0</v>
      </c>
      <c r="C45" s="29">
        <v>0.0</v>
      </c>
      <c r="D45" s="29">
        <v>0.0</v>
      </c>
      <c r="E45" s="31">
        <v>24.25</v>
      </c>
      <c r="F45" s="31">
        <v>34.66666667</v>
      </c>
      <c r="G45" s="58">
        <f t="shared" si="9"/>
        <v>29.45833334</v>
      </c>
      <c r="H45" s="33">
        <v>50.1</v>
      </c>
      <c r="I45" s="34">
        <v>50.79</v>
      </c>
      <c r="J45" s="55">
        <v>0.611</v>
      </c>
      <c r="K45" s="56">
        <v>2.412810667E7</v>
      </c>
      <c r="L45" s="55">
        <v>386049.7066432</v>
      </c>
      <c r="M45" s="55">
        <v>1785479.893</v>
      </c>
      <c r="N45" s="56">
        <v>7305070.335</v>
      </c>
      <c r="O45" s="53">
        <v>73050.703348</v>
      </c>
      <c r="P45" s="53">
        <v>964269.2841936</v>
      </c>
    </row>
    <row r="46">
      <c r="A46" s="41"/>
      <c r="B46" s="29">
        <v>2020.0</v>
      </c>
      <c r="C46" s="29">
        <v>1.0</v>
      </c>
      <c r="D46" s="29">
        <v>1.0</v>
      </c>
      <c r="E46" s="31">
        <v>25.25</v>
      </c>
      <c r="F46" s="31">
        <v>32.66666667</v>
      </c>
      <c r="G46" s="58">
        <f t="shared" si="9"/>
        <v>28.95833334</v>
      </c>
      <c r="H46" s="33">
        <v>52.9</v>
      </c>
      <c r="I46" s="34">
        <v>50.7</v>
      </c>
      <c r="J46" s="55">
        <f>J45+(((J45-J44)+(J44-J43)+(J43-J42)+(J42-J41))/4)</f>
        <v>0.61625</v>
      </c>
      <c r="K46" s="56">
        <v>2.470617471E7</v>
      </c>
      <c r="L46" s="55">
        <v>395298.7953792001</v>
      </c>
      <c r="M46" s="55">
        <v>1828256.929</v>
      </c>
      <c r="N46" s="56">
        <v>7480087.289</v>
      </c>
      <c r="O46" s="53">
        <v>74800.872888</v>
      </c>
      <c r="P46" s="53">
        <v>987371.5221216</v>
      </c>
    </row>
    <row r="47">
      <c r="A47" s="41"/>
      <c r="B47" s="29">
        <v>2021.0</v>
      </c>
      <c r="C47" s="29">
        <v>1.0</v>
      </c>
      <c r="D47" s="29">
        <v>1.0</v>
      </c>
      <c r="E47" s="31">
        <v>23.25</v>
      </c>
      <c r="F47" s="31">
        <v>33.08333333</v>
      </c>
      <c r="G47" s="58">
        <f t="shared" si="9"/>
        <v>28.16666667</v>
      </c>
      <c r="H47" s="59">
        <f>MEDIAN(H41:H46)</f>
        <v>49.75</v>
      </c>
      <c r="I47" s="45">
        <f t="shared" ref="I47:I48" si="10">I46-0.09</f>
        <v>50.61</v>
      </c>
      <c r="J47" s="55">
        <f>J46+(((J46-J45)+(J45-J44)+(J44-J43)+(J43-J42)+(J42-J41))/5)</f>
        <v>0.6215</v>
      </c>
      <c r="K47" s="56">
        <v>2.52862531E7</v>
      </c>
      <c r="L47" s="55">
        <v>404580.04962560005</v>
      </c>
      <c r="M47" s="55">
        <v>1871182.73</v>
      </c>
      <c r="N47" s="56">
        <v>7655712.898</v>
      </c>
      <c r="O47" s="53">
        <v>76557.128984</v>
      </c>
      <c r="P47" s="53">
        <v>1010554.1025887999</v>
      </c>
    </row>
    <row r="48">
      <c r="A48" s="41"/>
      <c r="B48" s="22">
        <v>2022.0</v>
      </c>
      <c r="C48" s="29">
        <v>0.0</v>
      </c>
      <c r="D48" s="29">
        <v>0.0</v>
      </c>
      <c r="E48" s="32">
        <v>23.71</v>
      </c>
      <c r="F48" s="32">
        <v>38.04</v>
      </c>
      <c r="G48" s="32">
        <v>27.19</v>
      </c>
      <c r="H48" s="33">
        <v>20.0</v>
      </c>
      <c r="I48" s="52">
        <f t="shared" si="10"/>
        <v>50.52</v>
      </c>
      <c r="J48" s="55">
        <f>J47+(((J47-J46)+(J46-J45)+(J45-J44)+(J44-J43)+(J43-J42)+(J42-J41))/6)</f>
        <v>0.62675</v>
      </c>
      <c r="K48" s="55">
        <v>2.5392208E7</v>
      </c>
      <c r="L48" s="55">
        <v>406275.328</v>
      </c>
      <c r="M48" s="55">
        <v>1879023.392</v>
      </c>
      <c r="N48" s="55">
        <v>7687792.0</v>
      </c>
      <c r="O48" s="55">
        <v>76877.92</v>
      </c>
      <c r="P48" s="55">
        <v>1014788.544</v>
      </c>
    </row>
    <row r="49">
      <c r="A49" s="41"/>
      <c r="B49" s="22"/>
      <c r="C49" s="41"/>
      <c r="D49" s="41"/>
      <c r="E49" s="58"/>
      <c r="F49" s="58"/>
      <c r="G49" s="58"/>
      <c r="H49" s="59"/>
      <c r="I49" s="52"/>
      <c r="J49" s="53"/>
      <c r="K49" s="53"/>
      <c r="L49" s="53"/>
      <c r="M49" s="53"/>
      <c r="N49" s="53"/>
      <c r="O49" s="53"/>
      <c r="P49" s="53"/>
    </row>
    <row r="50">
      <c r="A50" s="28" t="s">
        <v>26</v>
      </c>
      <c r="B50" s="29">
        <v>2015.0</v>
      </c>
      <c r="C50" s="29">
        <v>0.0</v>
      </c>
      <c r="D50" s="29">
        <v>0.0</v>
      </c>
      <c r="E50" s="31">
        <v>24.66666667</v>
      </c>
      <c r="F50" s="31">
        <v>32.16666667</v>
      </c>
      <c r="G50" s="58">
        <f t="shared" ref="G50:G57" si="11">AVERAGE(E50:F50)</f>
        <v>28.41666667</v>
      </c>
      <c r="H50" s="33">
        <v>28.4</v>
      </c>
      <c r="I50" s="34">
        <v>53.13</v>
      </c>
      <c r="J50" s="35">
        <v>0.753</v>
      </c>
      <c r="K50" s="55">
        <v>562826.7957</v>
      </c>
      <c r="L50" s="55">
        <v>9005.2287312</v>
      </c>
      <c r="M50" s="55">
        <v>38346.3135</v>
      </c>
      <c r="N50" s="55">
        <v>924952.2043</v>
      </c>
      <c r="O50" s="53">
        <v>9249.522043</v>
      </c>
      <c r="P50" s="53">
        <v>122093.6909676</v>
      </c>
    </row>
    <row r="51">
      <c r="A51" s="41"/>
      <c r="B51" s="29">
        <v>2016.0</v>
      </c>
      <c r="C51" s="29">
        <v>1.0</v>
      </c>
      <c r="D51" s="29">
        <v>1.0</v>
      </c>
      <c r="E51" s="31">
        <v>24.16666667</v>
      </c>
      <c r="F51" s="31">
        <v>31.33333333</v>
      </c>
      <c r="G51" s="58">
        <f t="shared" si="11"/>
        <v>27.75</v>
      </c>
      <c r="H51" s="33">
        <v>28.7</v>
      </c>
      <c r="I51" s="34">
        <v>51.9</v>
      </c>
      <c r="J51" s="35">
        <v>0.745</v>
      </c>
      <c r="K51" s="55">
        <v>565487.3796</v>
      </c>
      <c r="L51" s="55">
        <v>9047.7980736</v>
      </c>
      <c r="M51" s="55">
        <v>38527.58345</v>
      </c>
      <c r="N51" s="55">
        <v>929324.6204</v>
      </c>
      <c r="O51" s="53">
        <v>9293.246204000001</v>
      </c>
      <c r="P51" s="53">
        <v>122670.8498928</v>
      </c>
    </row>
    <row r="52">
      <c r="A52" s="41"/>
      <c r="B52" s="29">
        <v>2017.0</v>
      </c>
      <c r="C52" s="29">
        <v>0.0</v>
      </c>
      <c r="D52" s="29">
        <v>0.0</v>
      </c>
      <c r="E52" s="31">
        <v>24.91666667</v>
      </c>
      <c r="F52" s="31">
        <v>31.16666667</v>
      </c>
      <c r="G52" s="58">
        <f t="shared" si="11"/>
        <v>28.04166667</v>
      </c>
      <c r="H52" s="33">
        <v>30.7</v>
      </c>
      <c r="I52" s="34">
        <v>62.87</v>
      </c>
      <c r="J52" s="35">
        <v>0.756</v>
      </c>
      <c r="K52" s="55">
        <v>568107.1071</v>
      </c>
      <c r="L52" s="55">
        <v>9089.7137136</v>
      </c>
      <c r="M52" s="55">
        <v>38706.06979</v>
      </c>
      <c r="N52" s="55">
        <v>933629.8929</v>
      </c>
      <c r="O52" s="53">
        <v>9336.298929</v>
      </c>
      <c r="P52" s="53">
        <v>123239.1458628</v>
      </c>
    </row>
    <row r="53">
      <c r="A53" s="41"/>
      <c r="B53" s="29">
        <v>2018.0</v>
      </c>
      <c r="C53" s="29">
        <v>0.0</v>
      </c>
      <c r="D53" s="29">
        <v>0.0</v>
      </c>
      <c r="E53" s="31">
        <v>26.0</v>
      </c>
      <c r="F53" s="31">
        <v>32.25</v>
      </c>
      <c r="G53" s="58">
        <f t="shared" si="11"/>
        <v>29.125</v>
      </c>
      <c r="H53" s="33">
        <v>31.5</v>
      </c>
      <c r="I53" s="34">
        <v>69.09</v>
      </c>
      <c r="J53" s="35">
        <v>0.759</v>
      </c>
      <c r="K53" s="55">
        <v>570686.7348</v>
      </c>
      <c r="L53" s="55">
        <v>9130.987756800001</v>
      </c>
      <c r="M53" s="55">
        <v>38881.82406</v>
      </c>
      <c r="N53" s="55">
        <v>937869.2652</v>
      </c>
      <c r="O53" s="53">
        <v>9378.692652</v>
      </c>
      <c r="P53" s="53">
        <v>123798.7430064</v>
      </c>
    </row>
    <row r="54">
      <c r="A54" s="41"/>
      <c r="B54" s="29">
        <v>2019.0</v>
      </c>
      <c r="C54" s="29">
        <v>0.0</v>
      </c>
      <c r="D54" s="29">
        <v>0.0</v>
      </c>
      <c r="E54" s="31">
        <v>25.16666667</v>
      </c>
      <c r="F54" s="31">
        <v>31.91666667</v>
      </c>
      <c r="G54" s="58">
        <f t="shared" si="11"/>
        <v>28.54166667</v>
      </c>
      <c r="H54" s="33">
        <v>27.3</v>
      </c>
      <c r="I54" s="34">
        <v>66.36</v>
      </c>
      <c r="J54" s="35">
        <v>0.763</v>
      </c>
      <c r="K54" s="55">
        <v>573225.8844</v>
      </c>
      <c r="L54" s="55">
        <v>9171.6141504</v>
      </c>
      <c r="M54" s="55">
        <v>39054.82049</v>
      </c>
      <c r="N54" s="55">
        <v>942042.1156</v>
      </c>
      <c r="O54" s="53">
        <v>9420.421156</v>
      </c>
      <c r="P54" s="53">
        <v>124349.5592592</v>
      </c>
    </row>
    <row r="55">
      <c r="A55" s="41"/>
      <c r="B55" s="29">
        <v>2020.0</v>
      </c>
      <c r="C55" s="29">
        <v>1.0</v>
      </c>
      <c r="D55" s="29">
        <v>1.0</v>
      </c>
      <c r="E55" s="31">
        <v>24.16666667</v>
      </c>
      <c r="F55" s="31">
        <v>29.33333333</v>
      </c>
      <c r="G55" s="58">
        <f t="shared" si="11"/>
        <v>26.75</v>
      </c>
      <c r="H55" s="33">
        <v>30.6</v>
      </c>
      <c r="I55" s="34">
        <v>53.68</v>
      </c>
      <c r="J55" s="35">
        <f>J54+(((J54-J53)+(J53-J52)+(J52-J51)+(J51-J50))/4)</f>
        <v>0.7655</v>
      </c>
      <c r="K55" s="55">
        <v>575725.3125</v>
      </c>
      <c r="L55" s="55">
        <v>9211.605</v>
      </c>
      <c r="M55" s="55">
        <v>39225.11063</v>
      </c>
      <c r="N55" s="55">
        <v>946149.6875</v>
      </c>
      <c r="O55" s="53">
        <v>9461.496875</v>
      </c>
      <c r="P55" s="53">
        <v>124891.75875</v>
      </c>
    </row>
    <row r="56">
      <c r="A56" s="41"/>
      <c r="B56" s="29">
        <v>2021.0</v>
      </c>
      <c r="C56" s="29">
        <v>1.0</v>
      </c>
      <c r="D56" s="29">
        <v>1.0</v>
      </c>
      <c r="E56" s="31">
        <v>25.08333333</v>
      </c>
      <c r="F56" s="31">
        <v>29.41666667</v>
      </c>
      <c r="G56" s="58">
        <f t="shared" si="11"/>
        <v>27.25</v>
      </c>
      <c r="H56" s="59">
        <f>MEDIAN(H50:H55)</f>
        <v>29.65</v>
      </c>
      <c r="I56" s="45">
        <f t="shared" ref="I56:I57" si="13">I55-12.68</f>
        <v>41</v>
      </c>
      <c r="J56" s="35">
        <f>J55+(((J55-J54)+(J54-J53)+(J53-J52)+(J52-J51)+(J51-J50))/5)</f>
        <v>0.768</v>
      </c>
      <c r="K56" s="55">
        <v>578185.3974</v>
      </c>
      <c r="L56" s="55">
        <v>9250.966358399999</v>
      </c>
      <c r="M56" s="55">
        <v>39392.72025</v>
      </c>
      <c r="N56" s="55">
        <v>950192.6026</v>
      </c>
      <c r="O56" s="53">
        <v>9501.926026000001</v>
      </c>
      <c r="P56" s="53">
        <v>125425.4235432</v>
      </c>
    </row>
    <row r="57">
      <c r="A57" s="41"/>
      <c r="B57" s="22">
        <v>2022.0</v>
      </c>
      <c r="C57" s="29">
        <v>0.0</v>
      </c>
      <c r="D57" s="29">
        <v>0.0</v>
      </c>
      <c r="E57" s="58">
        <f t="shared" ref="E57:F57" si="12">E56+(((E56-E55)+(E55-E54)+(E54-E53)+(E53-E52)+(E52-E51)+(E51-E50))/6)</f>
        <v>25.15277777</v>
      </c>
      <c r="F57" s="58">
        <f t="shared" si="12"/>
        <v>28.95833334</v>
      </c>
      <c r="G57" s="58">
        <f t="shared" si="11"/>
        <v>27.05555556</v>
      </c>
      <c r="H57" s="33">
        <v>28.0</v>
      </c>
      <c r="I57" s="52">
        <f t="shared" si="13"/>
        <v>28.32</v>
      </c>
      <c r="J57" s="35">
        <f>J56+(((J56-J55)+(J55-J54)+(J54-J53)+(J53-J52)+(J52-J51)+(J51-J50))/6)</f>
        <v>0.7705</v>
      </c>
      <c r="K57" s="55">
        <v>590148.0</v>
      </c>
      <c r="L57" s="55">
        <v>9442.368</v>
      </c>
      <c r="M57" s="55">
        <v>40207.752</v>
      </c>
      <c r="N57" s="55">
        <v>969852.0</v>
      </c>
      <c r="O57" s="55">
        <v>9698.52</v>
      </c>
      <c r="P57" s="55">
        <v>128020.464</v>
      </c>
    </row>
    <row r="58">
      <c r="A58" s="41"/>
      <c r="B58" s="22"/>
      <c r="C58" s="41"/>
      <c r="D58" s="41"/>
      <c r="E58" s="58"/>
      <c r="F58" s="58"/>
      <c r="G58" s="58"/>
      <c r="H58" s="59"/>
      <c r="I58" s="52"/>
      <c r="J58" s="53"/>
      <c r="K58" s="53"/>
      <c r="L58" s="53"/>
      <c r="M58" s="53"/>
      <c r="N58" s="53"/>
      <c r="O58" s="53"/>
      <c r="P58" s="53"/>
    </row>
    <row r="59">
      <c r="A59" s="28" t="s">
        <v>27</v>
      </c>
      <c r="B59" s="29">
        <v>2015.0</v>
      </c>
      <c r="C59" s="29">
        <v>1.0</v>
      </c>
      <c r="D59" s="29">
        <v>4.0</v>
      </c>
      <c r="E59" s="31">
        <v>23.08333333</v>
      </c>
      <c r="F59" s="31">
        <v>35.83333333</v>
      </c>
      <c r="G59" s="58">
        <f t="shared" ref="G59:G66" si="14">AVERAGE(E59:F59)</f>
        <v>29.45833333</v>
      </c>
      <c r="H59" s="61">
        <v>44.3</v>
      </c>
      <c r="I59" s="34">
        <v>63.28</v>
      </c>
      <c r="J59" s="55">
        <v>0.649</v>
      </c>
      <c r="K59" s="55">
        <v>3.7263751E7</v>
      </c>
      <c r="L59" s="55">
        <v>596220.017568</v>
      </c>
      <c r="M59" s="55">
        <v>2757517.581</v>
      </c>
      <c r="N59" s="55">
        <v>2.7655675902E7</v>
      </c>
      <c r="O59" s="53">
        <v>276556.75902000006</v>
      </c>
      <c r="P59" s="53">
        <v>3650549.219064</v>
      </c>
    </row>
    <row r="60">
      <c r="A60" s="41"/>
      <c r="B60" s="29">
        <v>2016.0</v>
      </c>
      <c r="C60" s="29">
        <v>1.0</v>
      </c>
      <c r="D60" s="29">
        <v>2.0</v>
      </c>
      <c r="E60" s="31">
        <v>22.66666667</v>
      </c>
      <c r="F60" s="31">
        <v>36.0</v>
      </c>
      <c r="G60" s="58">
        <f t="shared" si="14"/>
        <v>29.33333334</v>
      </c>
      <c r="H60" s="61">
        <v>41.3</v>
      </c>
      <c r="I60" s="45">
        <v>62.99</v>
      </c>
      <c r="J60" s="55">
        <v>0.656</v>
      </c>
      <c r="K60" s="55">
        <v>3.7902576E7</v>
      </c>
      <c r="L60" s="55">
        <v>606441.212608</v>
      </c>
      <c r="M60" s="55">
        <v>2804790.608</v>
      </c>
      <c r="N60" s="55">
        <v>2.8129786212E7</v>
      </c>
      <c r="O60" s="53">
        <v>281297.86212</v>
      </c>
      <c r="P60" s="53">
        <v>3713131.7799840006</v>
      </c>
    </row>
    <row r="61">
      <c r="A61" s="41"/>
      <c r="B61" s="29">
        <v>2017.0</v>
      </c>
      <c r="C61" s="29">
        <v>1.0</v>
      </c>
      <c r="D61" s="29">
        <v>1.0</v>
      </c>
      <c r="E61" s="31">
        <v>23.75</v>
      </c>
      <c r="F61" s="31">
        <v>36.08333333</v>
      </c>
      <c r="G61" s="58">
        <f t="shared" si="14"/>
        <v>29.91666667</v>
      </c>
      <c r="H61" s="61">
        <v>45.8</v>
      </c>
      <c r="I61" s="34">
        <v>61.99</v>
      </c>
      <c r="J61" s="55">
        <v>0.667</v>
      </c>
      <c r="K61" s="55">
        <v>3.8539356E7</v>
      </c>
      <c r="L61" s="55">
        <v>616629.7034240001</v>
      </c>
      <c r="M61" s="55">
        <v>2851912.378</v>
      </c>
      <c r="N61" s="55">
        <v>2.8602379536E7</v>
      </c>
      <c r="O61" s="53">
        <v>286023.79536</v>
      </c>
      <c r="P61" s="53">
        <v>3775514.0987519994</v>
      </c>
    </row>
    <row r="62">
      <c r="A62" s="41"/>
      <c r="B62" s="29">
        <v>2018.0</v>
      </c>
      <c r="C62" s="29">
        <v>0.0</v>
      </c>
      <c r="D62" s="29">
        <v>0.0</v>
      </c>
      <c r="E62" s="31">
        <v>23.91666667</v>
      </c>
      <c r="F62" s="31">
        <v>35.41666667</v>
      </c>
      <c r="G62" s="58">
        <f t="shared" si="14"/>
        <v>29.66666667</v>
      </c>
      <c r="H62" s="61">
        <v>46.7</v>
      </c>
      <c r="I62" s="34">
        <v>63.52</v>
      </c>
      <c r="J62" s="55">
        <v>0.669</v>
      </c>
      <c r="K62" s="55">
        <v>3.9173886E7</v>
      </c>
      <c r="L62" s="55">
        <v>626782.174592</v>
      </c>
      <c r="M62" s="55">
        <v>2898867.557</v>
      </c>
      <c r="N62" s="55">
        <v>2.9073302088E7</v>
      </c>
      <c r="O62" s="53">
        <v>290733.02088</v>
      </c>
      <c r="P62" s="53">
        <v>3837675.8756159996</v>
      </c>
    </row>
    <row r="63">
      <c r="A63" s="41"/>
      <c r="B63" s="29">
        <v>2019.0</v>
      </c>
      <c r="C63" s="29">
        <v>1.0</v>
      </c>
      <c r="D63" s="29">
        <v>1.0</v>
      </c>
      <c r="E63" s="31">
        <v>23.0</v>
      </c>
      <c r="F63" s="31">
        <v>32.91666667</v>
      </c>
      <c r="G63" s="58">
        <f t="shared" si="14"/>
        <v>27.95833334</v>
      </c>
      <c r="H63" s="61">
        <v>46.9</v>
      </c>
      <c r="I63" s="34">
        <v>64.8</v>
      </c>
      <c r="J63" s="55">
        <v>0.672</v>
      </c>
      <c r="K63" s="55">
        <v>3.9805963E7</v>
      </c>
      <c r="L63" s="55">
        <v>636895.402528</v>
      </c>
      <c r="M63" s="55">
        <v>2945641.237</v>
      </c>
      <c r="N63" s="55">
        <v>2.9542404342E7</v>
      </c>
      <c r="O63" s="53">
        <v>295424.04342</v>
      </c>
      <c r="P63" s="53">
        <v>3899597.3731440003</v>
      </c>
    </row>
    <row r="64">
      <c r="A64" s="41"/>
      <c r="B64" s="29">
        <v>2020.0</v>
      </c>
      <c r="C64" s="29">
        <v>1.0</v>
      </c>
      <c r="D64" s="29">
        <v>3.0</v>
      </c>
      <c r="E64" s="31">
        <v>48.83333333</v>
      </c>
      <c r="F64" s="31">
        <v>34.58333333</v>
      </c>
      <c r="G64" s="58">
        <f t="shared" si="14"/>
        <v>41.70833333</v>
      </c>
      <c r="H64" s="61">
        <v>45.5</v>
      </c>
      <c r="I64" s="34">
        <v>62.46</v>
      </c>
      <c r="J64" s="55">
        <f>J63+(((J63-J62)+(J62-J61)+(J61-J60)+(J60-J59))/4)</f>
        <v>0.67775</v>
      </c>
      <c r="K64" s="55">
        <v>4.0435393E7</v>
      </c>
      <c r="L64" s="55">
        <v>646966.28304</v>
      </c>
      <c r="M64" s="55">
        <v>2992219.059</v>
      </c>
      <c r="N64" s="55">
        <v>3.000954231E7</v>
      </c>
      <c r="O64" s="53">
        <v>300095.4231</v>
      </c>
      <c r="P64" s="53">
        <v>3961259.5849200003</v>
      </c>
    </row>
    <row r="65">
      <c r="A65" s="41"/>
      <c r="B65" s="29">
        <v>2021.0</v>
      </c>
      <c r="C65" s="29">
        <v>1.0</v>
      </c>
      <c r="D65" s="29">
        <v>3.0</v>
      </c>
      <c r="E65" s="31">
        <v>22.58333333</v>
      </c>
      <c r="F65" s="31">
        <v>36.0</v>
      </c>
      <c r="G65" s="58">
        <f t="shared" si="14"/>
        <v>29.29166667</v>
      </c>
      <c r="H65" s="59">
        <f>MEDIAN(H59:H64)</f>
        <v>45.65</v>
      </c>
      <c r="I65" s="45">
        <f t="shared" ref="I65:I66" si="16">I64-0.55</f>
        <v>61.91</v>
      </c>
      <c r="J65" s="55">
        <f>J64+((((J64-J63)+(J63-J62)+(J62-J61)+(J61-J60)+(J60-J59))/5))</f>
        <v>0.6835</v>
      </c>
      <c r="K65" s="55">
        <v>4.1061988E7</v>
      </c>
      <c r="L65" s="55">
        <v>656991.803776</v>
      </c>
      <c r="M65" s="55">
        <v>3038587.092</v>
      </c>
      <c r="N65" s="55">
        <v>3.0474576264E7</v>
      </c>
      <c r="O65" s="53">
        <v>304745.76264000003</v>
      </c>
      <c r="P65" s="53">
        <v>4022644.0668479996</v>
      </c>
    </row>
    <row r="66">
      <c r="A66" s="41"/>
      <c r="B66" s="22">
        <v>2022.0</v>
      </c>
      <c r="C66" s="29">
        <v>1.0</v>
      </c>
      <c r="D66" s="29">
        <v>2.0</v>
      </c>
      <c r="E66" s="58">
        <f t="shared" ref="E66:F66" si="15">E65+(((E65-E64)+(E64-E63)+(E63-E62)+(E62-E61)+(E61-E60)+(E60-E59))/6)</f>
        <v>22.5</v>
      </c>
      <c r="F66" s="58">
        <f t="shared" si="15"/>
        <v>36.02777778</v>
      </c>
      <c r="G66" s="58">
        <f t="shared" si="14"/>
        <v>29.26388889</v>
      </c>
      <c r="H66" s="33">
        <v>57.0</v>
      </c>
      <c r="I66" s="52">
        <f t="shared" si="16"/>
        <v>61.36</v>
      </c>
      <c r="J66" s="55">
        <f>J65+((((J65-J64)+(J64-J63)+(J63-J62)+(J62-J61)+(J61-J60)+(J60-J59))/6))</f>
        <v>0.68925</v>
      </c>
      <c r="K66" s="55">
        <v>4.119024E7</v>
      </c>
      <c r="L66" s="55">
        <v>659043.84</v>
      </c>
      <c r="M66" s="55">
        <v>3048077.76</v>
      </c>
      <c r="N66" s="55">
        <v>3.056976E7</v>
      </c>
      <c r="O66" s="55">
        <v>305697.6</v>
      </c>
      <c r="P66" s="55">
        <v>4035208.32</v>
      </c>
    </row>
    <row r="67">
      <c r="A67" s="41"/>
      <c r="B67" s="22"/>
      <c r="C67" s="41"/>
      <c r="D67" s="41"/>
      <c r="E67" s="58"/>
      <c r="F67" s="58"/>
      <c r="G67" s="58"/>
      <c r="H67" s="59"/>
      <c r="I67" s="52"/>
      <c r="J67" s="53"/>
      <c r="K67" s="53"/>
      <c r="L67" s="53"/>
      <c r="M67" s="53"/>
      <c r="N67" s="53"/>
      <c r="O67" s="53"/>
      <c r="P67" s="53"/>
    </row>
    <row r="68">
      <c r="A68" s="28" t="s">
        <v>28</v>
      </c>
      <c r="B68" s="29">
        <v>2015.0</v>
      </c>
      <c r="C68" s="29">
        <v>1.0</v>
      </c>
      <c r="D68" s="29">
        <v>1.0</v>
      </c>
      <c r="E68" s="31">
        <v>22.66666667</v>
      </c>
      <c r="F68" s="31">
        <v>33.25</v>
      </c>
      <c r="G68" s="58">
        <f t="shared" ref="G68:G75" si="17">AVERAGE(E68:F68)</f>
        <v>27.95833334</v>
      </c>
      <c r="H68" s="33">
        <v>84.2</v>
      </c>
      <c r="I68" s="34">
        <v>49.87</v>
      </c>
      <c r="J68" s="55">
        <v>0.684</v>
      </c>
      <c r="K68" s="55">
        <v>1.754286304E7</v>
      </c>
      <c r="L68" s="55">
        <v>280685.8087</v>
      </c>
      <c r="M68" s="55">
        <v>1298171.865</v>
      </c>
      <c r="N68" s="55">
        <v>9396422.957</v>
      </c>
      <c r="O68" s="55">
        <v>93964.22957</v>
      </c>
      <c r="P68" s="55">
        <v>1240327.83</v>
      </c>
    </row>
    <row r="69">
      <c r="A69" s="41"/>
      <c r="B69" s="29">
        <v>2016.0</v>
      </c>
      <c r="C69" s="29">
        <v>1.0</v>
      </c>
      <c r="D69" s="29">
        <v>1.0</v>
      </c>
      <c r="E69" s="31">
        <v>23.08333333</v>
      </c>
      <c r="F69" s="31">
        <v>33.0</v>
      </c>
      <c r="G69" s="58">
        <f t="shared" si="17"/>
        <v>28.04166667</v>
      </c>
      <c r="H69" s="33">
        <v>88.7</v>
      </c>
      <c r="I69" s="34">
        <v>46.97</v>
      </c>
      <c r="J69" s="55">
        <v>0.691</v>
      </c>
      <c r="K69" s="55">
        <v>1.779803902E7</v>
      </c>
      <c r="L69" s="55">
        <v>284768.6243</v>
      </c>
      <c r="M69" s="55">
        <v>1317054.887</v>
      </c>
      <c r="N69" s="55">
        <v>9533101.981</v>
      </c>
      <c r="O69" s="55">
        <v>95331.01981</v>
      </c>
      <c r="P69" s="55">
        <v>1258369.461</v>
      </c>
    </row>
    <row r="70">
      <c r="A70" s="41"/>
      <c r="B70" s="29">
        <v>2017.0</v>
      </c>
      <c r="C70" s="29">
        <v>1.0</v>
      </c>
      <c r="D70" s="29">
        <v>1.0</v>
      </c>
      <c r="E70" s="31">
        <v>22.75</v>
      </c>
      <c r="F70" s="31">
        <v>33.41666667</v>
      </c>
      <c r="G70" s="58">
        <f t="shared" si="17"/>
        <v>28.08333334</v>
      </c>
      <c r="H70" s="33">
        <v>85.7</v>
      </c>
      <c r="I70" s="34">
        <v>53.51</v>
      </c>
      <c r="J70" s="55">
        <v>0.702</v>
      </c>
      <c r="K70" s="55">
        <v>1.805174849E7</v>
      </c>
      <c r="L70" s="55">
        <v>288827.9759</v>
      </c>
      <c r="M70" s="55">
        <v>1335829.388</v>
      </c>
      <c r="N70" s="55">
        <v>9668995.507</v>
      </c>
      <c r="O70" s="55">
        <v>96689.95507</v>
      </c>
      <c r="P70" s="55">
        <v>1276307.407</v>
      </c>
    </row>
    <row r="71">
      <c r="A71" s="41"/>
      <c r="B71" s="29">
        <v>2018.0</v>
      </c>
      <c r="C71" s="29">
        <v>0.0</v>
      </c>
      <c r="D71" s="29">
        <v>0.0</v>
      </c>
      <c r="E71" s="31">
        <v>24.0</v>
      </c>
      <c r="F71" s="31">
        <v>34.0</v>
      </c>
      <c r="G71" s="58">
        <f t="shared" si="17"/>
        <v>29</v>
      </c>
      <c r="H71" s="33">
        <v>89.1</v>
      </c>
      <c r="I71" s="34">
        <v>46.19</v>
      </c>
      <c r="J71" s="55">
        <v>0.705</v>
      </c>
      <c r="K71" s="55">
        <v>1.830392895E7</v>
      </c>
      <c r="L71" s="55">
        <v>292862.8632</v>
      </c>
      <c r="M71" s="55">
        <v>1354490.742</v>
      </c>
      <c r="N71" s="55">
        <v>9804070.051</v>
      </c>
      <c r="O71" s="55">
        <v>98040.70051</v>
      </c>
      <c r="P71" s="55">
        <v>1294137.247</v>
      </c>
    </row>
    <row r="72">
      <c r="A72" s="41"/>
      <c r="B72" s="29">
        <v>2019.0</v>
      </c>
      <c r="C72" s="29">
        <v>0.0</v>
      </c>
      <c r="D72" s="29">
        <v>0.0</v>
      </c>
      <c r="E72" s="31">
        <v>21.58333333</v>
      </c>
      <c r="F72" s="31">
        <v>31.66666667</v>
      </c>
      <c r="G72" s="58">
        <f t="shared" si="17"/>
        <v>26.625</v>
      </c>
      <c r="H72" s="33">
        <v>87.3</v>
      </c>
      <c r="I72" s="34">
        <v>46.4</v>
      </c>
      <c r="J72" s="55">
        <v>0.708</v>
      </c>
      <c r="K72" s="55">
        <v>1.855451787E7</v>
      </c>
      <c r="L72" s="55">
        <v>296872.286</v>
      </c>
      <c r="M72" s="55">
        <v>1373034.323</v>
      </c>
      <c r="N72" s="55">
        <v>9938292.128</v>
      </c>
      <c r="O72" s="55">
        <v>99382.92128</v>
      </c>
      <c r="P72" s="55">
        <v>1311854.561</v>
      </c>
    </row>
    <row r="73">
      <c r="A73" s="41"/>
      <c r="B73" s="29">
        <v>2020.0</v>
      </c>
      <c r="C73" s="29">
        <v>1.0</v>
      </c>
      <c r="D73" s="29">
        <v>1.0</v>
      </c>
      <c r="E73" s="31">
        <v>23.5</v>
      </c>
      <c r="F73" s="31">
        <v>32.66666667</v>
      </c>
      <c r="G73" s="58">
        <f t="shared" si="17"/>
        <v>28.08333334</v>
      </c>
      <c r="H73" s="33">
        <v>83.4</v>
      </c>
      <c r="I73" s="34">
        <v>49.26</v>
      </c>
      <c r="J73" s="55">
        <f>J72+(((J72-J71)+(J71-J70)+(J70-J69)+(J69-J68))/4)</f>
        <v>0.714</v>
      </c>
      <c r="K73" s="55">
        <v>1.880345665E7</v>
      </c>
      <c r="L73" s="55">
        <v>300855.3065</v>
      </c>
      <c r="M73" s="55">
        <v>1391455.792</v>
      </c>
      <c r="N73" s="55">
        <v>1.007163035E7</v>
      </c>
      <c r="O73" s="55">
        <v>100716.3035</v>
      </c>
      <c r="P73" s="55">
        <v>1329455.206</v>
      </c>
    </row>
    <row r="74">
      <c r="A74" s="41"/>
      <c r="B74" s="29">
        <v>2021.0</v>
      </c>
      <c r="C74" s="29">
        <v>1.0</v>
      </c>
      <c r="D74" s="29">
        <v>1.0</v>
      </c>
      <c r="E74" s="31">
        <v>21.75</v>
      </c>
      <c r="F74" s="31">
        <v>33.75</v>
      </c>
      <c r="G74" s="58">
        <f t="shared" si="17"/>
        <v>27.75</v>
      </c>
      <c r="H74" s="59">
        <f>MEDIAN(H68:H73)</f>
        <v>86.5</v>
      </c>
      <c r="I74" s="34">
        <f t="shared" ref="I74:I75" si="18">I73-0.55</f>
        <v>48.71</v>
      </c>
      <c r="J74" s="55">
        <f>J73+(((J73-J72)+(J72-J71)+(J71-J70)+(J70-J69)+(J69-J68))/5)</f>
        <v>0.72</v>
      </c>
      <c r="K74" s="55">
        <v>1.905068994E7</v>
      </c>
      <c r="L74" s="55">
        <v>304811.0391</v>
      </c>
      <c r="M74" s="55">
        <v>1409751.056</v>
      </c>
      <c r="N74" s="55">
        <v>1.020405506E7</v>
      </c>
      <c r="O74" s="55">
        <v>102040.5506</v>
      </c>
      <c r="P74" s="55">
        <v>1346935.267</v>
      </c>
    </row>
    <row r="75">
      <c r="A75" s="41"/>
      <c r="B75" s="22">
        <v>2022.0</v>
      </c>
      <c r="C75" s="29">
        <v>1.0</v>
      </c>
      <c r="D75" s="29">
        <v>1.0</v>
      </c>
      <c r="E75" s="32">
        <f>E74+(((E74-E73)+(E73-E72)+(E72-E71)+(E71-E70)+(E70-E69)+(E69-E68))/6)</f>
        <v>21.59722222</v>
      </c>
      <c r="F75" s="32">
        <v>36.6</v>
      </c>
      <c r="G75" s="32">
        <f t="shared" si="17"/>
        <v>29.09861111</v>
      </c>
      <c r="H75" s="33">
        <v>83.0</v>
      </c>
      <c r="I75" s="52">
        <f t="shared" si="18"/>
        <v>48.16</v>
      </c>
      <c r="J75" s="55">
        <f>J74+(((J74-J73)+(J73-J72)+(J72-J71)+(J71-J70)+(J70-J69)+(J69-J68))/6)</f>
        <v>0.726</v>
      </c>
      <c r="K75" s="55">
        <v>1.9822528E7</v>
      </c>
      <c r="L75" s="55">
        <v>317160.448</v>
      </c>
      <c r="M75" s="55">
        <v>1466867.072</v>
      </c>
      <c r="N75" s="55">
        <v>1.0617472E7</v>
      </c>
      <c r="O75" s="55">
        <v>106174.72</v>
      </c>
      <c r="P75" s="55">
        <v>1401506.304</v>
      </c>
    </row>
    <row r="76">
      <c r="A76" s="41"/>
      <c r="B76" s="22"/>
      <c r="C76" s="41"/>
      <c r="D76" s="41"/>
      <c r="E76" s="58"/>
      <c r="F76" s="58"/>
      <c r="G76" s="58"/>
      <c r="H76" s="59"/>
      <c r="I76" s="52"/>
      <c r="J76" s="53"/>
      <c r="K76" s="53"/>
      <c r="L76" s="53"/>
      <c r="M76" s="53"/>
      <c r="N76" s="53"/>
      <c r="O76" s="53"/>
      <c r="P76" s="53"/>
    </row>
    <row r="77">
      <c r="A77" s="28" t="s">
        <v>29</v>
      </c>
      <c r="B77" s="29">
        <v>2015.0</v>
      </c>
      <c r="C77" s="29">
        <v>0.0</v>
      </c>
      <c r="D77" s="29">
        <v>0.0</v>
      </c>
      <c r="E77" s="31">
        <v>10.0</v>
      </c>
      <c r="F77" s="31">
        <v>23.25</v>
      </c>
      <c r="G77" s="58">
        <f t="shared" ref="G77:G84" si="19">AVERAGE(E77:F77)</f>
        <v>16.625</v>
      </c>
      <c r="H77" s="33">
        <v>27.3</v>
      </c>
      <c r="I77" s="62">
        <v>62.12</v>
      </c>
      <c r="J77" s="55">
        <v>0.702</v>
      </c>
      <c r="K77" s="55">
        <v>6438037.272</v>
      </c>
      <c r="L77" s="55">
        <v>103008.5964</v>
      </c>
      <c r="M77" s="55">
        <v>476414.7581</v>
      </c>
      <c r="N77" s="55">
        <v>717722.728</v>
      </c>
      <c r="O77" s="55">
        <v>7177.22728</v>
      </c>
      <c r="P77" s="55">
        <v>94739.4001</v>
      </c>
    </row>
    <row r="78">
      <c r="A78" s="41"/>
      <c r="B78" s="29">
        <v>2016.0</v>
      </c>
      <c r="C78" s="29">
        <v>1.0</v>
      </c>
      <c r="D78" s="29">
        <v>1.0</v>
      </c>
      <c r="E78" s="31">
        <v>9.916666667</v>
      </c>
      <c r="F78" s="31">
        <v>23.5</v>
      </c>
      <c r="G78" s="58">
        <f t="shared" si="19"/>
        <v>16.70833333</v>
      </c>
      <c r="H78" s="33">
        <v>32.1</v>
      </c>
      <c r="I78" s="62">
        <v>61.2</v>
      </c>
      <c r="J78" s="55">
        <v>0.708</v>
      </c>
      <c r="K78" s="55">
        <v>6501917.771</v>
      </c>
      <c r="L78" s="55">
        <v>104030.6843</v>
      </c>
      <c r="M78" s="55">
        <v>481141.9151</v>
      </c>
      <c r="N78" s="55">
        <v>724844.229</v>
      </c>
      <c r="O78" s="55">
        <v>7248.442286</v>
      </c>
      <c r="P78" s="55">
        <v>95679.43818</v>
      </c>
    </row>
    <row r="79">
      <c r="A79" s="41"/>
      <c r="B79" s="29">
        <v>2017.0</v>
      </c>
      <c r="C79" s="29">
        <v>1.0</v>
      </c>
      <c r="D79" s="29">
        <v>1.0</v>
      </c>
      <c r="E79" s="31">
        <v>10.25</v>
      </c>
      <c r="F79" s="31">
        <v>24.33333333</v>
      </c>
      <c r="G79" s="58">
        <f t="shared" si="19"/>
        <v>17.29166667</v>
      </c>
      <c r="H79" s="33">
        <v>27.9</v>
      </c>
      <c r="I79" s="34">
        <v>68.46</v>
      </c>
      <c r="J79" s="55">
        <v>0.719</v>
      </c>
      <c r="K79" s="55">
        <v>6565141.49</v>
      </c>
      <c r="L79" s="55">
        <v>105042.2638</v>
      </c>
      <c r="M79" s="55">
        <v>485820.4702</v>
      </c>
      <c r="N79" s="55">
        <v>731892.51</v>
      </c>
      <c r="O79" s="55">
        <v>7318.925102</v>
      </c>
      <c r="P79" s="55">
        <v>96609.81135</v>
      </c>
    </row>
    <row r="80">
      <c r="A80" s="41"/>
      <c r="B80" s="29">
        <v>2018.0</v>
      </c>
      <c r="C80" s="29">
        <v>0.0</v>
      </c>
      <c r="D80" s="29">
        <v>0.0</v>
      </c>
      <c r="E80" s="31">
        <v>11.16666667</v>
      </c>
      <c r="F80" s="31">
        <v>24.0</v>
      </c>
      <c r="G80" s="58">
        <f t="shared" si="19"/>
        <v>17.58333334</v>
      </c>
      <c r="H80" s="33">
        <v>29.3</v>
      </c>
      <c r="I80" s="34">
        <v>65.45</v>
      </c>
      <c r="J80" s="55">
        <v>0.721</v>
      </c>
      <c r="K80" s="55">
        <v>6627703.929</v>
      </c>
      <c r="L80" s="55">
        <v>106043.2629</v>
      </c>
      <c r="M80" s="55">
        <v>490450.0907</v>
      </c>
      <c r="N80" s="55">
        <v>738867.071</v>
      </c>
      <c r="O80" s="55">
        <v>7388.670713</v>
      </c>
      <c r="P80" s="55">
        <v>97530.45341</v>
      </c>
    </row>
    <row r="81">
      <c r="A81" s="41"/>
      <c r="B81" s="29">
        <v>2019.0</v>
      </c>
      <c r="C81" s="29">
        <v>1.0</v>
      </c>
      <c r="D81" s="29">
        <v>1.0</v>
      </c>
      <c r="E81" s="31">
        <v>10.91666667</v>
      </c>
      <c r="F81" s="31">
        <v>23.08333333</v>
      </c>
      <c r="G81" s="58">
        <f t="shared" si="19"/>
        <v>17</v>
      </c>
      <c r="H81" s="33">
        <v>25.1</v>
      </c>
      <c r="I81" s="34">
        <v>63.23</v>
      </c>
      <c r="J81" s="55">
        <v>0.725</v>
      </c>
      <c r="K81" s="55">
        <v>6689598.79</v>
      </c>
      <c r="L81" s="55">
        <v>107033.5806</v>
      </c>
      <c r="M81" s="55">
        <v>495030.3105</v>
      </c>
      <c r="N81" s="55">
        <v>745767.21</v>
      </c>
      <c r="O81" s="55">
        <v>7457.672098</v>
      </c>
      <c r="P81" s="55">
        <v>98441.27169</v>
      </c>
    </row>
    <row r="82">
      <c r="A82" s="41"/>
      <c r="B82" s="29">
        <v>2020.0</v>
      </c>
      <c r="C82" s="29">
        <v>1.0</v>
      </c>
      <c r="D82" s="29">
        <v>1.0</v>
      </c>
      <c r="E82" s="31">
        <v>12.0</v>
      </c>
      <c r="F82" s="31">
        <v>24.5</v>
      </c>
      <c r="G82" s="58">
        <f t="shared" si="19"/>
        <v>18.25</v>
      </c>
      <c r="H82" s="33">
        <v>26.1</v>
      </c>
      <c r="I82" s="34">
        <v>63.17</v>
      </c>
      <c r="J82" s="55">
        <f>J81+(((J81-J80)+(J80-J79)+(J79-J78)+(J78-J77))/4)</f>
        <v>0.73075</v>
      </c>
      <c r="K82" s="55">
        <v>6750822.476</v>
      </c>
      <c r="L82" s="55">
        <v>108013.1596</v>
      </c>
      <c r="M82" s="55">
        <v>499560.8632</v>
      </c>
      <c r="N82" s="55">
        <v>752592.525</v>
      </c>
      <c r="O82" s="55">
        <v>7525.925245</v>
      </c>
      <c r="P82" s="55">
        <v>99342.21323</v>
      </c>
    </row>
    <row r="83">
      <c r="A83" s="41"/>
      <c r="B83" s="29">
        <v>2021.0</v>
      </c>
      <c r="C83" s="29">
        <v>1.0</v>
      </c>
      <c r="D83" s="29">
        <v>1.0</v>
      </c>
      <c r="E83" s="31">
        <v>11.33333333</v>
      </c>
      <c r="F83" s="31">
        <v>24.0</v>
      </c>
      <c r="G83" s="58">
        <f t="shared" si="19"/>
        <v>17.66666667</v>
      </c>
      <c r="H83" s="59">
        <f>MEDIAN(H77:H82)</f>
        <v>27.6</v>
      </c>
      <c r="I83" s="45">
        <f t="shared" ref="I83:I84" si="21">I82-0.06</f>
        <v>63.11</v>
      </c>
      <c r="J83" s="55">
        <f>J82+(((J82-J81)+(J81-J80)+(J80-J79)+(J79-J78)+(J78-J77))/5)</f>
        <v>0.7365</v>
      </c>
      <c r="K83" s="55">
        <v>6811370.486</v>
      </c>
      <c r="L83" s="55">
        <v>108981.9278</v>
      </c>
      <c r="M83" s="55">
        <v>504041.416</v>
      </c>
      <c r="N83" s="55">
        <v>759342.514</v>
      </c>
      <c r="O83" s="55">
        <v>7593.425139</v>
      </c>
      <c r="P83" s="55">
        <v>100233.2118</v>
      </c>
    </row>
    <row r="84">
      <c r="A84" s="41"/>
      <c r="B84" s="22">
        <v>2022.0</v>
      </c>
      <c r="C84" s="29">
        <v>0.0</v>
      </c>
      <c r="D84" s="29">
        <v>0.0</v>
      </c>
      <c r="E84" s="32">
        <f t="shared" ref="E84:F84" si="20">E83+(((E83-E82)+(E82-E81)+(E81-E80)+(E80-E79)+(E79-E78)+(E78-E77))/6)</f>
        <v>11.55555555</v>
      </c>
      <c r="F84" s="32">
        <f t="shared" si="20"/>
        <v>24.125</v>
      </c>
      <c r="G84" s="32">
        <f t="shared" si="19"/>
        <v>17.84027778</v>
      </c>
      <c r="H84" s="33">
        <v>34.0</v>
      </c>
      <c r="I84" s="52">
        <f t="shared" si="21"/>
        <v>63.05</v>
      </c>
      <c r="J84" s="55">
        <f>J83+(((J83-J82)+(J82-J81)+(J81-J80)+(J80-J79)+(J79-J78)+(J78-J77))/6)</f>
        <v>0.74225</v>
      </c>
      <c r="K84" s="55">
        <v>6918693.0</v>
      </c>
      <c r="L84" s="55">
        <v>110699.088</v>
      </c>
      <c r="M84" s="55">
        <v>511983.282</v>
      </c>
      <c r="N84" s="55">
        <v>771307.0</v>
      </c>
      <c r="O84" s="55">
        <v>7713.07</v>
      </c>
      <c r="P84" s="55">
        <v>101812.524</v>
      </c>
    </row>
    <row r="85">
      <c r="A85" s="41"/>
      <c r="B85" s="22"/>
      <c r="C85" s="41"/>
      <c r="D85" s="41"/>
      <c r="E85" s="58"/>
      <c r="F85" s="58"/>
      <c r="G85" s="58"/>
      <c r="H85" s="59"/>
      <c r="I85" s="52"/>
      <c r="J85" s="53"/>
      <c r="K85" s="53"/>
      <c r="L85" s="53"/>
      <c r="M85" s="53"/>
      <c r="N85" s="53"/>
      <c r="O85" s="53"/>
      <c r="P85" s="53"/>
    </row>
    <row r="86">
      <c r="A86" s="28" t="s">
        <v>30</v>
      </c>
      <c r="B86" s="29">
        <v>2015.0</v>
      </c>
      <c r="C86" s="29">
        <v>1.0</v>
      </c>
      <c r="D86" s="29">
        <v>2.0</v>
      </c>
      <c r="E86" s="31">
        <v>21.41666667</v>
      </c>
      <c r="F86" s="31">
        <v>30.33333333</v>
      </c>
      <c r="G86" s="58">
        <f t="shared" ref="G86:G93" si="22">AVERAGE(E86:F86)</f>
        <v>25.875</v>
      </c>
      <c r="H86" s="33">
        <v>56.3</v>
      </c>
      <c r="I86" s="34">
        <v>38.46</v>
      </c>
      <c r="J86" s="35">
        <v>0.58</v>
      </c>
      <c r="K86" s="55">
        <v>2.7435401032E7</v>
      </c>
      <c r="L86" s="55">
        <v>438966.4165</v>
      </c>
      <c r="M86" s="55">
        <v>2030219.676</v>
      </c>
      <c r="N86" s="55">
        <v>8687575.969</v>
      </c>
      <c r="O86" s="55">
        <v>86875.75969</v>
      </c>
      <c r="P86" s="55">
        <v>1180137.659</v>
      </c>
    </row>
    <row r="87">
      <c r="A87" s="41"/>
      <c r="B87" s="29">
        <v>2016.0</v>
      </c>
      <c r="C87" s="29">
        <v>1.0</v>
      </c>
      <c r="D87" s="29">
        <v>1.0</v>
      </c>
      <c r="E87" s="31">
        <v>21.25</v>
      </c>
      <c r="F87" s="31">
        <v>30.75</v>
      </c>
      <c r="G87" s="58">
        <f t="shared" si="22"/>
        <v>26</v>
      </c>
      <c r="H87" s="33">
        <v>58.8</v>
      </c>
      <c r="I87" s="34">
        <v>45.33</v>
      </c>
      <c r="J87" s="35">
        <v>0.582</v>
      </c>
      <c r="K87" s="55">
        <v>2.8034007792E7</v>
      </c>
      <c r="L87" s="55">
        <v>448544.1247</v>
      </c>
      <c r="M87" s="55">
        <v>2074516.577</v>
      </c>
      <c r="N87" s="55">
        <v>8877128.208</v>
      </c>
      <c r="O87" s="55">
        <v>88771.28208</v>
      </c>
      <c r="P87" s="55">
        <v>1205886.813</v>
      </c>
    </row>
    <row r="88">
      <c r="A88" s="41"/>
      <c r="B88" s="29">
        <v>2017.0</v>
      </c>
      <c r="C88" s="29">
        <v>0.0</v>
      </c>
      <c r="D88" s="29">
        <v>0.0</v>
      </c>
      <c r="E88" s="31">
        <v>21.41666667</v>
      </c>
      <c r="F88" s="31">
        <v>31.08333333</v>
      </c>
      <c r="G88" s="58">
        <f t="shared" si="22"/>
        <v>26.25</v>
      </c>
      <c r="H88" s="33">
        <v>54.6</v>
      </c>
      <c r="I88" s="34">
        <v>51.33</v>
      </c>
      <c r="J88" s="35">
        <v>0.592</v>
      </c>
      <c r="K88" s="55">
        <v>2.8633442408E7</v>
      </c>
      <c r="L88" s="55">
        <v>458135.0785</v>
      </c>
      <c r="M88" s="55">
        <v>2118874.738</v>
      </c>
      <c r="N88" s="55">
        <v>9066942.593</v>
      </c>
      <c r="O88" s="55">
        <v>90669.42593</v>
      </c>
      <c r="P88" s="55">
        <v>1231671.578</v>
      </c>
    </row>
    <row r="89">
      <c r="A89" s="41"/>
      <c r="B89" s="29">
        <v>2018.0</v>
      </c>
      <c r="C89" s="29">
        <v>0.0</v>
      </c>
      <c r="D89" s="29">
        <v>0.0</v>
      </c>
      <c r="E89" s="31">
        <v>21.91666667</v>
      </c>
      <c r="F89" s="31">
        <v>30.91666667</v>
      </c>
      <c r="G89" s="58">
        <f t="shared" si="22"/>
        <v>26.41666667</v>
      </c>
      <c r="H89" s="33">
        <v>54.1</v>
      </c>
      <c r="I89" s="34">
        <v>40.19</v>
      </c>
      <c r="J89" s="35">
        <v>0.595</v>
      </c>
      <c r="K89" s="55">
        <v>2.9233448927E7</v>
      </c>
      <c r="L89" s="55">
        <v>467735.1828</v>
      </c>
      <c r="M89" s="55">
        <v>2163275.221</v>
      </c>
      <c r="N89" s="55">
        <v>9256938.074</v>
      </c>
      <c r="O89" s="55">
        <v>92569.38074</v>
      </c>
      <c r="P89" s="55">
        <v>1257480.943</v>
      </c>
    </row>
    <row r="90">
      <c r="A90" s="41"/>
      <c r="B90" s="29">
        <v>2019.0</v>
      </c>
      <c r="C90" s="29">
        <v>0.0</v>
      </c>
      <c r="D90" s="29">
        <v>0.0</v>
      </c>
      <c r="E90" s="31">
        <v>22.83333333</v>
      </c>
      <c r="F90" s="31">
        <v>31.58333333</v>
      </c>
      <c r="G90" s="58">
        <f t="shared" si="22"/>
        <v>27.20833333</v>
      </c>
      <c r="H90" s="33">
        <v>58.7</v>
      </c>
      <c r="I90" s="34">
        <v>44.16</v>
      </c>
      <c r="J90" s="35">
        <v>0.598</v>
      </c>
      <c r="K90" s="55">
        <v>2.9833776714E7</v>
      </c>
      <c r="L90" s="55">
        <v>477340.4274</v>
      </c>
      <c r="M90" s="55">
        <v>2207699.477</v>
      </c>
      <c r="N90" s="55">
        <v>9447035.286</v>
      </c>
      <c r="O90" s="55">
        <v>94470.35286</v>
      </c>
      <c r="P90" s="55">
        <v>1283304.128</v>
      </c>
    </row>
    <row r="91">
      <c r="A91" s="41"/>
      <c r="B91" s="29">
        <v>2020.0</v>
      </c>
      <c r="C91" s="29">
        <v>1.0</v>
      </c>
      <c r="D91" s="29">
        <v>1.0</v>
      </c>
      <c r="E91" s="31">
        <v>21.91666667</v>
      </c>
      <c r="F91" s="31">
        <v>29.83333333</v>
      </c>
      <c r="G91" s="58">
        <f t="shared" si="22"/>
        <v>25.875</v>
      </c>
      <c r="H91" s="33">
        <v>60.6</v>
      </c>
      <c r="I91" s="34">
        <v>47.55</v>
      </c>
      <c r="J91" s="35">
        <f>J90+(((J90-J89)+(J89-J88)+(J88-J87)+(J87-J86))/4)</f>
        <v>0.6025</v>
      </c>
      <c r="K91" s="55">
        <v>3.0434179692E7</v>
      </c>
      <c r="L91" s="55">
        <v>486946.8751</v>
      </c>
      <c r="M91" s="55">
        <v>2252129.297</v>
      </c>
      <c r="N91" s="55">
        <v>9637156.308</v>
      </c>
      <c r="O91" s="55">
        <v>96371.56308</v>
      </c>
      <c r="P91" s="55">
        <v>1309130.547</v>
      </c>
    </row>
    <row r="92">
      <c r="A92" s="41"/>
      <c r="B92" s="29">
        <v>2021.0</v>
      </c>
      <c r="C92" s="29">
        <v>1.0</v>
      </c>
      <c r="D92" s="29">
        <v>1.0</v>
      </c>
      <c r="E92" s="31">
        <v>21.25</v>
      </c>
      <c r="F92" s="31">
        <v>29.25</v>
      </c>
      <c r="G92" s="58">
        <f t="shared" si="22"/>
        <v>25.25</v>
      </c>
      <c r="H92" s="59">
        <f>MEDIAN(H86:H91)</f>
        <v>57.5</v>
      </c>
      <c r="I92" s="52">
        <f t="shared" ref="I92:I93" si="24">I91+3.39</f>
        <v>50.94</v>
      </c>
      <c r="J92" s="35">
        <f>J91+(((J91-J90)+(J90-J89)+(J89-J88)+(J88-J87)+(J87-J86))/5)</f>
        <v>0.607</v>
      </c>
      <c r="K92" s="55">
        <v>3.103441634E7</v>
      </c>
      <c r="L92" s="55">
        <v>496550.6614</v>
      </c>
      <c r="M92" s="55">
        <v>2296546.809</v>
      </c>
      <c r="N92" s="55">
        <v>9827224.661</v>
      </c>
      <c r="O92" s="55">
        <v>98272.24661</v>
      </c>
      <c r="P92" s="55">
        <v>1334949.811</v>
      </c>
    </row>
    <row r="93">
      <c r="A93" s="41"/>
      <c r="B93" s="22">
        <v>2022.0</v>
      </c>
      <c r="C93" s="29">
        <v>1.0</v>
      </c>
      <c r="D93" s="29">
        <v>2.0</v>
      </c>
      <c r="E93" s="32">
        <f t="shared" ref="E93:F93" si="23">E92+(((E92-E91)+(E91-E90)+(E90-E89)+(E89-E88)+(E88-E87)+(E87-E86))/6)</f>
        <v>21.22222222</v>
      </c>
      <c r="F93" s="32">
        <f t="shared" si="23"/>
        <v>29.06944445</v>
      </c>
      <c r="G93" s="32">
        <f t="shared" si="22"/>
        <v>25.14583333</v>
      </c>
      <c r="H93" s="33">
        <v>27.0</v>
      </c>
      <c r="I93" s="52">
        <f t="shared" si="24"/>
        <v>54.33</v>
      </c>
      <c r="J93" s="35">
        <f>J92+(((J92-J91)+(J91-J90)+(J90-J89)+(J89-J88)+(J88-J87)+(J87-J86))/6)</f>
        <v>0.6115</v>
      </c>
      <c r="K93" s="55">
        <v>3.115469E7</v>
      </c>
      <c r="L93" s="55">
        <v>498475.04</v>
      </c>
      <c r="M93" s="55">
        <v>2305447.06</v>
      </c>
      <c r="N93" s="63">
        <v>9865310.0</v>
      </c>
      <c r="O93" s="55">
        <v>98653.1</v>
      </c>
      <c r="P93" s="55">
        <v>1340123.4</v>
      </c>
    </row>
    <row r="94">
      <c r="A94" s="41"/>
      <c r="B94" s="22"/>
      <c r="C94" s="41"/>
      <c r="D94" s="41"/>
      <c r="E94" s="58"/>
      <c r="F94" s="58"/>
      <c r="G94" s="58"/>
      <c r="H94" s="59"/>
      <c r="I94" s="52"/>
      <c r="J94" s="53"/>
      <c r="K94" s="53"/>
      <c r="L94" s="53"/>
      <c r="M94" s="53"/>
      <c r="N94" s="53"/>
      <c r="O94" s="53"/>
      <c r="P94" s="53"/>
    </row>
    <row r="95">
      <c r="A95" s="28" t="s">
        <v>31</v>
      </c>
      <c r="B95" s="29">
        <v>2015.0</v>
      </c>
      <c r="C95" s="29">
        <v>1.0</v>
      </c>
      <c r="D95" s="29">
        <v>1.0</v>
      </c>
      <c r="E95" s="31">
        <v>19.75</v>
      </c>
      <c r="F95" s="31">
        <v>28.83333333</v>
      </c>
      <c r="G95" s="58">
        <f t="shared" ref="G95:G101" si="25">AVERAGE(E95:F95)</f>
        <v>24.29166667</v>
      </c>
      <c r="H95" s="61">
        <v>27.1</v>
      </c>
      <c r="I95" s="34">
        <v>58.7</v>
      </c>
      <c r="J95" s="55">
        <v>0.657</v>
      </c>
      <c r="K95" s="55">
        <v>3.9816567539E7</v>
      </c>
      <c r="L95" s="55">
        <v>637065.0806</v>
      </c>
      <c r="M95" s="55">
        <v>2944984.733</v>
      </c>
      <c r="N95" s="55">
        <v>2.5105277462E7</v>
      </c>
      <c r="O95" s="55">
        <v>251052.7746</v>
      </c>
      <c r="P95" s="55">
        <v>3313896.625</v>
      </c>
    </row>
    <row r="96">
      <c r="A96" s="41"/>
      <c r="B96" s="29">
        <v>2016.0</v>
      </c>
      <c r="C96" s="29">
        <v>1.0</v>
      </c>
      <c r="D96" s="29">
        <v>1.0</v>
      </c>
      <c r="E96" s="31">
        <v>19.66666667</v>
      </c>
      <c r="F96" s="31">
        <v>29.83333333</v>
      </c>
      <c r="G96" s="58">
        <f t="shared" si="25"/>
        <v>24.75</v>
      </c>
      <c r="H96" s="33">
        <v>26.6</v>
      </c>
      <c r="I96" s="34">
        <v>61.14</v>
      </c>
      <c r="J96" s="55">
        <v>0.667</v>
      </c>
      <c r="K96" s="55">
        <v>4.03957331E7</v>
      </c>
      <c r="L96" s="55">
        <v>646331.7296</v>
      </c>
      <c r="M96" s="55">
        <v>2987822.02</v>
      </c>
      <c r="N96" s="55">
        <v>2.54704549E7</v>
      </c>
      <c r="O96" s="55">
        <v>254704.549</v>
      </c>
      <c r="P96" s="55">
        <v>3362100.047</v>
      </c>
    </row>
    <row r="97">
      <c r="A97" s="41"/>
      <c r="B97" s="29">
        <v>2017.0</v>
      </c>
      <c r="C97" s="29">
        <v>0.0</v>
      </c>
      <c r="D97" s="29">
        <v>0.0</v>
      </c>
      <c r="E97" s="31">
        <v>20.25</v>
      </c>
      <c r="F97" s="31">
        <v>29.5</v>
      </c>
      <c r="G97" s="58">
        <f t="shared" si="25"/>
        <v>24.875</v>
      </c>
      <c r="H97" s="61">
        <v>29.7</v>
      </c>
      <c r="I97" s="34">
        <v>60.37</v>
      </c>
      <c r="J97" s="55">
        <v>0.677</v>
      </c>
      <c r="K97" s="55">
        <v>4.097157151E7</v>
      </c>
      <c r="L97" s="55">
        <v>655545.1442</v>
      </c>
      <c r="M97" s="55">
        <v>3030413.218</v>
      </c>
      <c r="N97" s="55">
        <v>2.583353449E7</v>
      </c>
      <c r="O97" s="55">
        <v>258335.3449</v>
      </c>
      <c r="P97" s="55">
        <v>3410026.553</v>
      </c>
    </row>
    <row r="98">
      <c r="A98" s="41"/>
      <c r="B98" s="29">
        <v>2018.0</v>
      </c>
      <c r="C98" s="29">
        <v>0.0</v>
      </c>
      <c r="D98" s="29">
        <v>0.0</v>
      </c>
      <c r="E98" s="31">
        <v>21.5</v>
      </c>
      <c r="F98" s="31">
        <v>29.41666667</v>
      </c>
      <c r="G98" s="58">
        <f t="shared" si="25"/>
        <v>25.45833334</v>
      </c>
      <c r="H98" s="61">
        <v>29.3</v>
      </c>
      <c r="I98" s="34">
        <v>58.05</v>
      </c>
      <c r="J98" s="55">
        <v>0.68</v>
      </c>
      <c r="K98" s="55">
        <v>4.1543938028E7</v>
      </c>
      <c r="L98" s="55">
        <v>664703.0084</v>
      </c>
      <c r="M98" s="55">
        <v>3072747.622</v>
      </c>
      <c r="N98" s="55">
        <v>2.6194424972E7</v>
      </c>
      <c r="O98" s="55">
        <v>261944.2497</v>
      </c>
      <c r="P98" s="55">
        <v>3457664.096</v>
      </c>
    </row>
    <row r="99">
      <c r="A99" s="41"/>
      <c r="B99" s="29">
        <v>2019.0</v>
      </c>
      <c r="C99" s="29">
        <v>1.0</v>
      </c>
      <c r="D99" s="29">
        <v>2.0</v>
      </c>
      <c r="E99" s="31">
        <v>21.5</v>
      </c>
      <c r="F99" s="31">
        <v>29.75</v>
      </c>
      <c r="G99" s="58">
        <f t="shared" si="25"/>
        <v>25.625</v>
      </c>
      <c r="H99" s="61">
        <v>25.9</v>
      </c>
      <c r="I99" s="34">
        <v>59.3</v>
      </c>
      <c r="J99" s="55">
        <v>0.683</v>
      </c>
      <c r="K99" s="55">
        <v>4.2112692822E7</v>
      </c>
      <c r="L99" s="55">
        <v>673803.0852</v>
      </c>
      <c r="M99" s="55">
        <v>3114814.89</v>
      </c>
      <c r="N99" s="55">
        <v>2.6553038178E7</v>
      </c>
      <c r="O99" s="55">
        <v>265530.3818</v>
      </c>
      <c r="P99" s="55">
        <v>3505001.039</v>
      </c>
    </row>
    <row r="100">
      <c r="A100" s="41"/>
      <c r="B100" s="29">
        <v>2020.0</v>
      </c>
      <c r="C100" s="29">
        <v>1.0</v>
      </c>
      <c r="D100" s="29">
        <v>1.0</v>
      </c>
      <c r="E100" s="31">
        <v>20.75</v>
      </c>
      <c r="F100" s="31">
        <v>28.83333333</v>
      </c>
      <c r="G100" s="58">
        <f t="shared" si="25"/>
        <v>24.79166667</v>
      </c>
      <c r="H100" s="61">
        <v>28.3</v>
      </c>
      <c r="I100" s="34">
        <v>57.93</v>
      </c>
      <c r="J100" s="55">
        <f>J99+(((J99-J98)+(J98-J97)+(J97-J96)+(J96-J95))/4)</f>
        <v>0.6895</v>
      </c>
      <c r="K100" s="55">
        <v>4.2677702807E7</v>
      </c>
      <c r="L100" s="55">
        <v>682843.2449</v>
      </c>
      <c r="M100" s="55">
        <v>3156605.176</v>
      </c>
      <c r="N100" s="55">
        <v>2.6909290193E7</v>
      </c>
      <c r="O100" s="55">
        <v>269092.9019</v>
      </c>
      <c r="P100" s="55">
        <v>3552026.305</v>
      </c>
    </row>
    <row r="101">
      <c r="A101" s="41"/>
      <c r="B101" s="29">
        <v>2021.0</v>
      </c>
      <c r="C101" s="29">
        <v>1.0</v>
      </c>
      <c r="D101" s="29">
        <v>2.0</v>
      </c>
      <c r="E101" s="31">
        <v>19.91666667</v>
      </c>
      <c r="F101" s="31">
        <v>27.33333333</v>
      </c>
      <c r="G101" s="58">
        <f t="shared" si="25"/>
        <v>23.625</v>
      </c>
      <c r="H101" s="59">
        <f>MEDIAN(H95:H100)</f>
        <v>27.7</v>
      </c>
      <c r="I101" s="52">
        <f>I100-1.37</f>
        <v>56.56</v>
      </c>
      <c r="J101" s="55">
        <f>J100+(((J100-J99)+(J99-J98)+(J98-J97)+(J97-J96)+(J96-J95))/5)</f>
        <v>0.696</v>
      </c>
      <c r="K101" s="55">
        <v>4.3238842255E7</v>
      </c>
      <c r="L101" s="55">
        <v>691821.4761</v>
      </c>
      <c r="M101" s="55">
        <v>3198109.184</v>
      </c>
      <c r="N101" s="55">
        <v>2.7263101745E7</v>
      </c>
      <c r="O101" s="55">
        <v>272631.0174</v>
      </c>
      <c r="P101" s="55">
        <v>3598729.43</v>
      </c>
    </row>
    <row r="102">
      <c r="A102" s="41"/>
      <c r="B102" s="22">
        <v>2022.0</v>
      </c>
      <c r="C102" s="29">
        <v>1.0</v>
      </c>
      <c r="D102" s="29">
        <v>1.0</v>
      </c>
      <c r="E102" s="32">
        <v>21.8</v>
      </c>
      <c r="F102" s="32">
        <v>34.42</v>
      </c>
      <c r="G102" s="32">
        <v>27.98</v>
      </c>
      <c r="H102" s="33">
        <v>18.0</v>
      </c>
      <c r="I102" s="64">
        <v>55.19</v>
      </c>
      <c r="J102" s="55">
        <f>J101+(((J101-J100)+(J100-J99)+(J99-J98)+(J98-J97)+(J97-J96)+(J96-J95))/6)</f>
        <v>0.7025</v>
      </c>
      <c r="K102" s="55">
        <v>4.3476837E7</v>
      </c>
      <c r="L102" s="55">
        <v>695629.392</v>
      </c>
      <c r="M102" s="55">
        <v>3215712.18</v>
      </c>
      <c r="N102" s="55">
        <v>2.7413163E7</v>
      </c>
      <c r="O102" s="55">
        <v>274131.63</v>
      </c>
      <c r="P102" s="55">
        <v>3618537.516</v>
      </c>
    </row>
    <row r="103">
      <c r="A103" s="41"/>
      <c r="B103" s="22"/>
      <c r="C103" s="41"/>
      <c r="D103" s="41"/>
      <c r="E103" s="58"/>
      <c r="F103" s="58"/>
      <c r="G103" s="58"/>
      <c r="H103" s="59"/>
      <c r="I103" s="52"/>
      <c r="J103" s="53"/>
      <c r="K103" s="53"/>
      <c r="L103" s="53"/>
      <c r="M103" s="53"/>
      <c r="N103" s="53"/>
      <c r="O103" s="53"/>
      <c r="P103" s="53"/>
    </row>
    <row r="104">
      <c r="A104" s="28" t="s">
        <v>32</v>
      </c>
      <c r="B104" s="29">
        <v>2015.0</v>
      </c>
      <c r="C104" s="29">
        <v>0.0</v>
      </c>
      <c r="D104" s="29">
        <v>0.0</v>
      </c>
      <c r="E104" s="31">
        <v>25.5</v>
      </c>
      <c r="F104" s="31">
        <v>31.16666667</v>
      </c>
      <c r="G104" s="58">
        <f t="shared" ref="G104:G110" si="26">AVERAGE(E104:F104)</f>
        <v>28.33333334</v>
      </c>
      <c r="H104" s="33">
        <v>16.4</v>
      </c>
      <c r="I104" s="34">
        <v>80.0</v>
      </c>
      <c r="J104" s="35">
        <v>0.757</v>
      </c>
      <c r="K104" s="55">
        <v>1.7778944634E7</v>
      </c>
      <c r="L104" s="55">
        <v>284463.1141</v>
      </c>
      <c r="M104" s="55">
        <v>1315641.903</v>
      </c>
      <c r="N104" s="55">
        <v>1.6215213366E7</v>
      </c>
      <c r="O104" s="55">
        <v>162152.1337</v>
      </c>
      <c r="P104" s="55">
        <v>2140408.164</v>
      </c>
    </row>
    <row r="105">
      <c r="A105" s="41"/>
      <c r="B105" s="29">
        <v>2016.0</v>
      </c>
      <c r="C105" s="29">
        <v>1.0</v>
      </c>
      <c r="D105" s="29">
        <v>2.0</v>
      </c>
      <c r="E105" s="31">
        <v>25.0</v>
      </c>
      <c r="F105" s="31">
        <v>31.25</v>
      </c>
      <c r="G105" s="58">
        <f t="shared" si="26"/>
        <v>28.125</v>
      </c>
      <c r="H105" s="33">
        <v>18.5</v>
      </c>
      <c r="I105" s="34">
        <v>76.55</v>
      </c>
      <c r="J105" s="35">
        <v>0.763</v>
      </c>
      <c r="K105" s="55">
        <v>1.7852833028E7</v>
      </c>
      <c r="L105" s="55">
        <v>285645.3284</v>
      </c>
      <c r="M105" s="55">
        <v>1321109.644</v>
      </c>
      <c r="N105" s="55">
        <v>1.6282602972E7</v>
      </c>
      <c r="O105" s="55">
        <v>162826.0297</v>
      </c>
      <c r="P105" s="55">
        <v>2149303.592</v>
      </c>
    </row>
    <row r="106">
      <c r="A106" s="41"/>
      <c r="B106" s="29">
        <v>2017.0</v>
      </c>
      <c r="C106" s="29">
        <v>1.0</v>
      </c>
      <c r="D106" s="29">
        <v>1.0</v>
      </c>
      <c r="E106" s="31">
        <v>25.08333333</v>
      </c>
      <c r="F106" s="31">
        <v>32.66666667</v>
      </c>
      <c r="G106" s="58">
        <f t="shared" si="26"/>
        <v>28.875</v>
      </c>
      <c r="H106" s="33">
        <v>17.9</v>
      </c>
      <c r="I106" s="34">
        <v>74.01</v>
      </c>
      <c r="J106" s="35">
        <v>0.775</v>
      </c>
      <c r="K106" s="55">
        <v>1.7925544672E7</v>
      </c>
      <c r="L106" s="55">
        <v>286808.7148</v>
      </c>
      <c r="M106" s="55">
        <v>1326490.306</v>
      </c>
      <c r="N106" s="55">
        <v>1.6348919328E7</v>
      </c>
      <c r="O106" s="55">
        <v>163489.1933</v>
      </c>
      <c r="P106" s="55">
        <v>2158057.351</v>
      </c>
    </row>
    <row r="107">
      <c r="A107" s="41"/>
      <c r="B107" s="29">
        <v>2018.0</v>
      </c>
      <c r="C107" s="29">
        <v>1.0</v>
      </c>
      <c r="D107" s="29">
        <v>1.0</v>
      </c>
      <c r="E107" s="31">
        <v>25.66666667</v>
      </c>
      <c r="F107" s="31">
        <v>32.16666667</v>
      </c>
      <c r="G107" s="58">
        <f t="shared" si="26"/>
        <v>28.91666667</v>
      </c>
      <c r="H107" s="33">
        <v>19.9</v>
      </c>
      <c r="I107" s="34">
        <v>76.38</v>
      </c>
      <c r="J107" s="35">
        <v>0.778</v>
      </c>
      <c r="K107" s="55">
        <v>1.7997092641E7</v>
      </c>
      <c r="L107" s="55">
        <v>287953.4823</v>
      </c>
      <c r="M107" s="55">
        <v>1331784.855</v>
      </c>
      <c r="N107" s="55">
        <v>1.6414174359E7</v>
      </c>
      <c r="O107" s="55">
        <v>164141.7436</v>
      </c>
      <c r="P107" s="55">
        <v>2166671.015</v>
      </c>
    </row>
    <row r="108">
      <c r="A108" s="41"/>
      <c r="B108" s="29">
        <v>2019.0</v>
      </c>
      <c r="C108" s="29">
        <v>1.0</v>
      </c>
      <c r="D108" s="29">
        <v>1.0</v>
      </c>
      <c r="E108" s="31">
        <v>25.5</v>
      </c>
      <c r="F108" s="31">
        <v>33.41666667</v>
      </c>
      <c r="G108" s="58">
        <f t="shared" si="26"/>
        <v>29.45833334</v>
      </c>
      <c r="H108" s="33">
        <v>15.7</v>
      </c>
      <c r="I108" s="34">
        <v>79.44</v>
      </c>
      <c r="J108" s="35">
        <v>0.782</v>
      </c>
      <c r="K108" s="55">
        <v>1.8067488964E7</v>
      </c>
      <c r="L108" s="55">
        <v>289079.8234</v>
      </c>
      <c r="M108" s="55">
        <v>1336994.183</v>
      </c>
      <c r="N108" s="55">
        <v>1.6478379036E7</v>
      </c>
      <c r="O108" s="55">
        <v>164783.7904</v>
      </c>
      <c r="P108" s="55">
        <v>2175146.033</v>
      </c>
    </row>
    <row r="109">
      <c r="A109" s="41"/>
      <c r="B109" s="29">
        <v>2020.0</v>
      </c>
      <c r="C109" s="29">
        <v>1.0</v>
      </c>
      <c r="D109" s="29">
        <v>3.0</v>
      </c>
      <c r="E109" s="31">
        <v>24.91666667</v>
      </c>
      <c r="F109" s="31">
        <v>31.0</v>
      </c>
      <c r="G109" s="58">
        <f t="shared" si="26"/>
        <v>27.95833334</v>
      </c>
      <c r="H109" s="33">
        <v>17.1</v>
      </c>
      <c r="I109" s="34">
        <v>81.6</v>
      </c>
      <c r="J109" s="35">
        <f>J108+(((J108-J107)+(J107-J106)+(J106-J105)+(J105-J104))/4)</f>
        <v>0.78825</v>
      </c>
      <c r="K109" s="55">
        <v>1.8136747762E7</v>
      </c>
      <c r="L109" s="55">
        <v>290187.9642</v>
      </c>
      <c r="M109" s="55">
        <v>1342119.334</v>
      </c>
      <c r="N109" s="55">
        <v>1.6541546238E7</v>
      </c>
      <c r="O109" s="55">
        <v>165415.4624</v>
      </c>
      <c r="P109" s="55">
        <v>2183484.103</v>
      </c>
    </row>
    <row r="110">
      <c r="A110" s="41"/>
      <c r="B110" s="29">
        <v>2021.0</v>
      </c>
      <c r="C110" s="29">
        <v>1.0</v>
      </c>
      <c r="D110" s="29">
        <v>2.0</v>
      </c>
      <c r="E110" s="31">
        <v>24.0</v>
      </c>
      <c r="F110" s="31">
        <v>30.0</v>
      </c>
      <c r="G110" s="58">
        <f t="shared" si="26"/>
        <v>27</v>
      </c>
      <c r="H110" s="59">
        <f>MEDIAN(H104:H109)</f>
        <v>17.5</v>
      </c>
      <c r="I110" s="52">
        <f t="shared" ref="I110:I111" si="27">I109+0.6</f>
        <v>82.2</v>
      </c>
      <c r="J110" s="35">
        <f>J109+(((J109-J108)+(J108-J107)+(J107-J106)+(J106-J105)+(J105-J104))/5)</f>
        <v>0.7945</v>
      </c>
      <c r="K110" s="55">
        <v>1.8204881064E7</v>
      </c>
      <c r="L110" s="55">
        <v>291278.097</v>
      </c>
      <c r="M110" s="55">
        <v>1347161.199</v>
      </c>
      <c r="N110" s="55">
        <v>1.6603686936E7</v>
      </c>
      <c r="O110" s="55">
        <v>166036.8694</v>
      </c>
      <c r="P110" s="55">
        <v>2191686.676</v>
      </c>
    </row>
    <row r="111">
      <c r="A111" s="41"/>
      <c r="B111" s="22">
        <v>2022.0</v>
      </c>
      <c r="C111" s="29">
        <v>1.0</v>
      </c>
      <c r="D111" s="29">
        <v>2.0</v>
      </c>
      <c r="E111" s="32">
        <v>21.8</v>
      </c>
      <c r="F111" s="32">
        <v>34.42</v>
      </c>
      <c r="G111" s="32">
        <v>27.98</v>
      </c>
      <c r="H111" s="33">
        <v>29.0</v>
      </c>
      <c r="I111" s="52">
        <f t="shared" si="27"/>
        <v>82.8</v>
      </c>
      <c r="J111" s="35">
        <f>J110+(((J110-J109)+(J109-J108)+(J108-J107)+(J107-J106)+(J106-J105)+(J105-J104))/6)</f>
        <v>0.80075</v>
      </c>
      <c r="K111" s="55">
        <v>1.828931E7</v>
      </c>
      <c r="L111" s="55">
        <v>292628.96</v>
      </c>
      <c r="M111" s="55">
        <v>1353408.94</v>
      </c>
      <c r="N111" s="55">
        <v>1.668069E7</v>
      </c>
      <c r="O111" s="55">
        <v>166806.9</v>
      </c>
      <c r="P111" s="55">
        <v>2201851.08</v>
      </c>
    </row>
    <row r="112">
      <c r="A112" s="41"/>
      <c r="B112" s="22"/>
      <c r="C112" s="41"/>
      <c r="D112" s="41"/>
      <c r="E112" s="58"/>
      <c r="F112" s="58"/>
      <c r="G112" s="58"/>
      <c r="H112" s="59"/>
      <c r="I112" s="52"/>
      <c r="J112" s="53"/>
      <c r="K112" s="53"/>
      <c r="L112" s="53"/>
      <c r="M112" s="53"/>
      <c r="N112" s="53"/>
      <c r="O112" s="53"/>
      <c r="P112" s="53"/>
    </row>
    <row r="113">
      <c r="A113" s="28" t="s">
        <v>33</v>
      </c>
      <c r="B113" s="29">
        <v>2015.0</v>
      </c>
      <c r="C113" s="29">
        <v>1.0</v>
      </c>
      <c r="D113" s="29">
        <v>4.0</v>
      </c>
      <c r="E113" s="31">
        <v>22.66666667</v>
      </c>
      <c r="F113" s="31">
        <v>32.66666667</v>
      </c>
      <c r="G113" s="58">
        <f t="shared" ref="G113:G120" si="28">AVERAGE(E113:F113)</f>
        <v>27.66666667</v>
      </c>
      <c r="H113" s="33">
        <v>50.1</v>
      </c>
      <c r="I113" s="34">
        <v>38.99</v>
      </c>
      <c r="J113" s="55">
        <v>0.581</v>
      </c>
      <c r="K113" s="55">
        <v>5.657948404E7</v>
      </c>
      <c r="L113" s="55">
        <v>905271.7446</v>
      </c>
      <c r="M113" s="55">
        <v>4186881.819</v>
      </c>
      <c r="N113" s="55">
        <v>2.160136996E7</v>
      </c>
      <c r="O113" s="55">
        <v>216013.6996</v>
      </c>
      <c r="P113" s="55">
        <v>2851380.835</v>
      </c>
    </row>
    <row r="114">
      <c r="A114" s="41"/>
      <c r="B114" s="29">
        <v>2016.0</v>
      </c>
      <c r="C114" s="29">
        <v>1.0</v>
      </c>
      <c r="D114" s="29">
        <v>1.0</v>
      </c>
      <c r="E114" s="31">
        <v>22.25</v>
      </c>
      <c r="F114" s="31">
        <v>32.5</v>
      </c>
      <c r="G114" s="58">
        <f t="shared" si="28"/>
        <v>27.375</v>
      </c>
      <c r="H114" s="33">
        <v>49.6</v>
      </c>
      <c r="I114" s="45">
        <v>39.6</v>
      </c>
      <c r="J114" s="55">
        <v>0.588</v>
      </c>
      <c r="K114" s="55">
        <v>5.7579424672E7</v>
      </c>
      <c r="L114" s="55">
        <v>921270.7948</v>
      </c>
      <c r="M114" s="55">
        <v>4260877.426</v>
      </c>
      <c r="N114" s="55">
        <v>2.1983135328E7</v>
      </c>
      <c r="O114" s="55">
        <v>219831.3533</v>
      </c>
      <c r="P114" s="55">
        <v>2901773.863</v>
      </c>
    </row>
    <row r="115">
      <c r="A115" s="41"/>
      <c r="B115" s="29">
        <v>2017.0</v>
      </c>
      <c r="C115" s="29">
        <v>1.0</v>
      </c>
      <c r="D115" s="29">
        <v>1.0</v>
      </c>
      <c r="E115" s="31">
        <v>22.66666667</v>
      </c>
      <c r="F115" s="31">
        <v>33.5</v>
      </c>
      <c r="G115" s="58">
        <f t="shared" si="28"/>
        <v>28.08333334</v>
      </c>
      <c r="H115" s="33">
        <v>51.5</v>
      </c>
      <c r="I115" s="34">
        <v>40.09</v>
      </c>
      <c r="J115" s="55">
        <v>0.598</v>
      </c>
      <c r="K115" s="55">
        <v>5.8576686167E7</v>
      </c>
      <c r="L115" s="55">
        <v>937226.9787</v>
      </c>
      <c r="M115" s="55">
        <v>4334674.776</v>
      </c>
      <c r="N115" s="55">
        <v>2.2363877833E7</v>
      </c>
      <c r="O115" s="55">
        <v>223638.7783</v>
      </c>
      <c r="P115" s="55">
        <v>2952031.874</v>
      </c>
    </row>
    <row r="116">
      <c r="A116" s="41"/>
      <c r="B116" s="29">
        <v>2018.0</v>
      </c>
      <c r="C116" s="29">
        <v>0.0</v>
      </c>
      <c r="D116" s="29">
        <v>0.0</v>
      </c>
      <c r="E116" s="31">
        <v>23.58333333</v>
      </c>
      <c r="F116" s="31">
        <v>32.41666667</v>
      </c>
      <c r="G116" s="58">
        <f t="shared" si="28"/>
        <v>28</v>
      </c>
      <c r="H116" s="33">
        <v>51.2</v>
      </c>
      <c r="I116" s="34">
        <v>38.39</v>
      </c>
      <c r="J116" s="55">
        <v>0.6</v>
      </c>
      <c r="K116" s="55">
        <v>5.9570928385E7</v>
      </c>
      <c r="L116" s="55">
        <v>953134.8542</v>
      </c>
      <c r="M116" s="55">
        <v>4408248.701</v>
      </c>
      <c r="N116" s="55">
        <v>2.2743467615E7</v>
      </c>
      <c r="O116" s="55">
        <v>227434.6761</v>
      </c>
      <c r="P116" s="55">
        <v>3002137.725</v>
      </c>
    </row>
    <row r="117">
      <c r="A117" s="41"/>
      <c r="B117" s="29">
        <v>2019.0</v>
      </c>
      <c r="C117" s="29">
        <v>0.0</v>
      </c>
      <c r="D117" s="29">
        <v>0.0</v>
      </c>
      <c r="E117" s="31">
        <v>22.66666667</v>
      </c>
      <c r="F117" s="31">
        <v>30.58333333</v>
      </c>
      <c r="G117" s="58">
        <f t="shared" si="28"/>
        <v>26.625</v>
      </c>
      <c r="H117" s="33">
        <v>54.8</v>
      </c>
      <c r="I117" s="34">
        <v>33.37</v>
      </c>
      <c r="J117" s="55">
        <v>0.603</v>
      </c>
      <c r="K117" s="55">
        <v>6.0561824215E7</v>
      </c>
      <c r="L117" s="55">
        <v>968989.1874</v>
      </c>
      <c r="M117" s="55">
        <v>4481574.992</v>
      </c>
      <c r="N117" s="55">
        <v>2.3121779785E7</v>
      </c>
      <c r="O117" s="55">
        <v>231217.7979</v>
      </c>
      <c r="P117" s="55">
        <v>3052074.932</v>
      </c>
    </row>
    <row r="118">
      <c r="A118" s="41"/>
      <c r="B118" s="29">
        <v>2020.0</v>
      </c>
      <c r="C118" s="29">
        <v>1.0</v>
      </c>
      <c r="D118" s="29">
        <v>1.0</v>
      </c>
      <c r="E118" s="31">
        <v>23.5</v>
      </c>
      <c r="F118" s="31">
        <v>31.91666667</v>
      </c>
      <c r="G118" s="58">
        <f t="shared" si="28"/>
        <v>27.70833334</v>
      </c>
      <c r="H118" s="33">
        <v>53.2</v>
      </c>
      <c r="I118" s="34">
        <v>36.72</v>
      </c>
      <c r="J118" s="55">
        <f>J117+(((J117-J116)+(J116-J115)+(J115-J114)+(J114-J113))/4)</f>
        <v>0.6085</v>
      </c>
      <c r="K118" s="55">
        <v>6.1549055228E7</v>
      </c>
      <c r="L118" s="55">
        <v>984784.8836</v>
      </c>
      <c r="M118" s="55">
        <v>4554630.087</v>
      </c>
      <c r="N118" s="55">
        <v>2.3498692772E7</v>
      </c>
      <c r="O118" s="55">
        <v>234986.9277</v>
      </c>
      <c r="P118" s="55">
        <v>3101827.446</v>
      </c>
    </row>
    <row r="119">
      <c r="A119" s="41"/>
      <c r="B119" s="29">
        <v>2021.0</v>
      </c>
      <c r="C119" s="29">
        <v>1.0</v>
      </c>
      <c r="D119" s="29">
        <v>3.0</v>
      </c>
      <c r="E119" s="31">
        <v>22.5</v>
      </c>
      <c r="F119" s="31">
        <v>32.0</v>
      </c>
      <c r="G119" s="58">
        <f t="shared" si="28"/>
        <v>27.25</v>
      </c>
      <c r="H119" s="59">
        <f>MEDIAN(H113:H118)</f>
        <v>51.35</v>
      </c>
      <c r="I119" s="65">
        <f t="shared" ref="I119:I120" si="30">I118+3.35</f>
        <v>40.07</v>
      </c>
      <c r="J119" s="55">
        <f>J118+(((J118-J117)+(J117-J116)+(J116-J115)+(J115-J114)+(J114-J113))/5)</f>
        <v>0.614</v>
      </c>
      <c r="K119" s="55">
        <v>6.2532312404E7</v>
      </c>
      <c r="L119" s="55">
        <v>1000516.998</v>
      </c>
      <c r="M119" s="55">
        <v>4627391.118</v>
      </c>
      <c r="N119" s="55">
        <v>2.3874088596E7</v>
      </c>
      <c r="O119" s="55">
        <v>238740.886</v>
      </c>
      <c r="P119" s="55">
        <v>3151379.695</v>
      </c>
    </row>
    <row r="120">
      <c r="A120" s="41"/>
      <c r="B120" s="22">
        <v>2022.0</v>
      </c>
      <c r="C120" s="29">
        <v>0.0</v>
      </c>
      <c r="D120" s="29">
        <v>0.0</v>
      </c>
      <c r="E120" s="32">
        <f t="shared" ref="E120:F120" si="29">E119+(((E119-E118)+(E118-E117)+(E117-E116)+(E116-E115)+(E115-E114)+(E114-E113))/6)</f>
        <v>22.47222222</v>
      </c>
      <c r="F120" s="32">
        <f t="shared" si="29"/>
        <v>31.88888889</v>
      </c>
      <c r="G120" s="32">
        <f t="shared" si="28"/>
        <v>27.18055556</v>
      </c>
      <c r="H120" s="33">
        <v>35.0</v>
      </c>
      <c r="I120" s="52">
        <f t="shared" si="30"/>
        <v>43.42</v>
      </c>
      <c r="J120" s="55">
        <f>J119+(((J119-J118)+(J118-J117)+(J117-J116)+(J116-J115)+(J115-J114)+(J114-J113))/6)</f>
        <v>0.6195</v>
      </c>
      <c r="K120" s="55">
        <v>6.346849E7</v>
      </c>
      <c r="L120" s="55">
        <v>1015495.84</v>
      </c>
      <c r="M120" s="55">
        <v>4696668.26</v>
      </c>
      <c r="N120" s="55">
        <v>2.423151E7</v>
      </c>
      <c r="O120" s="55">
        <v>242315.1</v>
      </c>
      <c r="P120" s="55">
        <v>3198559.32</v>
      </c>
    </row>
    <row r="121">
      <c r="A121" s="41"/>
      <c r="B121" s="22"/>
      <c r="C121" s="41"/>
      <c r="D121" s="41"/>
      <c r="E121" s="58"/>
      <c r="F121" s="58"/>
      <c r="G121" s="58"/>
      <c r="H121" s="59"/>
      <c r="I121" s="52"/>
      <c r="J121" s="53"/>
      <c r="K121" s="53"/>
      <c r="L121" s="53"/>
      <c r="M121" s="53"/>
      <c r="N121" s="53"/>
      <c r="O121" s="53"/>
      <c r="P121" s="53"/>
    </row>
    <row r="122">
      <c r="A122" s="28" t="s">
        <v>34</v>
      </c>
      <c r="B122" s="29">
        <v>2015.0</v>
      </c>
      <c r="C122" s="29">
        <v>1.0</v>
      </c>
      <c r="D122" s="29">
        <v>2.0</v>
      </c>
      <c r="E122" s="31">
        <v>26.25</v>
      </c>
      <c r="F122" s="31">
        <v>32.25</v>
      </c>
      <c r="G122" s="58">
        <f t="shared" ref="G122:G129" si="31">AVERAGE(E122:F122)</f>
        <v>29.25</v>
      </c>
      <c r="H122" s="33">
        <v>39.3</v>
      </c>
      <c r="I122" s="34">
        <v>60.09</v>
      </c>
      <c r="J122" s="55">
        <v>0.678</v>
      </c>
      <c r="K122" s="66">
        <v>6.4662527833E7</v>
      </c>
      <c r="L122" s="67">
        <v>1034600.445</v>
      </c>
      <c r="M122" s="68">
        <v>4785027.0596568</v>
      </c>
      <c r="N122" s="69">
        <v>5.3377866167E7</v>
      </c>
      <c r="O122" s="68">
        <v>533778.661668</v>
      </c>
      <c r="P122" s="68">
        <v>7045878.3340176</v>
      </c>
    </row>
    <row r="123">
      <c r="A123" s="41"/>
      <c r="B123" s="29">
        <v>2016.0</v>
      </c>
      <c r="C123" s="29">
        <v>1.0</v>
      </c>
      <c r="D123" s="29">
        <v>1.0</v>
      </c>
      <c r="E123" s="31">
        <v>25.75</v>
      </c>
      <c r="F123" s="31">
        <v>31.16666667</v>
      </c>
      <c r="G123" s="58">
        <f t="shared" si="31"/>
        <v>28.45833334</v>
      </c>
      <c r="H123" s="33">
        <v>38.9</v>
      </c>
      <c r="I123" s="34">
        <v>61.07</v>
      </c>
      <c r="J123" s="55">
        <v>0.68</v>
      </c>
      <c r="K123" s="70">
        <v>6.5423047338E7</v>
      </c>
      <c r="L123" s="71">
        <v>1046768.7574080002</v>
      </c>
      <c r="M123" s="72">
        <v>4841305.503012001</v>
      </c>
      <c r="N123" s="73">
        <v>5.4005662662E7</v>
      </c>
      <c r="O123" s="72">
        <v>540056.62662</v>
      </c>
      <c r="P123" s="72">
        <v>7128747.471384</v>
      </c>
    </row>
    <row r="124">
      <c r="A124" s="41"/>
      <c r="B124" s="29">
        <v>2017.0</v>
      </c>
      <c r="C124" s="29">
        <v>1.0</v>
      </c>
      <c r="D124" s="29">
        <v>3.0</v>
      </c>
      <c r="E124" s="31">
        <v>26.83333333</v>
      </c>
      <c r="F124" s="31">
        <v>32.08333333</v>
      </c>
      <c r="G124" s="58">
        <f t="shared" si="31"/>
        <v>29.45833333</v>
      </c>
      <c r="H124" s="33">
        <v>41.6</v>
      </c>
      <c r="I124" s="34">
        <v>63.99</v>
      </c>
      <c r="J124" s="55">
        <v>0.691</v>
      </c>
      <c r="K124" s="70">
        <v>6.6177121976E7</v>
      </c>
      <c r="L124" s="71">
        <v>1058833.9516128001</v>
      </c>
      <c r="M124" s="72">
        <v>4897107.026209201</v>
      </c>
      <c r="N124" s="73">
        <v>5.4628139024E7</v>
      </c>
      <c r="O124" s="72">
        <v>546281.390242</v>
      </c>
      <c r="P124" s="72">
        <v>7210914.3511944</v>
      </c>
    </row>
    <row r="125">
      <c r="A125" s="41"/>
      <c r="B125" s="29">
        <v>2018.0</v>
      </c>
      <c r="C125" s="29">
        <v>1.0</v>
      </c>
      <c r="D125" s="29">
        <v>1.0</v>
      </c>
      <c r="E125" s="31">
        <v>27.58333333</v>
      </c>
      <c r="F125" s="31">
        <v>31.83333333</v>
      </c>
      <c r="G125" s="58">
        <f t="shared" si="31"/>
        <v>29.70833333</v>
      </c>
      <c r="H125" s="33">
        <v>41.3</v>
      </c>
      <c r="I125" s="34">
        <v>68.61</v>
      </c>
      <c r="J125" s="55">
        <v>0.694</v>
      </c>
      <c r="K125" s="70">
        <v>6.6924632874E7</v>
      </c>
      <c r="L125" s="71">
        <v>1070794.1259840003</v>
      </c>
      <c r="M125" s="72">
        <v>4952422.832676001</v>
      </c>
      <c r="N125" s="73">
        <v>5.5245197126E7</v>
      </c>
      <c r="O125" s="72">
        <v>552451.9712599999</v>
      </c>
      <c r="P125" s="72">
        <v>7292366.020631999</v>
      </c>
    </row>
    <row r="126">
      <c r="A126" s="41"/>
      <c r="B126" s="29">
        <v>2019.0</v>
      </c>
      <c r="C126" s="29">
        <v>1.0</v>
      </c>
      <c r="D126" s="29">
        <v>4.0</v>
      </c>
      <c r="E126" s="31">
        <v>26.66666667</v>
      </c>
      <c r="F126" s="31">
        <v>31.08333333</v>
      </c>
      <c r="G126" s="58">
        <f t="shared" si="31"/>
        <v>28.875</v>
      </c>
      <c r="H126" s="33">
        <v>40.8</v>
      </c>
      <c r="I126" s="34">
        <v>64.53</v>
      </c>
      <c r="J126" s="55">
        <v>0.697</v>
      </c>
      <c r="K126" s="70">
        <v>6.7665468829E7</v>
      </c>
      <c r="L126" s="71">
        <v>1082647.5012672</v>
      </c>
      <c r="M126" s="72">
        <v>5007244.6933608</v>
      </c>
      <c r="N126" s="73">
        <v>5.5856745171E7</v>
      </c>
      <c r="O126" s="72">
        <v>558567.451708</v>
      </c>
      <c r="P126" s="72">
        <v>7373090.362545599</v>
      </c>
    </row>
    <row r="127">
      <c r="A127" s="41"/>
      <c r="B127" s="29">
        <v>2020.0</v>
      </c>
      <c r="C127" s="29">
        <v>1.0</v>
      </c>
      <c r="D127" s="29">
        <v>3.0</v>
      </c>
      <c r="E127" s="31">
        <v>24.83333333</v>
      </c>
      <c r="F127" s="31">
        <v>29.58333333</v>
      </c>
      <c r="G127" s="58">
        <f t="shared" si="31"/>
        <v>27.20833333</v>
      </c>
      <c r="H127" s="33">
        <v>42.0</v>
      </c>
      <c r="I127" s="34">
        <v>65.54</v>
      </c>
      <c r="J127" s="55">
        <f>J126+(((J126-J125)+(J125-J124)+(J124-J123)+(J123-J122))/4)</f>
        <v>0.70175</v>
      </c>
      <c r="K127" s="70">
        <v>6.8399524116E7</v>
      </c>
      <c r="L127" s="71">
        <v>1094392.3858560002</v>
      </c>
      <c r="M127" s="72">
        <v>5061564.784584001</v>
      </c>
      <c r="N127" s="73">
        <v>5.6462695884E7</v>
      </c>
      <c r="O127" s="72">
        <v>564626.95884</v>
      </c>
      <c r="P127" s="72">
        <v>7453075.856687999</v>
      </c>
    </row>
    <row r="128">
      <c r="A128" s="41"/>
      <c r="B128" s="29">
        <v>2021.0</v>
      </c>
      <c r="C128" s="29">
        <v>1.0</v>
      </c>
      <c r="D128" s="29">
        <v>4.0</v>
      </c>
      <c r="E128" s="31">
        <v>25.33333333</v>
      </c>
      <c r="F128" s="31">
        <v>30.33333333</v>
      </c>
      <c r="G128" s="58">
        <f t="shared" si="31"/>
        <v>27.83333333</v>
      </c>
      <c r="H128" s="33">
        <v>46.4</v>
      </c>
      <c r="I128" s="52">
        <f t="shared" ref="I128:I129" si="33">I127+3.6</f>
        <v>69.14</v>
      </c>
      <c r="J128" s="55">
        <f>J127+(((J127-J126)+(J126-J125)+(J125-J124)+(J124-J123)+(J123-J122))/5)</f>
        <v>0.7065</v>
      </c>
      <c r="K128" s="70">
        <v>6.9126702869E7</v>
      </c>
      <c r="L128" s="71">
        <v>1106027.2459104003</v>
      </c>
      <c r="M128" s="72">
        <v>5115376.0123356</v>
      </c>
      <c r="N128" s="73">
        <v>5.7062970131E7</v>
      </c>
      <c r="O128" s="72">
        <v>570629.701306</v>
      </c>
      <c r="P128" s="72">
        <v>7532312.057239198</v>
      </c>
    </row>
    <row r="129">
      <c r="A129" s="41"/>
      <c r="B129" s="22">
        <v>2022.0</v>
      </c>
      <c r="C129" s="29">
        <v>1.0</v>
      </c>
      <c r="D129" s="29">
        <v>2.0</v>
      </c>
      <c r="E129" s="58">
        <f t="shared" ref="E129:F129" si="32">E128+(((E128-E127)+(E127-E126)+(E126-E125)+(E125-E124)+(E124-E123)+(E123-E122))/6)</f>
        <v>25.18055555</v>
      </c>
      <c r="F129" s="58">
        <f t="shared" si="32"/>
        <v>30.01388889</v>
      </c>
      <c r="G129" s="58">
        <f t="shared" si="31"/>
        <v>27.59722222</v>
      </c>
      <c r="H129" s="33">
        <v>51.0</v>
      </c>
      <c r="I129" s="52">
        <f t="shared" si="33"/>
        <v>72.74</v>
      </c>
      <c r="J129" s="55">
        <f>J128+(((J128-J127)+(J127-J126)+(J126-J125)+(J125-J124)+(J124-J123)+(J123-J122))/6)</f>
        <v>0.71125</v>
      </c>
      <c r="K129" s="55">
        <v>7.1307126E7</v>
      </c>
      <c r="L129" s="55">
        <v>1140914.016</v>
      </c>
      <c r="M129" s="55">
        <v>5276727.324</v>
      </c>
      <c r="N129" s="55">
        <v>5.8862874E7</v>
      </c>
      <c r="O129" s="55">
        <v>588628.74</v>
      </c>
      <c r="P129" s="55">
        <v>7769899.368</v>
      </c>
    </row>
    <row r="130">
      <c r="A130" s="41"/>
      <c r="B130" s="22"/>
      <c r="C130" s="41"/>
      <c r="D130" s="41"/>
      <c r="E130" s="58"/>
      <c r="F130" s="58"/>
      <c r="G130" s="58"/>
      <c r="H130" s="59"/>
      <c r="I130" s="52"/>
      <c r="J130" s="53"/>
      <c r="K130" s="53"/>
      <c r="L130" s="53"/>
      <c r="M130" s="53"/>
      <c r="N130" s="53"/>
      <c r="O130" s="53"/>
      <c r="P130" s="53"/>
    </row>
    <row r="131">
      <c r="A131" s="28" t="s">
        <v>35</v>
      </c>
      <c r="B131" s="29">
        <v>2015.0</v>
      </c>
      <c r="C131" s="29">
        <v>1.0</v>
      </c>
      <c r="D131" s="29">
        <v>1.0</v>
      </c>
      <c r="E131" s="31">
        <v>13.75</v>
      </c>
      <c r="F131" s="31">
        <v>27.41666667</v>
      </c>
      <c r="G131" s="58">
        <f t="shared" ref="G131:G137" si="34">AVERAGE(E131:F131)</f>
        <v>20.58333334</v>
      </c>
      <c r="H131" s="33">
        <v>30.3</v>
      </c>
      <c r="I131" s="34">
        <v>57.78</v>
      </c>
      <c r="J131" s="55">
        <v>0.692</v>
      </c>
      <c r="K131" s="55">
        <v>2204283.089</v>
      </c>
      <c r="L131" s="55">
        <v>35268.52942</v>
      </c>
      <c r="M131" s="55">
        <v>163047.8214</v>
      </c>
      <c r="N131" s="55">
        <v>909550.9114</v>
      </c>
      <c r="O131" s="55">
        <v>9095.509114</v>
      </c>
      <c r="P131" s="55">
        <v>120307.336</v>
      </c>
    </row>
    <row r="132">
      <c r="A132" s="41"/>
      <c r="B132" s="29">
        <v>2016.0</v>
      </c>
      <c r="C132" s="29">
        <v>1.0</v>
      </c>
      <c r="D132" s="29">
        <v>4.0</v>
      </c>
      <c r="E132" s="31">
        <v>14.66666667</v>
      </c>
      <c r="F132" s="31">
        <v>28.0</v>
      </c>
      <c r="G132" s="58">
        <f t="shared" si="34"/>
        <v>21.33333334</v>
      </c>
      <c r="H132" s="33">
        <v>28.4</v>
      </c>
      <c r="I132" s="34">
        <v>60.59</v>
      </c>
      <c r="J132" s="55">
        <v>0.68</v>
      </c>
      <c r="K132" s="55">
        <v>2250087.05</v>
      </c>
      <c r="L132" s="55">
        <v>36001.3928</v>
      </c>
      <c r="M132" s="55">
        <v>166435.8782</v>
      </c>
      <c r="N132" s="55">
        <v>928450.9498</v>
      </c>
      <c r="O132" s="55">
        <v>9284.509498</v>
      </c>
      <c r="P132" s="55">
        <v>122807.2656</v>
      </c>
    </row>
    <row r="133">
      <c r="A133" s="41"/>
      <c r="B133" s="29">
        <v>2017.0</v>
      </c>
      <c r="C133" s="29">
        <v>1.0</v>
      </c>
      <c r="D133" s="29">
        <v>1.0</v>
      </c>
      <c r="E133" s="31">
        <v>15.41666667</v>
      </c>
      <c r="F133" s="31">
        <v>28.41666667</v>
      </c>
      <c r="G133" s="58">
        <f t="shared" si="34"/>
        <v>21.91666667</v>
      </c>
      <c r="H133" s="33">
        <v>28.0</v>
      </c>
      <c r="I133" s="34">
        <v>51.67</v>
      </c>
      <c r="J133" s="55">
        <v>0.691</v>
      </c>
      <c r="K133" s="55">
        <v>2295908.709</v>
      </c>
      <c r="L133" s="55">
        <v>36734.53935</v>
      </c>
      <c r="M133" s="55">
        <v>169825.244</v>
      </c>
      <c r="N133" s="55">
        <v>947358.2907</v>
      </c>
      <c r="O133" s="55">
        <v>9473.582907</v>
      </c>
      <c r="P133" s="55">
        <v>125308.1611</v>
      </c>
    </row>
    <row r="134">
      <c r="A134" s="41"/>
      <c r="B134" s="29">
        <v>2018.0</v>
      </c>
      <c r="C134" s="29">
        <v>0.0</v>
      </c>
      <c r="D134" s="29">
        <v>0.0</v>
      </c>
      <c r="E134" s="31">
        <v>16.75</v>
      </c>
      <c r="F134" s="31">
        <v>27.66666667</v>
      </c>
      <c r="G134" s="58">
        <f t="shared" si="34"/>
        <v>22.20833334</v>
      </c>
      <c r="H134" s="33">
        <v>32.8</v>
      </c>
      <c r="I134" s="34">
        <v>45.64</v>
      </c>
      <c r="J134" s="55">
        <v>0.694</v>
      </c>
      <c r="K134" s="55">
        <v>2341727.537</v>
      </c>
      <c r="L134" s="55">
        <v>37467.64059</v>
      </c>
      <c r="M134" s="55">
        <v>173214.4003</v>
      </c>
      <c r="N134" s="55">
        <v>966264.4632</v>
      </c>
      <c r="O134" s="55">
        <v>9662.644632</v>
      </c>
      <c r="P134" s="55">
        <v>127808.9021</v>
      </c>
    </row>
    <row r="135">
      <c r="A135" s="41"/>
      <c r="B135" s="29">
        <v>2019.0</v>
      </c>
      <c r="C135" s="29">
        <v>0.0</v>
      </c>
      <c r="D135" s="29">
        <v>0.0</v>
      </c>
      <c r="E135" s="31">
        <v>16.91666667</v>
      </c>
      <c r="F135" s="31">
        <v>27.41666667</v>
      </c>
      <c r="G135" s="58">
        <f t="shared" si="34"/>
        <v>22.16666667</v>
      </c>
      <c r="H135" s="33">
        <v>29.2</v>
      </c>
      <c r="I135" s="34">
        <v>39.99</v>
      </c>
      <c r="J135" s="55">
        <v>0.697</v>
      </c>
      <c r="K135" s="55">
        <v>2387526.543</v>
      </c>
      <c r="L135" s="55">
        <v>38200.42469</v>
      </c>
      <c r="M135" s="55">
        <v>176602.0905</v>
      </c>
      <c r="N135" s="55">
        <v>985162.4569</v>
      </c>
      <c r="O135" s="55">
        <v>9851.624569</v>
      </c>
      <c r="P135" s="55">
        <v>130308.5613</v>
      </c>
    </row>
    <row r="136">
      <c r="A136" s="41"/>
      <c r="B136" s="29">
        <v>2020.0</v>
      </c>
      <c r="C136" s="29">
        <v>1.0</v>
      </c>
      <c r="D136" s="29">
        <v>1.0</v>
      </c>
      <c r="E136" s="31">
        <v>16.91666667</v>
      </c>
      <c r="F136" s="31">
        <v>27.5</v>
      </c>
      <c r="G136" s="58">
        <f t="shared" si="34"/>
        <v>22.20833334</v>
      </c>
      <c r="H136" s="33">
        <v>29.2</v>
      </c>
      <c r="I136" s="34">
        <v>34.26</v>
      </c>
      <c r="J136" s="55">
        <f>J135+(((J135-J134)+(J134-J133)+(J133-J132)+(J132-J131))/4)</f>
        <v>0.69825</v>
      </c>
      <c r="K136" s="55">
        <v>2433287.323</v>
      </c>
      <c r="L136" s="55">
        <v>38932.59716</v>
      </c>
      <c r="M136" s="55">
        <v>179986.9531</v>
      </c>
      <c r="N136" s="55">
        <v>1004044.677</v>
      </c>
      <c r="O136" s="55">
        <v>10040.44677</v>
      </c>
      <c r="P136" s="55">
        <v>132806.1341</v>
      </c>
    </row>
    <row r="137">
      <c r="A137" s="41"/>
      <c r="B137" s="29">
        <v>2021.0</v>
      </c>
      <c r="C137" s="29">
        <v>1.0</v>
      </c>
      <c r="D137" s="29">
        <v>1.0</v>
      </c>
      <c r="E137" s="31">
        <v>15.83333333</v>
      </c>
      <c r="F137" s="31">
        <v>27.83333333</v>
      </c>
      <c r="G137" s="58">
        <f t="shared" si="34"/>
        <v>21.83333333</v>
      </c>
      <c r="H137" s="59">
        <f>MEDIAN(H131:H136)</f>
        <v>29.2</v>
      </c>
      <c r="I137" s="52">
        <f t="shared" ref="I137:I138" si="35">I136-5.73</f>
        <v>28.53</v>
      </c>
      <c r="J137" s="55">
        <f>J136+(((J136-J135)+(J135-J134)+(J134-J133)+(J133-J132)+(J132-J131))/5)</f>
        <v>0.6995</v>
      </c>
      <c r="K137" s="55">
        <v>2478992.886</v>
      </c>
      <c r="L137" s="55">
        <v>39663.88618</v>
      </c>
      <c r="M137" s="55">
        <v>183367.7315</v>
      </c>
      <c r="N137" s="55">
        <v>1022904.114</v>
      </c>
      <c r="O137" s="55">
        <v>10229.04114</v>
      </c>
      <c r="P137" s="55">
        <v>135300.6933</v>
      </c>
    </row>
    <row r="138">
      <c r="A138" s="41"/>
      <c r="B138" s="22">
        <v>2022.0</v>
      </c>
      <c r="C138" s="29">
        <v>1.0</v>
      </c>
      <c r="D138" s="29">
        <v>1.0</v>
      </c>
      <c r="E138" s="32">
        <v>10.47</v>
      </c>
      <c r="F138" s="32">
        <v>33.75</v>
      </c>
      <c r="G138" s="32">
        <v>25.39</v>
      </c>
      <c r="H138" s="33">
        <v>37.0</v>
      </c>
      <c r="I138" s="52">
        <f t="shared" si="35"/>
        <v>22.8</v>
      </c>
      <c r="J138" s="55">
        <f>J137+(((J137-J136)+(J136-J135)+(J135-J134)+(J134-J133)+(J133-J132)+(J132-J131))/6)</f>
        <v>0.70075</v>
      </c>
      <c r="K138" s="55">
        <v>2534282.0</v>
      </c>
      <c r="L138" s="55">
        <v>40548.512</v>
      </c>
      <c r="M138" s="55">
        <v>187457.392</v>
      </c>
      <c r="N138" s="55">
        <v>1045718.0</v>
      </c>
      <c r="O138" s="55">
        <v>10457.18</v>
      </c>
      <c r="P138" s="55">
        <v>138318.312</v>
      </c>
    </row>
    <row r="139">
      <c r="A139" s="41"/>
      <c r="B139" s="22"/>
      <c r="C139" s="41"/>
      <c r="D139" s="41"/>
      <c r="E139" s="58"/>
      <c r="F139" s="58"/>
      <c r="G139" s="58"/>
      <c r="H139" s="59"/>
      <c r="I139" s="52"/>
      <c r="J139" s="53"/>
      <c r="K139" s="53"/>
      <c r="L139" s="53"/>
      <c r="M139" s="53"/>
      <c r="N139" s="53"/>
      <c r="O139" s="53"/>
      <c r="P139" s="53"/>
    </row>
    <row r="140">
      <c r="A140" s="28" t="s">
        <v>36</v>
      </c>
      <c r="B140" s="29">
        <v>2015.0</v>
      </c>
      <c r="C140" s="29">
        <v>1.0</v>
      </c>
      <c r="D140" s="29">
        <v>1.0</v>
      </c>
      <c r="E140" s="31">
        <v>13.0</v>
      </c>
      <c r="F140" s="31">
        <v>21.0</v>
      </c>
      <c r="G140" s="58">
        <f t="shared" ref="G140:G146" si="36">AVERAGE(E140:F140)</f>
        <v>17</v>
      </c>
      <c r="H140" s="33">
        <v>33.6</v>
      </c>
      <c r="I140" s="74">
        <v>51.4</v>
      </c>
      <c r="J140" s="55">
        <v>0.646</v>
      </c>
      <c r="K140" s="55">
        <v>2652732.826</v>
      </c>
      <c r="L140" s="55">
        <v>42443.72522</v>
      </c>
      <c r="M140" s="55">
        <v>196375.9069</v>
      </c>
      <c r="N140" s="55">
        <v>666087.174</v>
      </c>
      <c r="O140" s="55">
        <v>6660.87174</v>
      </c>
      <c r="P140" s="55">
        <v>87923.50697</v>
      </c>
    </row>
    <row r="141">
      <c r="A141" s="41"/>
      <c r="B141" s="29">
        <v>2016.0</v>
      </c>
      <c r="C141" s="29">
        <v>1.0</v>
      </c>
      <c r="D141" s="29">
        <v>3.0</v>
      </c>
      <c r="E141" s="31">
        <v>13.91666667</v>
      </c>
      <c r="F141" s="31">
        <v>22.0</v>
      </c>
      <c r="G141" s="58">
        <f t="shared" si="36"/>
        <v>17.95833334</v>
      </c>
      <c r="H141" s="33">
        <v>33.9</v>
      </c>
      <c r="I141" s="74">
        <v>56.83</v>
      </c>
      <c r="J141" s="55">
        <v>0.64</v>
      </c>
      <c r="K141" s="55">
        <v>2724393.268</v>
      </c>
      <c r="L141" s="55">
        <v>43590.29229</v>
      </c>
      <c r="M141" s="55">
        <v>201680.77</v>
      </c>
      <c r="N141" s="55">
        <v>684080.732</v>
      </c>
      <c r="O141" s="55">
        <v>6840.807318</v>
      </c>
      <c r="P141" s="55">
        <v>90298.6566</v>
      </c>
    </row>
    <row r="142">
      <c r="A142" s="41"/>
      <c r="B142" s="29">
        <v>2017.0</v>
      </c>
      <c r="C142" s="29">
        <v>0.0</v>
      </c>
      <c r="D142" s="29">
        <v>0.0</v>
      </c>
      <c r="E142" s="31">
        <v>14.75</v>
      </c>
      <c r="F142" s="31">
        <v>22.0</v>
      </c>
      <c r="G142" s="58">
        <f t="shared" si="36"/>
        <v>18.375</v>
      </c>
      <c r="H142" s="33">
        <v>34.2</v>
      </c>
      <c r="I142" s="74">
        <v>55.95</v>
      </c>
      <c r="J142" s="55">
        <v>0.65</v>
      </c>
      <c r="K142" s="55">
        <v>2796517.304</v>
      </c>
      <c r="L142" s="55">
        <v>44744.27687</v>
      </c>
      <c r="M142" s="55">
        <v>207019.9518</v>
      </c>
      <c r="N142" s="55">
        <v>702190.696</v>
      </c>
      <c r="O142" s="55">
        <v>7021.906956</v>
      </c>
      <c r="P142" s="55">
        <v>92689.17182</v>
      </c>
    </row>
    <row r="143">
      <c r="A143" s="41"/>
      <c r="B143" s="29">
        <v>2018.0</v>
      </c>
      <c r="C143" s="29">
        <v>0.0</v>
      </c>
      <c r="D143" s="29">
        <v>0.0</v>
      </c>
      <c r="E143" s="31">
        <v>15.5</v>
      </c>
      <c r="F143" s="31">
        <v>21.66666667</v>
      </c>
      <c r="G143" s="58">
        <f t="shared" si="36"/>
        <v>18.58333334</v>
      </c>
      <c r="H143" s="33">
        <v>40.5</v>
      </c>
      <c r="I143" s="74">
        <v>53.2</v>
      </c>
      <c r="J143" s="55">
        <v>0.652</v>
      </c>
      <c r="K143" s="55">
        <v>2869069.765</v>
      </c>
      <c r="L143" s="55">
        <v>45905.11625</v>
      </c>
      <c r="M143" s="55">
        <v>212390.8491</v>
      </c>
      <c r="N143" s="55">
        <v>720408.235</v>
      </c>
      <c r="O143" s="55">
        <v>7204.082346</v>
      </c>
      <c r="P143" s="55">
        <v>95093.88697</v>
      </c>
    </row>
    <row r="144">
      <c r="A144" s="41"/>
      <c r="B144" s="29">
        <v>2019.0</v>
      </c>
      <c r="C144" s="29">
        <v>0.0</v>
      </c>
      <c r="D144" s="29">
        <v>0.0</v>
      </c>
      <c r="E144" s="31">
        <v>17.0</v>
      </c>
      <c r="F144" s="31">
        <v>22.41666667</v>
      </c>
      <c r="G144" s="58">
        <f t="shared" si="36"/>
        <v>19.70833334</v>
      </c>
      <c r="H144" s="33">
        <v>36.9</v>
      </c>
      <c r="I144" s="74">
        <v>45.31</v>
      </c>
      <c r="J144" s="55">
        <v>0.656</v>
      </c>
      <c r="K144" s="55">
        <v>2942016.281</v>
      </c>
      <c r="L144" s="55">
        <v>47072.2605</v>
      </c>
      <c r="M144" s="55">
        <v>217790.9173</v>
      </c>
      <c r="N144" s="55">
        <v>738724.719</v>
      </c>
      <c r="O144" s="55">
        <v>7387.247187</v>
      </c>
      <c r="P144" s="55">
        <v>97511.66287</v>
      </c>
    </row>
    <row r="145">
      <c r="A145" s="41"/>
      <c r="B145" s="29">
        <v>2020.0</v>
      </c>
      <c r="C145" s="29">
        <v>1.0</v>
      </c>
      <c r="D145" s="29">
        <v>1.0</v>
      </c>
      <c r="E145" s="31">
        <v>12.91666667</v>
      </c>
      <c r="F145" s="31">
        <v>21.75</v>
      </c>
      <c r="G145" s="58">
        <f t="shared" si="36"/>
        <v>17.33333334</v>
      </c>
      <c r="H145" s="33">
        <v>36.9</v>
      </c>
      <c r="I145" s="74">
        <v>25.35</v>
      </c>
      <c r="J145" s="55">
        <f>J144+(((J144-J143)+(J143-J142)+(J142-J141)+(J141-J140))/4)</f>
        <v>0.6585</v>
      </c>
      <c r="K145" s="55">
        <v>3015320.884</v>
      </c>
      <c r="L145" s="55">
        <v>48245.13414</v>
      </c>
      <c r="M145" s="55">
        <v>223217.4938</v>
      </c>
      <c r="N145" s="55">
        <v>757131.116</v>
      </c>
      <c r="O145" s="55">
        <v>7571.311164</v>
      </c>
      <c r="P145" s="55">
        <v>99941.30736</v>
      </c>
    </row>
    <row r="146">
      <c r="A146" s="41"/>
      <c r="B146" s="29">
        <v>2021.0</v>
      </c>
      <c r="C146" s="29">
        <v>1.0</v>
      </c>
      <c r="D146" s="29">
        <v>1.0</v>
      </c>
      <c r="E146" s="31">
        <v>14.0</v>
      </c>
      <c r="F146" s="31">
        <v>23.08333333</v>
      </c>
      <c r="G146" s="58">
        <f t="shared" si="36"/>
        <v>18.54166667</v>
      </c>
      <c r="H146" s="59">
        <f>MEDIAN(H140:H145)</f>
        <v>35.55</v>
      </c>
      <c r="I146" s="75">
        <f t="shared" ref="I146:I147" si="37">I145+17.7</f>
        <v>43.05</v>
      </c>
      <c r="J146" s="55">
        <f>J145+(((J145-J144)+(J144-J143)+(J143-J142)+(J142-J141)+(J141-J140))/5)</f>
        <v>0.661</v>
      </c>
      <c r="K146" s="55">
        <v>3088950.002</v>
      </c>
      <c r="L146" s="55">
        <v>49423.20003</v>
      </c>
      <c r="M146" s="55">
        <v>228668.0936</v>
      </c>
      <c r="N146" s="55">
        <v>775618.998</v>
      </c>
      <c r="O146" s="55">
        <v>7756.189983</v>
      </c>
      <c r="P146" s="55">
        <v>102381.7078</v>
      </c>
    </row>
    <row r="147">
      <c r="A147" s="41"/>
      <c r="B147" s="22">
        <v>2022.0</v>
      </c>
      <c r="C147" s="29">
        <v>1.0</v>
      </c>
      <c r="D147" s="29">
        <v>2.0</v>
      </c>
      <c r="E147" s="32">
        <v>10.47</v>
      </c>
      <c r="F147" s="32">
        <v>33.75</v>
      </c>
      <c r="G147" s="32">
        <v>25.39</v>
      </c>
      <c r="H147" s="33">
        <v>43.0</v>
      </c>
      <c r="I147" s="52">
        <f t="shared" si="37"/>
        <v>60.75</v>
      </c>
      <c r="J147" s="55">
        <f>J146+(((J146-J145)+(J145-J144)+(J144-J143)+(J143-J142)+(J142-J141)+(J141-J140))/6)</f>
        <v>0.6635</v>
      </c>
      <c r="K147" s="55">
        <v>3173221.0</v>
      </c>
      <c r="L147" s="55">
        <v>50771.536</v>
      </c>
      <c r="M147" s="55">
        <v>234906.488</v>
      </c>
      <c r="N147" s="55">
        <v>796779.0</v>
      </c>
      <c r="O147" s="55">
        <v>7967.79</v>
      </c>
      <c r="P147" s="55">
        <v>105174.828</v>
      </c>
    </row>
    <row r="148">
      <c r="A148" s="41"/>
      <c r="B148" s="22"/>
      <c r="C148" s="41"/>
      <c r="D148" s="41"/>
      <c r="E148" s="58"/>
      <c r="F148" s="58"/>
      <c r="G148" s="58"/>
      <c r="H148" s="59"/>
      <c r="I148" s="52"/>
      <c r="J148" s="53"/>
      <c r="K148" s="53"/>
      <c r="L148" s="53"/>
      <c r="M148" s="53"/>
      <c r="N148" s="53"/>
      <c r="O148" s="53"/>
      <c r="P148" s="53"/>
    </row>
    <row r="149">
      <c r="A149" s="28" t="s">
        <v>37</v>
      </c>
      <c r="B149" s="29">
        <v>2015.0</v>
      </c>
      <c r="C149" s="29">
        <v>0.0</v>
      </c>
      <c r="D149" s="29">
        <v>0.0</v>
      </c>
      <c r="E149" s="31">
        <v>14.75</v>
      </c>
      <c r="F149" s="31">
        <v>22.33333333</v>
      </c>
      <c r="G149" s="58">
        <f t="shared" ref="G149:G156" si="38">AVERAGE(E149:F149)</f>
        <v>18.54166667</v>
      </c>
      <c r="H149" s="33">
        <v>38.3</v>
      </c>
      <c r="I149" s="34">
        <v>71.27</v>
      </c>
      <c r="J149" s="55">
        <v>0.695</v>
      </c>
      <c r="K149" s="55">
        <v>570482.4415</v>
      </c>
      <c r="L149" s="55">
        <v>9127.719064</v>
      </c>
      <c r="M149" s="55">
        <v>42215.70067</v>
      </c>
      <c r="N149" s="55">
        <v>620752.5585</v>
      </c>
      <c r="O149" s="55">
        <v>6207.525585</v>
      </c>
      <c r="P149" s="55">
        <v>81939.33772</v>
      </c>
    </row>
    <row r="150">
      <c r="A150" s="41"/>
      <c r="B150" s="29">
        <v>2016.0</v>
      </c>
      <c r="C150" s="29">
        <v>1.0</v>
      </c>
      <c r="D150" s="29">
        <v>1.0</v>
      </c>
      <c r="E150" s="31">
        <v>15.58333333</v>
      </c>
      <c r="F150" s="31">
        <v>23.83333333</v>
      </c>
      <c r="G150" s="58">
        <f t="shared" si="38"/>
        <v>19.70833333</v>
      </c>
      <c r="H150" s="33">
        <v>39.1</v>
      </c>
      <c r="I150" s="34">
        <v>73.7</v>
      </c>
      <c r="J150" s="55">
        <v>0.688</v>
      </c>
      <c r="K150" s="55">
        <v>581744.2539</v>
      </c>
      <c r="L150" s="55">
        <v>9307.908062</v>
      </c>
      <c r="M150" s="55">
        <v>43049.07479</v>
      </c>
      <c r="N150" s="55">
        <v>633006.7461</v>
      </c>
      <c r="O150" s="55">
        <v>6330.067461</v>
      </c>
      <c r="P150" s="55">
        <v>83556.89049</v>
      </c>
    </row>
    <row r="151">
      <c r="A151" s="41"/>
      <c r="B151" s="29">
        <v>2017.0</v>
      </c>
      <c r="C151" s="29">
        <v>0.0</v>
      </c>
      <c r="D151" s="29">
        <v>0.0</v>
      </c>
      <c r="E151" s="31">
        <v>17.0</v>
      </c>
      <c r="F151" s="31">
        <v>23.41666667</v>
      </c>
      <c r="G151" s="58">
        <f t="shared" si="38"/>
        <v>20.20833334</v>
      </c>
      <c r="H151" s="33">
        <v>34.3</v>
      </c>
      <c r="I151" s="34">
        <v>70.63</v>
      </c>
      <c r="J151" s="55">
        <v>0.699</v>
      </c>
      <c r="K151" s="55">
        <v>592998.4039</v>
      </c>
      <c r="L151" s="55">
        <v>9487.974462</v>
      </c>
      <c r="M151" s="55">
        <v>43881.88189</v>
      </c>
      <c r="N151" s="55">
        <v>645252.5961</v>
      </c>
      <c r="O151" s="55">
        <v>6452.525961</v>
      </c>
      <c r="P151" s="55">
        <v>85173.34269</v>
      </c>
    </row>
    <row r="152">
      <c r="A152" s="41"/>
      <c r="B152" s="29">
        <v>2018.0</v>
      </c>
      <c r="C152" s="29">
        <v>0.0</v>
      </c>
      <c r="D152" s="29">
        <v>0.0</v>
      </c>
      <c r="E152" s="31">
        <v>16.5</v>
      </c>
      <c r="F152" s="31">
        <v>23.41666667</v>
      </c>
      <c r="G152" s="58">
        <f t="shared" si="38"/>
        <v>19.95833334</v>
      </c>
      <c r="H152" s="33">
        <v>41.2</v>
      </c>
      <c r="I152" s="34">
        <v>64.01</v>
      </c>
      <c r="J152" s="55">
        <v>0.701</v>
      </c>
      <c r="K152" s="55">
        <v>604241.5392</v>
      </c>
      <c r="L152" s="55">
        <v>9667.864627</v>
      </c>
      <c r="M152" s="55">
        <v>44713.8739</v>
      </c>
      <c r="N152" s="55">
        <v>657486.4608</v>
      </c>
      <c r="O152" s="55">
        <v>6574.864608</v>
      </c>
      <c r="P152" s="55">
        <v>86788.21283</v>
      </c>
    </row>
    <row r="153">
      <c r="A153" s="41"/>
      <c r="B153" s="29">
        <v>2019.0</v>
      </c>
      <c r="C153" s="29">
        <v>0.0</v>
      </c>
      <c r="D153" s="29">
        <v>0.0</v>
      </c>
      <c r="E153" s="31">
        <v>17.58333333</v>
      </c>
      <c r="F153" s="31">
        <v>23.08333333</v>
      </c>
      <c r="G153" s="58">
        <f t="shared" si="38"/>
        <v>20.33333333</v>
      </c>
      <c r="H153" s="33">
        <v>36.7</v>
      </c>
      <c r="I153" s="34">
        <v>57.32</v>
      </c>
      <c r="J153" s="55">
        <v>0.704</v>
      </c>
      <c r="K153" s="55">
        <v>615467.913</v>
      </c>
      <c r="L153" s="55">
        <v>9847.486608</v>
      </c>
      <c r="M153" s="55">
        <v>45544.62556</v>
      </c>
      <c r="N153" s="55">
        <v>669702.087</v>
      </c>
      <c r="O153" s="55">
        <v>6697.02087</v>
      </c>
      <c r="P153" s="55">
        <v>88400.67548</v>
      </c>
    </row>
    <row r="154">
      <c r="A154" s="41"/>
      <c r="B154" s="29">
        <v>2020.0</v>
      </c>
      <c r="C154" s="29">
        <v>1.0</v>
      </c>
      <c r="D154" s="29">
        <v>1.0</v>
      </c>
      <c r="E154" s="31">
        <v>13.83333333</v>
      </c>
      <c r="F154" s="31">
        <v>23.33333333</v>
      </c>
      <c r="G154" s="58">
        <f t="shared" si="38"/>
        <v>18.58333333</v>
      </c>
      <c r="H154" s="61">
        <v>39.5</v>
      </c>
      <c r="I154" s="34">
        <v>75.77</v>
      </c>
      <c r="J154" s="55">
        <f>J153+(((J153-J152)+(J152-J151)+(J151-J150)+(J150-J149))/4)</f>
        <v>0.70625</v>
      </c>
      <c r="K154" s="55">
        <v>626674.6519</v>
      </c>
      <c r="L154" s="55">
        <v>10026.79443</v>
      </c>
      <c r="M154" s="55">
        <v>46373.92424</v>
      </c>
      <c r="N154" s="55">
        <v>681896.3481</v>
      </c>
      <c r="O154" s="55">
        <v>6818.963481</v>
      </c>
      <c r="P154" s="55">
        <v>90010.31795</v>
      </c>
    </row>
    <row r="155">
      <c r="A155" s="41"/>
      <c r="B155" s="29">
        <v>2021.0</v>
      </c>
      <c r="C155" s="29">
        <v>1.0</v>
      </c>
      <c r="D155" s="29">
        <v>1.0</v>
      </c>
      <c r="E155" s="31">
        <v>15.25</v>
      </c>
      <c r="F155" s="31">
        <v>24.16666667</v>
      </c>
      <c r="G155" s="58">
        <f t="shared" si="38"/>
        <v>19.70833334</v>
      </c>
      <c r="H155" s="59">
        <f>MEDIAN(H149:H154)</f>
        <v>38.7</v>
      </c>
      <c r="I155" s="52">
        <f t="shared" ref="I155:I156" si="40">I154+18.45</f>
        <v>94.22</v>
      </c>
      <c r="J155" s="55">
        <f>J154+(((J154-J153)+(J153-J152)+(J152-J151)+(J151-J150)+(J150-J149))/5)</f>
        <v>0.7085</v>
      </c>
      <c r="K155" s="55">
        <v>637856.9669</v>
      </c>
      <c r="L155" s="55">
        <v>10205.71147</v>
      </c>
      <c r="M155" s="55">
        <v>47201.41555</v>
      </c>
      <c r="N155" s="55">
        <v>694064.0331</v>
      </c>
      <c r="O155" s="55">
        <v>6940.640331</v>
      </c>
      <c r="P155" s="55">
        <v>91616.45237</v>
      </c>
    </row>
    <row r="156">
      <c r="A156" s="41"/>
      <c r="B156" s="22">
        <v>2022.0</v>
      </c>
      <c r="C156" s="29">
        <v>0.0</v>
      </c>
      <c r="D156" s="29">
        <v>0.0</v>
      </c>
      <c r="E156" s="32">
        <f t="shared" ref="E156:F156" si="39">E155+(((E155-E154)+(E154-E153)+(E153-E152)+(E152-E151)+(E151-E150)+(E150-E149))/6)</f>
        <v>15.33333333</v>
      </c>
      <c r="F156" s="32">
        <f t="shared" si="39"/>
        <v>24.47222223</v>
      </c>
      <c r="G156" s="32">
        <f t="shared" si="38"/>
        <v>19.90277778</v>
      </c>
      <c r="H156" s="33">
        <v>11.0</v>
      </c>
      <c r="I156" s="52">
        <f t="shared" si="40"/>
        <v>112.67</v>
      </c>
      <c r="J156" s="55">
        <f>J155+(((J155-J154)+(J154-J153)+(J153-J152)+(J152-J151)+(J151-J150)+(J150-J149))/6)</f>
        <v>0.71075</v>
      </c>
      <c r="K156" s="55">
        <v>646515.0</v>
      </c>
      <c r="L156" s="55">
        <v>10344.24</v>
      </c>
      <c r="M156" s="55">
        <v>47842.11</v>
      </c>
      <c r="N156" s="76">
        <v>703485.0</v>
      </c>
      <c r="O156" s="55">
        <v>7034.85</v>
      </c>
      <c r="P156" s="55">
        <v>92860.02</v>
      </c>
    </row>
    <row r="157">
      <c r="A157" s="41"/>
      <c r="B157" s="22"/>
      <c r="C157" s="41"/>
      <c r="D157" s="41"/>
      <c r="E157" s="58"/>
      <c r="F157" s="58"/>
      <c r="G157" s="58"/>
      <c r="H157" s="59"/>
      <c r="I157" s="52"/>
      <c r="J157" s="53"/>
      <c r="K157" s="53"/>
      <c r="L157" s="53"/>
      <c r="M157" s="53"/>
      <c r="N157" s="53"/>
      <c r="O157" s="53"/>
      <c r="P157" s="53"/>
    </row>
    <row r="158">
      <c r="A158" s="28" t="s">
        <v>38</v>
      </c>
      <c r="B158" s="29">
        <v>2015.0</v>
      </c>
      <c r="C158" s="29">
        <v>0.0</v>
      </c>
      <c r="D158" s="29">
        <v>0.0</v>
      </c>
      <c r="E158" s="31">
        <v>13.33333333</v>
      </c>
      <c r="F158" s="31">
        <v>23.5</v>
      </c>
      <c r="G158" s="58">
        <f t="shared" ref="G158:G164" si="41">AVERAGE(E158:F158)</f>
        <v>18.41666667</v>
      </c>
      <c r="H158" s="33">
        <v>26.5</v>
      </c>
      <c r="I158" s="34">
        <v>45.26</v>
      </c>
      <c r="J158" s="55">
        <v>0.677</v>
      </c>
      <c r="K158" s="55">
        <v>1438530.477</v>
      </c>
      <c r="L158" s="55">
        <v>23016.48763</v>
      </c>
      <c r="M158" s="55">
        <v>106451.2553</v>
      </c>
      <c r="N158" s="55">
        <v>583581.523</v>
      </c>
      <c r="O158" s="55">
        <v>5835.815232</v>
      </c>
      <c r="P158" s="55">
        <v>77032.76106</v>
      </c>
    </row>
    <row r="159">
      <c r="A159" s="41"/>
      <c r="B159" s="29">
        <v>2016.0</v>
      </c>
      <c r="C159" s="29">
        <v>1.0</v>
      </c>
      <c r="D159" s="29">
        <v>1.0</v>
      </c>
      <c r="E159" s="31">
        <v>12.91666667</v>
      </c>
      <c r="F159" s="31">
        <v>24.75</v>
      </c>
      <c r="G159" s="58">
        <f t="shared" si="41"/>
        <v>18.83333334</v>
      </c>
      <c r="H159" s="33">
        <v>24.6</v>
      </c>
      <c r="I159" s="34">
        <v>37.38</v>
      </c>
      <c r="J159" s="55">
        <v>0.663</v>
      </c>
      <c r="K159" s="55">
        <v>1446003.022</v>
      </c>
      <c r="L159" s="55">
        <v>23136.04836</v>
      </c>
      <c r="M159" s="55">
        <v>107004.2237</v>
      </c>
      <c r="N159" s="55">
        <v>586612.978</v>
      </c>
      <c r="O159" s="55">
        <v>5866.129776</v>
      </c>
      <c r="P159" s="55">
        <v>77432.91304</v>
      </c>
    </row>
    <row r="160">
      <c r="A160" s="41"/>
      <c r="B160" s="29">
        <v>2017.0</v>
      </c>
      <c r="C160" s="29">
        <v>1.0</v>
      </c>
      <c r="D160" s="29">
        <v>1.0</v>
      </c>
      <c r="E160" s="31">
        <v>13.41666667</v>
      </c>
      <c r="F160" s="31">
        <v>24.91666667</v>
      </c>
      <c r="G160" s="58">
        <f t="shared" si="41"/>
        <v>19.16666667</v>
      </c>
      <c r="H160" s="33">
        <v>25.1</v>
      </c>
      <c r="I160" s="34">
        <v>37.59</v>
      </c>
      <c r="J160" s="55">
        <v>0.673</v>
      </c>
      <c r="K160" s="55">
        <v>1453364.59</v>
      </c>
      <c r="L160" s="55">
        <v>23253.83343</v>
      </c>
      <c r="M160" s="55">
        <v>107548.9796</v>
      </c>
      <c r="N160" s="55">
        <v>589599.41</v>
      </c>
      <c r="O160" s="55">
        <v>5895.994104</v>
      </c>
      <c r="P160" s="55">
        <v>77827.12217</v>
      </c>
    </row>
    <row r="161">
      <c r="A161" s="41"/>
      <c r="B161" s="29">
        <v>2018.0</v>
      </c>
      <c r="C161" s="29">
        <v>0.0</v>
      </c>
      <c r="D161" s="29">
        <v>0.0</v>
      </c>
      <c r="E161" s="31">
        <v>13.91666667</v>
      </c>
      <c r="F161" s="31">
        <v>24.58333333</v>
      </c>
      <c r="G161" s="58">
        <f t="shared" si="41"/>
        <v>19.25</v>
      </c>
      <c r="H161" s="33">
        <v>27.5</v>
      </c>
      <c r="I161" s="34">
        <v>38.51</v>
      </c>
      <c r="J161" s="55">
        <v>0.676</v>
      </c>
      <c r="K161" s="55">
        <v>1460615.89</v>
      </c>
      <c r="L161" s="55">
        <v>23369.85424</v>
      </c>
      <c r="M161" s="55">
        <v>108085.5758</v>
      </c>
      <c r="N161" s="55">
        <v>592541.11</v>
      </c>
      <c r="O161" s="55">
        <v>5925.411102</v>
      </c>
      <c r="P161" s="55">
        <v>78215.42655</v>
      </c>
    </row>
    <row r="162">
      <c r="A162" s="41"/>
      <c r="B162" s="29">
        <v>2019.0</v>
      </c>
      <c r="C162" s="29">
        <v>0.0</v>
      </c>
      <c r="D162" s="29">
        <v>0.0</v>
      </c>
      <c r="E162" s="31">
        <v>14.5</v>
      </c>
      <c r="F162" s="31">
        <v>25.16666667</v>
      </c>
      <c r="G162" s="58">
        <f t="shared" si="41"/>
        <v>19.83333334</v>
      </c>
      <c r="H162" s="33">
        <v>26.4</v>
      </c>
      <c r="I162" s="34">
        <v>23.53</v>
      </c>
      <c r="J162" s="55">
        <v>0.679</v>
      </c>
      <c r="K162" s="55">
        <v>1467757.634</v>
      </c>
      <c r="L162" s="55">
        <v>23484.12215</v>
      </c>
      <c r="M162" s="55">
        <v>108614.0649</v>
      </c>
      <c r="N162" s="55">
        <v>595438.366</v>
      </c>
      <c r="O162" s="55">
        <v>5954.383656</v>
      </c>
      <c r="P162" s="55">
        <v>78597.86426</v>
      </c>
    </row>
    <row r="163">
      <c r="A163" s="41"/>
      <c r="B163" s="29">
        <v>2020.0</v>
      </c>
      <c r="C163" s="29">
        <v>1.0</v>
      </c>
      <c r="D163" s="29">
        <v>1.0</v>
      </c>
      <c r="E163" s="31">
        <v>15.16666667</v>
      </c>
      <c r="F163" s="31">
        <v>24.0</v>
      </c>
      <c r="G163" s="58">
        <f t="shared" si="41"/>
        <v>19.58333334</v>
      </c>
      <c r="H163" s="33">
        <v>25.8</v>
      </c>
      <c r="I163" s="34">
        <v>27.0</v>
      </c>
      <c r="J163" s="55">
        <f t="shared" ref="J163:J165" si="42">J162+(((J162-J161)+(J161-J160)+(J160-J159)+(J159-J158))/4)</f>
        <v>0.6795</v>
      </c>
      <c r="K163" s="55">
        <v>1474790.535</v>
      </c>
      <c r="L163" s="55">
        <v>23596.64856</v>
      </c>
      <c r="M163" s="55">
        <v>109134.4996</v>
      </c>
      <c r="N163" s="55">
        <v>598291.465</v>
      </c>
      <c r="O163" s="55">
        <v>5982.914652</v>
      </c>
      <c r="P163" s="55">
        <v>78974.47341</v>
      </c>
    </row>
    <row r="164">
      <c r="A164" s="41"/>
      <c r="B164" s="29">
        <v>2021.0</v>
      </c>
      <c r="C164" s="29">
        <v>1.0</v>
      </c>
      <c r="D164" s="29">
        <v>1.0</v>
      </c>
      <c r="E164" s="31">
        <v>14.0</v>
      </c>
      <c r="F164" s="31">
        <v>24.83333333</v>
      </c>
      <c r="G164" s="58">
        <f t="shared" si="41"/>
        <v>19.41666667</v>
      </c>
      <c r="H164" s="59">
        <f>MEDIAN(H158:H163)</f>
        <v>26.1</v>
      </c>
      <c r="I164" s="52">
        <f t="shared" ref="I164:I165" si="43">I163+3.43</f>
        <v>30.43</v>
      </c>
      <c r="J164" s="55">
        <f t="shared" si="42"/>
        <v>0.683625</v>
      </c>
      <c r="K164" s="55">
        <v>1481716.014</v>
      </c>
      <c r="L164" s="55">
        <v>23707.45622</v>
      </c>
      <c r="M164" s="55">
        <v>109646.985</v>
      </c>
      <c r="N164" s="55">
        <v>601100.986</v>
      </c>
      <c r="O164" s="55">
        <v>6011.009862</v>
      </c>
      <c r="P164" s="55">
        <v>79345.33018</v>
      </c>
    </row>
    <row r="165">
      <c r="A165" s="41"/>
      <c r="B165" s="22">
        <v>2022.0</v>
      </c>
      <c r="C165" s="29">
        <v>0.0</v>
      </c>
      <c r="D165" s="29">
        <v>0.0</v>
      </c>
      <c r="E165" s="32">
        <v>10.47</v>
      </c>
      <c r="F165" s="32">
        <v>33.75</v>
      </c>
      <c r="G165" s="32">
        <v>25.39</v>
      </c>
      <c r="H165" s="33">
        <v>24.0</v>
      </c>
      <c r="I165" s="52">
        <f t="shared" si="43"/>
        <v>33.86</v>
      </c>
      <c r="J165" s="55">
        <f t="shared" si="42"/>
        <v>0.68628125</v>
      </c>
      <c r="K165" s="55">
        <v>1489896.402</v>
      </c>
      <c r="L165" s="55">
        <v>23838.34244</v>
      </c>
      <c r="M165" s="55">
        <v>110252.3338</v>
      </c>
      <c r="N165" s="55">
        <v>604419.598</v>
      </c>
      <c r="O165" s="55">
        <v>6044.195976</v>
      </c>
      <c r="P165" s="55">
        <v>79783.38688</v>
      </c>
    </row>
    <row r="166">
      <c r="A166" s="41"/>
      <c r="B166" s="22"/>
      <c r="C166" s="41"/>
      <c r="D166" s="41"/>
      <c r="E166" s="58"/>
      <c r="F166" s="58"/>
      <c r="G166" s="58"/>
      <c r="H166" s="59"/>
      <c r="I166" s="52"/>
      <c r="J166" s="53"/>
      <c r="K166" s="53"/>
      <c r="L166" s="53"/>
      <c r="M166" s="53"/>
      <c r="N166" s="53"/>
      <c r="O166" s="53"/>
      <c r="P166" s="53"/>
    </row>
    <row r="167">
      <c r="A167" s="28" t="s">
        <v>39</v>
      </c>
      <c r="B167" s="29">
        <v>2015.0</v>
      </c>
      <c r="C167" s="29">
        <v>0.0</v>
      </c>
      <c r="D167" s="29">
        <v>0.0</v>
      </c>
      <c r="E167" s="31">
        <v>24.91666667</v>
      </c>
      <c r="F167" s="31">
        <v>34.16666667</v>
      </c>
      <c r="G167" s="58">
        <f t="shared" ref="G167:G173" si="44">AVERAGE(E167:F167)</f>
        <v>29.54166667</v>
      </c>
      <c r="H167" s="33">
        <v>44.3</v>
      </c>
      <c r="I167" s="34">
        <v>39.43</v>
      </c>
      <c r="J167" s="55">
        <v>0.582</v>
      </c>
      <c r="K167" s="55">
        <v>3.6900338345E7</v>
      </c>
      <c r="L167" s="55">
        <v>590405.4135</v>
      </c>
      <c r="M167" s="55">
        <v>2730625.038</v>
      </c>
      <c r="N167" s="55">
        <v>7392469.655</v>
      </c>
      <c r="O167" s="55">
        <v>73924.69655</v>
      </c>
      <c r="P167" s="55">
        <v>975805.9945</v>
      </c>
    </row>
    <row r="168">
      <c r="A168" s="41"/>
      <c r="B168" s="29">
        <v>2016.0</v>
      </c>
      <c r="C168" s="29">
        <v>1.0</v>
      </c>
      <c r="D168" s="29">
        <v>2.0</v>
      </c>
      <c r="E168" s="31">
        <v>24.58333333</v>
      </c>
      <c r="F168" s="31">
        <v>34.08333333</v>
      </c>
      <c r="G168" s="58">
        <f t="shared" si="44"/>
        <v>29.33333333</v>
      </c>
      <c r="H168" s="33">
        <v>43.0</v>
      </c>
      <c r="I168" s="34">
        <v>35.97</v>
      </c>
      <c r="J168" s="55">
        <v>0.589</v>
      </c>
      <c r="K168" s="55">
        <v>3.7374976242E7</v>
      </c>
      <c r="L168" s="55">
        <v>597999.6199</v>
      </c>
      <c r="M168" s="55">
        <v>2765748.242</v>
      </c>
      <c r="N168" s="55">
        <v>7487556.758</v>
      </c>
      <c r="O168" s="55">
        <v>74875.56758</v>
      </c>
      <c r="P168" s="55">
        <v>988357.492</v>
      </c>
    </row>
    <row r="169">
      <c r="A169" s="41"/>
      <c r="B169" s="29">
        <v>2017.0</v>
      </c>
      <c r="C169" s="29">
        <v>0.0</v>
      </c>
      <c r="D169" s="29">
        <v>0.0</v>
      </c>
      <c r="E169" s="31">
        <v>24.0</v>
      </c>
      <c r="F169" s="31">
        <v>33.58333333</v>
      </c>
      <c r="G169" s="58">
        <f t="shared" si="44"/>
        <v>28.79166667</v>
      </c>
      <c r="H169" s="33">
        <v>42.6</v>
      </c>
      <c r="I169" s="34">
        <v>42.51</v>
      </c>
      <c r="J169" s="55">
        <v>0.599</v>
      </c>
      <c r="K169" s="55">
        <v>3.784610429E7</v>
      </c>
      <c r="L169" s="55">
        <v>605537.6686</v>
      </c>
      <c r="M169" s="55">
        <v>2800611.717</v>
      </c>
      <c r="N169" s="55">
        <v>7581940.711</v>
      </c>
      <c r="O169" s="55">
        <v>75819.40711</v>
      </c>
      <c r="P169" s="55">
        <v>1000816.174</v>
      </c>
    </row>
    <row r="170">
      <c r="A170" s="41"/>
      <c r="B170" s="29">
        <v>2018.0</v>
      </c>
      <c r="C170" s="29">
        <v>0.0</v>
      </c>
      <c r="D170" s="29">
        <v>0.0</v>
      </c>
      <c r="E170" s="31">
        <v>24.75</v>
      </c>
      <c r="F170" s="31">
        <v>34.0</v>
      </c>
      <c r="G170" s="58">
        <f t="shared" si="44"/>
        <v>29.375</v>
      </c>
      <c r="H170" s="33">
        <v>43.3</v>
      </c>
      <c r="I170" s="34">
        <v>46.18</v>
      </c>
      <c r="J170" s="55">
        <v>0.602</v>
      </c>
      <c r="K170" s="55">
        <v>3.8313629179E7</v>
      </c>
      <c r="L170" s="55">
        <v>613018.0669</v>
      </c>
      <c r="M170" s="55">
        <v>2835208.559</v>
      </c>
      <c r="N170" s="55">
        <v>7675602.821</v>
      </c>
      <c r="O170" s="55">
        <v>76756.02821</v>
      </c>
      <c r="P170" s="55">
        <v>1013179.572</v>
      </c>
    </row>
    <row r="171">
      <c r="A171" s="41"/>
      <c r="B171" s="29">
        <v>2019.0</v>
      </c>
      <c r="C171" s="29">
        <v>0.0</v>
      </c>
      <c r="D171" s="29">
        <v>0.0</v>
      </c>
      <c r="E171" s="31">
        <v>25.41666667</v>
      </c>
      <c r="F171" s="31">
        <v>34.5</v>
      </c>
      <c r="G171" s="58">
        <f t="shared" si="44"/>
        <v>29.95833334</v>
      </c>
      <c r="H171" s="33">
        <v>43.5</v>
      </c>
      <c r="I171" s="34">
        <v>44.18</v>
      </c>
      <c r="J171" s="55">
        <v>0.605</v>
      </c>
      <c r="K171" s="55">
        <v>3.8777464269E7</v>
      </c>
      <c r="L171" s="55">
        <v>620439.4283</v>
      </c>
      <c r="M171" s="55">
        <v>2869532.356</v>
      </c>
      <c r="N171" s="55">
        <v>7768525.731</v>
      </c>
      <c r="O171" s="55">
        <v>77685.25731</v>
      </c>
      <c r="P171" s="55">
        <v>1025445.396</v>
      </c>
    </row>
    <row r="172">
      <c r="A172" s="41"/>
      <c r="B172" s="29">
        <v>2020.0</v>
      </c>
      <c r="C172" s="29">
        <v>1.0</v>
      </c>
      <c r="D172" s="29">
        <v>1.0</v>
      </c>
      <c r="E172" s="31">
        <v>24.08333333</v>
      </c>
      <c r="F172" s="31">
        <v>32.75</v>
      </c>
      <c r="G172" s="58">
        <f t="shared" si="44"/>
        <v>28.41666667</v>
      </c>
      <c r="H172" s="33">
        <v>45.2</v>
      </c>
      <c r="I172" s="34">
        <v>44.31</v>
      </c>
      <c r="J172" s="55">
        <f t="shared" ref="J172:J174" si="45">J171+(((J171-J170)+(J170-J169)+(J169-J168)+(J168-J167))/4)</f>
        <v>0.61075</v>
      </c>
      <c r="K172" s="55">
        <v>3.9237525416E7</v>
      </c>
      <c r="L172" s="55">
        <v>627800.4067</v>
      </c>
      <c r="M172" s="55">
        <v>2903576.881</v>
      </c>
      <c r="N172" s="55">
        <v>7860692.584</v>
      </c>
      <c r="O172" s="55">
        <v>78606.92584</v>
      </c>
      <c r="P172" s="55">
        <v>1037611.421</v>
      </c>
    </row>
    <row r="173">
      <c r="A173" s="41"/>
      <c r="B173" s="29">
        <v>2021.0</v>
      </c>
      <c r="C173" s="29">
        <v>1.0</v>
      </c>
      <c r="D173" s="29">
        <v>2.0</v>
      </c>
      <c r="E173" s="31">
        <v>24.08333333</v>
      </c>
      <c r="F173" s="31">
        <v>32.33333333</v>
      </c>
      <c r="G173" s="58">
        <f t="shared" si="44"/>
        <v>28.20833333</v>
      </c>
      <c r="H173" s="59">
        <f>MEDIAN(H167:H172)</f>
        <v>43.4</v>
      </c>
      <c r="I173" s="52">
        <f t="shared" ref="I173:I174" si="46">I172+0.13</f>
        <v>44.44</v>
      </c>
      <c r="J173" s="55">
        <f t="shared" si="45"/>
        <v>0.6161875</v>
      </c>
      <c r="K173" s="55">
        <v>3.9693734308E7</v>
      </c>
      <c r="L173" s="55">
        <v>635099.7489</v>
      </c>
      <c r="M173" s="55">
        <v>2937336.339</v>
      </c>
      <c r="N173" s="55">
        <v>7952087.692</v>
      </c>
      <c r="O173" s="55">
        <v>79520.87692</v>
      </c>
      <c r="P173" s="55">
        <v>1049675.575</v>
      </c>
    </row>
    <row r="174">
      <c r="A174" s="41"/>
      <c r="B174" s="22">
        <v>2022.0</v>
      </c>
      <c r="C174" s="29">
        <v>1.0</v>
      </c>
      <c r="D174" s="29">
        <v>1.0</v>
      </c>
      <c r="E174" s="32">
        <v>10.47</v>
      </c>
      <c r="F174" s="32">
        <v>33.75</v>
      </c>
      <c r="G174" s="32">
        <v>25.39</v>
      </c>
      <c r="H174" s="33">
        <v>52.0</v>
      </c>
      <c r="I174" s="52">
        <f t="shared" si="46"/>
        <v>44.57</v>
      </c>
      <c r="J174" s="55">
        <f t="shared" si="45"/>
        <v>0.620484375</v>
      </c>
      <c r="K174" s="55">
        <v>3.9922152E7</v>
      </c>
      <c r="L174" s="55">
        <v>638754.0</v>
      </c>
      <c r="M174" s="55">
        <v>2954239.248</v>
      </c>
      <c r="N174" s="55">
        <v>7997848.0</v>
      </c>
      <c r="O174" s="55">
        <v>79978.48</v>
      </c>
      <c r="P174" s="55">
        <v>1055715.936</v>
      </c>
    </row>
    <row r="175">
      <c r="A175" s="41"/>
      <c r="B175" s="22"/>
      <c r="C175" s="41"/>
      <c r="D175" s="41"/>
      <c r="E175" s="58"/>
      <c r="F175" s="58"/>
      <c r="G175" s="58"/>
      <c r="H175" s="59"/>
      <c r="I175" s="52"/>
      <c r="J175" s="53"/>
      <c r="K175" s="53"/>
      <c r="L175" s="53"/>
      <c r="M175" s="53"/>
      <c r="N175" s="53"/>
      <c r="O175" s="53"/>
      <c r="P175" s="53"/>
    </row>
    <row r="176">
      <c r="A176" s="28" t="s">
        <v>40</v>
      </c>
      <c r="B176" s="29">
        <v>2015.0</v>
      </c>
      <c r="C176" s="29">
        <v>1.0</v>
      </c>
      <c r="D176" s="29">
        <v>1.0</v>
      </c>
      <c r="E176" s="31">
        <v>21.25</v>
      </c>
      <c r="F176" s="31">
        <v>34.25</v>
      </c>
      <c r="G176" s="58">
        <f t="shared" ref="G176:G182" si="47">AVERAGE(E176:F176)</f>
        <v>27.75</v>
      </c>
      <c r="H176" s="61">
        <v>73.8</v>
      </c>
      <c r="I176" s="34">
        <v>62.02</v>
      </c>
      <c r="J176" s="55">
        <v>0.701</v>
      </c>
      <c r="K176" s="77">
        <v>1.8116051532E7</v>
      </c>
      <c r="L176" s="77">
        <v>303765.5013</v>
      </c>
      <c r="M176" s="78">
        <v>1404915.444</v>
      </c>
      <c r="N176" s="78">
        <v>1.0860358468E7</v>
      </c>
      <c r="O176" s="78">
        <v>108603.5847</v>
      </c>
      <c r="P176" s="78">
        <v>1433567.318</v>
      </c>
    </row>
    <row r="177">
      <c r="A177" s="41"/>
      <c r="B177" s="29">
        <v>2016.0</v>
      </c>
      <c r="C177" s="29">
        <v>1.0</v>
      </c>
      <c r="D177" s="29">
        <v>1.0</v>
      </c>
      <c r="E177" s="31">
        <v>21.66666667</v>
      </c>
      <c r="F177" s="31">
        <v>35.41666667</v>
      </c>
      <c r="G177" s="58">
        <f t="shared" si="47"/>
        <v>28.54166667</v>
      </c>
      <c r="H177" s="33">
        <v>81.0</v>
      </c>
      <c r="I177" s="34">
        <v>65.03</v>
      </c>
      <c r="J177" s="55">
        <v>0.707</v>
      </c>
      <c r="K177" s="77">
        <v>1.8304275494E7</v>
      </c>
      <c r="L177" s="77">
        <v>306921.5945</v>
      </c>
      <c r="M177" s="78">
        <v>1419512.374</v>
      </c>
      <c r="N177" s="78">
        <v>1.0973196506E7</v>
      </c>
      <c r="O177" s="78">
        <v>109731.9651</v>
      </c>
      <c r="P177" s="78">
        <v>1448461.939</v>
      </c>
    </row>
    <row r="178">
      <c r="A178" s="41"/>
      <c r="B178" s="29">
        <v>2017.0</v>
      </c>
      <c r="C178" s="29">
        <v>1.0</v>
      </c>
      <c r="D178" s="29">
        <v>1.0</v>
      </c>
      <c r="E178" s="31">
        <v>21.58333333</v>
      </c>
      <c r="F178" s="31">
        <v>35.5</v>
      </c>
      <c r="G178" s="58">
        <f t="shared" si="47"/>
        <v>28.54166667</v>
      </c>
      <c r="H178" s="33">
        <v>71.5</v>
      </c>
      <c r="I178" s="34">
        <v>63.01</v>
      </c>
      <c r="J178" s="55">
        <v>0.718</v>
      </c>
      <c r="K178" s="77">
        <v>1.8490651366E7</v>
      </c>
      <c r="L178" s="77">
        <v>310046.6993</v>
      </c>
      <c r="M178" s="78">
        <v>1433965.984</v>
      </c>
      <c r="N178" s="78">
        <v>1.1084926634E7</v>
      </c>
      <c r="O178" s="78">
        <v>110849.2663</v>
      </c>
      <c r="P178" s="78">
        <v>1463210.316</v>
      </c>
    </row>
    <row r="179">
      <c r="A179" s="41"/>
      <c r="B179" s="29">
        <v>2018.0</v>
      </c>
      <c r="C179" s="29">
        <v>1.0</v>
      </c>
      <c r="D179" s="29">
        <v>1.0</v>
      </c>
      <c r="E179" s="31">
        <v>22.16666667</v>
      </c>
      <c r="F179" s="31">
        <v>35.58333333</v>
      </c>
      <c r="G179" s="58">
        <f t="shared" si="47"/>
        <v>28.875</v>
      </c>
      <c r="H179" s="61">
        <v>76.0</v>
      </c>
      <c r="I179" s="34">
        <v>59.32</v>
      </c>
      <c r="J179" s="55">
        <v>0.72</v>
      </c>
      <c r="K179" s="77">
        <v>1.8675159764E7</v>
      </c>
      <c r="L179" s="77">
        <v>313140.4908</v>
      </c>
      <c r="M179" s="78">
        <v>1448274.77</v>
      </c>
      <c r="N179" s="78">
        <v>1.1195537236E7</v>
      </c>
      <c r="O179" s="78">
        <v>111955.3724</v>
      </c>
      <c r="P179" s="78">
        <v>1477810.915</v>
      </c>
    </row>
    <row r="180">
      <c r="A180" s="41"/>
      <c r="B180" s="29">
        <v>2019.0</v>
      </c>
      <c r="C180" s="29">
        <v>0.0</v>
      </c>
      <c r="D180" s="29">
        <v>0.0</v>
      </c>
      <c r="E180" s="31">
        <v>21.33333333</v>
      </c>
      <c r="F180" s="31">
        <v>32.75</v>
      </c>
      <c r="G180" s="58">
        <f t="shared" si="47"/>
        <v>27.04166667</v>
      </c>
      <c r="H180" s="61">
        <v>68.9</v>
      </c>
      <c r="I180" s="34">
        <v>59.81</v>
      </c>
      <c r="J180" s="55">
        <v>0.724</v>
      </c>
      <c r="K180" s="77">
        <v>1.8857781935E7</v>
      </c>
      <c r="L180" s="77">
        <v>316202.6545</v>
      </c>
      <c r="M180" s="78">
        <v>1462437.277</v>
      </c>
      <c r="N180" s="78">
        <v>1.1305017065E7</v>
      </c>
      <c r="O180" s="78">
        <v>113050.1707</v>
      </c>
      <c r="P180" s="78">
        <v>1492262.253</v>
      </c>
    </row>
    <row r="181">
      <c r="A181" s="41"/>
      <c r="B181" s="29">
        <v>2020.0</v>
      </c>
      <c r="C181" s="29">
        <v>1.0</v>
      </c>
      <c r="D181" s="29">
        <v>1.0</v>
      </c>
      <c r="E181" s="31">
        <v>23.16666667</v>
      </c>
      <c r="F181" s="31">
        <v>34.41666667</v>
      </c>
      <c r="G181" s="58">
        <f t="shared" si="47"/>
        <v>28.79166667</v>
      </c>
      <c r="H181" s="61">
        <v>71.0</v>
      </c>
      <c r="I181" s="34">
        <v>58.08</v>
      </c>
      <c r="J181" s="55">
        <f t="shared" ref="J181:J183" si="48">J180+(((J180-J179)+(J179-J178)+(J178-J177)+(J177-J176))/4)</f>
        <v>0.72975</v>
      </c>
      <c r="K181" s="77">
        <v>1.9038501622E7</v>
      </c>
      <c r="L181" s="77">
        <v>319232.9178</v>
      </c>
      <c r="M181" s="78">
        <v>1476452.245</v>
      </c>
      <c r="N181" s="78">
        <v>1.1413356378E7</v>
      </c>
      <c r="O181" s="78">
        <v>114133.5638</v>
      </c>
      <c r="P181" s="78">
        <v>1506563.042</v>
      </c>
    </row>
    <row r="182">
      <c r="A182" s="41"/>
      <c r="B182" s="29">
        <v>2021.0</v>
      </c>
      <c r="C182" s="29">
        <v>1.0</v>
      </c>
      <c r="D182" s="29">
        <v>1.0</v>
      </c>
      <c r="E182" s="31">
        <v>19.75</v>
      </c>
      <c r="F182" s="31">
        <v>34.25</v>
      </c>
      <c r="G182" s="58">
        <f t="shared" si="47"/>
        <v>27</v>
      </c>
      <c r="H182" s="59">
        <f>MEDIAN(H176:H181)</f>
        <v>72.65</v>
      </c>
      <c r="I182" s="52">
        <f t="shared" ref="I182:I183" si="49">I181+1.75</f>
        <v>59.83</v>
      </c>
      <c r="J182" s="55">
        <f t="shared" si="48"/>
        <v>0.7354375</v>
      </c>
      <c r="K182" s="77">
        <v>1.9217304445E7</v>
      </c>
      <c r="L182" s="77">
        <v>322231.0396</v>
      </c>
      <c r="M182" s="78">
        <v>1490318.558</v>
      </c>
      <c r="N182" s="78">
        <v>1.1520546555E7</v>
      </c>
      <c r="O182" s="78">
        <v>115205.4655</v>
      </c>
      <c r="P182" s="78">
        <v>1520712.145</v>
      </c>
    </row>
    <row r="183">
      <c r="A183" s="41"/>
      <c r="B183" s="22">
        <v>2022.0</v>
      </c>
      <c r="C183" s="29">
        <v>1.0</v>
      </c>
      <c r="D183" s="29">
        <v>1.0</v>
      </c>
      <c r="E183" s="32">
        <v>6.72</v>
      </c>
      <c r="F183" s="32">
        <v>36.6</v>
      </c>
      <c r="G183" s="32">
        <v>23.87</v>
      </c>
      <c r="H183" s="33">
        <v>79.0</v>
      </c>
      <c r="I183" s="52">
        <f t="shared" si="49"/>
        <v>61.58</v>
      </c>
      <c r="J183" s="55">
        <f t="shared" si="48"/>
        <v>0.739796875</v>
      </c>
      <c r="K183" s="55">
        <v>1.9424964E7</v>
      </c>
      <c r="L183" s="55">
        <v>325713.024</v>
      </c>
      <c r="M183" s="55">
        <v>1506422.736</v>
      </c>
      <c r="N183" s="55">
        <v>1.1645036E7</v>
      </c>
      <c r="O183" s="55">
        <v>116450.36</v>
      </c>
      <c r="P183" s="55">
        <v>1537144.752</v>
      </c>
    </row>
    <row r="184">
      <c r="A184" s="41"/>
      <c r="B184" s="22"/>
      <c r="C184" s="41"/>
      <c r="D184" s="41"/>
      <c r="E184" s="58"/>
      <c r="F184" s="58"/>
      <c r="G184" s="58"/>
      <c r="H184" s="59"/>
      <c r="I184" s="52"/>
      <c r="J184" s="53"/>
      <c r="K184" s="53"/>
      <c r="L184" s="53"/>
      <c r="M184" s="53"/>
      <c r="N184" s="53"/>
      <c r="O184" s="53"/>
      <c r="P184" s="53"/>
    </row>
    <row r="185">
      <c r="A185" s="28" t="s">
        <v>41</v>
      </c>
      <c r="B185" s="29">
        <v>2015.0</v>
      </c>
      <c r="C185" s="29">
        <v>1.0</v>
      </c>
      <c r="D185" s="29">
        <v>1.0</v>
      </c>
      <c r="E185" s="31">
        <v>23.08333333</v>
      </c>
      <c r="F185" s="31">
        <v>33.33333333</v>
      </c>
      <c r="G185" s="58">
        <f t="shared" ref="G185:G192" si="50">AVERAGE(E185:F185)</f>
        <v>28.20833333</v>
      </c>
      <c r="H185" s="33">
        <v>65.5</v>
      </c>
      <c r="I185" s="62">
        <v>36.79</v>
      </c>
      <c r="J185" s="55">
        <v>0.602</v>
      </c>
      <c r="K185" s="77">
        <v>5.5198911057E7</v>
      </c>
      <c r="L185" s="77">
        <v>883182.5769</v>
      </c>
      <c r="M185" s="78">
        <v>4084719.418</v>
      </c>
      <c r="N185" s="78">
        <v>1.8272286943E7</v>
      </c>
      <c r="O185" s="78">
        <v>182722.8694</v>
      </c>
      <c r="P185" s="78">
        <v>2411941.876</v>
      </c>
    </row>
    <row r="186">
      <c r="A186" s="41"/>
      <c r="B186" s="29">
        <v>2016.0</v>
      </c>
      <c r="C186" s="29">
        <v>1.0</v>
      </c>
      <c r="D186" s="29">
        <v>1.0</v>
      </c>
      <c r="E186" s="31">
        <v>22.25</v>
      </c>
      <c r="F186" s="31">
        <v>32.83333333</v>
      </c>
      <c r="G186" s="58">
        <f t="shared" si="50"/>
        <v>27.54166667</v>
      </c>
      <c r="H186" s="33">
        <v>60.9</v>
      </c>
      <c r="I186" s="34">
        <v>43.1</v>
      </c>
      <c r="J186" s="55">
        <v>0.613</v>
      </c>
      <c r="K186" s="77">
        <v>5.6116528592E7</v>
      </c>
      <c r="L186" s="77">
        <v>897864.4575</v>
      </c>
      <c r="M186" s="78">
        <v>4152623.116</v>
      </c>
      <c r="N186" s="78">
        <v>1.8576042408E7</v>
      </c>
      <c r="O186" s="78">
        <v>185760.4241</v>
      </c>
      <c r="P186" s="78">
        <v>2452037.598</v>
      </c>
    </row>
    <row r="187">
      <c r="A187" s="41"/>
      <c r="B187" s="29">
        <v>2017.0</v>
      </c>
      <c r="C187" s="29">
        <v>1.0</v>
      </c>
      <c r="D187" s="29">
        <v>2.0</v>
      </c>
      <c r="E187" s="31">
        <v>22.5</v>
      </c>
      <c r="F187" s="31">
        <v>34.16666667</v>
      </c>
      <c r="G187" s="58">
        <f t="shared" si="50"/>
        <v>28.33333334</v>
      </c>
      <c r="H187" s="33">
        <v>59.9</v>
      </c>
      <c r="I187" s="34">
        <v>48.2</v>
      </c>
      <c r="J187" s="55">
        <v>0.623</v>
      </c>
      <c r="K187" s="77">
        <v>5.7030742738E7</v>
      </c>
      <c r="L187" s="77">
        <v>912491.8838</v>
      </c>
      <c r="M187" s="78">
        <v>4220274.963</v>
      </c>
      <c r="N187" s="78">
        <v>1.8878671262E7</v>
      </c>
      <c r="O187" s="78">
        <v>188786.7126</v>
      </c>
      <c r="P187" s="78">
        <v>2491984.607</v>
      </c>
    </row>
    <row r="188">
      <c r="A188" s="41"/>
      <c r="B188" s="29">
        <v>2018.0</v>
      </c>
      <c r="C188" s="29">
        <v>1.0</v>
      </c>
      <c r="D188" s="29">
        <v>1.0</v>
      </c>
      <c r="E188" s="31">
        <v>23.0</v>
      </c>
      <c r="F188" s="31">
        <v>33.08333333</v>
      </c>
      <c r="G188" s="58">
        <f t="shared" si="50"/>
        <v>28.04166667</v>
      </c>
      <c r="H188" s="33">
        <v>63.1</v>
      </c>
      <c r="I188" s="34">
        <v>47.71</v>
      </c>
      <c r="J188" s="55">
        <v>0.625</v>
      </c>
      <c r="K188" s="77">
        <v>5.7941268752E7</v>
      </c>
      <c r="L188" s="77">
        <v>927060.3</v>
      </c>
      <c r="M188" s="78">
        <v>4287653.888</v>
      </c>
      <c r="N188" s="78">
        <v>1.9180079248E7</v>
      </c>
      <c r="O188" s="78">
        <v>191800.7925</v>
      </c>
      <c r="P188" s="78">
        <v>2531770.461</v>
      </c>
    </row>
    <row r="189">
      <c r="A189" s="41"/>
      <c r="B189" s="29">
        <v>2019.0</v>
      </c>
      <c r="C189" s="29">
        <v>0.0</v>
      </c>
      <c r="D189" s="29">
        <v>0.0</v>
      </c>
      <c r="E189" s="31">
        <v>22.5</v>
      </c>
      <c r="F189" s="31">
        <v>31.66666667</v>
      </c>
      <c r="G189" s="58">
        <f t="shared" si="50"/>
        <v>27.08333334</v>
      </c>
      <c r="H189" s="33">
        <v>63.0</v>
      </c>
      <c r="I189" s="34">
        <v>41.57</v>
      </c>
      <c r="J189" s="55">
        <v>0.628</v>
      </c>
      <c r="K189" s="77">
        <v>5.8847830157E7</v>
      </c>
      <c r="L189" s="77">
        <v>941565.2825</v>
      </c>
      <c r="M189" s="78">
        <v>4354739.432</v>
      </c>
      <c r="N189" s="78">
        <v>1.9480174844E7</v>
      </c>
      <c r="O189" s="78">
        <v>194801.7484</v>
      </c>
      <c r="P189" s="78">
        <v>2571383.079</v>
      </c>
    </row>
    <row r="190">
      <c r="A190" s="41"/>
      <c r="B190" s="29">
        <v>2020.0</v>
      </c>
      <c r="C190" s="29">
        <v>1.0</v>
      </c>
      <c r="D190" s="29">
        <v>1.0</v>
      </c>
      <c r="E190" s="31">
        <v>23.66666667</v>
      </c>
      <c r="F190" s="31">
        <v>32.83333333</v>
      </c>
      <c r="G190" s="58">
        <f t="shared" si="50"/>
        <v>28.25</v>
      </c>
      <c r="H190" s="33">
        <v>61.2</v>
      </c>
      <c r="I190" s="34">
        <v>41.33</v>
      </c>
      <c r="J190" s="55">
        <f t="shared" ref="J190:J192" si="51">J189+(((J189-J188)+(J188-J187)+(J187-J186)+(J186-J185))/4)</f>
        <v>0.6345</v>
      </c>
      <c r="K190" s="77">
        <v>5.975016099E7</v>
      </c>
      <c r="L190" s="77">
        <v>956002.5758</v>
      </c>
      <c r="M190" s="78">
        <v>4421511.913</v>
      </c>
      <c r="N190" s="78">
        <v>1.977887001E7</v>
      </c>
      <c r="O190" s="78">
        <v>197788.7001</v>
      </c>
      <c r="P190" s="78">
        <v>2610810.841</v>
      </c>
    </row>
    <row r="191">
      <c r="A191" s="41"/>
      <c r="B191" s="29">
        <v>2021.0</v>
      </c>
      <c r="C191" s="29">
        <v>1.0</v>
      </c>
      <c r="D191" s="29">
        <v>1.0</v>
      </c>
      <c r="E191" s="31">
        <v>23.0</v>
      </c>
      <c r="F191" s="31">
        <v>33.41666667</v>
      </c>
      <c r="G191" s="58">
        <f t="shared" si="50"/>
        <v>28.20833334</v>
      </c>
      <c r="H191" s="59">
        <f>MEDIAN(H185:H190)</f>
        <v>62.1</v>
      </c>
      <c r="I191" s="79">
        <f t="shared" ref="I191:I192" si="52">I190-0.24</f>
        <v>41.09</v>
      </c>
      <c r="J191" s="55">
        <f t="shared" si="51"/>
        <v>0.639875</v>
      </c>
      <c r="K191" s="77">
        <v>6.0648004309E7</v>
      </c>
      <c r="L191" s="77">
        <v>970368.0689</v>
      </c>
      <c r="M191" s="78">
        <v>4487952.319</v>
      </c>
      <c r="N191" s="78">
        <v>2.0076079691E7</v>
      </c>
      <c r="O191" s="78">
        <v>200760.7969</v>
      </c>
      <c r="P191" s="78">
        <v>2650042.519</v>
      </c>
    </row>
    <row r="192">
      <c r="A192" s="41"/>
      <c r="B192" s="22">
        <v>2022.0</v>
      </c>
      <c r="C192" s="29">
        <v>1.0</v>
      </c>
      <c r="D192" s="29">
        <v>1.0</v>
      </c>
      <c r="E192" s="32">
        <v>19.34</v>
      </c>
      <c r="F192" s="32">
        <v>32.38</v>
      </c>
      <c r="G192" s="58">
        <f t="shared" si="50"/>
        <v>25.86</v>
      </c>
      <c r="H192" s="33">
        <v>65.0</v>
      </c>
      <c r="I192" s="52">
        <f t="shared" si="52"/>
        <v>40.85</v>
      </c>
      <c r="J192" s="55">
        <f t="shared" si="51"/>
        <v>0.64409375</v>
      </c>
      <c r="K192" s="55">
        <v>6.0990534E7</v>
      </c>
      <c r="L192" s="55">
        <v>975849.0</v>
      </c>
      <c r="M192" s="55">
        <v>4513299.516</v>
      </c>
      <c r="N192" s="55">
        <v>2.0189466E7</v>
      </c>
      <c r="O192" s="55">
        <v>201894.66</v>
      </c>
      <c r="P192" s="55">
        <v>2665009.512</v>
      </c>
    </row>
    <row r="193">
      <c r="A193" s="41"/>
      <c r="B193" s="22"/>
      <c r="C193" s="41"/>
      <c r="D193" s="41"/>
      <c r="E193" s="58"/>
      <c r="F193" s="58"/>
      <c r="G193" s="58"/>
      <c r="H193" s="59"/>
      <c r="I193" s="65"/>
      <c r="J193" s="53"/>
      <c r="K193" s="53"/>
      <c r="L193" s="53"/>
      <c r="M193" s="53"/>
      <c r="N193" s="53"/>
      <c r="O193" s="53"/>
      <c r="P193" s="53"/>
    </row>
    <row r="194">
      <c r="A194" s="28" t="s">
        <v>42</v>
      </c>
      <c r="B194" s="29">
        <v>2015.0</v>
      </c>
      <c r="C194" s="29">
        <v>0.0</v>
      </c>
      <c r="D194" s="29">
        <v>0.0</v>
      </c>
      <c r="E194" s="31">
        <v>10.41666667</v>
      </c>
      <c r="F194" s="31">
        <v>15.83333333</v>
      </c>
      <c r="G194" s="58">
        <f t="shared" ref="G194:G201" si="53">AVERAGE(E194:F194)</f>
        <v>13.125</v>
      </c>
      <c r="H194" s="33">
        <v>34.3</v>
      </c>
      <c r="I194" s="62">
        <v>53.39</v>
      </c>
      <c r="J194" s="55">
        <v>0.69</v>
      </c>
      <c r="K194" s="77">
        <v>473213.676</v>
      </c>
      <c r="L194" s="77">
        <v>7571.418816</v>
      </c>
      <c r="M194" s="78">
        <v>35017.81202</v>
      </c>
      <c r="N194" s="78">
        <v>159002.324</v>
      </c>
      <c r="O194" s="78">
        <v>1590.02324</v>
      </c>
      <c r="P194" s="78">
        <v>20988.30677</v>
      </c>
    </row>
    <row r="195">
      <c r="A195" s="41"/>
      <c r="B195" s="29">
        <v>2016.0</v>
      </c>
      <c r="C195" s="29">
        <v>1.0</v>
      </c>
      <c r="D195" s="29">
        <v>1.0</v>
      </c>
      <c r="E195" s="31">
        <v>11.66666667</v>
      </c>
      <c r="F195" s="31">
        <v>17.0</v>
      </c>
      <c r="G195" s="58">
        <f t="shared" si="53"/>
        <v>14.33333334</v>
      </c>
      <c r="H195" s="33">
        <v>31.1</v>
      </c>
      <c r="I195" s="62">
        <v>53.2</v>
      </c>
      <c r="J195" s="55">
        <v>0.7</v>
      </c>
      <c r="K195" s="77">
        <v>477147.044</v>
      </c>
      <c r="L195" s="77">
        <v>7634.352696</v>
      </c>
      <c r="M195" s="78">
        <v>35308.88122</v>
      </c>
      <c r="N195" s="78">
        <v>160323.957</v>
      </c>
      <c r="O195" s="78">
        <v>1603.239565</v>
      </c>
      <c r="P195" s="78">
        <v>21162.76226</v>
      </c>
    </row>
    <row r="196">
      <c r="A196" s="41"/>
      <c r="B196" s="29">
        <v>2017.0</v>
      </c>
      <c r="C196" s="29">
        <v>0.0</v>
      </c>
      <c r="D196" s="29">
        <v>0.0</v>
      </c>
      <c r="E196" s="31">
        <v>10.0</v>
      </c>
      <c r="F196" s="31">
        <v>17.16666667</v>
      </c>
      <c r="G196" s="58">
        <f t="shared" si="53"/>
        <v>13.58333334</v>
      </c>
      <c r="H196" s="33">
        <v>29.9</v>
      </c>
      <c r="I196" s="62">
        <v>50.5</v>
      </c>
      <c r="J196" s="55">
        <v>0.711</v>
      </c>
      <c r="K196" s="77">
        <v>481034.004</v>
      </c>
      <c r="L196" s="77">
        <v>7696.544064</v>
      </c>
      <c r="M196" s="78">
        <v>35596.5163</v>
      </c>
      <c r="N196" s="78">
        <v>161629.996</v>
      </c>
      <c r="O196" s="78">
        <v>1616.29996</v>
      </c>
      <c r="P196" s="78">
        <v>21335.15947</v>
      </c>
    </row>
    <row r="197">
      <c r="A197" s="41"/>
      <c r="B197" s="29">
        <v>2018.0</v>
      </c>
      <c r="C197" s="29">
        <v>0.0</v>
      </c>
      <c r="D197" s="29">
        <v>0.0</v>
      </c>
      <c r="E197" s="31">
        <v>9.416666667</v>
      </c>
      <c r="F197" s="31">
        <v>16.75</v>
      </c>
      <c r="G197" s="58">
        <f t="shared" si="53"/>
        <v>13.08333333</v>
      </c>
      <c r="H197" s="33">
        <v>33.1</v>
      </c>
      <c r="I197" s="62">
        <v>63.31</v>
      </c>
      <c r="J197" s="55">
        <v>0.713</v>
      </c>
      <c r="K197" s="77">
        <v>484873.809</v>
      </c>
      <c r="L197" s="77">
        <v>7757.980944</v>
      </c>
      <c r="M197" s="78">
        <v>35880.66187</v>
      </c>
      <c r="N197" s="78">
        <v>162920.191</v>
      </c>
      <c r="O197" s="78">
        <v>1629.20191</v>
      </c>
      <c r="P197" s="78">
        <v>21505.46521</v>
      </c>
    </row>
    <row r="198">
      <c r="A198" s="41"/>
      <c r="B198" s="29">
        <v>2019.0</v>
      </c>
      <c r="C198" s="29">
        <v>0.0</v>
      </c>
      <c r="D198" s="29">
        <v>0.0</v>
      </c>
      <c r="E198" s="31">
        <v>9.333333333</v>
      </c>
      <c r="F198" s="31">
        <v>16.75</v>
      </c>
      <c r="G198" s="58">
        <f t="shared" si="53"/>
        <v>13.04166667</v>
      </c>
      <c r="H198" s="33">
        <v>28.9</v>
      </c>
      <c r="I198" s="62">
        <v>56.21</v>
      </c>
      <c r="J198" s="55">
        <v>0.717</v>
      </c>
      <c r="K198" s="77">
        <v>488667.207</v>
      </c>
      <c r="L198" s="77">
        <v>7818.675312</v>
      </c>
      <c r="M198" s="78">
        <v>36161.37332</v>
      </c>
      <c r="N198" s="78">
        <v>164194.793</v>
      </c>
      <c r="O198" s="78">
        <v>1641.94793</v>
      </c>
      <c r="P198" s="78">
        <v>21673.71268</v>
      </c>
    </row>
    <row r="199">
      <c r="A199" s="41"/>
      <c r="B199" s="29">
        <v>2020.0</v>
      </c>
      <c r="C199" s="29">
        <v>1.0</v>
      </c>
      <c r="D199" s="29">
        <v>1.0</v>
      </c>
      <c r="E199" s="31">
        <v>6.416666667</v>
      </c>
      <c r="F199" s="31">
        <v>14.5</v>
      </c>
      <c r="G199" s="58">
        <f t="shared" si="53"/>
        <v>10.45833333</v>
      </c>
      <c r="H199" s="33">
        <v>31.6</v>
      </c>
      <c r="I199" s="62">
        <v>55.53</v>
      </c>
      <c r="J199" s="55">
        <f t="shared" ref="J199:J201" si="54">J198+(((J198-J197)+(J197-J196)+(J196-J195)+(J195-J194))/4)</f>
        <v>0.72375</v>
      </c>
      <c r="K199" s="77">
        <v>492413.45</v>
      </c>
      <c r="L199" s="77">
        <v>7878.615192</v>
      </c>
      <c r="M199" s="78">
        <v>36438.59526</v>
      </c>
      <c r="N199" s="78">
        <v>165453.551</v>
      </c>
      <c r="O199" s="78">
        <v>1654.535505</v>
      </c>
      <c r="P199" s="78">
        <v>21839.86867</v>
      </c>
    </row>
    <row r="200">
      <c r="A200" s="41"/>
      <c r="B200" s="29">
        <v>2021.0</v>
      </c>
      <c r="C200" s="29">
        <v>1.0</v>
      </c>
      <c r="D200" s="29">
        <v>1.0</v>
      </c>
      <c r="E200" s="31">
        <v>6.75</v>
      </c>
      <c r="F200" s="31">
        <v>15.58333333</v>
      </c>
      <c r="G200" s="58">
        <f t="shared" si="53"/>
        <v>11.16666667</v>
      </c>
      <c r="H200" s="59">
        <f>MEDIAN(H194:H199)</f>
        <v>31.35</v>
      </c>
      <c r="I200" s="79">
        <f t="shared" ref="I200:I201" si="56">I199-0.72</f>
        <v>54.81</v>
      </c>
      <c r="J200" s="55">
        <f t="shared" si="54"/>
        <v>0.7296875</v>
      </c>
      <c r="K200" s="77">
        <v>496113.285</v>
      </c>
      <c r="L200" s="77">
        <v>7937.81256</v>
      </c>
      <c r="M200" s="78">
        <v>36712.38309</v>
      </c>
      <c r="N200" s="78">
        <v>166696.715</v>
      </c>
      <c r="O200" s="78">
        <v>1666.96715</v>
      </c>
      <c r="P200" s="78">
        <v>22003.96638</v>
      </c>
    </row>
    <row r="201">
      <c r="A201" s="41"/>
      <c r="B201" s="22">
        <v>2022.0</v>
      </c>
      <c r="C201" s="29">
        <v>0.0</v>
      </c>
      <c r="D201" s="29">
        <v>0.0</v>
      </c>
      <c r="E201" s="58">
        <f t="shared" ref="E201:F201" si="55">E200+(((E200-E199)+(E199-E198)+(E198-E197)+(E197-E196)+(E196-E195)+(E195-E194))/6)</f>
        <v>6.138888888</v>
      </c>
      <c r="F201" s="58">
        <f t="shared" si="55"/>
        <v>15.54166666</v>
      </c>
      <c r="G201" s="58">
        <f t="shared" si="53"/>
        <v>10.84027778</v>
      </c>
      <c r="H201" s="33">
        <v>48.0</v>
      </c>
      <c r="I201" s="52">
        <f t="shared" si="56"/>
        <v>54.09</v>
      </c>
      <c r="J201" s="55">
        <f t="shared" si="54"/>
        <v>0.734359375</v>
      </c>
      <c r="K201" s="55">
        <v>507333.3</v>
      </c>
      <c r="L201" s="55">
        <v>8117.3328</v>
      </c>
      <c r="M201" s="55">
        <v>37542.6642</v>
      </c>
      <c r="N201" s="55">
        <v>170466.7</v>
      </c>
      <c r="O201" s="55">
        <v>1704.667</v>
      </c>
      <c r="P201" s="55">
        <v>22501.6044</v>
      </c>
    </row>
    <row r="202">
      <c r="A202" s="41"/>
      <c r="B202" s="22"/>
      <c r="C202" s="41"/>
      <c r="D202" s="41"/>
      <c r="E202" s="58"/>
      <c r="F202" s="58"/>
      <c r="G202" s="58"/>
      <c r="H202" s="59"/>
      <c r="I202" s="65"/>
      <c r="J202" s="53"/>
      <c r="K202" s="53"/>
      <c r="L202" s="53"/>
      <c r="M202" s="53"/>
      <c r="N202" s="53"/>
      <c r="O202" s="53"/>
      <c r="P202" s="53"/>
    </row>
    <row r="203">
      <c r="A203" s="28" t="s">
        <v>43</v>
      </c>
      <c r="B203" s="29">
        <v>2015.0</v>
      </c>
      <c r="C203" s="29">
        <v>0.0</v>
      </c>
      <c r="D203" s="29">
        <v>0.0</v>
      </c>
      <c r="E203" s="31">
        <v>27.16666667</v>
      </c>
      <c r="F203" s="31">
        <v>30.58333333</v>
      </c>
      <c r="G203" s="58">
        <f t="shared" ref="G203:G210" si="57">AVERAGE(E203:F203)</f>
        <v>28.875</v>
      </c>
      <c r="H203" s="33">
        <v>23.9</v>
      </c>
      <c r="I203" s="62">
        <v>63.28</v>
      </c>
      <c r="J203" s="55">
        <v>0.688</v>
      </c>
      <c r="K203" s="55">
        <v>3.9901362552E7</v>
      </c>
      <c r="L203" s="55">
        <v>638421.8008</v>
      </c>
      <c r="M203" s="55">
        <v>2952700.829</v>
      </c>
      <c r="N203" s="55">
        <v>3.7426859448E7</v>
      </c>
      <c r="O203" s="55">
        <v>374268.5945</v>
      </c>
      <c r="P203" s="55">
        <v>4940345.447</v>
      </c>
    </row>
    <row r="204">
      <c r="A204" s="41"/>
      <c r="B204" s="29">
        <v>2016.0</v>
      </c>
      <c r="C204" s="29">
        <v>1.0</v>
      </c>
      <c r="D204" s="29">
        <v>1.0</v>
      </c>
      <c r="E204" s="31">
        <v>27.0</v>
      </c>
      <c r="F204" s="31">
        <v>31.25</v>
      </c>
      <c r="G204" s="58">
        <f t="shared" si="57"/>
        <v>29.125</v>
      </c>
      <c r="H204" s="33">
        <v>27.7</v>
      </c>
      <c r="I204" s="62">
        <v>63.38</v>
      </c>
      <c r="J204" s="55">
        <v>0.692</v>
      </c>
      <c r="K204" s="55">
        <v>4.0564675908E7</v>
      </c>
      <c r="L204" s="55">
        <v>649034.8145</v>
      </c>
      <c r="M204" s="55">
        <v>3001786.017</v>
      </c>
      <c r="N204" s="55">
        <v>3.8049037092E7</v>
      </c>
      <c r="O204" s="55">
        <v>380490.3709</v>
      </c>
      <c r="P204" s="55">
        <v>5022472.896</v>
      </c>
    </row>
    <row r="205">
      <c r="A205" s="41"/>
      <c r="B205" s="29">
        <v>2017.0</v>
      </c>
      <c r="C205" s="29">
        <v>1.0</v>
      </c>
      <c r="D205" s="29">
        <v>2.0</v>
      </c>
      <c r="E205" s="31">
        <v>26.83333333</v>
      </c>
      <c r="F205" s="31">
        <v>31.08333333</v>
      </c>
      <c r="G205" s="58">
        <f t="shared" si="57"/>
        <v>28.95833333</v>
      </c>
      <c r="H205" s="33">
        <v>28.4</v>
      </c>
      <c r="I205" s="62">
        <v>60.41</v>
      </c>
      <c r="J205" s="55">
        <v>0.703</v>
      </c>
      <c r="K205" s="55">
        <v>4.1225529492E7</v>
      </c>
      <c r="L205" s="55">
        <v>659608.4719</v>
      </c>
      <c r="M205" s="55">
        <v>3050689.182</v>
      </c>
      <c r="N205" s="55">
        <v>3.8668907508E7</v>
      </c>
      <c r="O205" s="55">
        <v>386689.0751</v>
      </c>
      <c r="P205" s="55">
        <v>5104295.791</v>
      </c>
    </row>
    <row r="206">
      <c r="A206" s="41"/>
      <c r="B206" s="29">
        <v>2018.0</v>
      </c>
      <c r="C206" s="29">
        <v>0.0</v>
      </c>
      <c r="D206" s="29">
        <v>0.0</v>
      </c>
      <c r="E206" s="31">
        <v>26.91666667</v>
      </c>
      <c r="F206" s="31">
        <v>30.66666667</v>
      </c>
      <c r="G206" s="58">
        <f t="shared" si="57"/>
        <v>28.79166667</v>
      </c>
      <c r="H206" s="33">
        <v>29.6</v>
      </c>
      <c r="I206" s="62">
        <v>63.37</v>
      </c>
      <c r="J206" s="55">
        <v>0.705</v>
      </c>
      <c r="K206" s="55">
        <v>4.1883716904E7</v>
      </c>
      <c r="L206" s="55">
        <v>670139.4705</v>
      </c>
      <c r="M206" s="55">
        <v>3099395.051</v>
      </c>
      <c r="N206" s="55">
        <v>3.9286277096E7</v>
      </c>
      <c r="O206" s="55">
        <v>392862.771</v>
      </c>
      <c r="P206" s="55">
        <v>5185788.577</v>
      </c>
    </row>
    <row r="207">
      <c r="A207" s="41"/>
      <c r="B207" s="29">
        <v>2019.0</v>
      </c>
      <c r="C207" s="29">
        <v>0.0</v>
      </c>
      <c r="D207" s="29">
        <v>0.0</v>
      </c>
      <c r="E207" s="31">
        <v>26.83333333</v>
      </c>
      <c r="F207" s="31">
        <v>31.08333333</v>
      </c>
      <c r="G207" s="58">
        <f t="shared" si="57"/>
        <v>28.95833333</v>
      </c>
      <c r="H207" s="33">
        <v>25.7</v>
      </c>
      <c r="I207" s="62">
        <v>67.44</v>
      </c>
      <c r="J207" s="55">
        <v>0.709</v>
      </c>
      <c r="K207" s="55">
        <v>4.2539038452E7</v>
      </c>
      <c r="L207" s="55">
        <v>680624.6152</v>
      </c>
      <c r="M207" s="55">
        <v>3147888.845</v>
      </c>
      <c r="N207" s="55">
        <v>3.9900958548E7</v>
      </c>
      <c r="O207" s="55">
        <v>399009.5855</v>
      </c>
      <c r="P207" s="55">
        <v>5266926.528</v>
      </c>
    </row>
    <row r="208">
      <c r="A208" s="41"/>
      <c r="B208" s="29">
        <v>2020.0</v>
      </c>
      <c r="C208" s="29">
        <v>1.0</v>
      </c>
      <c r="D208" s="29">
        <v>3.0</v>
      </c>
      <c r="E208" s="31">
        <v>26.5</v>
      </c>
      <c r="F208" s="31">
        <v>30.41666667</v>
      </c>
      <c r="G208" s="58">
        <f t="shared" si="57"/>
        <v>28.45833334</v>
      </c>
      <c r="H208" s="33">
        <v>25.5</v>
      </c>
      <c r="I208" s="62">
        <v>72.42</v>
      </c>
      <c r="J208" s="55">
        <f t="shared" ref="J208:J210" si="58">J207+(((J207-J206)+(J206-J205)+(J205-J204)+(J204-J203))/4)</f>
        <v>0.71425</v>
      </c>
      <c r="K208" s="55">
        <v>4.3191302184E7</v>
      </c>
      <c r="L208" s="55">
        <v>691060.8349</v>
      </c>
      <c r="M208" s="55">
        <v>3196156.362</v>
      </c>
      <c r="N208" s="55">
        <v>4.0512771816E7</v>
      </c>
      <c r="O208" s="55">
        <v>405127.7182</v>
      </c>
      <c r="P208" s="55">
        <v>5347685.88</v>
      </c>
    </row>
    <row r="209">
      <c r="A209" s="41"/>
      <c r="B209" s="29">
        <v>2021.0</v>
      </c>
      <c r="C209" s="29">
        <v>1.0</v>
      </c>
      <c r="D209" s="29">
        <v>1.0</v>
      </c>
      <c r="E209" s="31">
        <v>25.75</v>
      </c>
      <c r="F209" s="31">
        <v>30.66666667</v>
      </c>
      <c r="G209" s="58">
        <f t="shared" si="57"/>
        <v>28.20833334</v>
      </c>
      <c r="H209" s="59">
        <f>MEDIAN(H203:H208)</f>
        <v>26.7</v>
      </c>
      <c r="I209" s="65">
        <f t="shared" ref="I209:I210" si="60">I208+1.63</f>
        <v>74.05</v>
      </c>
      <c r="J209" s="55">
        <f t="shared" si="58"/>
        <v>0.7198125</v>
      </c>
      <c r="K209" s="55">
        <v>4.3840321308E7</v>
      </c>
      <c r="L209" s="55">
        <v>701445.1409</v>
      </c>
      <c r="M209" s="55">
        <v>3244183.777</v>
      </c>
      <c r="N209" s="55">
        <v>4.1121541692E7</v>
      </c>
      <c r="O209" s="55">
        <v>411215.4169</v>
      </c>
      <c r="P209" s="55">
        <v>5428043.503</v>
      </c>
    </row>
    <row r="210">
      <c r="A210" s="41"/>
      <c r="B210" s="22">
        <v>2022.0</v>
      </c>
      <c r="C210" s="29">
        <v>1.0</v>
      </c>
      <c r="D210" s="29">
        <v>1.0</v>
      </c>
      <c r="E210" s="58">
        <f t="shared" ref="E210:F210" si="59">E209+(((E209-E208)+(E208-E207)+(E207-E206)+(E206-E205)+(E205-E204)+(E204-E203))/6)</f>
        <v>25.51388889</v>
      </c>
      <c r="F210" s="58">
        <f t="shared" si="59"/>
        <v>30.68055556</v>
      </c>
      <c r="G210" s="58">
        <f t="shared" si="57"/>
        <v>28.09722222</v>
      </c>
      <c r="H210" s="33">
        <v>29.0</v>
      </c>
      <c r="I210" s="52">
        <f t="shared" si="60"/>
        <v>75.68</v>
      </c>
      <c r="J210" s="55">
        <f t="shared" si="58"/>
        <v>0.724015625</v>
      </c>
      <c r="K210" s="55">
        <v>4.40148E7</v>
      </c>
      <c r="L210" s="55">
        <v>704236.8</v>
      </c>
      <c r="M210" s="55">
        <v>3257095.2</v>
      </c>
      <c r="N210" s="55">
        <v>4.12852E7</v>
      </c>
      <c r="O210" s="55">
        <v>412852.0</v>
      </c>
      <c r="P210" s="55">
        <v>5449646.4</v>
      </c>
    </row>
    <row r="211">
      <c r="A211" s="41"/>
      <c r="B211" s="22"/>
      <c r="C211" s="41"/>
      <c r="D211" s="41"/>
      <c r="E211" s="58"/>
      <c r="F211" s="58"/>
      <c r="G211" s="58"/>
      <c r="H211" s="59"/>
      <c r="I211" s="65"/>
      <c r="J211" s="53"/>
      <c r="K211" s="53"/>
      <c r="L211" s="53"/>
      <c r="M211" s="53"/>
      <c r="N211" s="53"/>
      <c r="O211" s="53"/>
      <c r="P211" s="53"/>
    </row>
    <row r="212">
      <c r="A212" s="28" t="s">
        <v>44</v>
      </c>
      <c r="B212" s="29">
        <v>2015.0</v>
      </c>
      <c r="C212" s="29">
        <v>1.0</v>
      </c>
      <c r="D212" s="29">
        <v>2.0</v>
      </c>
      <c r="E212" s="31">
        <v>26.5</v>
      </c>
      <c r="F212" s="31">
        <v>30.66666667</v>
      </c>
      <c r="G212" s="58">
        <f t="shared" ref="G212:G219" si="61">AVERAGE(E212:F212)</f>
        <v>28.58333334</v>
      </c>
      <c r="H212" s="33">
        <v>31.9</v>
      </c>
      <c r="I212" s="62">
        <v>54.94</v>
      </c>
      <c r="J212" s="55">
        <v>0.649</v>
      </c>
      <c r="K212" s="55">
        <v>2.4585521736E7</v>
      </c>
      <c r="L212" s="55">
        <v>391951.655</v>
      </c>
      <c r="M212" s="55">
        <v>1812776.405</v>
      </c>
      <c r="N212" s="55">
        <v>1.2307518084E7</v>
      </c>
      <c r="O212" s="55">
        <v>123075.1808</v>
      </c>
      <c r="P212" s="55">
        <v>1624592.387</v>
      </c>
    </row>
    <row r="213">
      <c r="A213" s="41"/>
      <c r="B213" s="29">
        <v>2016.0</v>
      </c>
      <c r="C213" s="29">
        <v>1.0</v>
      </c>
      <c r="D213" s="29">
        <v>1.0</v>
      </c>
      <c r="E213" s="31">
        <v>26.5</v>
      </c>
      <c r="F213" s="31">
        <v>31.33333333</v>
      </c>
      <c r="G213" s="58">
        <f t="shared" si="61"/>
        <v>28.91666667</v>
      </c>
      <c r="H213" s="33">
        <v>32.7</v>
      </c>
      <c r="I213" s="62">
        <v>55.39</v>
      </c>
      <c r="J213" s="55">
        <v>0.652</v>
      </c>
      <c r="K213" s="55">
        <v>2.4807500069E7</v>
      </c>
      <c r="L213" s="55">
        <v>395490.5173</v>
      </c>
      <c r="M213" s="55">
        <v>1829143.643</v>
      </c>
      <c r="N213" s="55">
        <v>1.2418640491E7</v>
      </c>
      <c r="O213" s="55">
        <v>124186.4049</v>
      </c>
      <c r="P213" s="55">
        <v>1639260.545</v>
      </c>
    </row>
    <row r="214">
      <c r="A214" s="41"/>
      <c r="B214" s="29">
        <v>2017.0</v>
      </c>
      <c r="C214" s="29">
        <v>0.0</v>
      </c>
      <c r="D214" s="29">
        <v>0.0</v>
      </c>
      <c r="E214" s="31">
        <v>26.33333333</v>
      </c>
      <c r="F214" s="31">
        <v>31.25</v>
      </c>
      <c r="G214" s="58">
        <f t="shared" si="61"/>
        <v>28.79166667</v>
      </c>
      <c r="H214" s="33">
        <v>34.4</v>
      </c>
      <c r="I214" s="62">
        <v>59.0</v>
      </c>
      <c r="J214" s="55">
        <v>0.663</v>
      </c>
      <c r="K214" s="55">
        <v>2.5027002793E7</v>
      </c>
      <c r="L214" s="55">
        <v>398989.9125</v>
      </c>
      <c r="M214" s="55">
        <v>1845328.345</v>
      </c>
      <c r="N214" s="55">
        <v>1.2528523607E7</v>
      </c>
      <c r="O214" s="55">
        <v>125285.2361</v>
      </c>
      <c r="P214" s="55">
        <v>1653765.116</v>
      </c>
    </row>
    <row r="215">
      <c r="A215" s="41"/>
      <c r="B215" s="29">
        <v>2018.0</v>
      </c>
      <c r="C215" s="29">
        <v>0.0</v>
      </c>
      <c r="D215" s="29">
        <v>0.0</v>
      </c>
      <c r="E215" s="31">
        <v>26.91666667</v>
      </c>
      <c r="F215" s="31">
        <v>30.91666667</v>
      </c>
      <c r="G215" s="58">
        <f t="shared" si="61"/>
        <v>28.91666667</v>
      </c>
      <c r="H215" s="33">
        <v>34.7</v>
      </c>
      <c r="I215" s="62">
        <v>54.44</v>
      </c>
      <c r="J215" s="55">
        <v>0.665</v>
      </c>
      <c r="K215" s="55">
        <v>2.5244018712E7</v>
      </c>
      <c r="L215" s="55">
        <v>402449.6621</v>
      </c>
      <c r="M215" s="55">
        <v>1861329.687</v>
      </c>
      <c r="N215" s="55">
        <v>1.2637161828E7</v>
      </c>
      <c r="O215" s="55">
        <v>126371.6183</v>
      </c>
      <c r="P215" s="55">
        <v>1668105.361</v>
      </c>
    </row>
    <row r="216">
      <c r="A216" s="41"/>
      <c r="B216" s="29">
        <v>2019.0</v>
      </c>
      <c r="C216" s="29">
        <v>0.0</v>
      </c>
      <c r="D216" s="29">
        <v>0.0</v>
      </c>
      <c r="E216" s="31">
        <v>26.66666667</v>
      </c>
      <c r="F216" s="31">
        <v>31.25</v>
      </c>
      <c r="G216" s="58">
        <f t="shared" si="61"/>
        <v>28.95833334</v>
      </c>
      <c r="H216" s="33">
        <v>33.2</v>
      </c>
      <c r="I216" s="62">
        <v>58.31</v>
      </c>
      <c r="J216" s="55">
        <v>0.669</v>
      </c>
      <c r="K216" s="55">
        <v>2.5458538869E7</v>
      </c>
      <c r="L216" s="55">
        <v>405869.6233</v>
      </c>
      <c r="M216" s="55">
        <v>1877147.008</v>
      </c>
      <c r="N216" s="55">
        <v>1.2744550671E7</v>
      </c>
      <c r="O216" s="55">
        <v>127445.5067</v>
      </c>
      <c r="P216" s="55">
        <v>1682280.689</v>
      </c>
    </row>
    <row r="217">
      <c r="A217" s="41"/>
      <c r="B217" s="29">
        <v>2020.0</v>
      </c>
      <c r="C217" s="29">
        <v>1.0</v>
      </c>
      <c r="D217" s="29">
        <v>3.0</v>
      </c>
      <c r="E217" s="31">
        <v>26.25</v>
      </c>
      <c r="F217" s="31">
        <v>30.41666667</v>
      </c>
      <c r="G217" s="58">
        <f t="shared" si="61"/>
        <v>28.33333334</v>
      </c>
      <c r="H217" s="33">
        <v>34.1</v>
      </c>
      <c r="I217" s="62">
        <v>65.74</v>
      </c>
      <c r="J217" s="55">
        <f t="shared" ref="J217:J219" si="62">J216+(((J216-J215)+(J215-J214)+(J214-J213)+(J213-J212))/4)</f>
        <v>0.674</v>
      </c>
      <c r="K217" s="55">
        <v>2.5670554869E7</v>
      </c>
      <c r="L217" s="55">
        <v>409249.6623</v>
      </c>
      <c r="M217" s="55">
        <v>1892779.688</v>
      </c>
      <c r="N217" s="55">
        <v>1.2850685931E7</v>
      </c>
      <c r="O217" s="55">
        <v>128506.8593</v>
      </c>
      <c r="P217" s="55">
        <v>1696290.543</v>
      </c>
    </row>
    <row r="218">
      <c r="A218" s="41"/>
      <c r="B218" s="29">
        <v>2021.0</v>
      </c>
      <c r="C218" s="29">
        <v>1.0</v>
      </c>
      <c r="D218" s="29">
        <v>1.0</v>
      </c>
      <c r="E218" s="31">
        <v>25.58333333</v>
      </c>
      <c r="F218" s="31">
        <v>30.83333333</v>
      </c>
      <c r="G218" s="58">
        <f t="shared" si="61"/>
        <v>28.20833333</v>
      </c>
      <c r="H218" s="59">
        <f>MEDIAN(H212:H217)</f>
        <v>33.65</v>
      </c>
      <c r="I218" s="65">
        <f t="shared" ref="I218:I219" si="64">I217+4.22</f>
        <v>69.96</v>
      </c>
      <c r="J218" s="55">
        <f t="shared" si="62"/>
        <v>0.6795</v>
      </c>
      <c r="K218" s="55">
        <v>2.5880060833E7</v>
      </c>
      <c r="L218" s="55">
        <v>412589.6853</v>
      </c>
      <c r="M218" s="55">
        <v>1908227.295</v>
      </c>
      <c r="N218" s="55">
        <v>1.2955564667E7</v>
      </c>
      <c r="O218" s="55">
        <v>129555.6467</v>
      </c>
      <c r="P218" s="55">
        <v>1710134.536</v>
      </c>
    </row>
    <row r="219">
      <c r="A219" s="41"/>
      <c r="B219" s="22">
        <v>2022.0</v>
      </c>
      <c r="C219" s="29">
        <v>0.0</v>
      </c>
      <c r="D219" s="29">
        <v>0.0</v>
      </c>
      <c r="E219" s="58">
        <f t="shared" ref="E219:F219" si="63">E218+(((E218-E217)+(E217-E216)+(E216-E215)+(E215-E214)+(E214-E213)+(E213-E212))/6)</f>
        <v>25.43055555</v>
      </c>
      <c r="F219" s="58">
        <f t="shared" si="63"/>
        <v>30.86111111</v>
      </c>
      <c r="G219" s="58">
        <f t="shared" si="61"/>
        <v>28.14583333</v>
      </c>
      <c r="H219" s="33">
        <v>49.0</v>
      </c>
      <c r="I219" s="52">
        <f t="shared" si="64"/>
        <v>74.18</v>
      </c>
      <c r="J219" s="55">
        <f t="shared" si="62"/>
        <v>0.683625</v>
      </c>
      <c r="K219" s="55">
        <v>2.625909216E7</v>
      </c>
      <c r="L219" s="55">
        <v>418632.3456</v>
      </c>
      <c r="M219" s="55">
        <v>1936174.598</v>
      </c>
      <c r="N219" s="55">
        <v>1.314530784E7</v>
      </c>
      <c r="O219" s="55">
        <v>131453.0784</v>
      </c>
      <c r="P219" s="55">
        <v>1735180.635</v>
      </c>
    </row>
    <row r="220">
      <c r="A220" s="41"/>
      <c r="B220" s="22"/>
      <c r="C220" s="41"/>
      <c r="D220" s="41"/>
      <c r="E220" s="58"/>
      <c r="F220" s="58"/>
      <c r="G220" s="58"/>
      <c r="H220" s="59"/>
      <c r="I220" s="65"/>
      <c r="J220" s="53"/>
      <c r="K220" s="53"/>
      <c r="L220" s="53"/>
      <c r="M220" s="53"/>
      <c r="N220" s="53"/>
      <c r="O220" s="53"/>
      <c r="P220" s="53"/>
    </row>
    <row r="221">
      <c r="A221" s="28" t="s">
        <v>45</v>
      </c>
      <c r="B221" s="29">
        <v>2015.0</v>
      </c>
      <c r="C221" s="29">
        <v>0.0</v>
      </c>
      <c r="D221" s="29">
        <v>0.0</v>
      </c>
      <c r="E221" s="31">
        <v>22.25</v>
      </c>
      <c r="F221" s="31">
        <v>31.58333333</v>
      </c>
      <c r="G221" s="58">
        <f t="shared" ref="G221:G228" si="65">AVERAGE(E221:F221)</f>
        <v>26.91666667</v>
      </c>
      <c r="H221" s="33">
        <v>60.0</v>
      </c>
      <c r="I221" s="62">
        <v>45.96</v>
      </c>
      <c r="J221" s="55">
        <v>0.641</v>
      </c>
      <c r="K221" s="55">
        <v>2882340.181</v>
      </c>
      <c r="L221" s="55">
        <v>46117.44289</v>
      </c>
      <c r="M221" s="55">
        <v>213293.1734</v>
      </c>
      <c r="N221" s="55">
        <v>1021682.819</v>
      </c>
      <c r="O221" s="55">
        <v>10216.82819</v>
      </c>
      <c r="P221" s="55">
        <v>134862.1321</v>
      </c>
    </row>
    <row r="222">
      <c r="A222" s="41"/>
      <c r="B222" s="29">
        <v>2016.0</v>
      </c>
      <c r="C222" s="29">
        <v>1.0</v>
      </c>
      <c r="D222" s="29">
        <v>1.0</v>
      </c>
      <c r="E222" s="31">
        <v>22.91666667</v>
      </c>
      <c r="F222" s="31">
        <v>32.08333333</v>
      </c>
      <c r="G222" s="58">
        <f t="shared" si="65"/>
        <v>27.5</v>
      </c>
      <c r="H222" s="33">
        <v>65.1</v>
      </c>
      <c r="I222" s="62">
        <v>46.38</v>
      </c>
      <c r="J222" s="55">
        <v>0.642</v>
      </c>
      <c r="K222" s="55">
        <v>2924266.761</v>
      </c>
      <c r="L222" s="55">
        <v>46788.26818</v>
      </c>
      <c r="M222" s="55">
        <v>216395.7403</v>
      </c>
      <c r="N222" s="55">
        <v>1036544.239</v>
      </c>
      <c r="O222" s="55">
        <v>10365.44239</v>
      </c>
      <c r="P222" s="55">
        <v>136823.8395</v>
      </c>
    </row>
    <row r="223">
      <c r="A223" s="41"/>
      <c r="B223" s="29">
        <v>2017.0</v>
      </c>
      <c r="C223" s="29">
        <v>1.0</v>
      </c>
      <c r="D223" s="29">
        <v>1.0</v>
      </c>
      <c r="E223" s="31">
        <v>22.41666667</v>
      </c>
      <c r="F223" s="31">
        <v>31.5</v>
      </c>
      <c r="G223" s="58">
        <f t="shared" si="65"/>
        <v>26.95833334</v>
      </c>
      <c r="H223" s="33">
        <v>55.1</v>
      </c>
      <c r="I223" s="62">
        <v>48.35</v>
      </c>
      <c r="J223" s="55">
        <v>0.652</v>
      </c>
      <c r="K223" s="55">
        <v>2965951.918</v>
      </c>
      <c r="L223" s="55">
        <v>47455.23068</v>
      </c>
      <c r="M223" s="55">
        <v>219480.4419</v>
      </c>
      <c r="N223" s="55">
        <v>1051320.082</v>
      </c>
      <c r="O223" s="55">
        <v>10513.20082</v>
      </c>
      <c r="P223" s="55">
        <v>138774.2509</v>
      </c>
    </row>
    <row r="224">
      <c r="A224" s="41"/>
      <c r="B224" s="29">
        <v>2018.0</v>
      </c>
      <c r="C224" s="29">
        <v>0.0</v>
      </c>
      <c r="D224" s="29">
        <v>0.0</v>
      </c>
      <c r="E224" s="31">
        <v>23.16666667</v>
      </c>
      <c r="F224" s="31">
        <v>32.66666667</v>
      </c>
      <c r="G224" s="58">
        <f t="shared" si="65"/>
        <v>27.91666667</v>
      </c>
      <c r="H224" s="33">
        <v>73.4</v>
      </c>
      <c r="I224" s="62">
        <v>43.51</v>
      </c>
      <c r="J224" s="55">
        <v>0.655</v>
      </c>
      <c r="K224" s="55">
        <v>3007385.314</v>
      </c>
      <c r="L224" s="55">
        <v>48118.16502</v>
      </c>
      <c r="M224" s="55">
        <v>222546.5132</v>
      </c>
      <c r="N224" s="55">
        <v>1066006.686</v>
      </c>
      <c r="O224" s="55">
        <v>10660.06686</v>
      </c>
      <c r="P224" s="55">
        <v>140712.8826</v>
      </c>
    </row>
    <row r="225">
      <c r="A225" s="41"/>
      <c r="B225" s="29">
        <v>2019.0</v>
      </c>
      <c r="C225" s="29">
        <v>0.0</v>
      </c>
      <c r="D225" s="29">
        <v>0.0</v>
      </c>
      <c r="E225" s="31">
        <v>22.91666667</v>
      </c>
      <c r="F225" s="31">
        <v>32.91666667</v>
      </c>
      <c r="G225" s="58">
        <f t="shared" si="65"/>
        <v>27.91666667</v>
      </c>
      <c r="H225" s="33">
        <v>61.4</v>
      </c>
      <c r="I225" s="62">
        <v>69.96</v>
      </c>
      <c r="J225" s="55">
        <v>0.658</v>
      </c>
      <c r="K225" s="55">
        <v>3048558.09</v>
      </c>
      <c r="L225" s="55">
        <v>48776.92944</v>
      </c>
      <c r="M225" s="55">
        <v>225593.2986</v>
      </c>
      <c r="N225" s="55">
        <v>1080600.91</v>
      </c>
      <c r="O225" s="55">
        <v>10806.0091</v>
      </c>
      <c r="P225" s="55">
        <v>142639.3202</v>
      </c>
    </row>
    <row r="226">
      <c r="A226" s="41"/>
      <c r="B226" s="29">
        <v>2020.0</v>
      </c>
      <c r="C226" s="29">
        <v>1.0</v>
      </c>
      <c r="D226" s="29">
        <v>1.0</v>
      </c>
      <c r="E226" s="31">
        <v>23.25</v>
      </c>
      <c r="F226" s="31">
        <v>32.08333333</v>
      </c>
      <c r="G226" s="58">
        <f t="shared" si="65"/>
        <v>27.66666667</v>
      </c>
      <c r="H226" s="33">
        <v>65.9</v>
      </c>
      <c r="I226" s="62">
        <v>70.16</v>
      </c>
      <c r="J226" s="55">
        <f t="shared" ref="J226:J228" si="66">J225+(((J225-J224)+(J224-J223)+(J223-J222)+(J222-J221))/4)</f>
        <v>0.66225</v>
      </c>
      <c r="K226" s="55">
        <v>3089459.171</v>
      </c>
      <c r="L226" s="55">
        <v>49431.34674</v>
      </c>
      <c r="M226" s="55">
        <v>228619.9787</v>
      </c>
      <c r="N226" s="55">
        <v>1095098.829</v>
      </c>
      <c r="O226" s="55">
        <v>10950.98829</v>
      </c>
      <c r="P226" s="55">
        <v>144553.0454</v>
      </c>
    </row>
    <row r="227">
      <c r="A227" s="41"/>
      <c r="B227" s="29">
        <v>2021.0</v>
      </c>
      <c r="C227" s="29">
        <v>1.0</v>
      </c>
      <c r="D227" s="29">
        <v>1.0</v>
      </c>
      <c r="E227" s="31">
        <v>22.08333333</v>
      </c>
      <c r="F227" s="31">
        <v>32.41666667</v>
      </c>
      <c r="G227" s="58">
        <f t="shared" si="65"/>
        <v>27.25</v>
      </c>
      <c r="H227" s="59">
        <f>MEDIAN(H221:H226)</f>
        <v>63.25</v>
      </c>
      <c r="I227" s="65">
        <f t="shared" ref="I227:I228" si="68">I226+0.2</f>
        <v>70.36</v>
      </c>
      <c r="J227" s="55">
        <f t="shared" si="66"/>
        <v>0.6673125</v>
      </c>
      <c r="K227" s="55">
        <v>3130080.437</v>
      </c>
      <c r="L227" s="55">
        <v>50081.287</v>
      </c>
      <c r="M227" s="55">
        <v>231625.9524</v>
      </c>
      <c r="N227" s="55">
        <v>1109497.563</v>
      </c>
      <c r="O227" s="55">
        <v>11094.97563</v>
      </c>
      <c r="P227" s="55">
        <v>146453.6783</v>
      </c>
    </row>
    <row r="228">
      <c r="A228" s="41"/>
      <c r="B228" s="22">
        <v>2022.0</v>
      </c>
      <c r="C228" s="29">
        <v>1.0</v>
      </c>
      <c r="D228" s="29">
        <v>2.0</v>
      </c>
      <c r="E228" s="58">
        <f t="shared" ref="E228:F228" si="67">E227+(((E227-E226)+(E226-E225)+(E225-E224)+(E224-E223)+(E223-E222)+(E222-E221))/6)</f>
        <v>22.05555555</v>
      </c>
      <c r="F228" s="58">
        <f t="shared" si="67"/>
        <v>32.55555556</v>
      </c>
      <c r="G228" s="58">
        <f t="shared" si="65"/>
        <v>27.30555556</v>
      </c>
      <c r="H228" s="33">
        <v>226.0</v>
      </c>
      <c r="I228" s="52">
        <f t="shared" si="68"/>
        <v>70.56</v>
      </c>
      <c r="J228" s="55">
        <f t="shared" si="66"/>
        <v>0.671140625</v>
      </c>
      <c r="K228" s="55">
        <v>3137775.0</v>
      </c>
      <c r="L228" s="55">
        <v>50204.4</v>
      </c>
      <c r="M228" s="55">
        <v>232195.35</v>
      </c>
      <c r="N228" s="55">
        <v>1112225.0</v>
      </c>
      <c r="O228" s="55">
        <v>11122.25</v>
      </c>
      <c r="P228" s="55">
        <v>146813.7</v>
      </c>
    </row>
    <row r="229">
      <c r="A229" s="41"/>
      <c r="B229" s="22"/>
      <c r="C229" s="41"/>
      <c r="D229" s="41"/>
      <c r="E229" s="58"/>
      <c r="F229" s="58"/>
      <c r="G229" s="58"/>
      <c r="H229" s="59"/>
      <c r="I229" s="65"/>
      <c r="J229" s="53"/>
      <c r="K229" s="53"/>
      <c r="L229" s="53"/>
      <c r="M229" s="53"/>
      <c r="N229" s="53"/>
      <c r="O229" s="53"/>
      <c r="P229" s="53"/>
    </row>
    <row r="230">
      <c r="A230" s="28" t="s">
        <v>46</v>
      </c>
      <c r="B230" s="29">
        <v>2015.0</v>
      </c>
      <c r="C230" s="29">
        <v>1.0</v>
      </c>
      <c r="D230" s="29">
        <v>1.0</v>
      </c>
      <c r="E230" s="31">
        <v>14.83333333</v>
      </c>
      <c r="F230" s="31">
        <v>27.66666667</v>
      </c>
      <c r="G230" s="58">
        <f t="shared" ref="G230:G236" si="69">AVERAGE(E230:F230)</f>
        <v>21.25</v>
      </c>
      <c r="H230" s="33">
        <v>35.0</v>
      </c>
      <c r="I230" s="62">
        <v>45.32</v>
      </c>
      <c r="J230" s="55">
        <v>0.661</v>
      </c>
      <c r="K230" s="55">
        <v>7542577.946</v>
      </c>
      <c r="L230" s="55">
        <v>120681.2471</v>
      </c>
      <c r="M230" s="55">
        <v>558150.768</v>
      </c>
      <c r="N230" s="55">
        <v>3268054.054</v>
      </c>
      <c r="O230" s="55">
        <v>32680.54054</v>
      </c>
      <c r="P230" s="55">
        <v>431383.1351</v>
      </c>
    </row>
    <row r="231">
      <c r="A231" s="41"/>
      <c r="B231" s="29">
        <v>2016.0</v>
      </c>
      <c r="C231" s="29">
        <v>1.0</v>
      </c>
      <c r="D231" s="29">
        <v>2.0</v>
      </c>
      <c r="E231" s="31">
        <v>14.25</v>
      </c>
      <c r="F231" s="31">
        <v>27.58333333</v>
      </c>
      <c r="G231" s="58">
        <f t="shared" si="69"/>
        <v>20.91666667</v>
      </c>
      <c r="H231" s="33">
        <v>37.2</v>
      </c>
      <c r="I231" s="62">
        <v>45.22</v>
      </c>
      <c r="J231" s="55">
        <v>0.667</v>
      </c>
      <c r="K231" s="55">
        <v>7667965.102</v>
      </c>
      <c r="L231" s="55">
        <v>122687.4416</v>
      </c>
      <c r="M231" s="55">
        <v>567429.4175</v>
      </c>
      <c r="N231" s="55">
        <v>3322381.898</v>
      </c>
      <c r="O231" s="55">
        <v>33223.81898</v>
      </c>
      <c r="P231" s="55">
        <v>438554.4105</v>
      </c>
    </row>
    <row r="232">
      <c r="A232" s="41"/>
      <c r="B232" s="29">
        <v>2017.0</v>
      </c>
      <c r="C232" s="29">
        <v>1.0</v>
      </c>
      <c r="D232" s="29">
        <v>1.0</v>
      </c>
      <c r="E232" s="31">
        <v>14.75</v>
      </c>
      <c r="F232" s="31">
        <v>28.5</v>
      </c>
      <c r="G232" s="58">
        <f t="shared" si="69"/>
        <v>21.625</v>
      </c>
      <c r="H232" s="33">
        <v>33.9</v>
      </c>
      <c r="I232" s="62">
        <v>40.2</v>
      </c>
      <c r="J232" s="55">
        <v>0.677</v>
      </c>
      <c r="K232" s="55">
        <v>7792886.194</v>
      </c>
      <c r="L232" s="55">
        <v>124686.1791</v>
      </c>
      <c r="M232" s="55">
        <v>576673.5783</v>
      </c>
      <c r="N232" s="55">
        <v>3376507.806</v>
      </c>
      <c r="O232" s="55">
        <v>33765.07806</v>
      </c>
      <c r="P232" s="55">
        <v>445699.0304</v>
      </c>
    </row>
    <row r="233">
      <c r="A233" s="41"/>
      <c r="B233" s="29">
        <v>2018.0</v>
      </c>
      <c r="C233" s="29">
        <v>0.0</v>
      </c>
      <c r="D233" s="29">
        <v>0.0</v>
      </c>
      <c r="E233" s="31">
        <v>15.41666667</v>
      </c>
      <c r="F233" s="31">
        <v>28.08333333</v>
      </c>
      <c r="G233" s="58">
        <f t="shared" si="69"/>
        <v>21.75</v>
      </c>
      <c r="H233" s="33">
        <v>35.7</v>
      </c>
      <c r="I233" s="62">
        <v>43.86</v>
      </c>
      <c r="J233" s="55">
        <v>0.68</v>
      </c>
      <c r="K233" s="55">
        <v>7917303.546</v>
      </c>
      <c r="L233" s="55">
        <v>126676.8567</v>
      </c>
      <c r="M233" s="55">
        <v>585880.4624</v>
      </c>
      <c r="N233" s="55">
        <v>3430415.454</v>
      </c>
      <c r="O233" s="55">
        <v>34304.15454</v>
      </c>
      <c r="P233" s="55">
        <v>452814.8399</v>
      </c>
    </row>
    <row r="234">
      <c r="A234" s="41"/>
      <c r="B234" s="29">
        <v>2019.0</v>
      </c>
      <c r="C234" s="29">
        <v>0.0</v>
      </c>
      <c r="D234" s="29">
        <v>0.0</v>
      </c>
      <c r="E234" s="31">
        <v>15.83333333</v>
      </c>
      <c r="F234" s="31">
        <v>27.25</v>
      </c>
      <c r="G234" s="58">
        <f t="shared" si="69"/>
        <v>21.54166667</v>
      </c>
      <c r="H234" s="33">
        <v>31.2</v>
      </c>
      <c r="I234" s="62">
        <v>43.62</v>
      </c>
      <c r="J234" s="55">
        <v>0.683</v>
      </c>
      <c r="K234" s="55">
        <v>8041179.484</v>
      </c>
      <c r="L234" s="55">
        <v>128658.8717</v>
      </c>
      <c r="M234" s="55">
        <v>595047.2818</v>
      </c>
      <c r="N234" s="55">
        <v>3484088.516</v>
      </c>
      <c r="O234" s="55">
        <v>34840.88516</v>
      </c>
      <c r="P234" s="55">
        <v>459899.6842</v>
      </c>
    </row>
    <row r="235">
      <c r="A235" s="41"/>
      <c r="B235" s="29">
        <v>2020.0</v>
      </c>
      <c r="C235" s="29">
        <v>1.0</v>
      </c>
      <c r="D235" s="29">
        <v>1.0</v>
      </c>
      <c r="E235" s="31">
        <v>18.08333333</v>
      </c>
      <c r="F235" s="31">
        <v>28.58333333</v>
      </c>
      <c r="G235" s="58">
        <f t="shared" si="69"/>
        <v>23.33333333</v>
      </c>
      <c r="H235" s="33">
        <v>31.0</v>
      </c>
      <c r="I235" s="62">
        <v>44.21</v>
      </c>
      <c r="J235" s="55">
        <f t="shared" ref="J235:J237" si="70">J234+(((J234-J233)+(J233-J232)+(J232-J231)+(J231-J230))/4)</f>
        <v>0.6885</v>
      </c>
      <c r="K235" s="55">
        <v>8164477.725</v>
      </c>
      <c r="L235" s="55">
        <v>130631.6436</v>
      </c>
      <c r="M235" s="55">
        <v>604171.3517</v>
      </c>
      <c r="N235" s="55">
        <v>3537511.275</v>
      </c>
      <c r="O235" s="55">
        <v>35375.11275</v>
      </c>
      <c r="P235" s="55">
        <v>466951.4883</v>
      </c>
    </row>
    <row r="236">
      <c r="A236" s="41"/>
      <c r="B236" s="29">
        <v>2021.0</v>
      </c>
      <c r="C236" s="29">
        <v>1.0</v>
      </c>
      <c r="D236" s="29">
        <v>2.0</v>
      </c>
      <c r="E236" s="31">
        <v>16.5</v>
      </c>
      <c r="F236" s="31">
        <v>28.25</v>
      </c>
      <c r="G236" s="58">
        <f t="shared" si="69"/>
        <v>22.375</v>
      </c>
      <c r="H236" s="59">
        <f>MEDIAN(H230:H235)</f>
        <v>34.45</v>
      </c>
      <c r="I236" s="65">
        <f t="shared" ref="I236:I237" si="71">I235+0.59</f>
        <v>44.8</v>
      </c>
      <c r="J236" s="55">
        <f t="shared" si="70"/>
        <v>0.693875</v>
      </c>
      <c r="K236" s="55">
        <v>8287161.991</v>
      </c>
      <c r="L236" s="55">
        <v>132594.5919</v>
      </c>
      <c r="M236" s="55">
        <v>613249.9873</v>
      </c>
      <c r="N236" s="55">
        <v>3590668.009</v>
      </c>
      <c r="O236" s="55">
        <v>35906.68009</v>
      </c>
      <c r="P236" s="55">
        <v>473968.1772</v>
      </c>
    </row>
    <row r="237">
      <c r="A237" s="41"/>
      <c r="B237" s="22">
        <v>2022.0</v>
      </c>
      <c r="C237" s="29">
        <v>1.0</v>
      </c>
      <c r="D237" s="29">
        <v>4.0</v>
      </c>
      <c r="E237" s="58"/>
      <c r="F237" s="58"/>
      <c r="G237" s="58"/>
      <c r="H237" s="33">
        <v>77.0</v>
      </c>
      <c r="I237" s="52">
        <f t="shared" si="71"/>
        <v>45.39</v>
      </c>
      <c r="J237" s="55">
        <f t="shared" si="70"/>
        <v>0.69809375</v>
      </c>
      <c r="K237" s="55">
        <v>8393331.0</v>
      </c>
      <c r="L237" s="55">
        <v>134293.296</v>
      </c>
      <c r="M237" s="55">
        <v>621106.494</v>
      </c>
      <c r="N237" s="55">
        <v>3636669.0</v>
      </c>
      <c r="O237" s="55">
        <v>36366.69</v>
      </c>
      <c r="P237" s="55">
        <v>480040.308</v>
      </c>
    </row>
    <row r="238">
      <c r="A238" s="41"/>
      <c r="B238" s="22"/>
      <c r="C238" s="41"/>
      <c r="D238" s="41"/>
      <c r="E238" s="58"/>
      <c r="F238" s="58"/>
      <c r="G238" s="58"/>
      <c r="H238" s="59"/>
      <c r="I238" s="65"/>
      <c r="J238" s="53"/>
      <c r="K238" s="53"/>
      <c r="L238" s="53"/>
      <c r="M238" s="53"/>
      <c r="N238" s="53"/>
      <c r="O238" s="53"/>
      <c r="P238" s="53"/>
    </row>
    <row r="239">
      <c r="A239" s="28" t="s">
        <v>47</v>
      </c>
      <c r="B239" s="29">
        <v>2015.0</v>
      </c>
      <c r="C239" s="29">
        <v>1.0</v>
      </c>
      <c r="D239" s="29">
        <v>4.0</v>
      </c>
      <c r="E239" s="31">
        <v>24.41666667</v>
      </c>
      <c r="F239" s="31">
        <v>34.33333333</v>
      </c>
      <c r="G239" s="58">
        <f t="shared" ref="G239:G245" si="72">AVERAGE(E239:F239)</f>
        <v>29.375</v>
      </c>
      <c r="H239" s="33">
        <v>85.4</v>
      </c>
      <c r="I239" s="80">
        <v>28.14</v>
      </c>
      <c r="J239" s="55">
        <v>0.572</v>
      </c>
      <c r="K239" s="55">
        <v>1.66367790271E8</v>
      </c>
      <c r="L239" s="55">
        <v>2661884.644</v>
      </c>
      <c r="M239" s="55">
        <v>1.231596801E7</v>
      </c>
      <c r="N239" s="55">
        <v>4.7665131729E7</v>
      </c>
      <c r="O239" s="55">
        <v>476651.3173</v>
      </c>
      <c r="P239" s="55">
        <v>6291797.388</v>
      </c>
    </row>
    <row r="240">
      <c r="A240" s="41"/>
      <c r="B240" s="29">
        <v>2016.0</v>
      </c>
      <c r="C240" s="29">
        <v>1.0</v>
      </c>
      <c r="D240" s="29">
        <v>2.0</v>
      </c>
      <c r="E240" s="31">
        <v>24.25</v>
      </c>
      <c r="F240" s="31">
        <v>33.83333333</v>
      </c>
      <c r="G240" s="58">
        <f t="shared" si="72"/>
        <v>29.04166667</v>
      </c>
      <c r="H240" s="33">
        <v>93.9</v>
      </c>
      <c r="I240" s="80">
        <v>33.69</v>
      </c>
      <c r="J240" s="55">
        <v>0.579</v>
      </c>
      <c r="K240" s="55">
        <v>1.69109260523E8</v>
      </c>
      <c r="L240" s="55">
        <v>2705748.168</v>
      </c>
      <c r="M240" s="55">
        <v>1.251891511E7</v>
      </c>
      <c r="N240" s="55">
        <v>4.8450575477E7</v>
      </c>
      <c r="O240" s="55">
        <v>484505.7548</v>
      </c>
      <c r="P240" s="55">
        <v>6395475.963</v>
      </c>
    </row>
    <row r="241">
      <c r="A241" s="41"/>
      <c r="B241" s="29">
        <v>2017.0</v>
      </c>
      <c r="C241" s="29">
        <v>1.0</v>
      </c>
      <c r="D241" s="29">
        <v>4.0</v>
      </c>
      <c r="E241" s="31">
        <v>24.5</v>
      </c>
      <c r="F241" s="31">
        <v>35.0</v>
      </c>
      <c r="G241" s="58">
        <f t="shared" si="72"/>
        <v>29.75</v>
      </c>
      <c r="H241" s="33">
        <v>89.2</v>
      </c>
      <c r="I241" s="80">
        <v>28.61</v>
      </c>
      <c r="J241" s="55">
        <v>0.589</v>
      </c>
      <c r="K241" s="55">
        <v>1.71840173486E8</v>
      </c>
      <c r="L241" s="55">
        <v>2749442.776</v>
      </c>
      <c r="M241" s="55">
        <v>1.272108066E7</v>
      </c>
      <c r="N241" s="55">
        <v>4.9232994514E7</v>
      </c>
      <c r="O241" s="55">
        <v>492329.9451</v>
      </c>
      <c r="P241" s="55">
        <v>6498755.276</v>
      </c>
    </row>
    <row r="242">
      <c r="A242" s="41"/>
      <c r="B242" s="29">
        <v>2018.0</v>
      </c>
      <c r="C242" s="29">
        <v>1.0</v>
      </c>
      <c r="D242" s="29">
        <v>1.0</v>
      </c>
      <c r="E242" s="31">
        <v>24.08333333</v>
      </c>
      <c r="F242" s="31">
        <v>34.0</v>
      </c>
      <c r="G242" s="58">
        <f t="shared" si="72"/>
        <v>29.04166667</v>
      </c>
      <c r="H242" s="33">
        <v>89.0</v>
      </c>
      <c r="I242" s="80">
        <v>23.58</v>
      </c>
      <c r="J242" s="55">
        <v>0.591</v>
      </c>
      <c r="K242" s="55">
        <v>1.74559686568E8</v>
      </c>
      <c r="L242" s="55">
        <v>2792954.985</v>
      </c>
      <c r="M242" s="55">
        <v>1.29224023E7</v>
      </c>
      <c r="N242" s="55">
        <v>5.0012147432E7</v>
      </c>
      <c r="O242" s="55">
        <v>500121.4743</v>
      </c>
      <c r="P242" s="55">
        <v>6601603.461</v>
      </c>
    </row>
    <row r="243">
      <c r="A243" s="41"/>
      <c r="B243" s="29">
        <v>2019.0</v>
      </c>
      <c r="C243" s="29">
        <v>0.0</v>
      </c>
      <c r="D243" s="29">
        <v>0.0</v>
      </c>
      <c r="E243" s="31">
        <v>23.83333333</v>
      </c>
      <c r="F243" s="31">
        <v>33.66666667</v>
      </c>
      <c r="G243" s="58">
        <f t="shared" si="72"/>
        <v>28.75</v>
      </c>
      <c r="H243" s="33">
        <v>91.1</v>
      </c>
      <c r="I243" s="80">
        <v>24.73</v>
      </c>
      <c r="J243" s="55">
        <v>0.594</v>
      </c>
      <c r="K243" s="55">
        <v>1.77266986712E8</v>
      </c>
      <c r="L243" s="55">
        <v>2836271.787</v>
      </c>
      <c r="M243" s="55">
        <v>1.312281983E7</v>
      </c>
      <c r="N243" s="55">
        <v>5.0787801288E7</v>
      </c>
      <c r="O243" s="55">
        <v>507878.0129</v>
      </c>
      <c r="P243" s="55">
        <v>6703989.77</v>
      </c>
    </row>
    <row r="244">
      <c r="A244" s="41"/>
      <c r="B244" s="29">
        <v>2020.0</v>
      </c>
      <c r="C244" s="29">
        <v>1.0</v>
      </c>
      <c r="D244" s="29">
        <v>1.0</v>
      </c>
      <c r="E244" s="43">
        <v>25.06</v>
      </c>
      <c r="F244" s="31">
        <v>33.41666667</v>
      </c>
      <c r="G244" s="58">
        <f t="shared" si="72"/>
        <v>29.23833334</v>
      </c>
      <c r="H244" s="33">
        <v>88.3</v>
      </c>
      <c r="I244" s="80">
        <v>30.57</v>
      </c>
      <c r="J244" s="55">
        <f t="shared" ref="J244:J246" si="73">J243+(((J243-J242)+(J242-J241)+(J241-J240)+(J240-J239))/4)</f>
        <v>0.5995</v>
      </c>
      <c r="K244" s="55">
        <v>1.79961290401E8</v>
      </c>
      <c r="L244" s="55">
        <v>2879380.646</v>
      </c>
      <c r="M244" s="55">
        <v>1.332227526E7</v>
      </c>
      <c r="N244" s="55">
        <v>5.1559731599E7</v>
      </c>
      <c r="O244" s="55">
        <v>515597.316</v>
      </c>
      <c r="P244" s="55">
        <v>6805884.571</v>
      </c>
    </row>
    <row r="245">
      <c r="A245" s="41"/>
      <c r="B245" s="29">
        <v>2021.0</v>
      </c>
      <c r="C245" s="29">
        <v>1.0</v>
      </c>
      <c r="D245" s="29">
        <v>2.0</v>
      </c>
      <c r="E245" s="31">
        <v>23.5</v>
      </c>
      <c r="F245" s="31">
        <v>33.66666667</v>
      </c>
      <c r="G245" s="58">
        <f t="shared" si="72"/>
        <v>28.58333334</v>
      </c>
      <c r="H245" s="59">
        <f>MEDIAN(H239:H244)</f>
        <v>89.1</v>
      </c>
      <c r="I245" s="80">
        <v>25.06</v>
      </c>
      <c r="J245" s="55">
        <f t="shared" si="73"/>
        <v>0.604625</v>
      </c>
      <c r="K245" s="55">
        <v>1.82641839765E8</v>
      </c>
      <c r="L245" s="55">
        <v>2922269.436</v>
      </c>
      <c r="M245" s="55">
        <v>1.352071247E7</v>
      </c>
      <c r="N245" s="55">
        <v>5.2327721235E7</v>
      </c>
      <c r="O245" s="55">
        <v>523277.2123</v>
      </c>
      <c r="P245" s="55">
        <v>6907259.203</v>
      </c>
    </row>
    <row r="246">
      <c r="A246" s="41"/>
      <c r="B246" s="22">
        <v>2022.0</v>
      </c>
      <c r="C246" s="29">
        <v>1.0</v>
      </c>
      <c r="D246" s="29">
        <v>4.0</v>
      </c>
      <c r="E246" s="58"/>
      <c r="F246" s="58"/>
      <c r="G246" s="58"/>
      <c r="H246" s="33">
        <v>72.0</v>
      </c>
      <c r="I246" s="52">
        <f>I245-(I244-I245)</f>
        <v>19.55</v>
      </c>
      <c r="J246" s="55">
        <f t="shared" si="73"/>
        <v>0.60853125</v>
      </c>
      <c r="K246" s="55">
        <v>1.8523059E8</v>
      </c>
      <c r="L246" s="55">
        <v>2963689.44</v>
      </c>
      <c r="M246" s="55">
        <v>1.371235392E7</v>
      </c>
      <c r="N246" s="55">
        <v>5.306941E7</v>
      </c>
      <c r="O246" s="55">
        <v>530694.1</v>
      </c>
      <c r="P246" s="55">
        <v>7005162.12</v>
      </c>
    </row>
    <row r="247">
      <c r="A247" s="41"/>
      <c r="B247" s="22"/>
      <c r="C247" s="41"/>
      <c r="D247" s="41"/>
      <c r="E247" s="58"/>
      <c r="F247" s="58"/>
      <c r="G247" s="58"/>
      <c r="H247" s="59"/>
      <c r="I247" s="65"/>
      <c r="J247" s="53"/>
      <c r="K247" s="53"/>
      <c r="L247" s="53"/>
      <c r="M247" s="53"/>
      <c r="N247" s="53"/>
      <c r="O247" s="53"/>
      <c r="P247" s="53"/>
    </row>
    <row r="248">
      <c r="A248" s="28" t="s">
        <v>48</v>
      </c>
      <c r="B248" s="29">
        <v>2015.0</v>
      </c>
      <c r="C248" s="29">
        <v>1.0</v>
      </c>
      <c r="D248" s="29">
        <v>2.0</v>
      </c>
      <c r="E248" s="31">
        <v>25.08333333</v>
      </c>
      <c r="F248" s="31">
        <v>33.83333333</v>
      </c>
      <c r="G248" s="58">
        <f t="shared" ref="G248:G254" si="74">AVERAGE(E248:F248)</f>
        <v>29.45833333</v>
      </c>
      <c r="H248" s="33">
        <v>59.4</v>
      </c>
      <c r="I248" s="62">
        <v>57.87</v>
      </c>
      <c r="J248" s="55">
        <v>0.617</v>
      </c>
      <c r="K248" s="55">
        <v>6.5155646546E7</v>
      </c>
      <c r="L248" s="55">
        <v>1042490.345</v>
      </c>
      <c r="M248" s="55">
        <v>4821517.844</v>
      </c>
      <c r="N248" s="55">
        <v>3.0478650454E7</v>
      </c>
      <c r="O248" s="55">
        <v>304786.5045</v>
      </c>
      <c r="P248" s="55">
        <v>4023181.86</v>
      </c>
    </row>
    <row r="249">
      <c r="A249" s="41"/>
      <c r="B249" s="29">
        <v>2016.0</v>
      </c>
      <c r="C249" s="29">
        <v>1.0</v>
      </c>
      <c r="D249" s="29">
        <v>2.0</v>
      </c>
      <c r="E249" s="31">
        <v>25.16666667</v>
      </c>
      <c r="F249" s="31">
        <v>34.33333333</v>
      </c>
      <c r="G249" s="58">
        <f t="shared" si="74"/>
        <v>29.75</v>
      </c>
      <c r="H249" s="33">
        <v>61.4</v>
      </c>
      <c r="I249" s="62">
        <v>58.25</v>
      </c>
      <c r="J249" s="55">
        <v>0.625</v>
      </c>
      <c r="K249" s="55">
        <v>6.5882025442E7</v>
      </c>
      <c r="L249" s="55">
        <v>1054112.407</v>
      </c>
      <c r="M249" s="55">
        <v>4875269.883</v>
      </c>
      <c r="N249" s="55">
        <v>3.0818437558E7</v>
      </c>
      <c r="O249" s="55">
        <v>308184.3756</v>
      </c>
      <c r="P249" s="55">
        <v>4068033.758</v>
      </c>
    </row>
    <row r="250">
      <c r="A250" s="41"/>
      <c r="B250" s="29">
        <v>2017.0</v>
      </c>
      <c r="C250" s="29">
        <v>1.0</v>
      </c>
      <c r="D250" s="29">
        <v>2.0</v>
      </c>
      <c r="E250" s="31">
        <v>24.75</v>
      </c>
      <c r="F250" s="31">
        <v>33.58333333</v>
      </c>
      <c r="G250" s="58">
        <f t="shared" si="74"/>
        <v>29.16666667</v>
      </c>
      <c r="H250" s="33">
        <v>59.1</v>
      </c>
      <c r="I250" s="62">
        <v>57.17</v>
      </c>
      <c r="J250" s="55">
        <v>0.635</v>
      </c>
      <c r="K250" s="55">
        <v>6.6601812079E7</v>
      </c>
      <c r="L250" s="55">
        <v>1065628.993</v>
      </c>
      <c r="M250" s="55">
        <v>4928534.094</v>
      </c>
      <c r="N250" s="55">
        <v>3.1155140921E7</v>
      </c>
      <c r="O250" s="55">
        <v>311551.4092</v>
      </c>
      <c r="P250" s="55">
        <v>4112478.602</v>
      </c>
    </row>
    <row r="251">
      <c r="A251" s="41"/>
      <c r="B251" s="29">
        <v>2018.0</v>
      </c>
      <c r="C251" s="29">
        <v>1.0</v>
      </c>
      <c r="D251" s="29">
        <v>1.0</v>
      </c>
      <c r="E251" s="31">
        <v>25.83333333</v>
      </c>
      <c r="F251" s="31">
        <v>34.83333333</v>
      </c>
      <c r="G251" s="58">
        <f t="shared" si="74"/>
        <v>30.33333333</v>
      </c>
      <c r="H251" s="33">
        <v>64.5</v>
      </c>
      <c r="I251" s="79">
        <v>58.36</v>
      </c>
      <c r="J251" s="55">
        <v>0.638</v>
      </c>
      <c r="K251" s="55">
        <v>6.7314909713E7</v>
      </c>
      <c r="L251" s="55">
        <v>1077038.555</v>
      </c>
      <c r="M251" s="55">
        <v>4981303.319</v>
      </c>
      <c r="N251" s="55">
        <v>3.1488715288E7</v>
      </c>
      <c r="O251" s="55">
        <v>314887.1529</v>
      </c>
      <c r="P251" s="55">
        <v>4156510.418</v>
      </c>
    </row>
    <row r="252">
      <c r="A252" s="41"/>
      <c r="B252" s="29">
        <v>2019.0</v>
      </c>
      <c r="C252" s="29">
        <v>0.0</v>
      </c>
      <c r="D252" s="29">
        <v>0.0</v>
      </c>
      <c r="E252" s="31">
        <v>26.08333333</v>
      </c>
      <c r="F252" s="31">
        <v>34.83333333</v>
      </c>
      <c r="G252" s="58">
        <f t="shared" si="74"/>
        <v>30.45833333</v>
      </c>
      <c r="H252" s="33">
        <v>58.7</v>
      </c>
      <c r="I252" s="79">
        <f>I251+(((I251-I250)+(I250-I249)+(I249-I248))/3)</f>
        <v>58.52333333</v>
      </c>
      <c r="J252" s="55">
        <v>0.641</v>
      </c>
      <c r="K252" s="55">
        <v>6.802122773E7</v>
      </c>
      <c r="L252" s="55">
        <v>1088339.644</v>
      </c>
      <c r="M252" s="55">
        <v>5033570.852</v>
      </c>
      <c r="N252" s="55">
        <v>3.181911827E7</v>
      </c>
      <c r="O252" s="55">
        <v>318191.1827</v>
      </c>
      <c r="P252" s="55">
        <v>4200123.612</v>
      </c>
    </row>
    <row r="253">
      <c r="A253" s="41"/>
      <c r="B253" s="29">
        <v>2020.0</v>
      </c>
      <c r="C253" s="29">
        <v>1.0</v>
      </c>
      <c r="D253" s="29">
        <v>1.0</v>
      </c>
      <c r="E253" s="31">
        <v>26.0</v>
      </c>
      <c r="F253" s="31">
        <v>33.33333333</v>
      </c>
      <c r="G253" s="58">
        <f t="shared" si="74"/>
        <v>29.66666667</v>
      </c>
      <c r="H253" s="33">
        <v>66.0</v>
      </c>
      <c r="I253" s="79">
        <f>I252+(((I251-I250)+(I250-I249)+(I249-I248)+(I252-I251)/4))</f>
        <v>59.05416667</v>
      </c>
      <c r="J253" s="55">
        <f t="shared" ref="J253:J255" si="75">J252+(((J252-J251)+(J251-J250)+(J250-J249)+(J249-J248))/4)</f>
        <v>0.647</v>
      </c>
      <c r="K253" s="55">
        <v>6.8720682331E7</v>
      </c>
      <c r="L253" s="55">
        <v>1099530.917</v>
      </c>
      <c r="M253" s="55">
        <v>5085330.492</v>
      </c>
      <c r="N253" s="55">
        <v>3.2146310669E7</v>
      </c>
      <c r="O253" s="55">
        <v>321463.1067</v>
      </c>
      <c r="P253" s="55">
        <v>4243313.008</v>
      </c>
    </row>
    <row r="254">
      <c r="A254" s="41"/>
      <c r="B254" s="29">
        <v>2021.0</v>
      </c>
      <c r="C254" s="29">
        <v>1.0</v>
      </c>
      <c r="D254" s="29">
        <v>1.0</v>
      </c>
      <c r="E254" s="31">
        <v>24.0</v>
      </c>
      <c r="F254" s="31">
        <v>32.83333333</v>
      </c>
      <c r="G254" s="58">
        <f t="shared" si="74"/>
        <v>28.41666667</v>
      </c>
      <c r="H254" s="59">
        <f>MEDIAN(H248:H253)</f>
        <v>60.4</v>
      </c>
      <c r="I254" s="65">
        <f>I253+(I252-I251)</f>
        <v>59.2175</v>
      </c>
      <c r="J254" s="55">
        <f t="shared" si="75"/>
        <v>0.6525</v>
      </c>
      <c r="K254" s="55">
        <v>6.9413196529E7</v>
      </c>
      <c r="L254" s="55">
        <v>1110611.144</v>
      </c>
      <c r="M254" s="55">
        <v>5136576.543</v>
      </c>
      <c r="N254" s="55">
        <v>3.2470256471E7</v>
      </c>
      <c r="O254" s="55">
        <v>324702.5647</v>
      </c>
      <c r="P254" s="55">
        <v>4286073.854</v>
      </c>
    </row>
    <row r="255">
      <c r="A255" s="41"/>
      <c r="B255" s="22">
        <v>2022.0</v>
      </c>
      <c r="C255" s="29">
        <v>1.0</v>
      </c>
      <c r="D255" s="29">
        <v>3.0</v>
      </c>
      <c r="E255" s="58"/>
      <c r="F255" s="58"/>
      <c r="G255" s="58"/>
      <c r="H255" s="33">
        <v>91.0</v>
      </c>
      <c r="I255" s="52">
        <f>I254+(I254-I253)</f>
        <v>59.38083333</v>
      </c>
      <c r="J255" s="55">
        <f t="shared" si="75"/>
        <v>0.656875</v>
      </c>
      <c r="K255" s="55">
        <v>7.0344225E7</v>
      </c>
      <c r="L255" s="55">
        <v>1125507.6</v>
      </c>
      <c r="M255" s="55">
        <v>5205472.65</v>
      </c>
      <c r="N255" s="81">
        <v>3.2905775E7</v>
      </c>
      <c r="O255" s="55">
        <v>329057.75</v>
      </c>
      <c r="P255" s="55">
        <v>4343562.3</v>
      </c>
    </row>
    <row r="256">
      <c r="A256" s="41"/>
      <c r="B256" s="22"/>
      <c r="C256" s="41"/>
      <c r="D256" s="41"/>
      <c r="E256" s="58"/>
      <c r="F256" s="58"/>
      <c r="G256" s="58"/>
      <c r="H256" s="59"/>
      <c r="I256" s="65"/>
      <c r="J256" s="53"/>
      <c r="K256" s="53"/>
      <c r="L256" s="53"/>
      <c r="M256" s="53"/>
      <c r="N256" s="53"/>
      <c r="O256" s="53"/>
      <c r="P256" s="53"/>
    </row>
    <row r="257">
      <c r="A257" s="28" t="s">
        <v>49</v>
      </c>
      <c r="B257" s="29">
        <v>2015.0</v>
      </c>
      <c r="C257" s="29">
        <v>0.0</v>
      </c>
      <c r="D257" s="29">
        <v>0.0</v>
      </c>
      <c r="E257" s="31">
        <v>28.25</v>
      </c>
      <c r="F257" s="31">
        <v>29.08333333</v>
      </c>
      <c r="G257" s="58">
        <f t="shared" ref="G257:G263" si="76">AVERAGE(E257:F257)</f>
        <v>28.66666667</v>
      </c>
      <c r="H257" s="33">
        <v>15.4</v>
      </c>
      <c r="I257" s="82">
        <f>I258-(((I258-I259)+(I259-I260)+(I260-I261)+(I261-I262)+(I262-I263))/5)</f>
        <v>47.494</v>
      </c>
      <c r="J257" s="83">
        <v>0.72</v>
      </c>
      <c r="K257" s="55">
        <v>242328.31</v>
      </c>
      <c r="L257" s="55">
        <v>3877.25296</v>
      </c>
      <c r="M257" s="55">
        <v>17932.29494</v>
      </c>
      <c r="N257" s="55">
        <v>146641.69</v>
      </c>
      <c r="O257" s="55">
        <v>1466.4169</v>
      </c>
      <c r="P257" s="55">
        <v>19356.70308</v>
      </c>
    </row>
    <row r="258">
      <c r="A258" s="41"/>
      <c r="B258" s="29">
        <v>2016.0</v>
      </c>
      <c r="C258" s="29">
        <v>1.0</v>
      </c>
      <c r="D258" s="29">
        <v>2.0</v>
      </c>
      <c r="E258" s="31">
        <v>28.08333333</v>
      </c>
      <c r="F258" s="31">
        <v>29.08333333</v>
      </c>
      <c r="G258" s="58">
        <f t="shared" si="76"/>
        <v>28.58333333</v>
      </c>
      <c r="H258" s="33">
        <v>16.9</v>
      </c>
      <c r="I258" s="80">
        <v>46.18</v>
      </c>
      <c r="J258" s="83">
        <v>0.724</v>
      </c>
      <c r="K258" s="55">
        <v>243586.77</v>
      </c>
      <c r="L258" s="55">
        <v>3897.38832</v>
      </c>
      <c r="M258" s="55">
        <v>18025.42098</v>
      </c>
      <c r="N258" s="55">
        <v>147403.23</v>
      </c>
      <c r="O258" s="55">
        <v>1474.0323</v>
      </c>
      <c r="P258" s="55">
        <v>19457.22636</v>
      </c>
    </row>
    <row r="259">
      <c r="A259" s="41"/>
      <c r="B259" s="29">
        <v>2017.0</v>
      </c>
      <c r="C259" s="29">
        <v>0.0</v>
      </c>
      <c r="D259" s="29">
        <v>0.0</v>
      </c>
      <c r="E259" s="31">
        <v>27.83333333</v>
      </c>
      <c r="F259" s="31">
        <v>28.75</v>
      </c>
      <c r="G259" s="58">
        <f t="shared" si="76"/>
        <v>28.29166667</v>
      </c>
      <c r="H259" s="33">
        <v>14.7</v>
      </c>
      <c r="I259" s="80">
        <v>50.0</v>
      </c>
      <c r="J259" s="83">
        <v>0.735</v>
      </c>
      <c r="K259" s="55">
        <v>244827.163</v>
      </c>
      <c r="L259" s="55">
        <v>3917.234608</v>
      </c>
      <c r="M259" s="55">
        <v>18117.21006</v>
      </c>
      <c r="N259" s="55">
        <v>148153.837</v>
      </c>
      <c r="O259" s="55">
        <v>1481.53837</v>
      </c>
      <c r="P259" s="55">
        <v>19556.30648</v>
      </c>
    </row>
    <row r="260">
      <c r="A260" s="41"/>
      <c r="B260" s="29">
        <v>2018.0</v>
      </c>
      <c r="C260" s="29">
        <v>0.0</v>
      </c>
      <c r="D260" s="29">
        <v>0.0</v>
      </c>
      <c r="E260" s="31">
        <v>28.08333333</v>
      </c>
      <c r="F260" s="31">
        <v>29.16666667</v>
      </c>
      <c r="G260" s="58">
        <f t="shared" si="76"/>
        <v>28.625</v>
      </c>
      <c r="H260" s="33">
        <v>16.2</v>
      </c>
      <c r="I260" s="80">
        <v>55.74</v>
      </c>
      <c r="J260" s="83">
        <v>0.738</v>
      </c>
      <c r="K260" s="55">
        <v>246048.866</v>
      </c>
      <c r="L260" s="55">
        <v>3936.781856</v>
      </c>
      <c r="M260" s="55">
        <v>18207.61608</v>
      </c>
      <c r="N260" s="55">
        <v>148893.134</v>
      </c>
      <c r="O260" s="55">
        <v>1488.93134</v>
      </c>
      <c r="P260" s="55">
        <v>19653.89369</v>
      </c>
    </row>
    <row r="261">
      <c r="A261" s="41"/>
      <c r="B261" s="29">
        <v>2019.0</v>
      </c>
      <c r="C261" s="29">
        <v>0.0</v>
      </c>
      <c r="D261" s="29">
        <v>0.0</v>
      </c>
      <c r="E261" s="31">
        <v>27.91666667</v>
      </c>
      <c r="F261" s="31">
        <v>28.75</v>
      </c>
      <c r="G261" s="58">
        <f t="shared" si="76"/>
        <v>28.33333334</v>
      </c>
      <c r="H261" s="33">
        <v>16.3</v>
      </c>
      <c r="I261" s="80">
        <v>49.89</v>
      </c>
      <c r="J261" s="83">
        <v>0.741</v>
      </c>
      <c r="K261" s="55">
        <v>247251.879</v>
      </c>
      <c r="L261" s="55">
        <v>3956.030064</v>
      </c>
      <c r="M261" s="55">
        <v>18296.63905</v>
      </c>
      <c r="N261" s="55">
        <v>149621.121</v>
      </c>
      <c r="O261" s="55">
        <v>1496.21121</v>
      </c>
      <c r="P261" s="55">
        <v>19749.98797</v>
      </c>
    </row>
    <row r="262">
      <c r="A262" s="41"/>
      <c r="B262" s="29">
        <v>2020.0</v>
      </c>
      <c r="C262" s="29">
        <v>1.0</v>
      </c>
      <c r="D262" s="29">
        <v>1.0</v>
      </c>
      <c r="E262" s="31">
        <v>25.83333333</v>
      </c>
      <c r="F262" s="31">
        <v>29.0</v>
      </c>
      <c r="G262" s="58">
        <f t="shared" si="76"/>
        <v>27.41666667</v>
      </c>
      <c r="H262" s="33">
        <v>16.1</v>
      </c>
      <c r="I262" s="80">
        <v>59.72</v>
      </c>
      <c r="J262" s="83">
        <f t="shared" ref="J262:J264" si="77">J261+(((J261-J260)+(J260-J259)+(J259-J258)+(J258-J257))/4)</f>
        <v>0.74625</v>
      </c>
      <c r="K262" s="55">
        <v>248436.202</v>
      </c>
      <c r="L262" s="55">
        <v>3974.979232</v>
      </c>
      <c r="M262" s="55">
        <v>18384.27895</v>
      </c>
      <c r="N262" s="55">
        <v>150337.798</v>
      </c>
      <c r="O262" s="55">
        <v>1503.37798</v>
      </c>
      <c r="P262" s="55">
        <v>19844.58934</v>
      </c>
    </row>
    <row r="263">
      <c r="A263" s="41"/>
      <c r="B263" s="29">
        <v>2021.0</v>
      </c>
      <c r="C263" s="29">
        <v>1.0</v>
      </c>
      <c r="D263" s="29">
        <v>1.0</v>
      </c>
      <c r="E263" s="31">
        <v>26.41666667</v>
      </c>
      <c r="F263" s="31">
        <v>28.08333333</v>
      </c>
      <c r="G263" s="58">
        <f t="shared" si="76"/>
        <v>27.25</v>
      </c>
      <c r="H263" s="59">
        <f>MEDIAN(H257:H262)</f>
        <v>16.15</v>
      </c>
      <c r="I263" s="80">
        <v>52.75</v>
      </c>
      <c r="J263" s="83">
        <f t="shared" si="77"/>
        <v>0.7518125</v>
      </c>
      <c r="K263" s="55">
        <v>249603.081</v>
      </c>
      <c r="L263" s="55">
        <v>3993.649296</v>
      </c>
      <c r="M263" s="55">
        <v>18470.62799</v>
      </c>
      <c r="N263" s="55">
        <v>151043.919</v>
      </c>
      <c r="O263" s="55">
        <v>1510.43919</v>
      </c>
      <c r="P263" s="55">
        <v>19937.79731</v>
      </c>
    </row>
    <row r="264">
      <c r="A264" s="41"/>
      <c r="B264" s="22">
        <v>2022.0</v>
      </c>
      <c r="C264" s="29">
        <v>1.0</v>
      </c>
      <c r="D264" s="29">
        <v>1.0</v>
      </c>
      <c r="E264" s="58"/>
      <c r="F264" s="58"/>
      <c r="G264" s="58"/>
      <c r="H264" s="33">
        <v>17.0</v>
      </c>
      <c r="I264" s="52">
        <f>I263-(I262-I263)</f>
        <v>45.78</v>
      </c>
      <c r="J264" s="83">
        <f t="shared" si="77"/>
        <v>0.756015625</v>
      </c>
      <c r="K264" s="55">
        <v>254121.7</v>
      </c>
      <c r="L264" s="55">
        <v>4065.9472</v>
      </c>
      <c r="M264" s="55">
        <v>18805.0058</v>
      </c>
      <c r="N264" s="55">
        <v>153778.3</v>
      </c>
      <c r="O264" s="55">
        <v>1537.783</v>
      </c>
      <c r="P264" s="55">
        <v>20298.7356</v>
      </c>
    </row>
    <row r="265">
      <c r="A265" s="41"/>
      <c r="B265" s="22"/>
      <c r="C265" s="41"/>
      <c r="D265" s="41"/>
      <c r="E265" s="58"/>
      <c r="F265" s="58"/>
      <c r="G265" s="58"/>
      <c r="H265" s="59"/>
      <c r="I265" s="65"/>
      <c r="J265" s="53"/>
      <c r="K265" s="53"/>
      <c r="L265" s="53"/>
      <c r="M265" s="53"/>
      <c r="N265" s="53"/>
      <c r="O265" s="53"/>
      <c r="P265" s="53"/>
    </row>
    <row r="266">
      <c r="A266" s="28" t="s">
        <v>50</v>
      </c>
      <c r="B266" s="29">
        <v>2015.0</v>
      </c>
      <c r="C266" s="29">
        <v>0.0</v>
      </c>
      <c r="D266" s="29">
        <v>0.0</v>
      </c>
      <c r="E266" s="31">
        <v>18.25</v>
      </c>
      <c r="F266" s="31">
        <v>31.16666667</v>
      </c>
      <c r="G266" s="58">
        <f t="shared" ref="G266:G273" si="78">AVERAGE(E266:F266)</f>
        <v>24.70833334</v>
      </c>
      <c r="H266" s="33">
        <v>51.0</v>
      </c>
      <c r="I266" s="62">
        <v>58.35</v>
      </c>
      <c r="J266" s="55">
        <v>0.732</v>
      </c>
      <c r="K266" s="55">
        <v>30314.9</v>
      </c>
      <c r="L266" s="55">
        <v>485.0384</v>
      </c>
      <c r="M266" s="55">
        <v>2243.3026</v>
      </c>
      <c r="N266" s="55">
        <v>1072045.1</v>
      </c>
      <c r="O266" s="55">
        <v>10720.451</v>
      </c>
      <c r="P266" s="55">
        <v>141509.9532</v>
      </c>
    </row>
    <row r="267">
      <c r="A267" s="41"/>
      <c r="B267" s="29">
        <v>2016.0</v>
      </c>
      <c r="C267" s="29">
        <v>1.0</v>
      </c>
      <c r="D267" s="29">
        <v>1.0</v>
      </c>
      <c r="E267" s="31">
        <v>17.66666667</v>
      </c>
      <c r="F267" s="31">
        <v>30.91666667</v>
      </c>
      <c r="G267" s="58">
        <f t="shared" si="78"/>
        <v>24.29166667</v>
      </c>
      <c r="H267" s="33">
        <v>56.8</v>
      </c>
      <c r="I267" s="62">
        <v>67.08</v>
      </c>
      <c r="J267" s="55">
        <v>0.758</v>
      </c>
      <c r="K267" s="55">
        <v>30629.885</v>
      </c>
      <c r="L267" s="55">
        <v>490.07816</v>
      </c>
      <c r="M267" s="55">
        <v>2266.61149</v>
      </c>
      <c r="N267" s="55">
        <v>1083184.115</v>
      </c>
      <c r="O267" s="55">
        <v>10831.84115</v>
      </c>
      <c r="P267" s="55">
        <v>142980.3032</v>
      </c>
    </row>
    <row r="268">
      <c r="A268" s="41"/>
      <c r="B268" s="29">
        <v>2017.0</v>
      </c>
      <c r="C268" s="29">
        <v>0.0</v>
      </c>
      <c r="D268" s="29">
        <v>0.0</v>
      </c>
      <c r="E268" s="31">
        <v>17.41666667</v>
      </c>
      <c r="F268" s="31">
        <v>31.33333333</v>
      </c>
      <c r="G268" s="58">
        <f t="shared" si="78"/>
        <v>24.375</v>
      </c>
      <c r="H268" s="33">
        <v>51.5</v>
      </c>
      <c r="I268" s="62">
        <v>67.53</v>
      </c>
      <c r="J268" s="55">
        <v>0.77</v>
      </c>
      <c r="K268" s="55">
        <v>30941.7625</v>
      </c>
      <c r="L268" s="55">
        <v>495.0682</v>
      </c>
      <c r="M268" s="55">
        <v>2289.690425</v>
      </c>
      <c r="N268" s="55">
        <v>1094213.238</v>
      </c>
      <c r="O268" s="55">
        <v>10942.13238</v>
      </c>
      <c r="P268" s="55">
        <v>144436.1474</v>
      </c>
    </row>
    <row r="269">
      <c r="A269" s="41"/>
      <c r="B269" s="29">
        <v>2018.0</v>
      </c>
      <c r="C269" s="29">
        <v>0.0</v>
      </c>
      <c r="D269" s="29">
        <v>0.0</v>
      </c>
      <c r="E269" s="31">
        <v>18.66666667</v>
      </c>
      <c r="F269" s="31">
        <v>30.58333333</v>
      </c>
      <c r="G269" s="58">
        <f t="shared" si="78"/>
        <v>24.625</v>
      </c>
      <c r="H269" s="33">
        <v>54.1</v>
      </c>
      <c r="I269" s="62">
        <v>64.88</v>
      </c>
      <c r="J269" s="55">
        <v>0.772</v>
      </c>
      <c r="K269" s="55">
        <v>31250.505</v>
      </c>
      <c r="L269" s="55">
        <v>500.00808</v>
      </c>
      <c r="M269" s="55">
        <v>2312.53737</v>
      </c>
      <c r="N269" s="55">
        <v>1105131.495</v>
      </c>
      <c r="O269" s="55">
        <v>11051.31495</v>
      </c>
      <c r="P269" s="55">
        <v>145877.3573</v>
      </c>
    </row>
    <row r="270">
      <c r="A270" s="41"/>
      <c r="B270" s="29">
        <v>2019.0</v>
      </c>
      <c r="C270" s="29">
        <v>1.0</v>
      </c>
      <c r="D270" s="29">
        <v>1.0</v>
      </c>
      <c r="E270" s="31">
        <v>17.75</v>
      </c>
      <c r="F270" s="31">
        <v>29.33333333</v>
      </c>
      <c r="G270" s="58">
        <f t="shared" si="78"/>
        <v>23.54166667</v>
      </c>
      <c r="H270" s="33">
        <v>49.4</v>
      </c>
      <c r="I270" s="62">
        <v>73.38</v>
      </c>
      <c r="J270" s="55">
        <v>0.776</v>
      </c>
      <c r="K270" s="55">
        <v>31556.085</v>
      </c>
      <c r="L270" s="55">
        <v>504.89736</v>
      </c>
      <c r="M270" s="55">
        <v>2335.15029</v>
      </c>
      <c r="N270" s="55">
        <v>1115937.915</v>
      </c>
      <c r="O270" s="55">
        <v>11159.37915</v>
      </c>
      <c r="P270" s="55">
        <v>147303.8048</v>
      </c>
    </row>
    <row r="271">
      <c r="A271" s="41"/>
      <c r="B271" s="29">
        <v>2020.0</v>
      </c>
      <c r="C271" s="29">
        <v>1.0</v>
      </c>
      <c r="D271" s="29">
        <v>1.0</v>
      </c>
      <c r="E271" s="31">
        <v>20.33333333</v>
      </c>
      <c r="F271" s="31">
        <v>31.33333333</v>
      </c>
      <c r="G271" s="58">
        <f t="shared" si="78"/>
        <v>25.83333333</v>
      </c>
      <c r="H271" s="33">
        <v>50.4</v>
      </c>
      <c r="I271" s="62">
        <v>62.53</v>
      </c>
      <c r="J271" s="55">
        <f t="shared" ref="J271:J273" si="79">J270+(((J270-J269)+(J269-J268)+(J268-J267)+(J267-J266))/4)</f>
        <v>0.787</v>
      </c>
      <c r="K271" s="55">
        <v>31858.5025</v>
      </c>
      <c r="L271" s="55">
        <v>509.73604</v>
      </c>
      <c r="M271" s="55">
        <v>2357.529185</v>
      </c>
      <c r="N271" s="55">
        <v>1126632.498</v>
      </c>
      <c r="O271" s="55">
        <v>11266.32498</v>
      </c>
      <c r="P271" s="55">
        <v>148715.4897</v>
      </c>
    </row>
    <row r="272">
      <c r="A272" s="41"/>
      <c r="B272" s="29">
        <v>2021.0</v>
      </c>
      <c r="C272" s="29">
        <v>1.0</v>
      </c>
      <c r="D272" s="29">
        <v>1.0</v>
      </c>
      <c r="E272" s="31">
        <v>20.0</v>
      </c>
      <c r="F272" s="31">
        <v>32.16666667</v>
      </c>
      <c r="G272" s="58">
        <f t="shared" si="78"/>
        <v>26.08333334</v>
      </c>
      <c r="H272" s="59">
        <f>MEDIAN(H266:H271)</f>
        <v>51.25</v>
      </c>
      <c r="I272" s="65">
        <f t="shared" ref="I272:I273" si="81">I271+(I271-I270)</f>
        <v>51.68</v>
      </c>
      <c r="J272" s="55">
        <f t="shared" si="79"/>
        <v>0.79425</v>
      </c>
      <c r="K272" s="55">
        <v>32157.7025</v>
      </c>
      <c r="L272" s="55">
        <v>514.52324</v>
      </c>
      <c r="M272" s="55">
        <v>2379.669985</v>
      </c>
      <c r="N272" s="55">
        <v>1137213.298</v>
      </c>
      <c r="O272" s="55">
        <v>11372.13298</v>
      </c>
      <c r="P272" s="55">
        <v>150112.1553</v>
      </c>
    </row>
    <row r="273">
      <c r="A273" s="41"/>
      <c r="B273" s="22">
        <v>2022.0</v>
      </c>
      <c r="C273" s="29">
        <v>0.0</v>
      </c>
      <c r="D273" s="29">
        <v>0.0</v>
      </c>
      <c r="E273" s="58">
        <f t="shared" ref="E273:F273" si="80">E272+(((E272-E271)+(E271-E270)+(E270-E269)+(E269-E268)+(E268-E267)+(E267-E266))/6)</f>
        <v>20.29166667</v>
      </c>
      <c r="F273" s="58">
        <f t="shared" si="80"/>
        <v>32.33333334</v>
      </c>
      <c r="G273" s="58">
        <f t="shared" si="78"/>
        <v>26.3125</v>
      </c>
      <c r="H273" s="33">
        <v>128.0</v>
      </c>
      <c r="I273" s="52">
        <f t="shared" si="81"/>
        <v>40.83</v>
      </c>
      <c r="J273" s="55">
        <f t="shared" si="79"/>
        <v>0.8003125</v>
      </c>
      <c r="K273" s="55">
        <v>33550.0</v>
      </c>
      <c r="L273" s="55">
        <v>536.8</v>
      </c>
      <c r="M273" s="55">
        <v>2482.7</v>
      </c>
      <c r="N273" s="55">
        <v>1186450.0</v>
      </c>
      <c r="O273" s="55">
        <v>11864.5</v>
      </c>
      <c r="P273" s="55">
        <v>156611.4</v>
      </c>
    </row>
    <row r="274">
      <c r="A274" s="41"/>
      <c r="B274" s="41"/>
      <c r="C274" s="41"/>
      <c r="D274" s="41"/>
      <c r="E274" s="58"/>
      <c r="F274" s="58"/>
      <c r="G274" s="58"/>
      <c r="H274" s="59"/>
      <c r="I274" s="65"/>
      <c r="J274" s="53"/>
      <c r="K274" s="53"/>
      <c r="L274" s="53"/>
      <c r="M274" s="53"/>
      <c r="N274" s="53"/>
      <c r="O274" s="53"/>
      <c r="P274" s="53"/>
    </row>
    <row r="275" ht="19.5" customHeight="1">
      <c r="A275" s="28" t="s">
        <v>51</v>
      </c>
      <c r="B275" s="29">
        <v>2015.0</v>
      </c>
      <c r="C275" s="29">
        <v>0.0</v>
      </c>
      <c r="D275" s="29">
        <v>0.0</v>
      </c>
      <c r="E275" s="31">
        <v>24.75</v>
      </c>
      <c r="F275" s="31">
        <v>33.91666667</v>
      </c>
      <c r="G275" s="58">
        <f t="shared" ref="G275:G282" si="82">AVERAGE(E275:F275)</f>
        <v>29.33333334</v>
      </c>
      <c r="H275" s="33">
        <v>31.0</v>
      </c>
      <c r="I275" s="62">
        <v>45.41</v>
      </c>
      <c r="J275" s="55">
        <v>0.661</v>
      </c>
      <c r="K275" s="55">
        <v>277075.779</v>
      </c>
      <c r="L275" s="55">
        <v>4433.21247</v>
      </c>
      <c r="M275" s="55">
        <v>20532.54612</v>
      </c>
      <c r="N275" s="55">
        <v>390742.221</v>
      </c>
      <c r="O275" s="55">
        <v>3907.422206</v>
      </c>
      <c r="P275" s="55">
        <v>51577.97312</v>
      </c>
    </row>
    <row r="276">
      <c r="A276" s="41"/>
      <c r="B276" s="29">
        <v>2016.0</v>
      </c>
      <c r="C276" s="29">
        <v>0.0</v>
      </c>
      <c r="D276" s="29">
        <v>0.0</v>
      </c>
      <c r="E276" s="31">
        <v>24.41666667</v>
      </c>
      <c r="F276" s="31">
        <v>33.16666667</v>
      </c>
      <c r="G276" s="58">
        <f t="shared" si="82"/>
        <v>28.79166667</v>
      </c>
      <c r="H276" s="33">
        <v>29.9</v>
      </c>
      <c r="I276" s="62">
        <v>60.73</v>
      </c>
      <c r="J276" s="55">
        <v>0.647</v>
      </c>
      <c r="K276" s="55">
        <v>285711.914</v>
      </c>
      <c r="L276" s="55">
        <v>4571.39063</v>
      </c>
      <c r="M276" s="55">
        <v>21172.52209</v>
      </c>
      <c r="N276" s="55">
        <v>402921.086</v>
      </c>
      <c r="O276" s="55">
        <v>4029.210856</v>
      </c>
      <c r="P276" s="55">
        <v>53185.5833</v>
      </c>
    </row>
    <row r="277">
      <c r="A277" s="41"/>
      <c r="B277" s="29">
        <v>2017.0</v>
      </c>
      <c r="C277" s="29">
        <v>0.0</v>
      </c>
      <c r="D277" s="29">
        <v>0.0</v>
      </c>
      <c r="E277" s="31">
        <v>25.5</v>
      </c>
      <c r="F277" s="31">
        <v>33.66666667</v>
      </c>
      <c r="G277" s="58">
        <f t="shared" si="82"/>
        <v>29.58333334</v>
      </c>
      <c r="H277" s="33">
        <v>35.0</v>
      </c>
      <c r="I277" s="62">
        <v>81.01</v>
      </c>
      <c r="J277" s="55">
        <v>0.658</v>
      </c>
      <c r="K277" s="55">
        <v>294439.624</v>
      </c>
      <c r="L277" s="55">
        <v>4711.033987</v>
      </c>
      <c r="M277" s="55">
        <v>21819.28415</v>
      </c>
      <c r="N277" s="55">
        <v>415229.376</v>
      </c>
      <c r="O277" s="55">
        <v>4152.293758</v>
      </c>
      <c r="P277" s="55">
        <v>54810.27761</v>
      </c>
    </row>
    <row r="278">
      <c r="A278" s="41"/>
      <c r="B278" s="29">
        <v>2018.0</v>
      </c>
      <c r="C278" s="29">
        <v>0.0</v>
      </c>
      <c r="D278" s="29">
        <v>0.0</v>
      </c>
      <c r="E278" s="31">
        <v>26.0</v>
      </c>
      <c r="F278" s="31">
        <v>33.33333333</v>
      </c>
      <c r="G278" s="58">
        <f t="shared" si="82"/>
        <v>29.66666667</v>
      </c>
      <c r="H278" s="33">
        <v>34.5</v>
      </c>
      <c r="I278" s="62">
        <v>82.82</v>
      </c>
      <c r="J278" s="55">
        <v>0.66</v>
      </c>
      <c r="K278" s="55">
        <v>303253.689</v>
      </c>
      <c r="L278" s="55">
        <v>4852.05903</v>
      </c>
      <c r="M278" s="55">
        <v>22472.44553</v>
      </c>
      <c r="N278" s="55">
        <v>427659.311</v>
      </c>
      <c r="O278" s="55">
        <v>4276.593106</v>
      </c>
      <c r="P278" s="55">
        <v>56451.029</v>
      </c>
    </row>
    <row r="279">
      <c r="A279" s="41"/>
      <c r="B279" s="29">
        <v>2019.0</v>
      </c>
      <c r="C279" s="29">
        <v>0.0</v>
      </c>
      <c r="D279" s="29">
        <v>0.0</v>
      </c>
      <c r="E279" s="31">
        <v>24.91666667</v>
      </c>
      <c r="F279" s="31">
        <v>32.41666667</v>
      </c>
      <c r="G279" s="58">
        <f t="shared" si="82"/>
        <v>28.66666667</v>
      </c>
      <c r="H279" s="33">
        <v>32.7</v>
      </c>
      <c r="I279" s="62">
        <v>69.72</v>
      </c>
      <c r="J279" s="55">
        <v>0.663</v>
      </c>
      <c r="K279" s="55">
        <v>312149.92</v>
      </c>
      <c r="L279" s="55">
        <v>4994.39872</v>
      </c>
      <c r="M279" s="55">
        <v>23131.69574</v>
      </c>
      <c r="N279" s="55">
        <v>440205.08</v>
      </c>
      <c r="O279" s="55">
        <v>4402.0508</v>
      </c>
      <c r="P279" s="55">
        <v>58107.07056</v>
      </c>
    </row>
    <row r="280">
      <c r="A280" s="41"/>
      <c r="B280" s="29">
        <v>2020.0</v>
      </c>
      <c r="C280" s="29">
        <v>1.0</v>
      </c>
      <c r="D280" s="29">
        <v>1.0</v>
      </c>
      <c r="E280" s="31">
        <v>24.33333333</v>
      </c>
      <c r="F280" s="31">
        <v>31.41666667</v>
      </c>
      <c r="G280" s="58">
        <f t="shared" si="82"/>
        <v>27.875</v>
      </c>
      <c r="H280" s="33">
        <v>32.6</v>
      </c>
      <c r="I280" s="62">
        <v>66.2</v>
      </c>
      <c r="J280" s="55">
        <f t="shared" ref="J280:J282" si="83">J279+(((J279-J278)+(J278-J277)+(J277-J276)+(J276-J275))/4)</f>
        <v>0.6635</v>
      </c>
      <c r="K280" s="55">
        <v>321124.126</v>
      </c>
      <c r="L280" s="55">
        <v>5137.986016</v>
      </c>
      <c r="M280" s="55">
        <v>23796.72427</v>
      </c>
      <c r="N280" s="55">
        <v>452860.874</v>
      </c>
      <c r="O280" s="55">
        <v>4528.60874</v>
      </c>
      <c r="P280" s="55">
        <v>59777.63537</v>
      </c>
    </row>
    <row r="281">
      <c r="A281" s="41"/>
      <c r="B281" s="29">
        <v>2021.0</v>
      </c>
      <c r="C281" s="29">
        <v>1.0</v>
      </c>
      <c r="D281" s="29">
        <v>1.0</v>
      </c>
      <c r="E281" s="31">
        <v>25.41666667</v>
      </c>
      <c r="F281" s="31">
        <v>32.08333333</v>
      </c>
      <c r="G281" s="58">
        <f t="shared" si="82"/>
        <v>28.75</v>
      </c>
      <c r="H281" s="59">
        <f>MEDIAN(H275:H280)</f>
        <v>32.65</v>
      </c>
      <c r="I281" s="65">
        <f t="shared" ref="I281:I282" si="85">I280+(I280-I279)</f>
        <v>62.68</v>
      </c>
      <c r="J281" s="55">
        <f t="shared" si="83"/>
        <v>0.667625</v>
      </c>
      <c r="K281" s="55">
        <v>330171.869</v>
      </c>
      <c r="L281" s="55">
        <v>5282.749906</v>
      </c>
      <c r="M281" s="55">
        <v>24467.20224</v>
      </c>
      <c r="N281" s="55">
        <v>465620.131</v>
      </c>
      <c r="O281" s="55">
        <v>4656.201309</v>
      </c>
      <c r="P281" s="55">
        <v>61461.85728</v>
      </c>
    </row>
    <row r="282">
      <c r="A282" s="41"/>
      <c r="B282" s="22">
        <v>2022.0</v>
      </c>
      <c r="C282" s="29">
        <v>0.0</v>
      </c>
      <c r="D282" s="29">
        <v>0.0</v>
      </c>
      <c r="E282" s="58">
        <f t="shared" ref="E282:F282" si="84">E281+(((E281-E280)+(E280-E279)+(E279-E278)+(E278-E277)+(E277-E276)+(E276-E275))/6)</f>
        <v>25.52777778</v>
      </c>
      <c r="F282" s="58">
        <f t="shared" si="84"/>
        <v>31.77777777</v>
      </c>
      <c r="G282" s="58">
        <f t="shared" si="82"/>
        <v>28.65277778</v>
      </c>
      <c r="H282" s="33">
        <v>80.0</v>
      </c>
      <c r="I282" s="52">
        <f t="shared" si="85"/>
        <v>59.16</v>
      </c>
      <c r="J282" s="55">
        <f t="shared" si="83"/>
        <v>0.67003125</v>
      </c>
      <c r="K282" s="55">
        <v>363586.1</v>
      </c>
      <c r="L282" s="55">
        <v>5817.3776</v>
      </c>
      <c r="M282" s="55">
        <v>26942.882</v>
      </c>
      <c r="N282" s="55">
        <v>519913.9</v>
      </c>
      <c r="O282" s="55">
        <v>5199.139</v>
      </c>
      <c r="P282" s="55">
        <v>68628.6348</v>
      </c>
    </row>
    <row r="283">
      <c r="A283" s="41"/>
      <c r="B283" s="41"/>
      <c r="C283" s="41"/>
      <c r="D283" s="41"/>
      <c r="E283" s="58"/>
      <c r="F283" s="58"/>
      <c r="G283" s="58"/>
      <c r="H283" s="59"/>
      <c r="I283" s="65"/>
      <c r="J283" s="53"/>
      <c r="K283" s="53"/>
      <c r="L283" s="53"/>
      <c r="M283" s="53"/>
      <c r="N283" s="53"/>
      <c r="O283" s="53"/>
      <c r="P283" s="53"/>
    </row>
    <row r="284">
      <c r="A284" s="28" t="s">
        <v>52</v>
      </c>
      <c r="B284" s="29">
        <v>2015.0</v>
      </c>
      <c r="C284" s="29">
        <v>0.0</v>
      </c>
      <c r="D284" s="29">
        <v>0.0</v>
      </c>
      <c r="E284" s="31">
        <v>17.5</v>
      </c>
      <c r="F284" s="31">
        <v>31.75</v>
      </c>
      <c r="G284" s="58">
        <f t="shared" ref="G284:G291" si="86">AVERAGE(E284:F284)</f>
        <v>24.625</v>
      </c>
      <c r="H284" s="33">
        <v>16.3</v>
      </c>
      <c r="I284" s="62">
        <v>53.52</v>
      </c>
      <c r="J284" s="55">
        <v>0.672</v>
      </c>
      <c r="K284" s="55">
        <v>9887992.939</v>
      </c>
      <c r="L284" s="55">
        <v>158207.887</v>
      </c>
      <c r="M284" s="55">
        <v>731711.4775</v>
      </c>
      <c r="N284" s="55">
        <v>3728081.061</v>
      </c>
      <c r="O284" s="55">
        <v>37280.81061</v>
      </c>
      <c r="P284" s="55">
        <v>492106.7001</v>
      </c>
    </row>
    <row r="285">
      <c r="A285" s="41"/>
      <c r="B285" s="29">
        <v>2016.0</v>
      </c>
      <c r="C285" s="29">
        <v>1.0</v>
      </c>
      <c r="D285" s="29">
        <v>2.0</v>
      </c>
      <c r="E285" s="31">
        <v>16.83333333</v>
      </c>
      <c r="F285" s="31">
        <v>32.33333333</v>
      </c>
      <c r="G285" s="58">
        <f t="shared" si="86"/>
        <v>24.58333333</v>
      </c>
      <c r="H285" s="33">
        <v>21.2</v>
      </c>
      <c r="I285" s="62">
        <v>60.35</v>
      </c>
      <c r="J285" s="55">
        <v>0.672</v>
      </c>
      <c r="K285" s="55">
        <v>1.008318969E7</v>
      </c>
      <c r="L285" s="55">
        <v>161331.035</v>
      </c>
      <c r="M285" s="55">
        <v>746156.037</v>
      </c>
      <c r="N285" s="55">
        <v>3801676.311</v>
      </c>
      <c r="O285" s="55">
        <v>38016.76311</v>
      </c>
      <c r="P285" s="55">
        <v>501821.273</v>
      </c>
    </row>
    <row r="286">
      <c r="A286" s="41"/>
      <c r="B286" s="29">
        <v>2017.0</v>
      </c>
      <c r="C286" s="29">
        <v>1.0</v>
      </c>
      <c r="D286" s="29">
        <v>2.0</v>
      </c>
      <c r="E286" s="31">
        <v>17.58333333</v>
      </c>
      <c r="F286" s="31">
        <v>32.08333333</v>
      </c>
      <c r="G286" s="58">
        <f t="shared" si="86"/>
        <v>24.83333333</v>
      </c>
      <c r="H286" s="33">
        <v>17.5</v>
      </c>
      <c r="I286" s="62">
        <v>62.37</v>
      </c>
      <c r="J286" s="55">
        <v>0.682</v>
      </c>
      <c r="K286" s="55">
        <v>1.027825935E7</v>
      </c>
      <c r="L286" s="55">
        <v>164452.1497</v>
      </c>
      <c r="M286" s="55">
        <v>760591.1922</v>
      </c>
      <c r="N286" s="55">
        <v>3875223.645</v>
      </c>
      <c r="O286" s="55">
        <v>38752.23645</v>
      </c>
      <c r="P286" s="55">
        <v>511529.5212</v>
      </c>
    </row>
    <row r="287">
      <c r="A287" s="41"/>
      <c r="B287" s="29">
        <v>2018.0</v>
      </c>
      <c r="C287" s="29">
        <v>0.0</v>
      </c>
      <c r="D287" s="29">
        <v>0.0</v>
      </c>
      <c r="E287" s="31">
        <v>18.16666667</v>
      </c>
      <c r="F287" s="31">
        <v>32.08333333</v>
      </c>
      <c r="G287" s="58">
        <f t="shared" si="86"/>
        <v>25.125</v>
      </c>
      <c r="H287" s="33">
        <v>17.9</v>
      </c>
      <c r="I287" s="62">
        <v>37.45</v>
      </c>
      <c r="J287" s="55">
        <v>0.685</v>
      </c>
      <c r="K287" s="55">
        <v>1.047312496E7</v>
      </c>
      <c r="L287" s="55">
        <v>167569.9993</v>
      </c>
      <c r="M287" s="55">
        <v>775011.2469</v>
      </c>
      <c r="N287" s="55">
        <v>3948694.042</v>
      </c>
      <c r="O287" s="55">
        <v>39486.94042</v>
      </c>
      <c r="P287" s="55">
        <v>521227.6136</v>
      </c>
    </row>
    <row r="288">
      <c r="A288" s="41"/>
      <c r="B288" s="29">
        <v>2019.0</v>
      </c>
      <c r="C288" s="29">
        <v>0.0</v>
      </c>
      <c r="D288" s="29">
        <v>0.0</v>
      </c>
      <c r="E288" s="31">
        <v>17.0</v>
      </c>
      <c r="F288" s="31">
        <v>29.83333333</v>
      </c>
      <c r="G288" s="58">
        <f t="shared" si="86"/>
        <v>23.41666667</v>
      </c>
      <c r="H288" s="33">
        <v>15.3</v>
      </c>
      <c r="I288" s="62">
        <v>46.99</v>
      </c>
      <c r="J288" s="55">
        <v>0.688</v>
      </c>
      <c r="K288" s="55">
        <v>1.066771461E7</v>
      </c>
      <c r="L288" s="55">
        <v>170683.4337</v>
      </c>
      <c r="M288" s="55">
        <v>789410.8808</v>
      </c>
      <c r="N288" s="55">
        <v>4022060.395</v>
      </c>
      <c r="O288" s="55">
        <v>40220.60395</v>
      </c>
      <c r="P288" s="55">
        <v>530911.9721</v>
      </c>
    </row>
    <row r="289">
      <c r="A289" s="41"/>
      <c r="B289" s="29">
        <v>2020.0</v>
      </c>
      <c r="C289" s="29">
        <v>1.0</v>
      </c>
      <c r="D289" s="29">
        <v>1.0</v>
      </c>
      <c r="E289" s="31">
        <v>21.33333333</v>
      </c>
      <c r="F289" s="31">
        <v>32.41666667</v>
      </c>
      <c r="G289" s="58">
        <f t="shared" si="86"/>
        <v>26.875</v>
      </c>
      <c r="H289" s="33">
        <v>15.4</v>
      </c>
      <c r="I289" s="62">
        <v>57.38</v>
      </c>
      <c r="J289" s="55">
        <f t="shared" ref="J289:J290" si="87">J288+(((J288-J287)+(J287-J286)+(J286-J285)+(J285-J284))/4)</f>
        <v>0.692</v>
      </c>
      <c r="K289" s="55">
        <v>1.086195568E7</v>
      </c>
      <c r="L289" s="55">
        <v>173791.2908</v>
      </c>
      <c r="M289" s="55">
        <v>803784.72</v>
      </c>
      <c r="N289" s="55">
        <v>4095295.324</v>
      </c>
      <c r="O289" s="55">
        <v>40952.95324</v>
      </c>
      <c r="P289" s="55">
        <v>540578.9827</v>
      </c>
    </row>
    <row r="290">
      <c r="A290" s="41"/>
      <c r="B290" s="29">
        <v>2021.0</v>
      </c>
      <c r="C290" s="29">
        <v>1.0</v>
      </c>
      <c r="D290" s="29">
        <v>1.0</v>
      </c>
      <c r="E290" s="31">
        <v>19.08333333</v>
      </c>
      <c r="F290" s="31">
        <v>31.58333333</v>
      </c>
      <c r="G290" s="58">
        <f t="shared" si="86"/>
        <v>25.33333333</v>
      </c>
      <c r="H290" s="59">
        <f>MEDIAN(H284:H289)</f>
        <v>16.9</v>
      </c>
      <c r="I290" s="62">
        <f t="shared" ref="I290:I291" si="89">I289+(I289-I288)</f>
        <v>67.77</v>
      </c>
      <c r="J290" s="55">
        <f t="shared" si="87"/>
        <v>0.697</v>
      </c>
      <c r="K290" s="55">
        <v>1.105577773E7</v>
      </c>
      <c r="L290" s="55">
        <v>176892.4437</v>
      </c>
      <c r="M290" s="55">
        <v>818127.552</v>
      </c>
      <c r="N290" s="55">
        <v>4168372.27</v>
      </c>
      <c r="O290" s="55">
        <v>41683.7227</v>
      </c>
      <c r="P290" s="55">
        <v>550225.1396</v>
      </c>
    </row>
    <row r="291">
      <c r="A291" s="41"/>
      <c r="B291" s="22">
        <v>2022.0</v>
      </c>
      <c r="C291" s="29">
        <v>1.0</v>
      </c>
      <c r="D291" s="29">
        <v>2.0</v>
      </c>
      <c r="E291" s="58">
        <f t="shared" ref="E291:F291" si="88">E290+(((E290-E289)+(E289-E288)+(E288-E287)+(E287-E286)+(E286-E285)+(E285-E284))/6)</f>
        <v>19.34722222</v>
      </c>
      <c r="F291" s="58">
        <f t="shared" si="88"/>
        <v>31.55555555</v>
      </c>
      <c r="G291" s="58">
        <f t="shared" si="86"/>
        <v>25.45138889</v>
      </c>
      <c r="H291" s="33">
        <v>14.0</v>
      </c>
      <c r="I291" s="52">
        <f t="shared" si="89"/>
        <v>78.16</v>
      </c>
      <c r="J291" s="55">
        <f>J290+(((J290-J289)+(J289-J288)+(J288-J287)+(J287-J286)+(J286-J285)+(J285-J284))/6)</f>
        <v>0.7011666667</v>
      </c>
      <c r="K291" s="55">
        <v>1.1168956E7</v>
      </c>
      <c r="L291" s="55">
        <v>178703.0</v>
      </c>
      <c r="M291" s="55">
        <v>826502.744</v>
      </c>
      <c r="N291" s="55">
        <v>4211044.0</v>
      </c>
      <c r="O291" s="55">
        <v>42110.44</v>
      </c>
      <c r="P291" s="55">
        <v>555857.808</v>
      </c>
    </row>
    <row r="292">
      <c r="A292" s="41"/>
      <c r="B292" s="41"/>
      <c r="C292" s="41"/>
      <c r="D292" s="41"/>
      <c r="E292" s="58"/>
      <c r="F292" s="58"/>
      <c r="G292" s="58"/>
      <c r="H292" s="59"/>
      <c r="I292" s="65"/>
      <c r="J292" s="53"/>
      <c r="K292" s="53"/>
      <c r="L292" s="53"/>
      <c r="M292" s="53"/>
      <c r="N292" s="53"/>
      <c r="O292" s="53"/>
      <c r="P292" s="53"/>
    </row>
    <row r="293">
      <c r="A293" s="28" t="s">
        <v>53</v>
      </c>
      <c r="B293" s="29">
        <v>2015.0</v>
      </c>
      <c r="C293" s="29">
        <v>0.0</v>
      </c>
      <c r="D293" s="29">
        <v>0.0</v>
      </c>
      <c r="E293" s="31">
        <v>27.16666667</v>
      </c>
      <c r="F293" s="31">
        <v>30.75</v>
      </c>
      <c r="G293" s="58">
        <f t="shared" ref="G293:G300" si="90">AVERAGE(E293:F293)</f>
        <v>28.95833334</v>
      </c>
      <c r="H293" s="33">
        <v>25.5</v>
      </c>
      <c r="I293" s="62">
        <v>49.26</v>
      </c>
      <c r="J293" s="55">
        <v>0.729</v>
      </c>
      <c r="K293" s="55">
        <v>449674.7292</v>
      </c>
      <c r="L293" s="55">
        <v>7194.795667</v>
      </c>
      <c r="M293" s="55">
        <v>33275.92996</v>
      </c>
      <c r="N293" s="55">
        <v>970201.2708</v>
      </c>
      <c r="O293" s="55">
        <v>9702.012708</v>
      </c>
      <c r="P293" s="55">
        <v>128066.5677</v>
      </c>
    </row>
    <row r="294">
      <c r="A294" s="41"/>
      <c r="B294" s="29">
        <v>2016.0</v>
      </c>
      <c r="C294" s="29">
        <v>0.0</v>
      </c>
      <c r="D294" s="29">
        <v>0.0</v>
      </c>
      <c r="E294" s="31">
        <v>26.83333333</v>
      </c>
      <c r="F294" s="31">
        <v>31.16666667</v>
      </c>
      <c r="G294" s="58">
        <f t="shared" si="90"/>
        <v>29</v>
      </c>
      <c r="H294" s="33">
        <v>30.7</v>
      </c>
      <c r="I294" s="62">
        <v>50.83</v>
      </c>
      <c r="J294" s="55">
        <v>0.722</v>
      </c>
      <c r="K294" s="55">
        <v>463690.9211</v>
      </c>
      <c r="L294" s="55">
        <v>7419.054738</v>
      </c>
      <c r="M294" s="55">
        <v>34313.12816</v>
      </c>
      <c r="N294" s="55">
        <v>1000442.079</v>
      </c>
      <c r="O294" s="55">
        <v>10004.42079</v>
      </c>
      <c r="P294" s="55">
        <v>132058.3544</v>
      </c>
    </row>
    <row r="295">
      <c r="A295" s="41"/>
      <c r="B295" s="29">
        <v>2017.0</v>
      </c>
      <c r="C295" s="29">
        <v>0.0</v>
      </c>
      <c r="D295" s="29">
        <v>0.0</v>
      </c>
      <c r="E295" s="31">
        <v>27.16666667</v>
      </c>
      <c r="F295" s="31">
        <v>31.16666667</v>
      </c>
      <c r="G295" s="58">
        <f t="shared" si="90"/>
        <v>29.16666667</v>
      </c>
      <c r="H295" s="33">
        <v>30.1</v>
      </c>
      <c r="I295" s="62">
        <v>36.2</v>
      </c>
      <c r="J295" s="55">
        <v>0.734</v>
      </c>
      <c r="K295" s="55">
        <v>477855.0119</v>
      </c>
      <c r="L295" s="55">
        <v>7645.68019</v>
      </c>
      <c r="M295" s="55">
        <v>35361.27088</v>
      </c>
      <c r="N295" s="55">
        <v>1031001.988</v>
      </c>
      <c r="O295" s="55">
        <v>10310.01988</v>
      </c>
      <c r="P295" s="55">
        <v>136092.2624</v>
      </c>
    </row>
    <row r="296">
      <c r="A296" s="41"/>
      <c r="B296" s="29">
        <v>2018.0</v>
      </c>
      <c r="C296" s="29">
        <v>0.0</v>
      </c>
      <c r="D296" s="29">
        <v>0.0</v>
      </c>
      <c r="E296" s="31">
        <v>26.91666667</v>
      </c>
      <c r="F296" s="31">
        <v>31.0</v>
      </c>
      <c r="G296" s="58">
        <f t="shared" si="90"/>
        <v>28.95833334</v>
      </c>
      <c r="H296" s="33">
        <v>29.8</v>
      </c>
      <c r="I296" s="62">
        <v>49.26</v>
      </c>
      <c r="J296" s="55">
        <v>0.736</v>
      </c>
      <c r="K296" s="55">
        <v>492159.7175</v>
      </c>
      <c r="L296" s="55">
        <v>7874.55548</v>
      </c>
      <c r="M296" s="55">
        <v>36419.8191</v>
      </c>
      <c r="N296" s="55">
        <v>1061865.283</v>
      </c>
      <c r="O296" s="55">
        <v>10618.65283</v>
      </c>
      <c r="P296" s="55">
        <v>140166.2173</v>
      </c>
    </row>
    <row r="297">
      <c r="A297" s="41"/>
      <c r="B297" s="29">
        <v>2019.0</v>
      </c>
      <c r="C297" s="29">
        <v>0.0</v>
      </c>
      <c r="D297" s="29">
        <v>0.0</v>
      </c>
      <c r="E297" s="31">
        <v>26.75</v>
      </c>
      <c r="F297" s="31">
        <v>30.75</v>
      </c>
      <c r="G297" s="58">
        <f t="shared" si="90"/>
        <v>28.75</v>
      </c>
      <c r="H297" s="33">
        <v>27.5</v>
      </c>
      <c r="I297" s="62">
        <v>46.54</v>
      </c>
      <c r="J297" s="55">
        <v>0.74</v>
      </c>
      <c r="K297" s="55">
        <v>506598.0705</v>
      </c>
      <c r="L297" s="55">
        <v>8105.569128</v>
      </c>
      <c r="M297" s="55">
        <v>37488.25722</v>
      </c>
      <c r="N297" s="55">
        <v>1093016.93</v>
      </c>
      <c r="O297" s="55">
        <v>10930.1693</v>
      </c>
      <c r="P297" s="55">
        <v>144278.2347</v>
      </c>
    </row>
    <row r="298">
      <c r="A298" s="41"/>
      <c r="B298" s="29">
        <v>2020.0</v>
      </c>
      <c r="C298" s="29">
        <v>1.0</v>
      </c>
      <c r="D298" s="29">
        <v>1.0</v>
      </c>
      <c r="E298" s="31">
        <v>26.0</v>
      </c>
      <c r="F298" s="31">
        <v>30.5</v>
      </c>
      <c r="G298" s="58">
        <f t="shared" si="90"/>
        <v>28.25</v>
      </c>
      <c r="H298" s="33">
        <v>26.1</v>
      </c>
      <c r="I298" s="62">
        <v>47.48</v>
      </c>
      <c r="J298" s="55">
        <f t="shared" ref="J298:J300" si="91">J297+(((J297-J296)+(J296-J295)+(J295-J294)+(J294-J293))/4)</f>
        <v>0.74275</v>
      </c>
      <c r="K298" s="55">
        <v>521162.7868</v>
      </c>
      <c r="L298" s="55">
        <v>8338.604589</v>
      </c>
      <c r="M298" s="55">
        <v>38566.04622</v>
      </c>
      <c r="N298" s="55">
        <v>1124441.213</v>
      </c>
      <c r="O298" s="55">
        <v>11244.41213</v>
      </c>
      <c r="P298" s="55">
        <v>148426.2401</v>
      </c>
    </row>
    <row r="299">
      <c r="A299" s="41"/>
      <c r="B299" s="29">
        <v>2021.0</v>
      </c>
      <c r="C299" s="29">
        <v>1.0</v>
      </c>
      <c r="D299" s="29">
        <v>1.0</v>
      </c>
      <c r="E299" s="31">
        <v>25.33333333</v>
      </c>
      <c r="F299" s="31">
        <v>30.75</v>
      </c>
      <c r="G299" s="58">
        <f t="shared" si="90"/>
        <v>28.04166667</v>
      </c>
      <c r="H299" s="59">
        <f>MEDIAN(H293:H298)</f>
        <v>28.65</v>
      </c>
      <c r="I299" s="65">
        <f>I298+(I297-I296)</f>
        <v>44.76</v>
      </c>
      <c r="J299" s="55">
        <f t="shared" si="91"/>
        <v>0.7479375</v>
      </c>
      <c r="K299" s="55">
        <v>535846.5823</v>
      </c>
      <c r="L299" s="55">
        <v>8573.545317</v>
      </c>
      <c r="M299" s="55">
        <v>39652.64709</v>
      </c>
      <c r="N299" s="55">
        <v>1156122.418</v>
      </c>
      <c r="O299" s="55">
        <v>11561.22418</v>
      </c>
      <c r="P299" s="55">
        <v>152608.1591</v>
      </c>
    </row>
    <row r="300">
      <c r="A300" s="41"/>
      <c r="B300" s="22">
        <v>2022.0</v>
      </c>
      <c r="C300" s="29">
        <v>0.0</v>
      </c>
      <c r="D300" s="29">
        <v>0.0</v>
      </c>
      <c r="E300" s="58">
        <f t="shared" ref="E300:F300" si="92">E299+(((E299-E298)+(E298-E297)+(E297-E296)+(E296-E295)+(E295-E294)+(E294-E293))/6)</f>
        <v>25.02777777</v>
      </c>
      <c r="F300" s="58">
        <f t="shared" si="92"/>
        <v>30.75</v>
      </c>
      <c r="G300" s="58">
        <f t="shared" si="90"/>
        <v>27.88888889</v>
      </c>
      <c r="H300" s="33">
        <v>37.0</v>
      </c>
      <c r="I300" s="52">
        <f>I299+(I299-I298)</f>
        <v>42.04</v>
      </c>
      <c r="J300" s="55">
        <f t="shared" si="91"/>
        <v>0.751421875</v>
      </c>
      <c r="K300" s="55">
        <v>538390.0</v>
      </c>
      <c r="L300" s="55">
        <v>8614.24</v>
      </c>
      <c r="M300" s="55">
        <v>39840.86</v>
      </c>
      <c r="N300" s="55">
        <v>1161610.0</v>
      </c>
      <c r="O300" s="55">
        <v>11616.1</v>
      </c>
      <c r="P300" s="55">
        <v>153332.52</v>
      </c>
    </row>
    <row r="301">
      <c r="A301" s="84"/>
      <c r="B301" s="84"/>
      <c r="C301" s="85"/>
      <c r="D301" s="86" t="s">
        <v>54</v>
      </c>
      <c r="E301" s="87" t="s">
        <v>55</v>
      </c>
      <c r="H301" s="88" t="s">
        <v>56</v>
      </c>
      <c r="I301" s="86" t="s">
        <v>57</v>
      </c>
      <c r="J301" s="86" t="s">
        <v>58</v>
      </c>
      <c r="K301" s="89" t="s">
        <v>59</v>
      </c>
    </row>
    <row r="302" ht="30.0" customHeight="1">
      <c r="A302" s="90"/>
      <c r="B302" s="90"/>
      <c r="C302" s="90"/>
      <c r="D302" s="90"/>
      <c r="E302" s="90"/>
      <c r="F302" s="90"/>
      <c r="G302" s="90"/>
      <c r="H302" s="91" t="s">
        <v>60</v>
      </c>
      <c r="I302" s="90"/>
      <c r="J302" s="85"/>
      <c r="K302" s="90"/>
      <c r="L302" s="90"/>
      <c r="M302" s="90"/>
      <c r="N302" s="90"/>
      <c r="O302" s="90"/>
      <c r="P302" s="90"/>
    </row>
    <row r="314">
      <c r="K314" s="92"/>
      <c r="L314" s="93"/>
      <c r="M314" s="94"/>
      <c r="N314" s="93"/>
      <c r="O314" s="93"/>
    </row>
    <row r="315">
      <c r="C315" s="92"/>
      <c r="D315" s="93"/>
      <c r="E315" s="94"/>
      <c r="F315" s="93"/>
      <c r="K315" s="92"/>
      <c r="L315" s="93"/>
      <c r="M315" s="94"/>
      <c r="N315" s="93"/>
      <c r="O315" s="93"/>
    </row>
    <row r="316">
      <c r="C316" s="92"/>
      <c r="D316" s="93"/>
      <c r="E316" s="94"/>
      <c r="F316" s="93"/>
      <c r="K316" s="92"/>
      <c r="L316" s="93"/>
      <c r="M316" s="94"/>
      <c r="N316" s="93"/>
      <c r="O316" s="93"/>
    </row>
    <row r="317">
      <c r="C317" s="92"/>
      <c r="D317" s="93"/>
      <c r="E317" s="94"/>
      <c r="F317" s="93"/>
      <c r="K317" s="92"/>
      <c r="L317" s="93"/>
      <c r="M317" s="94"/>
      <c r="N317" s="93"/>
      <c r="O317" s="93"/>
    </row>
    <row r="318">
      <c r="C318" s="92"/>
      <c r="D318" s="93"/>
      <c r="E318" s="94"/>
      <c r="F318" s="93"/>
      <c r="K318" s="92"/>
      <c r="L318" s="93"/>
      <c r="M318" s="94"/>
      <c r="N318" s="93"/>
      <c r="O318" s="93"/>
    </row>
    <row r="319">
      <c r="C319" s="92"/>
      <c r="D319" s="93"/>
      <c r="E319" s="94"/>
      <c r="F319" s="93"/>
      <c r="K319" s="92"/>
      <c r="L319" s="93"/>
      <c r="M319" s="94"/>
      <c r="N319" s="93"/>
      <c r="O319" s="93"/>
    </row>
    <row r="320">
      <c r="C320" s="92"/>
      <c r="D320" s="93"/>
      <c r="E320" s="94"/>
      <c r="F320" s="93"/>
      <c r="K320" s="92"/>
      <c r="L320" s="93"/>
      <c r="M320" s="94"/>
      <c r="N320" s="93"/>
      <c r="O320" s="93"/>
    </row>
    <row r="321">
      <c r="C321" s="92"/>
      <c r="D321" s="93"/>
      <c r="E321" s="94"/>
      <c r="F321" s="93"/>
    </row>
    <row r="328">
      <c r="K328" s="92"/>
      <c r="L328" s="93"/>
      <c r="M328" s="94"/>
      <c r="N328" s="93"/>
      <c r="O328" s="93"/>
    </row>
    <row r="329">
      <c r="C329" s="92"/>
      <c r="D329" s="93"/>
      <c r="E329" s="94"/>
      <c r="F329" s="93"/>
      <c r="K329" s="92"/>
      <c r="L329" s="93"/>
      <c r="M329" s="94"/>
      <c r="N329" s="93"/>
      <c r="O329" s="93"/>
    </row>
    <row r="330">
      <c r="C330" s="92"/>
      <c r="D330" s="93"/>
      <c r="E330" s="94"/>
      <c r="F330" s="93"/>
      <c r="K330" s="92"/>
      <c r="L330" s="93"/>
      <c r="M330" s="94"/>
      <c r="N330" s="93"/>
      <c r="O330" s="93"/>
    </row>
    <row r="331">
      <c r="C331" s="92"/>
      <c r="D331" s="93"/>
      <c r="E331" s="94"/>
      <c r="F331" s="93"/>
      <c r="K331" s="92"/>
      <c r="L331" s="93"/>
      <c r="M331" s="94"/>
      <c r="N331" s="93"/>
      <c r="O331" s="93"/>
    </row>
    <row r="332">
      <c r="C332" s="92"/>
      <c r="D332" s="93"/>
      <c r="E332" s="94"/>
      <c r="F332" s="93"/>
      <c r="K332" s="92"/>
      <c r="L332" s="93"/>
      <c r="M332" s="94"/>
      <c r="N332" s="93"/>
      <c r="O332" s="93"/>
    </row>
    <row r="333">
      <c r="C333" s="92"/>
      <c r="D333" s="93"/>
      <c r="E333" s="94"/>
      <c r="F333" s="93"/>
      <c r="K333" s="92"/>
      <c r="L333" s="93"/>
      <c r="M333" s="94"/>
      <c r="N333" s="93"/>
      <c r="O333" s="93"/>
    </row>
    <row r="334">
      <c r="C334" s="92"/>
      <c r="D334" s="93"/>
      <c r="E334" s="94"/>
      <c r="F334" s="93"/>
      <c r="K334" s="92"/>
      <c r="L334" s="93"/>
      <c r="M334" s="94"/>
      <c r="N334" s="93"/>
      <c r="O334" s="93"/>
    </row>
    <row r="335">
      <c r="C335" s="92"/>
      <c r="D335" s="93"/>
      <c r="E335" s="94"/>
      <c r="F335" s="93"/>
    </row>
    <row r="339">
      <c r="K339" s="92"/>
      <c r="L339" s="93"/>
      <c r="M339" s="94"/>
      <c r="N339" s="93"/>
      <c r="O339" s="93"/>
    </row>
    <row r="340">
      <c r="K340" s="92"/>
      <c r="L340" s="93"/>
      <c r="M340" s="94"/>
      <c r="N340" s="93"/>
      <c r="O340" s="93"/>
    </row>
    <row r="341">
      <c r="C341" s="92"/>
      <c r="D341" s="93"/>
      <c r="E341" s="94"/>
      <c r="F341" s="93"/>
      <c r="K341" s="92"/>
      <c r="L341" s="93"/>
      <c r="M341" s="94"/>
      <c r="N341" s="93"/>
      <c r="O341" s="93"/>
    </row>
    <row r="342">
      <c r="C342" s="92"/>
      <c r="D342" s="93"/>
      <c r="E342" s="94"/>
      <c r="F342" s="93"/>
      <c r="K342" s="92"/>
      <c r="L342" s="93"/>
      <c r="M342" s="94"/>
      <c r="N342" s="93"/>
      <c r="O342" s="93"/>
    </row>
    <row r="343">
      <c r="C343" s="92"/>
      <c r="D343" s="93"/>
      <c r="E343" s="94"/>
      <c r="F343" s="93"/>
      <c r="K343" s="92"/>
      <c r="L343" s="93"/>
      <c r="M343" s="94"/>
      <c r="N343" s="93"/>
      <c r="O343" s="93"/>
    </row>
    <row r="344">
      <c r="C344" s="92"/>
      <c r="D344" s="93"/>
      <c r="E344" s="94"/>
      <c r="F344" s="93"/>
      <c r="K344" s="92"/>
      <c r="L344" s="93"/>
      <c r="M344" s="94"/>
      <c r="N344" s="93"/>
      <c r="O344" s="93"/>
    </row>
    <row r="345">
      <c r="C345" s="92"/>
      <c r="D345" s="93"/>
      <c r="E345" s="94"/>
      <c r="F345" s="93"/>
      <c r="K345" s="92"/>
      <c r="L345" s="93"/>
      <c r="M345" s="94"/>
      <c r="N345" s="93"/>
      <c r="O345" s="93"/>
    </row>
    <row r="346">
      <c r="C346" s="92"/>
      <c r="D346" s="93"/>
      <c r="E346" s="94"/>
      <c r="F346" s="93"/>
    </row>
    <row r="347">
      <c r="C347" s="92"/>
      <c r="D347" s="93"/>
      <c r="E347" s="94"/>
      <c r="F347" s="93"/>
    </row>
    <row r="352">
      <c r="M352" s="93"/>
      <c r="N352" s="94"/>
      <c r="O352" s="94"/>
    </row>
    <row r="353">
      <c r="C353" s="92"/>
      <c r="D353" s="93"/>
      <c r="E353" s="94"/>
      <c r="F353" s="93"/>
      <c r="M353" s="93"/>
      <c r="N353" s="94"/>
      <c r="O353" s="94"/>
    </row>
    <row r="354">
      <c r="C354" s="92"/>
      <c r="D354" s="93"/>
      <c r="E354" s="94"/>
      <c r="F354" s="93"/>
      <c r="M354" s="93"/>
      <c r="N354" s="94"/>
      <c r="O354" s="94"/>
    </row>
    <row r="355">
      <c r="C355" s="92"/>
      <c r="D355" s="93"/>
      <c r="E355" s="94"/>
      <c r="F355" s="93"/>
      <c r="M355" s="93"/>
      <c r="N355" s="94"/>
      <c r="O355" s="94"/>
    </row>
    <row r="356">
      <c r="C356" s="92"/>
      <c r="D356" s="93"/>
      <c r="E356" s="94"/>
      <c r="F356" s="93"/>
      <c r="M356" s="93"/>
      <c r="N356" s="94"/>
      <c r="O356" s="94"/>
    </row>
    <row r="357">
      <c r="C357" s="92"/>
      <c r="D357" s="93"/>
      <c r="E357" s="94"/>
      <c r="F357" s="93"/>
      <c r="M357" s="93"/>
      <c r="N357" s="94"/>
      <c r="O357" s="94"/>
    </row>
    <row r="358">
      <c r="C358" s="92"/>
      <c r="D358" s="93"/>
      <c r="E358" s="94"/>
      <c r="F358" s="93"/>
      <c r="M358" s="93"/>
      <c r="N358" s="94"/>
      <c r="O358" s="94"/>
    </row>
    <row r="359">
      <c r="C359" s="92"/>
      <c r="D359" s="93"/>
      <c r="E359" s="94"/>
      <c r="F359" s="93"/>
    </row>
    <row r="363">
      <c r="C363" s="92"/>
      <c r="D363" s="93"/>
      <c r="E363" s="94"/>
      <c r="G363" s="93"/>
      <c r="K363" s="92"/>
      <c r="L363" s="93"/>
      <c r="M363" s="94"/>
    </row>
    <row r="364">
      <c r="C364" s="92"/>
      <c r="D364" s="93"/>
      <c r="E364" s="94"/>
      <c r="G364" s="93"/>
      <c r="K364" s="92"/>
      <c r="L364" s="93"/>
      <c r="M364" s="94"/>
    </row>
    <row r="365">
      <c r="C365" s="92"/>
      <c r="D365" s="93"/>
      <c r="E365" s="94"/>
      <c r="G365" s="93"/>
      <c r="K365" s="92"/>
      <c r="L365" s="93"/>
      <c r="M365" s="94"/>
    </row>
    <row r="366">
      <c r="C366" s="92"/>
      <c r="D366" s="93"/>
      <c r="E366" s="94"/>
      <c r="G366" s="93"/>
      <c r="K366" s="92"/>
      <c r="L366" s="93"/>
      <c r="M366" s="94"/>
    </row>
    <row r="367">
      <c r="C367" s="92"/>
      <c r="D367" s="93"/>
      <c r="E367" s="94"/>
      <c r="G367" s="93"/>
      <c r="K367" s="92"/>
      <c r="L367" s="93"/>
      <c r="M367" s="94"/>
    </row>
    <row r="368">
      <c r="C368" s="92"/>
      <c r="D368" s="93"/>
      <c r="E368" s="94"/>
      <c r="G368" s="93"/>
      <c r="K368" s="92"/>
      <c r="L368" s="93"/>
      <c r="M368" s="94"/>
    </row>
    <row r="369">
      <c r="C369" s="92"/>
      <c r="D369" s="93"/>
      <c r="E369" s="94"/>
      <c r="G369" s="93"/>
      <c r="K369" s="92"/>
      <c r="L369" s="93"/>
      <c r="M369" s="94"/>
    </row>
    <row r="374">
      <c r="C374" s="92"/>
      <c r="D374" s="93"/>
      <c r="E374" s="94"/>
      <c r="F374" s="93"/>
      <c r="K374" s="92"/>
      <c r="L374" s="93"/>
      <c r="M374" s="94"/>
      <c r="N374" s="93"/>
      <c r="O374" s="93"/>
    </row>
    <row r="375">
      <c r="C375" s="92"/>
      <c r="D375" s="93"/>
      <c r="E375" s="94"/>
      <c r="F375" s="93"/>
      <c r="K375" s="92"/>
      <c r="L375" s="93"/>
      <c r="M375" s="94"/>
      <c r="N375" s="93"/>
      <c r="O375" s="93"/>
    </row>
    <row r="376">
      <c r="C376" s="92"/>
      <c r="D376" s="93"/>
      <c r="E376" s="94"/>
      <c r="F376" s="93"/>
      <c r="K376" s="92"/>
      <c r="L376" s="93"/>
      <c r="M376" s="94"/>
      <c r="N376" s="93"/>
      <c r="O376" s="93"/>
    </row>
    <row r="377">
      <c r="C377" s="92"/>
      <c r="D377" s="93"/>
      <c r="E377" s="94"/>
      <c r="F377" s="93"/>
      <c r="K377" s="92"/>
      <c r="L377" s="93"/>
      <c r="M377" s="94"/>
      <c r="N377" s="93"/>
      <c r="O377" s="93"/>
    </row>
    <row r="378">
      <c r="C378" s="92"/>
      <c r="D378" s="93"/>
      <c r="E378" s="94"/>
      <c r="F378" s="93"/>
      <c r="K378" s="92"/>
      <c r="L378" s="93"/>
      <c r="M378" s="94"/>
      <c r="N378" s="93"/>
      <c r="O378" s="93"/>
    </row>
    <row r="379">
      <c r="C379" s="92"/>
      <c r="D379" s="93"/>
      <c r="E379" s="94"/>
      <c r="F379" s="93"/>
      <c r="K379" s="92"/>
      <c r="L379" s="93"/>
      <c r="M379" s="94"/>
      <c r="N379" s="93"/>
      <c r="O379" s="93"/>
    </row>
    <row r="380">
      <c r="C380" s="92"/>
      <c r="D380" s="93"/>
      <c r="E380" s="94"/>
      <c r="F380" s="93"/>
      <c r="K380" s="92"/>
      <c r="L380" s="93"/>
      <c r="M380" s="94"/>
      <c r="N380" s="93"/>
      <c r="O380" s="93"/>
    </row>
    <row r="381">
      <c r="C381" s="95"/>
      <c r="D381" s="95"/>
    </row>
    <row r="386">
      <c r="C386" s="92"/>
      <c r="D386" s="93"/>
      <c r="E386" s="94"/>
      <c r="F386" s="96"/>
      <c r="K386" s="92"/>
      <c r="L386" s="93"/>
      <c r="M386" s="94"/>
      <c r="N386" s="97"/>
      <c r="O386" s="97"/>
    </row>
    <row r="387">
      <c r="C387" s="92"/>
      <c r="D387" s="93"/>
      <c r="E387" s="94"/>
      <c r="F387" s="96"/>
      <c r="K387" s="92"/>
      <c r="L387" s="93"/>
      <c r="M387" s="94"/>
      <c r="N387" s="97"/>
      <c r="O387" s="97"/>
    </row>
    <row r="388">
      <c r="C388" s="92"/>
      <c r="D388" s="93"/>
      <c r="E388" s="94"/>
      <c r="F388" s="96"/>
      <c r="K388" s="92"/>
      <c r="L388" s="93"/>
      <c r="M388" s="94"/>
      <c r="N388" s="97"/>
      <c r="O388" s="97"/>
    </row>
    <row r="389">
      <c r="C389" s="92"/>
      <c r="D389" s="93"/>
      <c r="E389" s="94"/>
      <c r="F389" s="96"/>
      <c r="K389" s="92"/>
      <c r="L389" s="93"/>
      <c r="M389" s="94"/>
      <c r="N389" s="97"/>
      <c r="O389" s="97"/>
    </row>
    <row r="390">
      <c r="C390" s="92"/>
      <c r="D390" s="93"/>
      <c r="E390" s="94"/>
      <c r="F390" s="96"/>
      <c r="K390" s="92"/>
      <c r="L390" s="93"/>
      <c r="M390" s="94"/>
      <c r="N390" s="97"/>
      <c r="O390" s="97"/>
    </row>
    <row r="391">
      <c r="C391" s="92"/>
      <c r="D391" s="93"/>
      <c r="E391" s="94"/>
      <c r="F391" s="96"/>
      <c r="K391" s="92"/>
      <c r="L391" s="93"/>
      <c r="M391" s="94"/>
      <c r="N391" s="97"/>
      <c r="O391" s="97"/>
    </row>
    <row r="392">
      <c r="C392" s="92"/>
      <c r="D392" s="93"/>
      <c r="E392" s="94"/>
      <c r="F392" s="96"/>
      <c r="K392" s="92"/>
      <c r="L392" s="93"/>
      <c r="M392" s="94"/>
      <c r="N392" s="97"/>
      <c r="O392" s="97"/>
    </row>
    <row r="393">
      <c r="K393" s="95"/>
      <c r="L393" s="95"/>
    </row>
    <row r="396">
      <c r="C396" s="92"/>
      <c r="D396" s="93"/>
      <c r="E396" s="94"/>
      <c r="F396" s="98"/>
      <c r="G396" s="99"/>
      <c r="H396" s="99"/>
      <c r="I396" s="99"/>
    </row>
    <row r="397">
      <c r="C397" s="92"/>
      <c r="D397" s="93"/>
      <c r="E397" s="94"/>
      <c r="F397" s="98"/>
      <c r="G397" s="99"/>
      <c r="H397" s="99"/>
      <c r="I397" s="99"/>
      <c r="K397" s="92"/>
      <c r="L397" s="93"/>
      <c r="M397" s="94"/>
      <c r="N397" s="93"/>
      <c r="O397" s="93"/>
    </row>
    <row r="398">
      <c r="C398" s="92"/>
      <c r="D398" s="93"/>
      <c r="E398" s="94"/>
      <c r="F398" s="98"/>
      <c r="G398" s="99"/>
      <c r="H398" s="99"/>
      <c r="I398" s="99"/>
      <c r="K398" s="92"/>
      <c r="L398" s="93"/>
      <c r="M398" s="94"/>
      <c r="N398" s="93"/>
      <c r="O398" s="93"/>
    </row>
    <row r="399">
      <c r="C399" s="92"/>
      <c r="D399" s="93"/>
      <c r="E399" s="94"/>
      <c r="F399" s="98"/>
      <c r="G399" s="99"/>
      <c r="H399" s="99"/>
      <c r="I399" s="99"/>
      <c r="K399" s="92"/>
      <c r="L399" s="93"/>
      <c r="M399" s="94"/>
      <c r="N399" s="93"/>
      <c r="O399" s="93"/>
    </row>
    <row r="400">
      <c r="C400" s="92"/>
      <c r="D400" s="93"/>
      <c r="E400" s="94"/>
      <c r="F400" s="98"/>
      <c r="G400" s="99"/>
      <c r="H400" s="99"/>
      <c r="I400" s="99"/>
      <c r="K400" s="92"/>
      <c r="L400" s="93"/>
      <c r="M400" s="94"/>
      <c r="N400" s="93"/>
      <c r="O400" s="93"/>
    </row>
    <row r="401">
      <c r="C401" s="92"/>
      <c r="D401" s="93"/>
      <c r="E401" s="94"/>
      <c r="F401" s="98"/>
      <c r="G401" s="99"/>
      <c r="H401" s="99"/>
      <c r="I401" s="99"/>
      <c r="K401" s="92"/>
      <c r="L401" s="93"/>
      <c r="M401" s="94"/>
      <c r="N401" s="93"/>
      <c r="O401" s="93"/>
    </row>
    <row r="402">
      <c r="C402" s="92"/>
      <c r="D402" s="93"/>
      <c r="E402" s="94"/>
      <c r="F402" s="98"/>
      <c r="G402" s="99"/>
      <c r="H402" s="99"/>
      <c r="I402" s="99"/>
      <c r="K402" s="92"/>
      <c r="L402" s="93"/>
      <c r="M402" s="94"/>
      <c r="N402" s="93"/>
      <c r="O402" s="93"/>
    </row>
    <row r="403">
      <c r="K403" s="92"/>
      <c r="L403" s="93"/>
      <c r="M403" s="94"/>
      <c r="N403" s="93"/>
      <c r="O403" s="93"/>
    </row>
    <row r="404">
      <c r="K404" s="95"/>
      <c r="L404" s="95"/>
    </row>
    <row r="406">
      <c r="C406" s="92"/>
      <c r="D406" s="93"/>
      <c r="E406" s="94"/>
      <c r="F406" s="98"/>
      <c r="G406" s="100"/>
      <c r="H406" s="100"/>
      <c r="I406" s="100"/>
      <c r="K406" s="92"/>
      <c r="L406" s="93"/>
      <c r="M406" s="94"/>
      <c r="N406" s="93"/>
      <c r="O406" s="93"/>
    </row>
    <row r="407">
      <c r="C407" s="92"/>
      <c r="D407" s="93"/>
      <c r="E407" s="94"/>
      <c r="F407" s="98"/>
      <c r="G407" s="100"/>
      <c r="H407" s="100"/>
      <c r="I407" s="100"/>
      <c r="K407" s="92"/>
      <c r="L407" s="93"/>
      <c r="M407" s="94"/>
      <c r="N407" s="93"/>
      <c r="O407" s="93"/>
    </row>
    <row r="408">
      <c r="C408" s="92"/>
      <c r="D408" s="93"/>
      <c r="E408" s="94"/>
      <c r="F408" s="98"/>
      <c r="G408" s="100"/>
      <c r="H408" s="100"/>
      <c r="I408" s="100"/>
      <c r="K408" s="92"/>
      <c r="L408" s="93"/>
      <c r="M408" s="94"/>
      <c r="N408" s="93"/>
      <c r="O408" s="93"/>
    </row>
    <row r="409">
      <c r="C409" s="92"/>
      <c r="D409" s="93"/>
      <c r="E409" s="94"/>
      <c r="F409" s="98"/>
      <c r="G409" s="100"/>
      <c r="H409" s="100"/>
      <c r="I409" s="100"/>
      <c r="K409" s="92"/>
      <c r="L409" s="93"/>
      <c r="M409" s="94"/>
      <c r="N409" s="93"/>
      <c r="O409" s="93"/>
    </row>
    <row r="410">
      <c r="C410" s="92"/>
      <c r="D410" s="93"/>
      <c r="E410" s="94"/>
      <c r="F410" s="98"/>
      <c r="G410" s="100"/>
      <c r="H410" s="100"/>
      <c r="I410" s="100"/>
      <c r="K410" s="92"/>
      <c r="L410" s="93"/>
      <c r="M410" s="94"/>
      <c r="N410" s="93"/>
      <c r="O410" s="93"/>
    </row>
    <row r="411">
      <c r="C411" s="92"/>
      <c r="D411" s="93"/>
      <c r="E411" s="94"/>
      <c r="F411" s="98"/>
      <c r="G411" s="100"/>
      <c r="H411" s="100"/>
      <c r="I411" s="100"/>
      <c r="K411" s="92"/>
      <c r="L411" s="93"/>
      <c r="M411" s="94"/>
      <c r="N411" s="93"/>
      <c r="O411" s="93"/>
    </row>
    <row r="412">
      <c r="C412" s="92"/>
      <c r="D412" s="93"/>
      <c r="E412" s="94"/>
      <c r="F412" s="98"/>
      <c r="G412" s="100"/>
      <c r="H412" s="100"/>
      <c r="I412" s="100"/>
      <c r="K412" s="92"/>
      <c r="L412" s="93"/>
      <c r="M412" s="94"/>
      <c r="N412" s="93"/>
      <c r="O412" s="93"/>
    </row>
    <row r="416">
      <c r="C416" s="92"/>
      <c r="D416" s="93"/>
      <c r="E416" s="94"/>
      <c r="F416" s="93"/>
      <c r="K416" s="92"/>
      <c r="L416" s="93"/>
      <c r="M416" s="94"/>
      <c r="N416" s="93"/>
      <c r="O416" s="93"/>
    </row>
    <row r="417">
      <c r="C417" s="92"/>
      <c r="D417" s="93"/>
      <c r="E417" s="94"/>
      <c r="F417" s="93"/>
      <c r="K417" s="92"/>
      <c r="L417" s="93"/>
      <c r="M417" s="94"/>
      <c r="N417" s="93"/>
      <c r="O417" s="93"/>
    </row>
    <row r="418">
      <c r="C418" s="92"/>
      <c r="D418" s="93"/>
      <c r="E418" s="94"/>
      <c r="F418" s="93"/>
      <c r="K418" s="92"/>
      <c r="L418" s="93"/>
      <c r="M418" s="94"/>
      <c r="N418" s="93"/>
      <c r="O418" s="93"/>
    </row>
    <row r="419">
      <c r="C419" s="92"/>
      <c r="D419" s="93"/>
      <c r="E419" s="94"/>
      <c r="F419" s="93"/>
      <c r="K419" s="92"/>
      <c r="L419" s="93"/>
      <c r="M419" s="94"/>
      <c r="N419" s="93"/>
      <c r="O419" s="93"/>
    </row>
    <row r="420">
      <c r="C420" s="92"/>
      <c r="D420" s="93"/>
      <c r="E420" s="94"/>
      <c r="F420" s="93"/>
      <c r="K420" s="92"/>
      <c r="L420" s="93"/>
      <c r="M420" s="94"/>
      <c r="N420" s="93"/>
      <c r="O420" s="93"/>
    </row>
    <row r="421">
      <c r="C421" s="92"/>
      <c r="D421" s="93"/>
      <c r="E421" s="94"/>
      <c r="F421" s="93"/>
      <c r="K421" s="92"/>
      <c r="L421" s="93"/>
      <c r="M421" s="94"/>
      <c r="N421" s="93"/>
      <c r="O421" s="93"/>
    </row>
    <row r="422">
      <c r="C422" s="92"/>
      <c r="D422" s="93"/>
      <c r="E422" s="94"/>
      <c r="F422" s="93"/>
      <c r="K422" s="92"/>
      <c r="L422" s="93"/>
      <c r="M422" s="94"/>
      <c r="N422" s="93"/>
      <c r="O422" s="93"/>
    </row>
    <row r="426">
      <c r="C426" s="92"/>
      <c r="D426" s="93"/>
      <c r="E426" s="94"/>
      <c r="F426" s="93"/>
      <c r="K426" s="92"/>
      <c r="L426" s="93"/>
      <c r="M426" s="94"/>
      <c r="N426" s="93"/>
      <c r="O426" s="93"/>
    </row>
    <row r="427">
      <c r="C427" s="92"/>
      <c r="D427" s="93"/>
      <c r="E427" s="94"/>
      <c r="F427" s="93"/>
      <c r="K427" s="92"/>
      <c r="L427" s="93"/>
      <c r="M427" s="94"/>
      <c r="N427" s="93"/>
      <c r="O427" s="93"/>
    </row>
    <row r="428">
      <c r="C428" s="92"/>
      <c r="D428" s="93"/>
      <c r="E428" s="94"/>
      <c r="F428" s="93"/>
      <c r="K428" s="92"/>
      <c r="L428" s="93"/>
      <c r="M428" s="94"/>
      <c r="N428" s="93"/>
      <c r="O428" s="93"/>
    </row>
    <row r="429">
      <c r="C429" s="92"/>
      <c r="D429" s="93"/>
      <c r="E429" s="94"/>
      <c r="F429" s="93"/>
      <c r="K429" s="92"/>
      <c r="L429" s="93"/>
      <c r="M429" s="94"/>
      <c r="N429" s="93"/>
      <c r="O429" s="93"/>
    </row>
    <row r="430">
      <c r="C430" s="92"/>
      <c r="D430" s="93"/>
      <c r="E430" s="94"/>
      <c r="F430" s="93"/>
      <c r="K430" s="92"/>
      <c r="L430" s="93"/>
      <c r="M430" s="94"/>
      <c r="N430" s="93"/>
      <c r="O430" s="93"/>
    </row>
    <row r="431">
      <c r="C431" s="92"/>
      <c r="D431" s="93"/>
      <c r="E431" s="94"/>
      <c r="F431" s="93"/>
      <c r="K431" s="92"/>
      <c r="L431" s="93"/>
      <c r="M431" s="94"/>
      <c r="N431" s="93"/>
      <c r="O431" s="93"/>
    </row>
    <row r="432">
      <c r="C432" s="92"/>
      <c r="D432" s="93"/>
      <c r="E432" s="94"/>
      <c r="F432" s="93"/>
      <c r="K432" s="92"/>
      <c r="L432" s="93"/>
      <c r="M432" s="94"/>
      <c r="N432" s="93"/>
      <c r="O432" s="93"/>
    </row>
    <row r="437">
      <c r="C437" s="92"/>
      <c r="D437" s="93"/>
      <c r="E437" s="94"/>
      <c r="F437" s="93"/>
      <c r="K437" s="92"/>
      <c r="L437" s="93"/>
      <c r="M437" s="94"/>
      <c r="N437" s="93"/>
      <c r="O437" s="93"/>
    </row>
    <row r="438">
      <c r="C438" s="92"/>
      <c r="D438" s="93"/>
      <c r="E438" s="94"/>
      <c r="F438" s="93"/>
      <c r="K438" s="92"/>
      <c r="L438" s="93"/>
      <c r="M438" s="94"/>
      <c r="N438" s="93"/>
      <c r="O438" s="93"/>
    </row>
    <row r="439">
      <c r="C439" s="92"/>
      <c r="D439" s="93"/>
      <c r="E439" s="94"/>
      <c r="F439" s="93"/>
      <c r="K439" s="92"/>
      <c r="L439" s="93"/>
      <c r="M439" s="94"/>
      <c r="N439" s="93"/>
      <c r="O439" s="93"/>
    </row>
    <row r="440">
      <c r="C440" s="92"/>
      <c r="D440" s="93"/>
      <c r="E440" s="94"/>
      <c r="F440" s="93"/>
      <c r="K440" s="92"/>
      <c r="L440" s="93"/>
      <c r="M440" s="94"/>
      <c r="N440" s="93"/>
      <c r="O440" s="93"/>
    </row>
    <row r="441">
      <c r="C441" s="92"/>
      <c r="D441" s="93"/>
      <c r="E441" s="94"/>
      <c r="F441" s="93"/>
      <c r="K441" s="92"/>
      <c r="L441" s="93"/>
      <c r="M441" s="94"/>
      <c r="N441" s="93"/>
      <c r="O441" s="93"/>
    </row>
    <row r="442">
      <c r="C442" s="92"/>
      <c r="D442" s="93"/>
      <c r="E442" s="94"/>
      <c r="F442" s="93"/>
      <c r="K442" s="92"/>
      <c r="L442" s="93"/>
      <c r="M442" s="94"/>
      <c r="N442" s="93"/>
      <c r="O442" s="93"/>
    </row>
    <row r="443">
      <c r="C443" s="92"/>
      <c r="D443" s="93"/>
      <c r="E443" s="94"/>
      <c r="F443" s="93"/>
      <c r="K443" s="92"/>
      <c r="L443" s="93"/>
      <c r="M443" s="94"/>
      <c r="N443" s="93"/>
      <c r="O443" s="93"/>
    </row>
    <row r="447">
      <c r="C447" s="92"/>
      <c r="D447" s="93"/>
      <c r="E447" s="94"/>
      <c r="F447" s="93"/>
      <c r="K447" s="92"/>
      <c r="L447" s="93"/>
      <c r="M447" s="94"/>
      <c r="N447" s="93"/>
      <c r="O447" s="93"/>
    </row>
    <row r="448">
      <c r="C448" s="92"/>
      <c r="D448" s="93"/>
      <c r="E448" s="94"/>
      <c r="F448" s="93"/>
      <c r="K448" s="92"/>
      <c r="L448" s="93"/>
      <c r="M448" s="94"/>
      <c r="N448" s="93"/>
      <c r="O448" s="93"/>
    </row>
    <row r="449">
      <c r="C449" s="92"/>
      <c r="D449" s="93"/>
      <c r="E449" s="94"/>
      <c r="F449" s="93"/>
      <c r="K449" s="92"/>
      <c r="L449" s="93"/>
      <c r="M449" s="94"/>
      <c r="N449" s="93"/>
      <c r="O449" s="93"/>
    </row>
    <row r="450">
      <c r="C450" s="92"/>
      <c r="D450" s="93"/>
      <c r="E450" s="94"/>
      <c r="F450" s="93"/>
      <c r="K450" s="92"/>
      <c r="L450" s="93"/>
      <c r="M450" s="94"/>
      <c r="N450" s="93"/>
      <c r="O450" s="93"/>
    </row>
    <row r="451">
      <c r="C451" s="92"/>
      <c r="D451" s="93"/>
      <c r="E451" s="94"/>
      <c r="F451" s="93"/>
      <c r="K451" s="92"/>
      <c r="L451" s="93"/>
      <c r="M451" s="94"/>
      <c r="N451" s="93"/>
      <c r="O451" s="93"/>
    </row>
    <row r="452">
      <c r="C452" s="92"/>
      <c r="D452" s="93"/>
      <c r="E452" s="94"/>
      <c r="F452" s="93"/>
      <c r="K452" s="92"/>
      <c r="L452" s="93"/>
      <c r="M452" s="94"/>
      <c r="N452" s="93"/>
      <c r="O452" s="93"/>
    </row>
    <row r="453">
      <c r="C453" s="92"/>
      <c r="D453" s="93"/>
      <c r="E453" s="94"/>
      <c r="F453" s="93"/>
      <c r="K453" s="92"/>
      <c r="L453" s="93"/>
      <c r="M453" s="94"/>
      <c r="N453" s="93"/>
      <c r="O453" s="93"/>
    </row>
    <row r="457">
      <c r="C457" s="92"/>
      <c r="D457" s="93"/>
      <c r="E457" s="94"/>
      <c r="F457" s="93"/>
      <c r="K457" s="92"/>
      <c r="L457" s="93"/>
      <c r="M457" s="94"/>
      <c r="N457" s="93"/>
      <c r="O457" s="93"/>
    </row>
    <row r="458">
      <c r="C458" s="92"/>
      <c r="D458" s="93"/>
      <c r="E458" s="94"/>
      <c r="F458" s="93"/>
      <c r="K458" s="92"/>
      <c r="L458" s="93"/>
      <c r="M458" s="94"/>
      <c r="N458" s="93"/>
      <c r="O458" s="93"/>
    </row>
    <row r="459">
      <c r="C459" s="92"/>
      <c r="D459" s="93"/>
      <c r="E459" s="94"/>
      <c r="F459" s="93"/>
      <c r="K459" s="92"/>
      <c r="L459" s="93"/>
      <c r="M459" s="94"/>
      <c r="N459" s="93"/>
      <c r="O459" s="93"/>
    </row>
    <row r="460">
      <c r="C460" s="92"/>
      <c r="D460" s="93"/>
      <c r="E460" s="94"/>
      <c r="F460" s="93"/>
      <c r="K460" s="92"/>
      <c r="L460" s="93"/>
      <c r="M460" s="94"/>
      <c r="N460" s="93"/>
      <c r="O460" s="93"/>
    </row>
    <row r="461">
      <c r="C461" s="92"/>
      <c r="D461" s="93"/>
      <c r="E461" s="94"/>
      <c r="F461" s="93"/>
      <c r="K461" s="92"/>
      <c r="L461" s="93"/>
      <c r="M461" s="94"/>
      <c r="N461" s="93"/>
      <c r="O461" s="93"/>
    </row>
    <row r="462">
      <c r="C462" s="92"/>
      <c r="D462" s="93"/>
      <c r="E462" s="94"/>
      <c r="F462" s="93"/>
      <c r="K462" s="92"/>
      <c r="L462" s="93"/>
      <c r="M462" s="94"/>
      <c r="N462" s="93"/>
      <c r="O462" s="93"/>
    </row>
    <row r="463">
      <c r="C463" s="92"/>
      <c r="D463" s="93"/>
      <c r="E463" s="94"/>
      <c r="F463" s="93"/>
      <c r="K463" s="92"/>
      <c r="L463" s="93"/>
      <c r="M463" s="94"/>
      <c r="N463" s="93"/>
      <c r="O463" s="93"/>
    </row>
    <row r="467">
      <c r="C467" s="92"/>
      <c r="D467" s="93"/>
      <c r="E467" s="94"/>
      <c r="F467" s="93"/>
    </row>
    <row r="468">
      <c r="C468" s="92"/>
      <c r="D468" s="93"/>
      <c r="E468" s="94"/>
      <c r="F468" s="93"/>
      <c r="K468" s="92"/>
      <c r="L468" s="93"/>
      <c r="M468" s="94"/>
      <c r="N468" s="93"/>
      <c r="O468" s="93"/>
    </row>
    <row r="469">
      <c r="C469" s="92"/>
      <c r="D469" s="93"/>
      <c r="E469" s="94"/>
      <c r="F469" s="93"/>
      <c r="K469" s="92"/>
      <c r="L469" s="93"/>
      <c r="M469" s="94"/>
      <c r="N469" s="93"/>
      <c r="O469" s="93"/>
    </row>
    <row r="470">
      <c r="C470" s="92"/>
      <c r="D470" s="93"/>
      <c r="E470" s="94"/>
      <c r="F470" s="93"/>
      <c r="K470" s="92"/>
      <c r="L470" s="93"/>
      <c r="M470" s="94"/>
      <c r="N470" s="93"/>
      <c r="O470" s="93"/>
    </row>
    <row r="471">
      <c r="C471" s="92"/>
      <c r="D471" s="93"/>
      <c r="E471" s="94"/>
      <c r="F471" s="93"/>
      <c r="K471" s="92"/>
      <c r="L471" s="93"/>
      <c r="M471" s="94"/>
      <c r="N471" s="93"/>
      <c r="O471" s="93"/>
    </row>
    <row r="472">
      <c r="C472" s="92"/>
      <c r="D472" s="93"/>
      <c r="E472" s="94"/>
      <c r="F472" s="93"/>
      <c r="K472" s="92"/>
      <c r="L472" s="93"/>
      <c r="M472" s="94"/>
      <c r="N472" s="93"/>
      <c r="O472" s="93"/>
    </row>
    <row r="473">
      <c r="C473" s="92"/>
      <c r="D473" s="93"/>
      <c r="E473" s="94"/>
      <c r="F473" s="93"/>
      <c r="K473" s="92"/>
      <c r="L473" s="93"/>
      <c r="M473" s="94"/>
      <c r="N473" s="93"/>
      <c r="O473" s="93"/>
    </row>
    <row r="474">
      <c r="K474" s="92"/>
      <c r="L474" s="93"/>
      <c r="M474" s="94"/>
      <c r="N474" s="93"/>
      <c r="O474" s="93"/>
    </row>
    <row r="475">
      <c r="K475" s="95"/>
      <c r="L475" s="95"/>
    </row>
    <row r="478">
      <c r="K478" s="92"/>
      <c r="L478" s="93"/>
      <c r="M478" s="94"/>
      <c r="N478" s="93"/>
      <c r="O478" s="93"/>
    </row>
    <row r="479">
      <c r="C479" s="92"/>
      <c r="D479" s="93"/>
      <c r="E479" s="94"/>
      <c r="F479" s="93"/>
      <c r="K479" s="92"/>
      <c r="L479" s="93"/>
      <c r="M479" s="94"/>
      <c r="N479" s="93"/>
      <c r="O479" s="93"/>
    </row>
    <row r="480">
      <c r="C480" s="92"/>
      <c r="D480" s="93"/>
      <c r="E480" s="94"/>
      <c r="F480" s="93"/>
      <c r="K480" s="92"/>
      <c r="L480" s="93"/>
      <c r="M480" s="94"/>
      <c r="N480" s="93"/>
      <c r="O480" s="93"/>
    </row>
    <row r="481">
      <c r="C481" s="92"/>
      <c r="D481" s="93"/>
      <c r="E481" s="94"/>
      <c r="F481" s="93"/>
      <c r="K481" s="92"/>
      <c r="L481" s="93"/>
      <c r="M481" s="94"/>
      <c r="N481" s="93"/>
      <c r="O481" s="93"/>
    </row>
    <row r="482">
      <c r="C482" s="92"/>
      <c r="D482" s="93"/>
      <c r="E482" s="94"/>
      <c r="F482" s="93"/>
      <c r="K482" s="92"/>
      <c r="L482" s="93"/>
      <c r="M482" s="94"/>
      <c r="N482" s="93"/>
      <c r="O482" s="93"/>
    </row>
    <row r="483">
      <c r="C483" s="92"/>
      <c r="D483" s="93"/>
      <c r="E483" s="94"/>
      <c r="F483" s="93"/>
      <c r="K483" s="92"/>
      <c r="L483" s="93"/>
      <c r="M483" s="94"/>
      <c r="N483" s="93"/>
      <c r="O483" s="93"/>
    </row>
    <row r="484">
      <c r="C484" s="92"/>
      <c r="D484" s="93"/>
      <c r="E484" s="94"/>
      <c r="F484" s="93"/>
      <c r="K484" s="92"/>
      <c r="L484" s="93"/>
      <c r="M484" s="94"/>
      <c r="N484" s="93"/>
      <c r="O484" s="93"/>
    </row>
    <row r="485">
      <c r="C485" s="92"/>
      <c r="D485" s="93"/>
      <c r="E485" s="94"/>
      <c r="F485" s="93"/>
    </row>
    <row r="486">
      <c r="C486" s="95"/>
      <c r="D486" s="95"/>
    </row>
    <row r="489">
      <c r="C489" s="92"/>
      <c r="D489" s="93"/>
      <c r="E489" s="94"/>
    </row>
    <row r="490">
      <c r="C490" s="92"/>
      <c r="D490" s="93"/>
      <c r="E490" s="94"/>
      <c r="K490" s="92"/>
      <c r="L490" s="93"/>
      <c r="M490" s="94"/>
    </row>
    <row r="491">
      <c r="C491" s="92"/>
      <c r="D491" s="93"/>
      <c r="E491" s="94"/>
      <c r="K491" s="92"/>
      <c r="L491" s="93"/>
      <c r="M491" s="94"/>
    </row>
    <row r="492">
      <c r="C492" s="92"/>
      <c r="D492" s="93"/>
      <c r="E492" s="94"/>
      <c r="K492" s="92"/>
      <c r="L492" s="93"/>
      <c r="M492" s="94"/>
    </row>
    <row r="493">
      <c r="C493" s="92"/>
      <c r="D493" s="93"/>
      <c r="E493" s="94"/>
      <c r="K493" s="92"/>
      <c r="L493" s="93"/>
      <c r="M493" s="94"/>
    </row>
    <row r="494">
      <c r="C494" s="92"/>
      <c r="D494" s="93"/>
      <c r="E494" s="94"/>
      <c r="K494" s="92"/>
      <c r="L494" s="93"/>
      <c r="M494" s="94"/>
    </row>
    <row r="495">
      <c r="C495" s="92"/>
      <c r="D495" s="93"/>
      <c r="E495" s="94"/>
      <c r="K495" s="92"/>
      <c r="L495" s="93"/>
      <c r="M495" s="94"/>
    </row>
    <row r="496">
      <c r="K496" s="92"/>
      <c r="L496" s="93"/>
      <c r="M496" s="94"/>
    </row>
    <row r="498">
      <c r="E498" s="93"/>
    </row>
    <row r="499">
      <c r="E499" s="93"/>
    </row>
    <row r="500">
      <c r="E500" s="93"/>
    </row>
    <row r="501">
      <c r="E501" s="93"/>
    </row>
    <row r="502">
      <c r="E502" s="93"/>
    </row>
    <row r="503">
      <c r="E503" s="93"/>
    </row>
    <row r="504">
      <c r="E504" s="93"/>
    </row>
  </sheetData>
  <mergeCells count="9">
    <mergeCell ref="E301:G301"/>
    <mergeCell ref="K301:P301"/>
    <mergeCell ref="D1:G1"/>
    <mergeCell ref="I1:J1"/>
    <mergeCell ref="E2:G2"/>
    <mergeCell ref="K2:L2"/>
    <mergeCell ref="M2:P2"/>
    <mergeCell ref="L3:M3"/>
    <mergeCell ref="O3:P3"/>
  </mergeCells>
  <hyperlinks>
    <hyperlink r:id="rId1" ref="M2"/>
    <hyperlink r:id="rId2" ref="D301"/>
    <hyperlink r:id="rId3" ref="E301"/>
    <hyperlink r:id="rId4" ref="H301"/>
    <hyperlink r:id="rId5" ref="I301"/>
    <hyperlink r:id="rId6" ref="J301"/>
    <hyperlink r:id="rId7" ref="K301"/>
    <hyperlink r:id="rId8" ref="H302"/>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9.13"/>
    <col customWidth="1" min="3" max="3" width="8.13"/>
    <col customWidth="1" min="4" max="4" width="8.88"/>
    <col customWidth="1" min="5" max="7" width="12.5"/>
    <col customWidth="1" min="8" max="8" width="16.5"/>
    <col customWidth="1" min="9" max="9" width="11.5"/>
    <col customWidth="1" min="10" max="10" width="11.0"/>
    <col customWidth="1" min="11" max="11" width="14.0"/>
    <col customWidth="1" min="12" max="12" width="12.5"/>
    <col customWidth="1" min="13" max="13" width="14.0"/>
    <col customWidth="1" min="14" max="14" width="13.5"/>
    <col customWidth="1" min="15" max="15" width="14.75"/>
    <col customWidth="1" min="16" max="16" width="14.25"/>
  </cols>
  <sheetData>
    <row r="1">
      <c r="A1" s="1"/>
      <c r="B1" s="1"/>
      <c r="C1" s="2"/>
      <c r="D1" s="3" t="s">
        <v>0</v>
      </c>
      <c r="E1" s="4"/>
      <c r="F1" s="4"/>
      <c r="G1" s="5"/>
      <c r="H1" s="6" t="s">
        <v>1</v>
      </c>
      <c r="I1" s="7" t="s">
        <v>2</v>
      </c>
      <c r="J1" s="5"/>
      <c r="K1" s="8"/>
      <c r="L1" s="8"/>
      <c r="M1" s="9"/>
      <c r="N1" s="9"/>
      <c r="O1" s="9"/>
      <c r="P1" s="10"/>
      <c r="Q1" s="11"/>
      <c r="R1" s="11"/>
      <c r="S1" s="12"/>
      <c r="T1" s="11"/>
      <c r="U1" s="11"/>
      <c r="V1" s="11"/>
      <c r="W1" s="11"/>
      <c r="X1" s="11"/>
      <c r="Y1" s="11"/>
      <c r="Z1" s="11"/>
      <c r="AA1" s="11"/>
      <c r="AB1" s="11"/>
      <c r="AC1" s="11"/>
      <c r="AD1" s="11"/>
      <c r="AE1" s="11"/>
      <c r="AF1" s="11"/>
      <c r="AG1" s="11"/>
    </row>
    <row r="2">
      <c r="A2" s="13" t="s">
        <v>3</v>
      </c>
      <c r="B2" s="13" t="s">
        <v>4</v>
      </c>
      <c r="C2" s="14" t="s">
        <v>5</v>
      </c>
      <c r="D2" s="14" t="s">
        <v>6</v>
      </c>
      <c r="E2" s="15" t="s">
        <v>7</v>
      </c>
      <c r="F2" s="4"/>
      <c r="G2" s="5"/>
      <c r="H2" s="16" t="s">
        <v>8</v>
      </c>
      <c r="I2" s="17" t="s">
        <v>9</v>
      </c>
      <c r="J2" s="17" t="s">
        <v>10</v>
      </c>
      <c r="K2" s="18" t="s">
        <v>11</v>
      </c>
      <c r="L2" s="5"/>
      <c r="M2" s="19" t="s">
        <v>132</v>
      </c>
      <c r="N2" s="4"/>
      <c r="O2" s="4"/>
      <c r="P2" s="5"/>
      <c r="Q2" s="20"/>
      <c r="R2" s="20"/>
      <c r="S2" s="20"/>
      <c r="T2" s="20"/>
      <c r="U2" s="20"/>
      <c r="V2" s="20"/>
      <c r="W2" s="20"/>
      <c r="X2" s="20"/>
      <c r="Y2" s="20"/>
      <c r="Z2" s="20"/>
      <c r="AA2" s="20"/>
      <c r="AB2" s="21"/>
      <c r="AC2" s="21"/>
      <c r="AD2" s="21"/>
      <c r="AE2" s="21"/>
      <c r="AF2" s="21"/>
      <c r="AG2" s="21"/>
    </row>
    <row r="3">
      <c r="A3" s="22"/>
      <c r="B3" s="22"/>
      <c r="C3" s="23"/>
      <c r="D3" s="23"/>
      <c r="E3" s="24"/>
      <c r="F3" s="25"/>
      <c r="G3" s="25"/>
      <c r="H3" s="22"/>
      <c r="I3" s="26"/>
      <c r="J3" s="22"/>
      <c r="K3" s="22"/>
      <c r="L3" s="27" t="s">
        <v>13</v>
      </c>
      <c r="M3" s="5"/>
      <c r="N3" s="22"/>
      <c r="O3" s="27" t="s">
        <v>14</v>
      </c>
      <c r="P3" s="5"/>
      <c r="Q3" s="11"/>
      <c r="R3" s="11"/>
      <c r="S3" s="11"/>
      <c r="T3" s="11"/>
      <c r="U3" s="11"/>
      <c r="V3" s="11"/>
      <c r="W3" s="11"/>
      <c r="X3" s="11"/>
      <c r="Y3" s="11"/>
      <c r="Z3" s="11"/>
      <c r="AA3" s="11"/>
      <c r="AB3" s="11"/>
    </row>
    <row r="4">
      <c r="A4" s="22"/>
      <c r="B4" s="22"/>
      <c r="C4" s="23"/>
      <c r="D4" s="23"/>
      <c r="E4" s="183" t="s">
        <v>15</v>
      </c>
      <c r="F4" s="183" t="s">
        <v>16</v>
      </c>
      <c r="G4" s="183" t="s">
        <v>17</v>
      </c>
      <c r="H4" s="22" t="s">
        <v>18</v>
      </c>
      <c r="I4" s="26"/>
      <c r="J4" s="22"/>
      <c r="K4" s="22" t="s">
        <v>19</v>
      </c>
      <c r="L4" s="22" t="s">
        <v>15</v>
      </c>
      <c r="M4" s="22" t="s">
        <v>16</v>
      </c>
      <c r="N4" s="22" t="s">
        <v>20</v>
      </c>
      <c r="O4" s="22" t="s">
        <v>15</v>
      </c>
      <c r="P4" s="22" t="s">
        <v>16</v>
      </c>
      <c r="Q4" s="11"/>
      <c r="R4" s="11"/>
      <c r="S4" s="11"/>
      <c r="T4" s="11"/>
      <c r="U4" s="11"/>
      <c r="V4" s="11"/>
      <c r="W4" s="11"/>
      <c r="X4" s="11"/>
      <c r="Y4" s="11"/>
      <c r="Z4" s="11"/>
      <c r="AA4" s="11"/>
      <c r="AB4" s="11"/>
    </row>
    <row r="5">
      <c r="A5" s="28" t="s">
        <v>21</v>
      </c>
      <c r="B5" s="29">
        <v>2015.0</v>
      </c>
      <c r="C5" s="29">
        <v>1.0</v>
      </c>
      <c r="D5" s="29">
        <v>2.0</v>
      </c>
      <c r="E5" s="184">
        <v>15.0</v>
      </c>
      <c r="F5" s="185">
        <v>47.0</v>
      </c>
      <c r="G5" s="185">
        <v>26.87</v>
      </c>
      <c r="H5" s="33">
        <v>28.6</v>
      </c>
      <c r="I5" s="34">
        <v>57.75</v>
      </c>
      <c r="J5" s="35">
        <v>0.627</v>
      </c>
      <c r="K5" s="36">
        <v>3.3951434778E7</v>
      </c>
      <c r="L5" s="37">
        <v>541266.571</v>
      </c>
      <c r="M5" s="38">
        <v>2503357.892</v>
      </c>
      <c r="N5" s="39">
        <v>1.6996096402E7</v>
      </c>
      <c r="O5" s="39">
        <v>169960.964</v>
      </c>
      <c r="P5" s="39">
        <v>2243484.725</v>
      </c>
      <c r="Q5" s="40"/>
    </row>
    <row r="6">
      <c r="A6" s="41"/>
      <c r="B6" s="29">
        <v>2016.0</v>
      </c>
      <c r="C6" s="29">
        <v>1.0</v>
      </c>
      <c r="D6" s="29">
        <v>2.0</v>
      </c>
      <c r="E6" s="185">
        <v>13.0</v>
      </c>
      <c r="F6" s="185">
        <v>46.0</v>
      </c>
      <c r="G6" s="185">
        <v>26.92</v>
      </c>
      <c r="H6" s="33">
        <v>28.9</v>
      </c>
      <c r="I6" s="34">
        <v>60.16</v>
      </c>
      <c r="J6" s="35">
        <v>0.633</v>
      </c>
      <c r="K6" s="36">
        <v>3.4257976286E7</v>
      </c>
      <c r="L6" s="42">
        <v>546153.572</v>
      </c>
      <c r="M6" s="38">
        <v>2525960.268</v>
      </c>
      <c r="N6" s="39">
        <v>1.7149551154E7</v>
      </c>
      <c r="O6" s="39">
        <v>171495.512</v>
      </c>
      <c r="P6" s="39">
        <v>2263740.752</v>
      </c>
      <c r="Q6" s="40"/>
    </row>
    <row r="7">
      <c r="A7" s="41"/>
      <c r="B7" s="29">
        <v>2017.0</v>
      </c>
      <c r="C7" s="29">
        <v>1.0</v>
      </c>
      <c r="D7" s="29">
        <v>1.0</v>
      </c>
      <c r="E7" s="185">
        <v>15.0</v>
      </c>
      <c r="F7" s="185">
        <v>46.0</v>
      </c>
      <c r="G7" s="185">
        <v>27.46</v>
      </c>
      <c r="H7" s="33">
        <v>31.9</v>
      </c>
      <c r="I7" s="34">
        <v>65.13</v>
      </c>
      <c r="J7" s="35">
        <v>0.644</v>
      </c>
      <c r="K7" s="36">
        <v>3.4561099095E7</v>
      </c>
      <c r="L7" s="42">
        <v>550986.07</v>
      </c>
      <c r="M7" s="38">
        <v>2548310.572</v>
      </c>
      <c r="N7" s="39">
        <v>1.7301294505E7</v>
      </c>
      <c r="O7" s="39">
        <v>173012.945</v>
      </c>
      <c r="P7" s="39">
        <v>2283770.875</v>
      </c>
      <c r="Q7" s="40"/>
    </row>
    <row r="8">
      <c r="A8" s="41"/>
      <c r="B8" s="29">
        <v>2018.0</v>
      </c>
      <c r="C8" s="29">
        <v>0.0</v>
      </c>
      <c r="D8" s="29">
        <v>0.0</v>
      </c>
      <c r="E8" s="185">
        <v>15.0</v>
      </c>
      <c r="F8" s="185">
        <v>45.0</v>
      </c>
      <c r="G8" s="185">
        <v>40.96</v>
      </c>
      <c r="H8" s="33">
        <v>31.8</v>
      </c>
      <c r="I8" s="34">
        <v>64.17</v>
      </c>
      <c r="J8" s="35">
        <v>0.646</v>
      </c>
      <c r="K8" s="36">
        <v>3.4860787745E7</v>
      </c>
      <c r="L8" s="42">
        <v>555763.819</v>
      </c>
      <c r="M8" s="38">
        <v>2570407.663</v>
      </c>
      <c r="N8" s="39">
        <v>1.7451318715E7</v>
      </c>
      <c r="O8" s="39">
        <v>174513.187</v>
      </c>
      <c r="P8" s="39">
        <v>2303574.07</v>
      </c>
      <c r="Q8" s="40"/>
    </row>
    <row r="9">
      <c r="A9" s="41"/>
      <c r="B9" s="29">
        <v>2019.0</v>
      </c>
      <c r="C9" s="29">
        <v>1.0</v>
      </c>
      <c r="D9" s="29">
        <v>1.0</v>
      </c>
      <c r="E9" s="185">
        <v>18.0</v>
      </c>
      <c r="F9" s="185">
        <v>47.0</v>
      </c>
      <c r="G9" s="185">
        <v>28.25</v>
      </c>
      <c r="H9" s="33">
        <v>29.0</v>
      </c>
      <c r="I9" s="34">
        <v>68.88</v>
      </c>
      <c r="J9" s="35">
        <v>0.649</v>
      </c>
      <c r="K9" s="36">
        <v>3.5157029867E7</v>
      </c>
      <c r="L9" s="42">
        <v>560486.623</v>
      </c>
      <c r="M9" s="38">
        <v>2592250.63</v>
      </c>
      <c r="N9" s="39">
        <v>1.7599617593E7</v>
      </c>
      <c r="O9" s="39">
        <v>175996.176</v>
      </c>
      <c r="P9" s="39">
        <v>2323149.522</v>
      </c>
      <c r="Q9" s="40"/>
    </row>
    <row r="10">
      <c r="A10" s="41"/>
      <c r="B10" s="29">
        <v>2020.0</v>
      </c>
      <c r="C10" s="29">
        <v>1.0</v>
      </c>
      <c r="D10" s="29">
        <v>4.0</v>
      </c>
      <c r="E10" s="185">
        <v>16.0</v>
      </c>
      <c r="F10" s="185">
        <v>47.0</v>
      </c>
      <c r="G10" s="185">
        <v>26.29</v>
      </c>
      <c r="H10" s="33">
        <v>29.4</v>
      </c>
      <c r="I10" s="45">
        <v>69.95</v>
      </c>
      <c r="J10" s="35">
        <f>J9+((J9-J8)+(J8-J7)+(J7-J6)+(J6-J5))/4</f>
        <v>0.6545</v>
      </c>
      <c r="K10" s="36">
        <v>3.5449813867E7</v>
      </c>
      <c r="L10" s="42">
        <v>565154.296</v>
      </c>
      <c r="M10" s="38">
        <v>2613838.617</v>
      </c>
      <c r="N10" s="39">
        <v>1.7746185333E7</v>
      </c>
      <c r="O10" s="39">
        <v>177461.853</v>
      </c>
      <c r="P10" s="39">
        <v>2342496.464</v>
      </c>
      <c r="Q10" s="40"/>
    </row>
    <row r="11">
      <c r="A11" s="41"/>
      <c r="B11" s="29">
        <v>2021.0</v>
      </c>
      <c r="C11" s="29">
        <v>1.0</v>
      </c>
      <c r="D11" s="29">
        <v>1.0</v>
      </c>
      <c r="E11" s="185">
        <v>15.0</v>
      </c>
      <c r="F11" s="185">
        <v>47.0</v>
      </c>
      <c r="G11" s="185">
        <v>27.21</v>
      </c>
      <c r="H11" s="46">
        <f>MEDIAN(H5:H10)</f>
        <v>29.2</v>
      </c>
      <c r="I11" s="45">
        <f t="shared" ref="I11:I12" si="1">I10+1.07</f>
        <v>71.02</v>
      </c>
      <c r="J11" s="35">
        <f>(((J10-J9)+(J9-J8)+(J8-J7)+(J7-J6)+(J6-J5))/5)+J10</f>
        <v>0.66</v>
      </c>
      <c r="K11" s="36">
        <v>3.5739131627E7</v>
      </c>
      <c r="L11" s="42">
        <v>569766.708</v>
      </c>
      <c r="M11" s="38">
        <v>2635171.026</v>
      </c>
      <c r="N11" s="39">
        <v>1.7891017873E7</v>
      </c>
      <c r="O11" s="39">
        <v>178910.179</v>
      </c>
      <c r="P11" s="39">
        <v>2361614.359</v>
      </c>
      <c r="Q11" s="40"/>
    </row>
    <row r="12">
      <c r="A12" s="41"/>
      <c r="B12" s="29">
        <v>2022.0</v>
      </c>
      <c r="C12" s="29">
        <v>1.0</v>
      </c>
      <c r="D12" s="29">
        <v>1.0</v>
      </c>
      <c r="E12" s="185">
        <v>16.0</v>
      </c>
      <c r="F12" s="185">
        <v>46.0</v>
      </c>
      <c r="G12" s="185">
        <v>27.98</v>
      </c>
      <c r="H12" s="47">
        <v>37.0</v>
      </c>
      <c r="I12" s="48">
        <f t="shared" si="1"/>
        <v>72.09</v>
      </c>
      <c r="J12" s="35">
        <f>(((J11-J10)+(J10-J9)+(J9-J8)+(J8-J7)+(J7-J6)+(J6-J5))/6)+J11</f>
        <v>0.6655</v>
      </c>
      <c r="K12" s="42">
        <v>3.626255584E7</v>
      </c>
      <c r="L12" s="42">
        <v>578111.334</v>
      </c>
      <c r="M12" s="38">
        <v>2673764.922</v>
      </c>
      <c r="N12" s="49">
        <v>1.815304416E7</v>
      </c>
      <c r="O12" s="49">
        <v>181530.442</v>
      </c>
      <c r="P12" s="49">
        <v>2396201.829</v>
      </c>
      <c r="Q12" s="40"/>
    </row>
    <row r="13">
      <c r="A13" s="41"/>
      <c r="B13" s="22"/>
      <c r="C13" s="41"/>
      <c r="D13" s="41"/>
      <c r="E13" s="186"/>
      <c r="F13" s="186"/>
      <c r="G13" s="187"/>
      <c r="H13" s="59"/>
      <c r="I13" s="52"/>
      <c r="J13" s="53"/>
      <c r="K13" s="54"/>
      <c r="L13" s="41"/>
      <c r="M13" s="41"/>
      <c r="N13" s="54"/>
      <c r="O13" s="41"/>
      <c r="P13" s="41"/>
    </row>
    <row r="14">
      <c r="A14" s="28" t="s">
        <v>22</v>
      </c>
      <c r="B14" s="29">
        <v>2015.0</v>
      </c>
      <c r="C14" s="29">
        <v>0.0</v>
      </c>
      <c r="D14" s="29">
        <v>0.0</v>
      </c>
      <c r="E14" s="185">
        <v>5.0</v>
      </c>
      <c r="F14" s="185">
        <v>38.0</v>
      </c>
      <c r="G14" s="185">
        <v>23.58</v>
      </c>
      <c r="H14" s="33">
        <v>12.4</v>
      </c>
      <c r="I14" s="34">
        <v>50.6</v>
      </c>
      <c r="J14" s="55">
        <v>0.66</v>
      </c>
      <c r="K14" s="56">
        <v>1177643.25</v>
      </c>
      <c r="L14" s="55">
        <v>18842.291993600003</v>
      </c>
      <c r="M14" s="55">
        <v>87145.60047</v>
      </c>
      <c r="N14" s="56">
        <v>350572.75</v>
      </c>
      <c r="O14" s="53">
        <v>3505.727504</v>
      </c>
      <c r="P14" s="53">
        <v>46275.6030528</v>
      </c>
    </row>
    <row r="15">
      <c r="A15" s="41"/>
      <c r="B15" s="29">
        <v>2016.0</v>
      </c>
      <c r="C15" s="29">
        <v>1.0</v>
      </c>
      <c r="D15" s="29">
        <v>1.0</v>
      </c>
      <c r="E15" s="185">
        <v>8.0</v>
      </c>
      <c r="F15" s="185">
        <v>38.0</v>
      </c>
      <c r="G15" s="185">
        <v>24.38</v>
      </c>
      <c r="H15" s="33">
        <v>13.0</v>
      </c>
      <c r="I15" s="34">
        <v>49.51</v>
      </c>
      <c r="J15" s="55">
        <v>0.644</v>
      </c>
      <c r="K15" s="56">
        <v>1205784.791</v>
      </c>
      <c r="L15" s="55">
        <v>19292.556656000004</v>
      </c>
      <c r="M15" s="55">
        <v>89228.07453</v>
      </c>
      <c r="N15" s="56">
        <v>358950.209</v>
      </c>
      <c r="O15" s="53">
        <v>3589.50209</v>
      </c>
      <c r="P15" s="53">
        <v>47381.42758799999</v>
      </c>
    </row>
    <row r="16">
      <c r="A16" s="41"/>
      <c r="B16" s="29">
        <v>2017.0</v>
      </c>
      <c r="C16" s="29">
        <v>1.0</v>
      </c>
      <c r="D16" s="29">
        <v>1.0</v>
      </c>
      <c r="E16" s="185">
        <v>6.0</v>
      </c>
      <c r="F16" s="185">
        <v>39.0</v>
      </c>
      <c r="G16" s="185">
        <v>25.75</v>
      </c>
      <c r="H16" s="33">
        <v>12.9</v>
      </c>
      <c r="I16" s="34">
        <v>46.07</v>
      </c>
      <c r="J16" s="55">
        <v>0.655</v>
      </c>
      <c r="K16" s="56">
        <v>1234023.428</v>
      </c>
      <c r="L16" s="55">
        <v>19744.374848000003</v>
      </c>
      <c r="M16" s="55">
        <v>91317.73367</v>
      </c>
      <c r="N16" s="56">
        <v>367356.572</v>
      </c>
      <c r="O16" s="53">
        <v>3673.5657200000005</v>
      </c>
      <c r="P16" s="53">
        <v>48491.067504</v>
      </c>
    </row>
    <row r="17">
      <c r="A17" s="41"/>
      <c r="B17" s="29">
        <v>2018.0</v>
      </c>
      <c r="C17" s="29">
        <v>0.0</v>
      </c>
      <c r="D17" s="29">
        <v>0.0</v>
      </c>
      <c r="E17" s="185">
        <v>9.0</v>
      </c>
      <c r="F17" s="185">
        <v>37.0</v>
      </c>
      <c r="G17" s="185">
        <v>25.04</v>
      </c>
      <c r="H17" s="33">
        <v>13.5</v>
      </c>
      <c r="I17" s="34">
        <v>43.29</v>
      </c>
      <c r="J17" s="55">
        <v>0.657</v>
      </c>
      <c r="K17" s="56">
        <v>1262344.519</v>
      </c>
      <c r="L17" s="55">
        <v>20197.512307200002</v>
      </c>
      <c r="M17" s="55">
        <v>93413.49442</v>
      </c>
      <c r="N17" s="56">
        <v>375787.481</v>
      </c>
      <c r="O17" s="53">
        <v>3757.8748080000005</v>
      </c>
      <c r="P17" s="53">
        <v>49603.94746560001</v>
      </c>
    </row>
    <row r="18">
      <c r="A18" s="41"/>
      <c r="B18" s="29">
        <v>2019.0</v>
      </c>
      <c r="C18" s="29">
        <v>0.0</v>
      </c>
      <c r="D18" s="29">
        <v>0.0</v>
      </c>
      <c r="E18" s="185">
        <v>11.0</v>
      </c>
      <c r="F18" s="185">
        <v>39.0</v>
      </c>
      <c r="G18" s="185">
        <v>37.71</v>
      </c>
      <c r="H18" s="33">
        <v>13.5</v>
      </c>
      <c r="I18" s="34">
        <v>40.59</v>
      </c>
      <c r="J18" s="55">
        <v>0.661</v>
      </c>
      <c r="K18" s="56">
        <v>1290736.506</v>
      </c>
      <c r="L18" s="55">
        <v>20651.7840896</v>
      </c>
      <c r="M18" s="55">
        <v>95514.50141</v>
      </c>
      <c r="N18" s="56">
        <v>384239.494</v>
      </c>
      <c r="O18" s="53">
        <v>3842.3949440000006</v>
      </c>
      <c r="P18" s="53">
        <v>50719.613260800004</v>
      </c>
    </row>
    <row r="19">
      <c r="A19" s="41"/>
      <c r="B19" s="29">
        <v>2020.0</v>
      </c>
      <c r="C19" s="29">
        <v>1.0</v>
      </c>
      <c r="D19" s="29">
        <v>1.0</v>
      </c>
      <c r="E19" s="185">
        <v>10.0</v>
      </c>
      <c r="F19" s="185">
        <v>40.0</v>
      </c>
      <c r="G19" s="185">
        <v>25.21</v>
      </c>
      <c r="H19" s="33">
        <v>12.3</v>
      </c>
      <c r="I19" s="34">
        <v>33.92</v>
      </c>
      <c r="J19" s="55">
        <f>J18+((J18-J17)+(J17-J16)+(J16-J15)+(J15-J14))/4</f>
        <v>0.66125</v>
      </c>
      <c r="K19" s="56">
        <v>1319186.287</v>
      </c>
      <c r="L19" s="55">
        <v>21106.980592</v>
      </c>
      <c r="M19" s="55">
        <v>97619.78524</v>
      </c>
      <c r="N19" s="56">
        <v>392708.713</v>
      </c>
      <c r="O19" s="53">
        <v>3927.0871300000003</v>
      </c>
      <c r="P19" s="53">
        <v>51837.550116000006</v>
      </c>
    </row>
    <row r="20">
      <c r="A20" s="29"/>
      <c r="B20" s="29">
        <v>2021.0</v>
      </c>
      <c r="C20" s="29">
        <v>1.0</v>
      </c>
      <c r="D20" s="29">
        <v>1.0</v>
      </c>
      <c r="E20" s="185">
        <v>8.0</v>
      </c>
      <c r="F20" s="185">
        <v>39.0</v>
      </c>
      <c r="G20" s="185">
        <v>25.38</v>
      </c>
      <c r="H20" s="57">
        <f>MEDIAN(H14:H19)</f>
        <v>12.95</v>
      </c>
      <c r="I20" s="45">
        <f t="shared" ref="I20:I21" si="2">I19-1.53</f>
        <v>32.39</v>
      </c>
      <c r="J20" s="55">
        <f>J19+((J19-J18)+(J18-J17)+(J17-J16)+(J16-J15)+(J15-J14))/5</f>
        <v>0.6615</v>
      </c>
      <c r="K20" s="56">
        <v>1347681.534</v>
      </c>
      <c r="L20" s="55">
        <v>21562.9045408</v>
      </c>
      <c r="M20" s="55">
        <v>99728.4335</v>
      </c>
      <c r="N20" s="56">
        <v>401191.466</v>
      </c>
      <c r="O20" s="53">
        <v>4011.9146620000006</v>
      </c>
      <c r="P20" s="53">
        <v>52957.273538400004</v>
      </c>
    </row>
    <row r="21">
      <c r="A21" s="41"/>
      <c r="B21" s="22">
        <v>2022.0</v>
      </c>
      <c r="C21" s="29">
        <v>1.0</v>
      </c>
      <c r="D21" s="29">
        <v>1.0</v>
      </c>
      <c r="E21" s="185">
        <v>9.0</v>
      </c>
      <c r="F21" s="185">
        <v>38.0</v>
      </c>
      <c r="G21" s="185">
        <v>25.39</v>
      </c>
      <c r="H21" s="33">
        <v>56.0</v>
      </c>
      <c r="I21" s="52">
        <f t="shared" si="2"/>
        <v>30.86</v>
      </c>
      <c r="J21" s="55">
        <f>J20+((J19-J18)+(J18-J17)+(J17-J16)+(J16-J15)+(J15-J14)+(J20-J19))/6</f>
        <v>0.66175</v>
      </c>
      <c r="K21" s="56">
        <v>1371668.0</v>
      </c>
      <c r="L21" s="55">
        <v>21946.688</v>
      </c>
      <c r="M21" s="55">
        <v>101503.432</v>
      </c>
      <c r="N21" s="56">
        <v>408332.0</v>
      </c>
      <c r="O21" s="55">
        <v>4083.32</v>
      </c>
      <c r="P21" s="55">
        <v>53899.824</v>
      </c>
    </row>
    <row r="22">
      <c r="A22" s="41"/>
      <c r="B22" s="22"/>
      <c r="C22" s="41"/>
      <c r="D22" s="41"/>
      <c r="E22" s="188"/>
      <c r="F22" s="188"/>
      <c r="G22" s="188"/>
      <c r="H22" s="59"/>
      <c r="I22" s="52"/>
      <c r="J22" s="53"/>
      <c r="K22" s="54"/>
      <c r="L22" s="53"/>
      <c r="M22" s="53"/>
      <c r="N22" s="54"/>
      <c r="O22" s="53"/>
      <c r="P22" s="53"/>
    </row>
    <row r="23">
      <c r="A23" s="28" t="s">
        <v>23</v>
      </c>
      <c r="B23" s="29">
        <v>2015.0</v>
      </c>
      <c r="C23" s="29">
        <v>1.0</v>
      </c>
      <c r="D23" s="29">
        <v>1.0</v>
      </c>
      <c r="E23" s="185">
        <v>8.0</v>
      </c>
      <c r="F23" s="185">
        <v>37.0</v>
      </c>
      <c r="G23" s="189">
        <v>24.0</v>
      </c>
      <c r="H23" s="33">
        <v>29.5</v>
      </c>
      <c r="I23" s="34">
        <v>43.53</v>
      </c>
      <c r="J23" s="55">
        <v>0.595</v>
      </c>
      <c r="K23" s="56">
        <v>2.866400536E7</v>
      </c>
      <c r="L23" s="55">
        <v>458624.08576000005</v>
      </c>
      <c r="M23" s="55">
        <v>2121136.397</v>
      </c>
      <c r="N23" s="56">
        <v>4705034.64</v>
      </c>
      <c r="O23" s="53">
        <v>49719.8696</v>
      </c>
      <c r="P23" s="53">
        <v>62106.45724799999</v>
      </c>
    </row>
    <row r="24">
      <c r="A24" s="41"/>
      <c r="B24" s="29">
        <v>2016.0</v>
      </c>
      <c r="C24" s="29">
        <v>1.0</v>
      </c>
      <c r="D24" s="29">
        <v>4.0</v>
      </c>
      <c r="E24" s="185">
        <v>9.0</v>
      </c>
      <c r="F24" s="185">
        <v>38.0</v>
      </c>
      <c r="G24" s="189">
        <v>24.63</v>
      </c>
      <c r="H24" s="33">
        <v>29.4</v>
      </c>
      <c r="I24" s="34">
        <v>44.13</v>
      </c>
      <c r="J24" s="55">
        <v>0.598</v>
      </c>
      <c r="K24" s="56">
        <v>2.9124428501E7</v>
      </c>
      <c r="L24" s="55">
        <v>465990.8560160001</v>
      </c>
      <c r="M24" s="55">
        <v>2155207.709</v>
      </c>
      <c r="N24" s="56">
        <v>4780610.499</v>
      </c>
      <c r="O24" s="53">
        <v>50518.50811</v>
      </c>
      <c r="P24" s="53">
        <v>63104.05858679999</v>
      </c>
    </row>
    <row r="25">
      <c r="A25" s="41"/>
      <c r="B25" s="29">
        <v>2017.0</v>
      </c>
      <c r="C25" s="29">
        <v>1.0</v>
      </c>
      <c r="D25" s="29">
        <v>2.0</v>
      </c>
      <c r="E25" s="185">
        <v>9.0</v>
      </c>
      <c r="F25" s="185">
        <v>38.0</v>
      </c>
      <c r="G25" s="189">
        <v>25.0</v>
      </c>
      <c r="H25" s="33">
        <v>30.9</v>
      </c>
      <c r="I25" s="34">
        <v>48.85</v>
      </c>
      <c r="J25" s="55">
        <v>0.608</v>
      </c>
      <c r="K25" s="56">
        <v>2.9582891404E7</v>
      </c>
      <c r="L25" s="55">
        <v>473326.262464</v>
      </c>
      <c r="M25" s="55">
        <v>2189133.964</v>
      </c>
      <c r="N25" s="56">
        <v>4855864.596</v>
      </c>
      <c r="O25" s="53">
        <v>51313.74644</v>
      </c>
      <c r="P25" s="53">
        <v>64097.41266719999</v>
      </c>
    </row>
    <row r="26">
      <c r="A26" s="41"/>
      <c r="B26" s="29">
        <v>2018.0</v>
      </c>
      <c r="C26" s="29">
        <v>0.0</v>
      </c>
      <c r="D26" s="29">
        <v>0.0</v>
      </c>
      <c r="E26" s="185">
        <v>11.0</v>
      </c>
      <c r="F26" s="185">
        <v>38.0</v>
      </c>
      <c r="G26" s="189">
        <v>25.42</v>
      </c>
      <c r="H26" s="33">
        <v>35.0</v>
      </c>
      <c r="I26" s="34">
        <v>50.91</v>
      </c>
      <c r="J26" s="55">
        <v>0.61</v>
      </c>
      <c r="K26" s="56">
        <v>3.0039257488E7</v>
      </c>
      <c r="L26" s="55">
        <v>480628.1198080001</v>
      </c>
      <c r="M26" s="55">
        <v>2222905.054</v>
      </c>
      <c r="N26" s="56">
        <v>4930774.512</v>
      </c>
      <c r="O26" s="53">
        <v>52105.34768</v>
      </c>
      <c r="P26" s="53">
        <v>65086.22355839999</v>
      </c>
    </row>
    <row r="27">
      <c r="A27" s="41"/>
      <c r="B27" s="29">
        <v>2019.0</v>
      </c>
      <c r="C27" s="29">
        <v>1.0</v>
      </c>
      <c r="D27" s="29">
        <v>2.0</v>
      </c>
      <c r="E27" s="185">
        <v>11.0</v>
      </c>
      <c r="F27" s="185">
        <v>38.0</v>
      </c>
      <c r="G27" s="189">
        <v>25.96</v>
      </c>
      <c r="H27" s="33">
        <v>32.0</v>
      </c>
      <c r="I27" s="34">
        <v>52.49</v>
      </c>
      <c r="J27" s="55">
        <v>0.613</v>
      </c>
      <c r="K27" s="56">
        <v>3.0493395326E7</v>
      </c>
      <c r="L27" s="55">
        <v>487894.3252160001</v>
      </c>
      <c r="M27" s="55">
        <v>2256511.254</v>
      </c>
      <c r="N27" s="56">
        <v>5005318.674</v>
      </c>
      <c r="O27" s="53">
        <v>52893.08386</v>
      </c>
      <c r="P27" s="53">
        <v>66070.20649679999</v>
      </c>
    </row>
    <row r="28">
      <c r="A28" s="41"/>
      <c r="B28" s="29">
        <v>2020.0</v>
      </c>
      <c r="C28" s="29">
        <v>1.0</v>
      </c>
      <c r="D28" s="29">
        <v>3.0</v>
      </c>
      <c r="E28" s="185">
        <v>9.0</v>
      </c>
      <c r="F28" s="185">
        <v>40.0</v>
      </c>
      <c r="G28" s="189">
        <v>26.29</v>
      </c>
      <c r="H28" s="33">
        <v>32.4</v>
      </c>
      <c r="I28" s="34">
        <v>47.74</v>
      </c>
      <c r="J28" s="55">
        <f>J27+(((J27-J26)+(J26-J25)+(J25-J24)+(J24-J23))/4)</f>
        <v>0.6175</v>
      </c>
      <c r="K28" s="56">
        <v>3.0945179504E7</v>
      </c>
      <c r="L28" s="55">
        <v>495122.87206400005</v>
      </c>
      <c r="M28" s="55">
        <v>2289943.283</v>
      </c>
      <c r="N28" s="56">
        <v>5079476.496</v>
      </c>
      <c r="O28" s="53">
        <v>53676.737440000004</v>
      </c>
      <c r="P28" s="53">
        <v>67049.08974719999</v>
      </c>
    </row>
    <row r="29">
      <c r="A29" s="41"/>
      <c r="B29" s="29">
        <v>2021.0</v>
      </c>
      <c r="C29" s="29">
        <v>1.0</v>
      </c>
      <c r="D29" s="29">
        <v>1.0</v>
      </c>
      <c r="E29" s="185">
        <v>9.0</v>
      </c>
      <c r="F29" s="185">
        <v>39.0</v>
      </c>
      <c r="G29" s="189">
        <v>26.08</v>
      </c>
      <c r="H29" s="59">
        <f>MEDIAN(H23:H28)</f>
        <v>31.45</v>
      </c>
      <c r="I29" s="45">
        <f t="shared" ref="I29:I30" si="3">I28+4.35</f>
        <v>52.09</v>
      </c>
      <c r="J29" s="55">
        <f>J28+(((J28-J27)+(J27-J26)+(J26-J25)+(J25-J24)+(J24-J23))/5)</f>
        <v>0.622</v>
      </c>
      <c r="K29" s="56">
        <v>3.1394487185E7</v>
      </c>
      <c r="L29" s="55">
        <v>502311.79496</v>
      </c>
      <c r="M29" s="55">
        <v>2323192.052</v>
      </c>
      <c r="N29" s="56">
        <v>5153227.815</v>
      </c>
      <c r="O29" s="53">
        <v>54456.09535</v>
      </c>
      <c r="P29" s="53">
        <v>68022.607158</v>
      </c>
    </row>
    <row r="30">
      <c r="A30" s="41"/>
      <c r="B30" s="22">
        <v>2022.0</v>
      </c>
      <c r="C30" s="29">
        <v>1.0</v>
      </c>
      <c r="D30" s="29">
        <v>3.0</v>
      </c>
      <c r="E30" s="185">
        <v>10.0</v>
      </c>
      <c r="F30" s="185">
        <v>38.0</v>
      </c>
      <c r="G30" s="185">
        <v>25.39</v>
      </c>
      <c r="H30" s="33">
        <v>82.0</v>
      </c>
      <c r="I30" s="52">
        <f t="shared" si="3"/>
        <v>56.44</v>
      </c>
      <c r="J30" s="55">
        <f>J29+(((J28-J27)+(J27-J26)+(J26-J25)+(J25-J24)+(J24-J23)+(J29-J28))/6)</f>
        <v>0.6265</v>
      </c>
      <c r="K30" s="56">
        <v>3.113016E7</v>
      </c>
      <c r="L30" s="55">
        <v>498082.56</v>
      </c>
      <c r="M30" s="55">
        <v>2303631.84</v>
      </c>
      <c r="N30" s="56">
        <v>5109840.0</v>
      </c>
      <c r="O30" s="55">
        <v>53997.6</v>
      </c>
      <c r="P30" s="55">
        <v>67449.888</v>
      </c>
    </row>
    <row r="31">
      <c r="A31" s="41"/>
      <c r="B31" s="22"/>
      <c r="C31" s="41"/>
      <c r="D31" s="41"/>
      <c r="E31" s="188"/>
      <c r="F31" s="188"/>
      <c r="G31" s="188"/>
      <c r="H31" s="59"/>
      <c r="I31" s="52"/>
      <c r="J31" s="53"/>
      <c r="K31" s="54"/>
      <c r="L31" s="53"/>
      <c r="M31" s="53"/>
      <c r="N31" s="54"/>
      <c r="O31" s="53"/>
      <c r="P31" s="53"/>
    </row>
    <row r="32">
      <c r="A32" s="28" t="s">
        <v>24</v>
      </c>
      <c r="B32" s="29">
        <v>2015.0</v>
      </c>
      <c r="C32" s="29">
        <v>1.0</v>
      </c>
      <c r="D32" s="29">
        <v>2.0</v>
      </c>
      <c r="E32" s="185">
        <v>7.0</v>
      </c>
      <c r="F32" s="185">
        <v>46.0</v>
      </c>
      <c r="G32" s="189">
        <v>29.42</v>
      </c>
      <c r="H32" s="33">
        <v>78.2</v>
      </c>
      <c r="I32" s="34">
        <v>34.7</v>
      </c>
      <c r="J32" s="55">
        <v>0.554</v>
      </c>
      <c r="K32" s="56">
        <v>1.018677333E8</v>
      </c>
      <c r="L32" s="55">
        <v>1629883.73328</v>
      </c>
      <c r="M32" s="55">
        <v>7538212.266</v>
      </c>
      <c r="N32" s="56">
        <v>1.296456667E7</v>
      </c>
      <c r="O32" s="53">
        <v>129645.6667</v>
      </c>
      <c r="P32" s="53">
        <v>1711322.80044</v>
      </c>
    </row>
    <row r="33">
      <c r="A33" s="41"/>
      <c r="B33" s="29">
        <v>2016.0</v>
      </c>
      <c r="C33" s="29">
        <v>1.0</v>
      </c>
      <c r="D33" s="29">
        <v>2.0</v>
      </c>
      <c r="E33" s="185">
        <v>9.0</v>
      </c>
      <c r="F33" s="185">
        <v>45.0</v>
      </c>
      <c r="G33" s="189">
        <v>29.46</v>
      </c>
      <c r="H33" s="33">
        <v>83.8</v>
      </c>
      <c r="I33" s="34">
        <v>38.46</v>
      </c>
      <c r="J33" s="55">
        <v>0.559</v>
      </c>
      <c r="K33" s="56">
        <v>1.042724068E8</v>
      </c>
      <c r="L33" s="55">
        <v>1668358.5093168</v>
      </c>
      <c r="M33" s="55">
        <v>7716158.106</v>
      </c>
      <c r="N33" s="56">
        <v>1.327060617E7</v>
      </c>
      <c r="O33" s="53">
        <v>132706.061677</v>
      </c>
      <c r="P33" s="53">
        <v>1751720.0141363998</v>
      </c>
    </row>
    <row r="34">
      <c r="A34" s="41"/>
      <c r="B34" s="29">
        <v>2017.0</v>
      </c>
      <c r="C34" s="29">
        <v>1.0</v>
      </c>
      <c r="D34" s="29">
        <v>3.0</v>
      </c>
      <c r="E34" s="185">
        <v>8.0</v>
      </c>
      <c r="F34" s="185">
        <v>47.0</v>
      </c>
      <c r="G34" s="189">
        <v>28.96</v>
      </c>
      <c r="H34" s="33">
        <v>77.3</v>
      </c>
      <c r="I34" s="34">
        <v>32.11</v>
      </c>
      <c r="J34" s="55">
        <v>0.569</v>
      </c>
      <c r="K34" s="56">
        <v>1.066846162E8</v>
      </c>
      <c r="L34" s="55">
        <v>1706953.8599856</v>
      </c>
      <c r="M34" s="55">
        <v>7894661.602</v>
      </c>
      <c r="N34" s="56">
        <v>1.357760475E7</v>
      </c>
      <c r="O34" s="53">
        <v>135776.047509</v>
      </c>
      <c r="P34" s="53">
        <v>1792243.8271187996</v>
      </c>
    </row>
    <row r="35">
      <c r="A35" s="41"/>
      <c r="B35" s="29">
        <v>2018.0</v>
      </c>
      <c r="C35" s="29">
        <v>0.0</v>
      </c>
      <c r="D35" s="29">
        <v>0.0</v>
      </c>
      <c r="E35" s="185">
        <v>7.0</v>
      </c>
      <c r="F35" s="185">
        <v>46.0</v>
      </c>
      <c r="G35" s="189">
        <v>29.88</v>
      </c>
      <c r="H35" s="33">
        <v>82.8</v>
      </c>
      <c r="I35" s="34">
        <v>34.48</v>
      </c>
      <c r="J35" s="55">
        <v>0.571</v>
      </c>
      <c r="K35" s="56">
        <v>1.091032678E8</v>
      </c>
      <c r="L35" s="55">
        <v>1745652.2845775997</v>
      </c>
      <c r="M35" s="55">
        <v>8073641.816</v>
      </c>
      <c r="N35" s="56">
        <v>1.388542321E7</v>
      </c>
      <c r="O35" s="53">
        <v>138854.232139</v>
      </c>
      <c r="P35" s="53">
        <v>1832875.8642347995</v>
      </c>
    </row>
    <row r="36">
      <c r="A36" s="41"/>
      <c r="B36" s="29">
        <v>2019.0</v>
      </c>
      <c r="C36" s="29">
        <v>1.0</v>
      </c>
      <c r="D36" s="29">
        <v>2.0</v>
      </c>
      <c r="E36" s="185">
        <v>11.0</v>
      </c>
      <c r="F36" s="185">
        <v>48.0</v>
      </c>
      <c r="G36" s="189">
        <v>29.58</v>
      </c>
      <c r="H36" s="33">
        <v>81.0</v>
      </c>
      <c r="I36" s="34">
        <v>36.39</v>
      </c>
      <c r="J36" s="55">
        <v>0.574</v>
      </c>
      <c r="K36" s="56">
        <v>1.115272836E8</v>
      </c>
      <c r="L36" s="55">
        <v>1784436.5378687999</v>
      </c>
      <c r="M36" s="55">
        <v>8253018.988</v>
      </c>
      <c r="N36" s="56">
        <v>1.419392438E7</v>
      </c>
      <c r="O36" s="53">
        <v>141939.243832</v>
      </c>
      <c r="P36" s="53">
        <v>1873598.0185823997</v>
      </c>
    </row>
    <row r="37">
      <c r="A37" s="41"/>
      <c r="B37" s="29">
        <v>2020.0</v>
      </c>
      <c r="C37" s="29">
        <v>1.0</v>
      </c>
      <c r="D37" s="29">
        <v>1.0</v>
      </c>
      <c r="E37" s="185">
        <v>11.0</v>
      </c>
      <c r="F37" s="185">
        <v>47.0</v>
      </c>
      <c r="G37" s="189">
        <v>29.58</v>
      </c>
      <c r="H37" s="33">
        <v>84.0</v>
      </c>
      <c r="I37" s="34">
        <v>30.24</v>
      </c>
      <c r="J37" s="55">
        <f>J36+(((J36-J35)+(J35-J34)+(J34-J33)+(J33-J32))/4)</f>
        <v>0.579</v>
      </c>
      <c r="K37" s="56">
        <v>1.139555974E8</v>
      </c>
      <c r="L37" s="55">
        <v>1823289.5591520001</v>
      </c>
      <c r="M37" s="55">
        <v>8432714.211</v>
      </c>
      <c r="N37" s="56">
        <v>1.450297255E7</v>
      </c>
      <c r="O37" s="53">
        <v>145029.72553</v>
      </c>
      <c r="P37" s="53">
        <v>1914392.3769959998</v>
      </c>
    </row>
    <row r="38">
      <c r="A38" s="41"/>
      <c r="B38" s="29">
        <v>2021.0</v>
      </c>
      <c r="C38" s="29">
        <v>1.0</v>
      </c>
      <c r="D38" s="29">
        <v>1.0</v>
      </c>
      <c r="E38" s="185">
        <v>10.0</v>
      </c>
      <c r="F38" s="185">
        <v>46.0</v>
      </c>
      <c r="G38" s="189">
        <v>28.29</v>
      </c>
      <c r="H38" s="59">
        <f>MEDIAN(H32:H37)</f>
        <v>81.9</v>
      </c>
      <c r="I38" s="45">
        <f t="shared" ref="I38:I39" si="4">I37+0.76</f>
        <v>31</v>
      </c>
      <c r="J38" s="55">
        <f>J37+(((J37-J36)+(J36-J35)+(J35-J34)+(J34-J33)+(J33-J32))/5)</f>
        <v>0.584</v>
      </c>
      <c r="K38" s="56">
        <v>1.163871607E8</v>
      </c>
      <c r="L38" s="55">
        <v>1862194.5715919998</v>
      </c>
      <c r="M38" s="55">
        <v>8612649.894</v>
      </c>
      <c r="N38" s="56">
        <v>1.481243428E7</v>
      </c>
      <c r="O38" s="53">
        <v>148124.342755</v>
      </c>
      <c r="P38" s="53">
        <v>1955241.324366</v>
      </c>
    </row>
    <row r="39">
      <c r="A39" s="41"/>
      <c r="B39" s="22">
        <v>2022.0</v>
      </c>
      <c r="C39" s="29">
        <v>1.0</v>
      </c>
      <c r="D39" s="29">
        <v>1.0</v>
      </c>
      <c r="E39" s="185">
        <v>10.0</v>
      </c>
      <c r="F39" s="185">
        <v>47.0</v>
      </c>
      <c r="G39" s="185">
        <v>25.39</v>
      </c>
      <c r="H39" s="33">
        <v>140.0</v>
      </c>
      <c r="I39" s="52">
        <f t="shared" si="4"/>
        <v>31.76</v>
      </c>
      <c r="J39" s="55">
        <f>J38+(((J37-J36)+(J36-J35)+(J35-J34)+(J34-J33)+(J33-J32)+(J38-J37)/6))</f>
        <v>0.6098333333</v>
      </c>
      <c r="K39" s="60">
        <v>1.14444771E8</v>
      </c>
      <c r="L39" s="55">
        <v>1831116.336</v>
      </c>
      <c r="M39" s="55">
        <v>8468913.054</v>
      </c>
      <c r="N39" s="56">
        <v>1.4565229E7</v>
      </c>
      <c r="O39" s="55">
        <v>145652.29</v>
      </c>
      <c r="P39" s="55">
        <v>1922610.228</v>
      </c>
    </row>
    <row r="40">
      <c r="A40" s="41"/>
      <c r="B40" s="22"/>
      <c r="C40" s="41"/>
      <c r="D40" s="41"/>
      <c r="E40" s="188"/>
      <c r="F40" s="188"/>
      <c r="G40" s="188"/>
      <c r="H40" s="59"/>
      <c r="I40" s="52"/>
      <c r="J40" s="53"/>
      <c r="K40" s="54"/>
      <c r="L40" s="53"/>
      <c r="M40" s="53"/>
      <c r="N40" s="54"/>
      <c r="O40" s="53"/>
      <c r="P40" s="53"/>
    </row>
    <row r="41">
      <c r="A41" s="28" t="s">
        <v>25</v>
      </c>
      <c r="B41" s="29">
        <v>2015.0</v>
      </c>
      <c r="C41" s="29">
        <v>0.0</v>
      </c>
      <c r="D41" s="29">
        <v>0.0</v>
      </c>
      <c r="E41" s="185">
        <v>10.0</v>
      </c>
      <c r="F41" s="185">
        <v>46.0</v>
      </c>
      <c r="G41" s="189">
        <v>28.92</v>
      </c>
      <c r="H41" s="33">
        <v>50.3</v>
      </c>
      <c r="I41" s="34">
        <v>48.63</v>
      </c>
      <c r="J41" s="55">
        <v>0.59</v>
      </c>
      <c r="K41" s="56">
        <v>2.184133799E7</v>
      </c>
      <c r="L41" s="55">
        <v>349461.4078592001</v>
      </c>
      <c r="M41" s="55">
        <v>1616259.011</v>
      </c>
      <c r="N41" s="56">
        <v>6612724.009</v>
      </c>
      <c r="O41" s="53">
        <v>66127.240088</v>
      </c>
      <c r="P41" s="53">
        <v>872879.5691616</v>
      </c>
    </row>
    <row r="42">
      <c r="A42" s="41"/>
      <c r="B42" s="29">
        <v>2016.0</v>
      </c>
      <c r="C42" s="29">
        <v>1.0</v>
      </c>
      <c r="D42" s="29">
        <v>1.0</v>
      </c>
      <c r="E42" s="185">
        <v>10.0</v>
      </c>
      <c r="F42" s="185">
        <v>45.0</v>
      </c>
      <c r="G42" s="189">
        <v>28.75</v>
      </c>
      <c r="H42" s="33">
        <v>49.2</v>
      </c>
      <c r="I42" s="34">
        <v>52.02</v>
      </c>
      <c r="J42" s="55">
        <v>0.596</v>
      </c>
      <c r="K42" s="56">
        <v>2.240866117E7</v>
      </c>
      <c r="L42" s="55">
        <v>358538.57875840005</v>
      </c>
      <c r="M42" s="55">
        <v>1658240.927</v>
      </c>
      <c r="N42" s="56">
        <v>6784487.828</v>
      </c>
      <c r="O42" s="53">
        <v>67844.878276</v>
      </c>
      <c r="P42" s="53">
        <v>895552.3932431999</v>
      </c>
    </row>
    <row r="43">
      <c r="A43" s="41"/>
      <c r="B43" s="29">
        <v>2017.0</v>
      </c>
      <c r="C43" s="29">
        <v>0.0</v>
      </c>
      <c r="D43" s="29">
        <v>0.0</v>
      </c>
      <c r="E43" s="185">
        <v>9.0</v>
      </c>
      <c r="F43" s="185">
        <v>46.0</v>
      </c>
      <c r="G43" s="189">
        <v>29.17</v>
      </c>
      <c r="H43" s="33">
        <v>48.9</v>
      </c>
      <c r="I43" s="34">
        <v>56.09</v>
      </c>
      <c r="J43" s="55">
        <v>0.606</v>
      </c>
      <c r="K43" s="56">
        <v>2.297907932E7</v>
      </c>
      <c r="L43" s="55">
        <v>367665.2690688001</v>
      </c>
      <c r="M43" s="55">
        <v>1700451.869</v>
      </c>
      <c r="N43" s="56">
        <v>6957188.683</v>
      </c>
      <c r="O43" s="53">
        <v>69571.88683199999</v>
      </c>
      <c r="P43" s="53">
        <v>918348.9061824</v>
      </c>
    </row>
    <row r="44">
      <c r="A44" s="41"/>
      <c r="B44" s="29">
        <v>2018.0</v>
      </c>
      <c r="C44" s="29">
        <v>0.0</v>
      </c>
      <c r="D44" s="29">
        <v>0.0</v>
      </c>
      <c r="E44" s="185">
        <v>11.0</v>
      </c>
      <c r="F44" s="185">
        <v>45.0</v>
      </c>
      <c r="G44" s="189">
        <v>29.58</v>
      </c>
      <c r="H44" s="33">
        <v>49.4</v>
      </c>
      <c r="I44" s="34">
        <v>53.15</v>
      </c>
      <c r="J44" s="55">
        <v>0.608</v>
      </c>
      <c r="K44" s="56">
        <v>2.355231839E7</v>
      </c>
      <c r="L44" s="55">
        <v>376837.0942592001</v>
      </c>
      <c r="M44" s="55">
        <v>1742871.561</v>
      </c>
      <c r="N44" s="56">
        <v>7130743.609</v>
      </c>
      <c r="O44" s="53">
        <v>71307.436088</v>
      </c>
      <c r="P44" s="53">
        <v>941258.1563615999</v>
      </c>
    </row>
    <row r="45">
      <c r="A45" s="41"/>
      <c r="B45" s="29">
        <v>2019.0</v>
      </c>
      <c r="C45" s="29">
        <v>0.0</v>
      </c>
      <c r="D45" s="29">
        <v>0.0</v>
      </c>
      <c r="E45" s="185">
        <v>12.0</v>
      </c>
      <c r="F45" s="185">
        <v>48.0</v>
      </c>
      <c r="G45" s="189">
        <v>29.46</v>
      </c>
      <c r="H45" s="33">
        <v>50.1</v>
      </c>
      <c r="I45" s="34">
        <v>50.79</v>
      </c>
      <c r="J45" s="55">
        <v>0.611</v>
      </c>
      <c r="K45" s="56">
        <v>2.412810667E7</v>
      </c>
      <c r="L45" s="55">
        <v>386049.7066432</v>
      </c>
      <c r="M45" s="55">
        <v>1785479.893</v>
      </c>
      <c r="N45" s="56">
        <v>7305070.335</v>
      </c>
      <c r="O45" s="53">
        <v>73050.703348</v>
      </c>
      <c r="P45" s="53">
        <v>964269.2841936</v>
      </c>
    </row>
    <row r="46">
      <c r="A46" s="41"/>
      <c r="B46" s="29">
        <v>2020.0</v>
      </c>
      <c r="C46" s="29">
        <v>1.0</v>
      </c>
      <c r="D46" s="29">
        <v>1.0</v>
      </c>
      <c r="E46" s="185">
        <v>14.0</v>
      </c>
      <c r="F46" s="185">
        <v>48.0</v>
      </c>
      <c r="G46" s="189">
        <v>28.96</v>
      </c>
      <c r="H46" s="33">
        <v>52.9</v>
      </c>
      <c r="I46" s="34">
        <v>50.7</v>
      </c>
      <c r="J46" s="55">
        <f>J45+(((J45-J44)+(J44-J43)+(J43-J42)+(J42-J41))/4)</f>
        <v>0.61625</v>
      </c>
      <c r="K46" s="56">
        <v>2.470617471E7</v>
      </c>
      <c r="L46" s="55">
        <v>395298.7953792001</v>
      </c>
      <c r="M46" s="55">
        <v>1828256.929</v>
      </c>
      <c r="N46" s="56">
        <v>7480087.289</v>
      </c>
      <c r="O46" s="53">
        <v>74800.872888</v>
      </c>
      <c r="P46" s="53">
        <v>987371.5221216</v>
      </c>
    </row>
    <row r="47">
      <c r="A47" s="41"/>
      <c r="B47" s="29">
        <v>2021.0</v>
      </c>
      <c r="C47" s="29">
        <v>1.0</v>
      </c>
      <c r="D47" s="29">
        <v>1.0</v>
      </c>
      <c r="E47" s="185">
        <v>11.0</v>
      </c>
      <c r="F47" s="185">
        <v>46.0</v>
      </c>
      <c r="G47" s="189">
        <v>28.17</v>
      </c>
      <c r="H47" s="59">
        <f>MEDIAN(H41:H46)</f>
        <v>49.75</v>
      </c>
      <c r="I47" s="45">
        <f t="shared" ref="I47:I48" si="5">I46-0.09</f>
        <v>50.61</v>
      </c>
      <c r="J47" s="55">
        <f>J46+(((J46-J45)+(J45-J44)+(J44-J43)+(J43-J42)+(J42-J41))/5)</f>
        <v>0.6215</v>
      </c>
      <c r="K47" s="56">
        <v>2.52862531E7</v>
      </c>
      <c r="L47" s="55">
        <v>404580.04962560005</v>
      </c>
      <c r="M47" s="55">
        <v>1871182.73</v>
      </c>
      <c r="N47" s="56">
        <v>7655712.898</v>
      </c>
      <c r="O47" s="53">
        <v>76557.128984</v>
      </c>
      <c r="P47" s="53">
        <v>1010554.1025887999</v>
      </c>
    </row>
    <row r="48">
      <c r="A48" s="41"/>
      <c r="B48" s="22">
        <v>2022.0</v>
      </c>
      <c r="C48" s="29">
        <v>0.0</v>
      </c>
      <c r="D48" s="29">
        <v>0.0</v>
      </c>
      <c r="E48" s="185">
        <v>10.0</v>
      </c>
      <c r="F48" s="185">
        <v>47.0</v>
      </c>
      <c r="G48" s="185">
        <v>27.19</v>
      </c>
      <c r="H48" s="33">
        <v>20.0</v>
      </c>
      <c r="I48" s="52">
        <f t="shared" si="5"/>
        <v>50.52</v>
      </c>
      <c r="J48" s="55">
        <f>J47+(((J47-J46)+(J46-J45)+(J45-J44)+(J44-J43)+(J43-J42)+(J42-J41))/6)</f>
        <v>0.62675</v>
      </c>
      <c r="K48" s="55">
        <v>2.5392208E7</v>
      </c>
      <c r="L48" s="55">
        <v>406275.328</v>
      </c>
      <c r="M48" s="55">
        <v>1879023.392</v>
      </c>
      <c r="N48" s="55">
        <v>7687792.0</v>
      </c>
      <c r="O48" s="55">
        <v>76877.92</v>
      </c>
      <c r="P48" s="55">
        <v>1014788.544</v>
      </c>
    </row>
    <row r="49">
      <c r="A49" s="41"/>
      <c r="B49" s="22"/>
      <c r="C49" s="41"/>
      <c r="D49" s="41"/>
      <c r="E49" s="188"/>
      <c r="F49" s="188"/>
      <c r="G49" s="188"/>
      <c r="H49" s="59"/>
      <c r="I49" s="52"/>
      <c r="J49" s="53"/>
      <c r="K49" s="53"/>
      <c r="L49" s="53"/>
      <c r="M49" s="53"/>
      <c r="N49" s="53"/>
      <c r="O49" s="53"/>
      <c r="P49" s="53"/>
    </row>
    <row r="50">
      <c r="A50" s="28" t="s">
        <v>26</v>
      </c>
      <c r="B50" s="29">
        <v>2015.0</v>
      </c>
      <c r="C50" s="29">
        <v>0.0</v>
      </c>
      <c r="D50" s="29">
        <v>0.0</v>
      </c>
      <c r="E50" s="185">
        <v>18.0</v>
      </c>
      <c r="F50" s="185">
        <v>37.0</v>
      </c>
      <c r="G50" s="189">
        <v>28.42</v>
      </c>
      <c r="H50" s="33">
        <v>28.4</v>
      </c>
      <c r="I50" s="34">
        <v>53.13</v>
      </c>
      <c r="J50" s="35">
        <v>0.753</v>
      </c>
      <c r="K50" s="55">
        <v>562826.7957</v>
      </c>
      <c r="L50" s="55">
        <v>9005.2287312</v>
      </c>
      <c r="M50" s="55">
        <v>38346.3135</v>
      </c>
      <c r="N50" s="55">
        <v>924952.2043</v>
      </c>
      <c r="O50" s="53">
        <v>9249.522043</v>
      </c>
      <c r="P50" s="53">
        <v>122093.6909676</v>
      </c>
    </row>
    <row r="51">
      <c r="A51" s="41"/>
      <c r="B51" s="29">
        <v>2016.0</v>
      </c>
      <c r="C51" s="29">
        <v>1.0</v>
      </c>
      <c r="D51" s="29">
        <v>1.0</v>
      </c>
      <c r="E51" s="185">
        <v>19.0</v>
      </c>
      <c r="F51" s="185">
        <v>37.0</v>
      </c>
      <c r="G51" s="189">
        <v>27.75</v>
      </c>
      <c r="H51" s="33">
        <v>28.7</v>
      </c>
      <c r="I51" s="34">
        <v>51.9</v>
      </c>
      <c r="J51" s="35">
        <v>0.745</v>
      </c>
      <c r="K51" s="55">
        <v>565487.3796</v>
      </c>
      <c r="L51" s="55">
        <v>9047.7980736</v>
      </c>
      <c r="M51" s="55">
        <v>38527.58345</v>
      </c>
      <c r="N51" s="55">
        <v>929324.6204</v>
      </c>
      <c r="O51" s="53">
        <v>9293.246204000001</v>
      </c>
      <c r="P51" s="53">
        <v>122670.8498928</v>
      </c>
    </row>
    <row r="52">
      <c r="A52" s="41"/>
      <c r="B52" s="29">
        <v>2017.0</v>
      </c>
      <c r="C52" s="29">
        <v>0.0</v>
      </c>
      <c r="D52" s="29">
        <v>0.0</v>
      </c>
      <c r="E52" s="185">
        <v>17.0</v>
      </c>
      <c r="F52" s="185">
        <v>37.0</v>
      </c>
      <c r="G52" s="189">
        <v>28.04</v>
      </c>
      <c r="H52" s="33">
        <v>30.7</v>
      </c>
      <c r="I52" s="34">
        <v>62.87</v>
      </c>
      <c r="J52" s="35">
        <v>0.756</v>
      </c>
      <c r="K52" s="55">
        <v>568107.1071</v>
      </c>
      <c r="L52" s="55">
        <v>9089.7137136</v>
      </c>
      <c r="M52" s="55">
        <v>38706.06979</v>
      </c>
      <c r="N52" s="55">
        <v>933629.8929</v>
      </c>
      <c r="O52" s="53">
        <v>9336.298929</v>
      </c>
      <c r="P52" s="53">
        <v>123239.1458628</v>
      </c>
    </row>
    <row r="53">
      <c r="A53" s="41"/>
      <c r="B53" s="29">
        <v>2018.0</v>
      </c>
      <c r="C53" s="29">
        <v>0.0</v>
      </c>
      <c r="D53" s="29">
        <v>0.0</v>
      </c>
      <c r="E53" s="185">
        <v>20.0</v>
      </c>
      <c r="F53" s="185">
        <v>38.0</v>
      </c>
      <c r="G53" s="189">
        <v>29.13</v>
      </c>
      <c r="H53" s="33">
        <v>31.5</v>
      </c>
      <c r="I53" s="34">
        <v>69.09</v>
      </c>
      <c r="J53" s="35">
        <v>0.759</v>
      </c>
      <c r="K53" s="55">
        <v>570686.7348</v>
      </c>
      <c r="L53" s="55">
        <v>9130.987756800001</v>
      </c>
      <c r="M53" s="55">
        <v>38881.82406</v>
      </c>
      <c r="N53" s="55">
        <v>937869.2652</v>
      </c>
      <c r="O53" s="53">
        <v>9378.692652</v>
      </c>
      <c r="P53" s="53">
        <v>123798.7430064</v>
      </c>
    </row>
    <row r="54">
      <c r="A54" s="41"/>
      <c r="B54" s="29">
        <v>2019.0</v>
      </c>
      <c r="C54" s="29">
        <v>0.0</v>
      </c>
      <c r="D54" s="29">
        <v>0.0</v>
      </c>
      <c r="E54" s="185">
        <v>20.0</v>
      </c>
      <c r="F54" s="185">
        <v>37.0</v>
      </c>
      <c r="G54" s="189">
        <v>28.54</v>
      </c>
      <c r="H54" s="33">
        <v>27.3</v>
      </c>
      <c r="I54" s="34">
        <v>66.36</v>
      </c>
      <c r="J54" s="35">
        <v>0.763</v>
      </c>
      <c r="K54" s="55">
        <v>573225.8844</v>
      </c>
      <c r="L54" s="55">
        <v>9171.6141504</v>
      </c>
      <c r="M54" s="55">
        <v>39054.82049</v>
      </c>
      <c r="N54" s="55">
        <v>942042.1156</v>
      </c>
      <c r="O54" s="53">
        <v>9420.421156</v>
      </c>
      <c r="P54" s="53">
        <v>124349.5592592</v>
      </c>
    </row>
    <row r="55">
      <c r="A55" s="41"/>
      <c r="B55" s="29">
        <v>2020.0</v>
      </c>
      <c r="C55" s="29">
        <v>1.0</v>
      </c>
      <c r="D55" s="29">
        <v>1.0</v>
      </c>
      <c r="E55" s="185">
        <v>18.0</v>
      </c>
      <c r="F55" s="185">
        <v>36.0</v>
      </c>
      <c r="G55" s="189">
        <v>26.75</v>
      </c>
      <c r="H55" s="33">
        <v>30.6</v>
      </c>
      <c r="I55" s="34">
        <v>53.68</v>
      </c>
      <c r="J55" s="35">
        <f>J54+(((J54-J53)+(J53-J52)+(J52-J51)+(J51-J50))/4)</f>
        <v>0.7655</v>
      </c>
      <c r="K55" s="55">
        <v>575725.3125</v>
      </c>
      <c r="L55" s="55">
        <v>9211.605</v>
      </c>
      <c r="M55" s="55">
        <v>39225.11063</v>
      </c>
      <c r="N55" s="55">
        <v>946149.6875</v>
      </c>
      <c r="O55" s="53">
        <v>9461.496875</v>
      </c>
      <c r="P55" s="53">
        <v>124891.75875</v>
      </c>
    </row>
    <row r="56">
      <c r="A56" s="41"/>
      <c r="B56" s="29">
        <v>2021.0</v>
      </c>
      <c r="C56" s="29">
        <v>1.0</v>
      </c>
      <c r="D56" s="29">
        <v>1.0</v>
      </c>
      <c r="E56" s="185">
        <v>18.0</v>
      </c>
      <c r="F56" s="185">
        <v>37.0</v>
      </c>
      <c r="G56" s="189">
        <v>27.25</v>
      </c>
      <c r="H56" s="59">
        <f>MEDIAN(H50:H55)</f>
        <v>29.65</v>
      </c>
      <c r="I56" s="45">
        <f t="shared" ref="I56:I57" si="6">I55-12.68</f>
        <v>41</v>
      </c>
      <c r="J56" s="35">
        <f>J55+(((J55-J54)+(J54-J53)+(J53-J52)+(J52-J51)+(J51-J50))/5)</f>
        <v>0.768</v>
      </c>
      <c r="K56" s="55">
        <v>578185.3974</v>
      </c>
      <c r="L56" s="55">
        <v>9250.966358399999</v>
      </c>
      <c r="M56" s="55">
        <v>39392.72025</v>
      </c>
      <c r="N56" s="55">
        <v>950192.6026</v>
      </c>
      <c r="O56" s="53">
        <v>9501.926026000001</v>
      </c>
      <c r="P56" s="53">
        <v>125425.4235432</v>
      </c>
    </row>
    <row r="57">
      <c r="A57" s="41"/>
      <c r="B57" s="22">
        <v>2022.0</v>
      </c>
      <c r="C57" s="29">
        <v>0.0</v>
      </c>
      <c r="D57" s="29">
        <v>0.0</v>
      </c>
      <c r="E57" s="185">
        <v>19.0</v>
      </c>
      <c r="F57" s="185">
        <v>36.0</v>
      </c>
      <c r="G57" s="185">
        <v>27.06</v>
      </c>
      <c r="H57" s="33">
        <v>28.0</v>
      </c>
      <c r="I57" s="52">
        <f t="shared" si="6"/>
        <v>28.32</v>
      </c>
      <c r="J57" s="35">
        <f>J56+(((J56-J55)+(J55-J54)+(J54-J53)+(J53-J52)+(J52-J51)+(J51-J50))/6)</f>
        <v>0.7705</v>
      </c>
      <c r="K57" s="55">
        <v>590148.0</v>
      </c>
      <c r="L57" s="55">
        <v>9442.368</v>
      </c>
      <c r="M57" s="55">
        <v>40207.752</v>
      </c>
      <c r="N57" s="55">
        <v>969852.0</v>
      </c>
      <c r="O57" s="55">
        <v>9698.52</v>
      </c>
      <c r="P57" s="55">
        <v>128020.464</v>
      </c>
    </row>
    <row r="58">
      <c r="A58" s="41"/>
      <c r="B58" s="22"/>
      <c r="C58" s="41"/>
      <c r="D58" s="41"/>
      <c r="E58" s="188"/>
      <c r="F58" s="188"/>
      <c r="G58" s="188"/>
      <c r="H58" s="59"/>
      <c r="I58" s="52"/>
      <c r="J58" s="53"/>
      <c r="K58" s="53"/>
      <c r="L58" s="53"/>
      <c r="M58" s="53"/>
      <c r="N58" s="53"/>
      <c r="O58" s="53"/>
      <c r="P58" s="53"/>
    </row>
    <row r="59">
      <c r="A59" s="28" t="s">
        <v>27</v>
      </c>
      <c r="B59" s="29">
        <v>2015.0</v>
      </c>
      <c r="C59" s="29">
        <v>1.0</v>
      </c>
      <c r="D59" s="29">
        <v>4.0</v>
      </c>
      <c r="E59" s="185">
        <v>14.0</v>
      </c>
      <c r="F59" s="185">
        <v>42.0</v>
      </c>
      <c r="G59" s="189">
        <v>29.46</v>
      </c>
      <c r="H59" s="61">
        <v>44.3</v>
      </c>
      <c r="I59" s="34">
        <v>63.28</v>
      </c>
      <c r="J59" s="55">
        <v>0.649</v>
      </c>
      <c r="K59" s="55">
        <v>3.7263751E7</v>
      </c>
      <c r="L59" s="55">
        <v>596220.017568</v>
      </c>
      <c r="M59" s="55">
        <v>2757517.581</v>
      </c>
      <c r="N59" s="55">
        <v>2.7655675902E7</v>
      </c>
      <c r="O59" s="53">
        <v>276556.75902000006</v>
      </c>
      <c r="P59" s="53">
        <v>3650549.219064</v>
      </c>
    </row>
    <row r="60">
      <c r="A60" s="41"/>
      <c r="B60" s="29">
        <v>2016.0</v>
      </c>
      <c r="C60" s="29">
        <v>1.0</v>
      </c>
      <c r="D60" s="29">
        <v>2.0</v>
      </c>
      <c r="E60" s="185">
        <v>15.0</v>
      </c>
      <c r="F60" s="185">
        <v>44.0</v>
      </c>
      <c r="G60" s="189">
        <v>29.33</v>
      </c>
      <c r="H60" s="61">
        <v>41.3</v>
      </c>
      <c r="I60" s="45">
        <v>62.99</v>
      </c>
      <c r="J60" s="55">
        <v>0.656</v>
      </c>
      <c r="K60" s="55">
        <v>3.7902576E7</v>
      </c>
      <c r="L60" s="55">
        <v>606441.212608</v>
      </c>
      <c r="M60" s="55">
        <v>2804790.608</v>
      </c>
      <c r="N60" s="55">
        <v>2.8129786212E7</v>
      </c>
      <c r="O60" s="53">
        <v>281297.86212</v>
      </c>
      <c r="P60" s="53">
        <v>3713131.7799840006</v>
      </c>
    </row>
    <row r="61">
      <c r="A61" s="41"/>
      <c r="B61" s="29">
        <v>2017.0</v>
      </c>
      <c r="C61" s="29">
        <v>1.0</v>
      </c>
      <c r="D61" s="29">
        <v>1.0</v>
      </c>
      <c r="E61" s="185">
        <v>13.0</v>
      </c>
      <c r="F61" s="185">
        <v>43.0</v>
      </c>
      <c r="G61" s="189">
        <v>29.92</v>
      </c>
      <c r="H61" s="61">
        <v>45.8</v>
      </c>
      <c r="I61" s="34">
        <v>61.99</v>
      </c>
      <c r="J61" s="55">
        <v>0.667</v>
      </c>
      <c r="K61" s="55">
        <v>3.8539356E7</v>
      </c>
      <c r="L61" s="55">
        <v>616629.7034240001</v>
      </c>
      <c r="M61" s="55">
        <v>2851912.378</v>
      </c>
      <c r="N61" s="55">
        <v>2.8602379536E7</v>
      </c>
      <c r="O61" s="53">
        <v>286023.79536</v>
      </c>
      <c r="P61" s="53">
        <v>3775514.0987519994</v>
      </c>
    </row>
    <row r="62">
      <c r="A62" s="41"/>
      <c r="B62" s="29">
        <v>2018.0</v>
      </c>
      <c r="C62" s="29">
        <v>0.0</v>
      </c>
      <c r="D62" s="29">
        <v>0.0</v>
      </c>
      <c r="E62" s="185">
        <v>15.0</v>
      </c>
      <c r="F62" s="185">
        <v>43.0</v>
      </c>
      <c r="G62" s="189">
        <v>29.67</v>
      </c>
      <c r="H62" s="61">
        <v>46.7</v>
      </c>
      <c r="I62" s="34">
        <v>63.52</v>
      </c>
      <c r="J62" s="55">
        <v>0.669</v>
      </c>
      <c r="K62" s="55">
        <v>3.9173886E7</v>
      </c>
      <c r="L62" s="55">
        <v>626782.174592</v>
      </c>
      <c r="M62" s="55">
        <v>2898867.557</v>
      </c>
      <c r="N62" s="55">
        <v>2.9073302088E7</v>
      </c>
      <c r="O62" s="53">
        <v>290733.02088</v>
      </c>
      <c r="P62" s="53">
        <v>3837675.8756159996</v>
      </c>
    </row>
    <row r="63">
      <c r="A63" s="41"/>
      <c r="B63" s="29">
        <v>2019.0</v>
      </c>
      <c r="C63" s="29">
        <v>1.0</v>
      </c>
      <c r="D63" s="29">
        <v>1.0</v>
      </c>
      <c r="E63" s="185">
        <v>14.0</v>
      </c>
      <c r="F63" s="185">
        <v>43.0</v>
      </c>
      <c r="G63" s="189">
        <v>27.96</v>
      </c>
      <c r="H63" s="61">
        <v>46.9</v>
      </c>
      <c r="I63" s="34">
        <v>64.8</v>
      </c>
      <c r="J63" s="55">
        <v>0.672</v>
      </c>
      <c r="K63" s="55">
        <v>3.9805963E7</v>
      </c>
      <c r="L63" s="55">
        <v>636895.402528</v>
      </c>
      <c r="M63" s="55">
        <v>2945641.237</v>
      </c>
      <c r="N63" s="55">
        <v>2.9542404342E7</v>
      </c>
      <c r="O63" s="53">
        <v>295424.04342</v>
      </c>
      <c r="P63" s="53">
        <v>3899597.3731440003</v>
      </c>
    </row>
    <row r="64">
      <c r="A64" s="41"/>
      <c r="B64" s="29">
        <v>2020.0</v>
      </c>
      <c r="C64" s="29">
        <v>1.0</v>
      </c>
      <c r="D64" s="29">
        <v>3.0</v>
      </c>
      <c r="E64" s="185">
        <v>13.0</v>
      </c>
      <c r="F64" s="185">
        <v>43.0</v>
      </c>
      <c r="G64" s="189">
        <v>41.71</v>
      </c>
      <c r="H64" s="61">
        <v>45.5</v>
      </c>
      <c r="I64" s="34">
        <v>62.46</v>
      </c>
      <c r="J64" s="55">
        <f>J63+(((J63-J62)+(J62-J61)+(J61-J60)+(J60-J59))/4)</f>
        <v>0.67775</v>
      </c>
      <c r="K64" s="55">
        <v>4.0435393E7</v>
      </c>
      <c r="L64" s="55">
        <v>646966.28304</v>
      </c>
      <c r="M64" s="55">
        <v>2992219.059</v>
      </c>
      <c r="N64" s="55">
        <v>3.000954231E7</v>
      </c>
      <c r="O64" s="53">
        <v>300095.4231</v>
      </c>
      <c r="P64" s="53">
        <v>3961259.5849200003</v>
      </c>
    </row>
    <row r="65">
      <c r="A65" s="41"/>
      <c r="B65" s="29">
        <v>2021.0</v>
      </c>
      <c r="C65" s="29">
        <v>1.0</v>
      </c>
      <c r="D65" s="29">
        <v>3.0</v>
      </c>
      <c r="E65" s="185">
        <v>14.0</v>
      </c>
      <c r="F65" s="185">
        <v>43.0</v>
      </c>
      <c r="G65" s="189">
        <v>29.29</v>
      </c>
      <c r="H65" s="59">
        <f>MEDIAN(H59:H64)</f>
        <v>45.65</v>
      </c>
      <c r="I65" s="45">
        <f t="shared" ref="I65:I66" si="7">I64-0.55</f>
        <v>61.91</v>
      </c>
      <c r="J65" s="55">
        <f>J64+((((J64-J63)+(J63-J62)+(J62-J61)+(J61-J60)+(J60-J59))/5))</f>
        <v>0.6835</v>
      </c>
      <c r="K65" s="55">
        <v>4.1061988E7</v>
      </c>
      <c r="L65" s="55">
        <v>656991.803776</v>
      </c>
      <c r="M65" s="55">
        <v>3038587.092</v>
      </c>
      <c r="N65" s="55">
        <v>3.0474576264E7</v>
      </c>
      <c r="O65" s="53">
        <v>304745.76264000003</v>
      </c>
      <c r="P65" s="53">
        <v>4022644.0668479996</v>
      </c>
    </row>
    <row r="66">
      <c r="A66" s="41"/>
      <c r="B66" s="22">
        <v>2022.0</v>
      </c>
      <c r="C66" s="29">
        <v>1.0</v>
      </c>
      <c r="D66" s="29">
        <v>2.0</v>
      </c>
      <c r="E66" s="185">
        <v>14.0</v>
      </c>
      <c r="F66" s="185">
        <v>44.0</v>
      </c>
      <c r="G66" s="185">
        <v>29.26</v>
      </c>
      <c r="H66" s="33">
        <v>57.0</v>
      </c>
      <c r="I66" s="52">
        <f t="shared" si="7"/>
        <v>61.36</v>
      </c>
      <c r="J66" s="55">
        <f>J65+((((J65-J64)+(J64-J63)+(J63-J62)+(J62-J61)+(J61-J60)+(J60-J59))/6))</f>
        <v>0.68925</v>
      </c>
      <c r="K66" s="55">
        <v>4.119024E7</v>
      </c>
      <c r="L66" s="55">
        <v>659043.84</v>
      </c>
      <c r="M66" s="55">
        <v>3048077.76</v>
      </c>
      <c r="N66" s="55">
        <v>3.056976E7</v>
      </c>
      <c r="O66" s="55">
        <v>305697.6</v>
      </c>
      <c r="P66" s="55">
        <v>4035208.32</v>
      </c>
    </row>
    <row r="67">
      <c r="A67" s="41"/>
      <c r="B67" s="22"/>
      <c r="C67" s="41"/>
      <c r="D67" s="41"/>
      <c r="E67" s="188"/>
      <c r="F67" s="188"/>
      <c r="G67" s="188"/>
      <c r="H67" s="59"/>
      <c r="I67" s="52"/>
      <c r="J67" s="53"/>
      <c r="K67" s="53"/>
      <c r="L67" s="53"/>
      <c r="M67" s="53"/>
      <c r="N67" s="53"/>
      <c r="O67" s="53"/>
      <c r="P67" s="53"/>
    </row>
    <row r="68">
      <c r="A68" s="28" t="s">
        <v>28</v>
      </c>
      <c r="B68" s="29">
        <v>2015.0</v>
      </c>
      <c r="C68" s="29">
        <v>1.0</v>
      </c>
      <c r="D68" s="29">
        <v>1.0</v>
      </c>
      <c r="E68" s="185">
        <v>6.0</v>
      </c>
      <c r="F68" s="185">
        <v>46.0</v>
      </c>
      <c r="G68" s="189">
        <v>27.96</v>
      </c>
      <c r="H68" s="33">
        <v>84.2</v>
      </c>
      <c r="I68" s="34">
        <v>49.87</v>
      </c>
      <c r="J68" s="55">
        <v>0.684</v>
      </c>
      <c r="K68" s="55">
        <v>1.754286304E7</v>
      </c>
      <c r="L68" s="55">
        <v>280685.8087</v>
      </c>
      <c r="M68" s="55">
        <v>1298171.865</v>
      </c>
      <c r="N68" s="55">
        <v>9396422.957</v>
      </c>
      <c r="O68" s="55">
        <v>93964.22957</v>
      </c>
      <c r="P68" s="55">
        <v>1240327.83</v>
      </c>
    </row>
    <row r="69">
      <c r="A69" s="41"/>
      <c r="B69" s="29">
        <v>2016.0</v>
      </c>
      <c r="C69" s="29">
        <v>1.0</v>
      </c>
      <c r="D69" s="29">
        <v>1.0</v>
      </c>
      <c r="E69" s="185">
        <v>5.0</v>
      </c>
      <c r="F69" s="185">
        <v>47.0</v>
      </c>
      <c r="G69" s="189">
        <v>28.04</v>
      </c>
      <c r="H69" s="33">
        <v>88.7</v>
      </c>
      <c r="I69" s="34">
        <v>46.97</v>
      </c>
      <c r="J69" s="55">
        <v>0.691</v>
      </c>
      <c r="K69" s="55">
        <v>1.779803902E7</v>
      </c>
      <c r="L69" s="55">
        <v>284768.6243</v>
      </c>
      <c r="M69" s="55">
        <v>1317054.887</v>
      </c>
      <c r="N69" s="55">
        <v>9533101.981</v>
      </c>
      <c r="O69" s="55">
        <v>95331.01981</v>
      </c>
      <c r="P69" s="55">
        <v>1258369.461</v>
      </c>
    </row>
    <row r="70">
      <c r="A70" s="41"/>
      <c r="B70" s="29">
        <v>2017.0</v>
      </c>
      <c r="C70" s="29">
        <v>1.0</v>
      </c>
      <c r="D70" s="29">
        <v>1.0</v>
      </c>
      <c r="E70" s="185">
        <v>5.0</v>
      </c>
      <c r="F70" s="185">
        <v>47.0</v>
      </c>
      <c r="G70" s="189">
        <v>28.08</v>
      </c>
      <c r="H70" s="33">
        <v>85.7</v>
      </c>
      <c r="I70" s="34">
        <v>53.51</v>
      </c>
      <c r="J70" s="55">
        <v>0.702</v>
      </c>
      <c r="K70" s="55">
        <v>1.805174849E7</v>
      </c>
      <c r="L70" s="55">
        <v>288827.9759</v>
      </c>
      <c r="M70" s="55">
        <v>1335829.388</v>
      </c>
      <c r="N70" s="55">
        <v>9668995.507</v>
      </c>
      <c r="O70" s="55">
        <v>96689.95507</v>
      </c>
      <c r="P70" s="55">
        <v>1276307.407</v>
      </c>
    </row>
    <row r="71">
      <c r="A71" s="41"/>
      <c r="B71" s="29">
        <v>2018.0</v>
      </c>
      <c r="C71" s="29">
        <v>0.0</v>
      </c>
      <c r="D71" s="29">
        <v>0.0</v>
      </c>
      <c r="E71" s="185">
        <v>8.0</v>
      </c>
      <c r="F71" s="185">
        <v>46.0</v>
      </c>
      <c r="G71" s="189">
        <v>29.0</v>
      </c>
      <c r="H71" s="33">
        <v>89.1</v>
      </c>
      <c r="I71" s="34">
        <v>46.19</v>
      </c>
      <c r="J71" s="55">
        <v>0.705</v>
      </c>
      <c r="K71" s="55">
        <v>1.830392895E7</v>
      </c>
      <c r="L71" s="55">
        <v>292862.8632</v>
      </c>
      <c r="M71" s="55">
        <v>1354490.742</v>
      </c>
      <c r="N71" s="55">
        <v>9804070.051</v>
      </c>
      <c r="O71" s="55">
        <v>98040.70051</v>
      </c>
      <c r="P71" s="55">
        <v>1294137.247</v>
      </c>
    </row>
    <row r="72">
      <c r="A72" s="41"/>
      <c r="B72" s="29">
        <v>2019.0</v>
      </c>
      <c r="C72" s="29">
        <v>0.0</v>
      </c>
      <c r="D72" s="29">
        <v>0.0</v>
      </c>
      <c r="E72" s="185">
        <v>8.0</v>
      </c>
      <c r="F72" s="185">
        <v>49.0</v>
      </c>
      <c r="G72" s="189">
        <v>26.63</v>
      </c>
      <c r="H72" s="33">
        <v>87.3</v>
      </c>
      <c r="I72" s="34">
        <v>46.4</v>
      </c>
      <c r="J72" s="55">
        <v>0.708</v>
      </c>
      <c r="K72" s="55">
        <v>1.855451787E7</v>
      </c>
      <c r="L72" s="55">
        <v>296872.286</v>
      </c>
      <c r="M72" s="55">
        <v>1373034.323</v>
      </c>
      <c r="N72" s="55">
        <v>9938292.128</v>
      </c>
      <c r="O72" s="55">
        <v>99382.92128</v>
      </c>
      <c r="P72" s="55">
        <v>1311854.561</v>
      </c>
    </row>
    <row r="73">
      <c r="A73" s="41"/>
      <c r="B73" s="29">
        <v>2020.0</v>
      </c>
      <c r="C73" s="29">
        <v>1.0</v>
      </c>
      <c r="D73" s="29">
        <v>1.0</v>
      </c>
      <c r="E73" s="185">
        <v>8.0</v>
      </c>
      <c r="F73" s="185">
        <v>48.0</v>
      </c>
      <c r="G73" s="189">
        <v>28.08</v>
      </c>
      <c r="H73" s="33">
        <v>83.4</v>
      </c>
      <c r="I73" s="34">
        <v>49.26</v>
      </c>
      <c r="J73" s="55">
        <f>J72+(((J72-J71)+(J71-J70)+(J70-J69)+(J69-J68))/4)</f>
        <v>0.714</v>
      </c>
      <c r="K73" s="55">
        <v>1.880345665E7</v>
      </c>
      <c r="L73" s="55">
        <v>300855.3065</v>
      </c>
      <c r="M73" s="55">
        <v>1391455.792</v>
      </c>
      <c r="N73" s="55">
        <v>1.007163035E7</v>
      </c>
      <c r="O73" s="55">
        <v>100716.3035</v>
      </c>
      <c r="P73" s="55">
        <v>1329455.206</v>
      </c>
    </row>
    <row r="74">
      <c r="A74" s="41"/>
      <c r="B74" s="29">
        <v>2021.0</v>
      </c>
      <c r="C74" s="29">
        <v>1.0</v>
      </c>
      <c r="D74" s="29">
        <v>1.0</v>
      </c>
      <c r="E74" s="185">
        <v>7.0</v>
      </c>
      <c r="F74" s="185">
        <v>48.0</v>
      </c>
      <c r="G74" s="189">
        <v>27.75</v>
      </c>
      <c r="H74" s="59">
        <f>MEDIAN(H68:H73)</f>
        <v>86.5</v>
      </c>
      <c r="I74" s="34">
        <f t="shared" ref="I74:I75" si="8">I73-0.55</f>
        <v>48.71</v>
      </c>
      <c r="J74" s="55">
        <f>J73+(((J73-J72)+(J72-J71)+(J71-J70)+(J70-J69)+(J69-J68))/5)</f>
        <v>0.72</v>
      </c>
      <c r="K74" s="55">
        <v>1.905068994E7</v>
      </c>
      <c r="L74" s="55">
        <v>304811.0391</v>
      </c>
      <c r="M74" s="55">
        <v>1409751.056</v>
      </c>
      <c r="N74" s="55">
        <v>1.020405506E7</v>
      </c>
      <c r="O74" s="55">
        <v>102040.5506</v>
      </c>
      <c r="P74" s="55">
        <v>1346935.267</v>
      </c>
    </row>
    <row r="75">
      <c r="A75" s="41"/>
      <c r="B75" s="22">
        <v>2022.0</v>
      </c>
      <c r="C75" s="29">
        <v>1.0</v>
      </c>
      <c r="D75" s="29">
        <v>1.0</v>
      </c>
      <c r="E75" s="185">
        <v>8.0</v>
      </c>
      <c r="F75" s="185">
        <v>47.0</v>
      </c>
      <c r="G75" s="185">
        <v>29.1</v>
      </c>
      <c r="H75" s="33">
        <v>83.0</v>
      </c>
      <c r="I75" s="52">
        <f t="shared" si="8"/>
        <v>48.16</v>
      </c>
      <c r="J75" s="55">
        <f>J74+(((J74-J73)+(J73-J72)+(J72-J71)+(J71-J70)+(J70-J69)+(J69-J68))/6)</f>
        <v>0.726</v>
      </c>
      <c r="K75" s="55">
        <v>1.9822528E7</v>
      </c>
      <c r="L75" s="55">
        <v>317160.448</v>
      </c>
      <c r="M75" s="55">
        <v>1466867.072</v>
      </c>
      <c r="N75" s="55">
        <v>1.0617472E7</v>
      </c>
      <c r="O75" s="55">
        <v>106174.72</v>
      </c>
      <c r="P75" s="55">
        <v>1401506.304</v>
      </c>
    </row>
    <row r="76">
      <c r="A76" s="41"/>
      <c r="B76" s="22"/>
      <c r="C76" s="41"/>
      <c r="D76" s="41"/>
      <c r="E76" s="188"/>
      <c r="F76" s="188"/>
      <c r="G76" s="188"/>
      <c r="H76" s="59"/>
      <c r="I76" s="52"/>
      <c r="J76" s="53"/>
      <c r="K76" s="53"/>
      <c r="L76" s="53"/>
      <c r="M76" s="53"/>
      <c r="N76" s="53"/>
      <c r="O76" s="53"/>
      <c r="P76" s="53"/>
    </row>
    <row r="77">
      <c r="A77" s="28" t="s">
        <v>29</v>
      </c>
      <c r="B77" s="29">
        <v>2015.0</v>
      </c>
      <c r="C77" s="29">
        <v>0.0</v>
      </c>
      <c r="D77" s="29">
        <v>0.0</v>
      </c>
      <c r="E77" s="185">
        <v>-2.0</v>
      </c>
      <c r="F77" s="185">
        <v>32.0</v>
      </c>
      <c r="G77" s="189">
        <v>16.63</v>
      </c>
      <c r="H77" s="33">
        <v>27.3</v>
      </c>
      <c r="I77" s="62">
        <v>62.12</v>
      </c>
      <c r="J77" s="55">
        <v>0.702</v>
      </c>
      <c r="K77" s="55">
        <v>6438037.272</v>
      </c>
      <c r="L77" s="55">
        <v>103008.5964</v>
      </c>
      <c r="M77" s="55">
        <v>476414.7581</v>
      </c>
      <c r="N77" s="55">
        <v>717722.728</v>
      </c>
      <c r="O77" s="55">
        <v>7177.22728</v>
      </c>
      <c r="P77" s="55">
        <v>94739.4001</v>
      </c>
    </row>
    <row r="78">
      <c r="A78" s="41"/>
      <c r="B78" s="29">
        <v>2016.0</v>
      </c>
      <c r="C78" s="29">
        <v>1.0</v>
      </c>
      <c r="D78" s="29">
        <v>1.0</v>
      </c>
      <c r="E78" s="185">
        <v>-4.0</v>
      </c>
      <c r="F78" s="185">
        <v>33.0</v>
      </c>
      <c r="G78" s="189">
        <v>16.71</v>
      </c>
      <c r="H78" s="33">
        <v>32.1</v>
      </c>
      <c r="I78" s="62">
        <v>61.2</v>
      </c>
      <c r="J78" s="55">
        <v>0.708</v>
      </c>
      <c r="K78" s="55">
        <v>6501917.771</v>
      </c>
      <c r="L78" s="55">
        <v>104030.6843</v>
      </c>
      <c r="M78" s="55">
        <v>481141.9151</v>
      </c>
      <c r="N78" s="55">
        <v>724844.229</v>
      </c>
      <c r="O78" s="55">
        <v>7248.442286</v>
      </c>
      <c r="P78" s="55">
        <v>95679.43818</v>
      </c>
    </row>
    <row r="79">
      <c r="A79" s="41"/>
      <c r="B79" s="29">
        <v>2017.0</v>
      </c>
      <c r="C79" s="29">
        <v>1.0</v>
      </c>
      <c r="D79" s="29">
        <v>1.0</v>
      </c>
      <c r="E79" s="185">
        <v>-2.0</v>
      </c>
      <c r="F79" s="185">
        <v>34.0</v>
      </c>
      <c r="G79" s="189">
        <v>17.29</v>
      </c>
      <c r="H79" s="33">
        <v>27.9</v>
      </c>
      <c r="I79" s="34">
        <v>68.46</v>
      </c>
      <c r="J79" s="55">
        <v>0.719</v>
      </c>
      <c r="K79" s="55">
        <v>6565141.49</v>
      </c>
      <c r="L79" s="55">
        <v>105042.2638</v>
      </c>
      <c r="M79" s="55">
        <v>485820.4702</v>
      </c>
      <c r="N79" s="55">
        <v>731892.51</v>
      </c>
      <c r="O79" s="55">
        <v>7318.925102</v>
      </c>
      <c r="P79" s="55">
        <v>96609.81135</v>
      </c>
    </row>
    <row r="80">
      <c r="A80" s="41"/>
      <c r="B80" s="29">
        <v>2018.0</v>
      </c>
      <c r="C80" s="29">
        <v>0.0</v>
      </c>
      <c r="D80" s="29">
        <v>0.0</v>
      </c>
      <c r="E80" s="185">
        <v>-1.0</v>
      </c>
      <c r="F80" s="185">
        <v>32.0</v>
      </c>
      <c r="G80" s="189">
        <v>17.58</v>
      </c>
      <c r="H80" s="33">
        <v>29.3</v>
      </c>
      <c r="I80" s="34">
        <v>65.45</v>
      </c>
      <c r="J80" s="55">
        <v>0.721</v>
      </c>
      <c r="K80" s="55">
        <v>6627703.929</v>
      </c>
      <c r="L80" s="55">
        <v>106043.2629</v>
      </c>
      <c r="M80" s="55">
        <v>490450.0907</v>
      </c>
      <c r="N80" s="55">
        <v>738867.071</v>
      </c>
      <c r="O80" s="55">
        <v>7388.670713</v>
      </c>
      <c r="P80" s="55">
        <v>97530.45341</v>
      </c>
    </row>
    <row r="81">
      <c r="A81" s="41"/>
      <c r="B81" s="29">
        <v>2019.0</v>
      </c>
      <c r="C81" s="29">
        <v>1.0</v>
      </c>
      <c r="D81" s="29">
        <v>1.0</v>
      </c>
      <c r="E81" s="185">
        <v>-4.0</v>
      </c>
      <c r="F81" s="185">
        <v>35.0</v>
      </c>
      <c r="G81" s="189">
        <v>17.0</v>
      </c>
      <c r="H81" s="33">
        <v>25.1</v>
      </c>
      <c r="I81" s="34">
        <v>63.23</v>
      </c>
      <c r="J81" s="55">
        <v>0.725</v>
      </c>
      <c r="K81" s="55">
        <v>6689598.79</v>
      </c>
      <c r="L81" s="55">
        <v>107033.5806</v>
      </c>
      <c r="M81" s="55">
        <v>495030.3105</v>
      </c>
      <c r="N81" s="55">
        <v>745767.21</v>
      </c>
      <c r="O81" s="55">
        <v>7457.672098</v>
      </c>
      <c r="P81" s="55">
        <v>98441.27169</v>
      </c>
    </row>
    <row r="82">
      <c r="A82" s="41"/>
      <c r="B82" s="29">
        <v>2020.0</v>
      </c>
      <c r="C82" s="29">
        <v>1.0</v>
      </c>
      <c r="D82" s="29">
        <v>1.0</v>
      </c>
      <c r="E82" s="185">
        <v>-6.0</v>
      </c>
      <c r="F82" s="185">
        <v>35.0</v>
      </c>
      <c r="G82" s="189">
        <v>18.25</v>
      </c>
      <c r="H82" s="33">
        <v>26.1</v>
      </c>
      <c r="I82" s="34">
        <v>63.17</v>
      </c>
      <c r="J82" s="55">
        <f>J81+(((J81-J80)+(J80-J79)+(J79-J78)+(J78-J77))/4)</f>
        <v>0.73075</v>
      </c>
      <c r="K82" s="55">
        <v>6750822.476</v>
      </c>
      <c r="L82" s="55">
        <v>108013.1596</v>
      </c>
      <c r="M82" s="55">
        <v>499560.8632</v>
      </c>
      <c r="N82" s="55">
        <v>752592.525</v>
      </c>
      <c r="O82" s="55">
        <v>7525.925245</v>
      </c>
      <c r="P82" s="55">
        <v>99342.21323</v>
      </c>
    </row>
    <row r="83">
      <c r="A83" s="41"/>
      <c r="B83" s="29">
        <v>2021.0</v>
      </c>
      <c r="C83" s="29">
        <v>1.0</v>
      </c>
      <c r="D83" s="29">
        <v>1.0</v>
      </c>
      <c r="E83" s="185">
        <v>-5.0</v>
      </c>
      <c r="F83" s="185">
        <v>33.0</v>
      </c>
      <c r="G83" s="189">
        <v>17.67</v>
      </c>
      <c r="H83" s="59">
        <f>MEDIAN(H77:H82)</f>
        <v>27.6</v>
      </c>
      <c r="I83" s="45">
        <f t="shared" ref="I83:I84" si="9">I82-0.06</f>
        <v>63.11</v>
      </c>
      <c r="J83" s="55">
        <f>J82+(((J82-J81)+(J81-J80)+(J80-J79)+(J79-J78)+(J78-J77))/5)</f>
        <v>0.7365</v>
      </c>
      <c r="K83" s="55">
        <v>6811370.486</v>
      </c>
      <c r="L83" s="55">
        <v>108981.9278</v>
      </c>
      <c r="M83" s="55">
        <v>504041.416</v>
      </c>
      <c r="N83" s="55">
        <v>759342.514</v>
      </c>
      <c r="O83" s="55">
        <v>7593.425139</v>
      </c>
      <c r="P83" s="55">
        <v>100233.2118</v>
      </c>
    </row>
    <row r="84">
      <c r="A84" s="41"/>
      <c r="B84" s="22">
        <v>2022.0</v>
      </c>
      <c r="C84" s="29">
        <v>0.0</v>
      </c>
      <c r="D84" s="29">
        <v>0.0</v>
      </c>
      <c r="E84" s="185">
        <v>-6.0</v>
      </c>
      <c r="F84" s="185">
        <v>34.0</v>
      </c>
      <c r="G84" s="185">
        <v>17.84</v>
      </c>
      <c r="H84" s="33">
        <v>34.0</v>
      </c>
      <c r="I84" s="52">
        <f t="shared" si="9"/>
        <v>63.05</v>
      </c>
      <c r="J84" s="55">
        <f>J83+(((J83-J82)+(J82-J81)+(J81-J80)+(J80-J79)+(J79-J78)+(J78-J77))/6)</f>
        <v>0.74225</v>
      </c>
      <c r="K84" s="55">
        <v>6918693.0</v>
      </c>
      <c r="L84" s="55">
        <v>110699.088</v>
      </c>
      <c r="M84" s="55">
        <v>511983.282</v>
      </c>
      <c r="N84" s="55">
        <v>771307.0</v>
      </c>
      <c r="O84" s="55">
        <v>7713.07</v>
      </c>
      <c r="P84" s="55">
        <v>101812.524</v>
      </c>
    </row>
    <row r="85">
      <c r="A85" s="41"/>
      <c r="B85" s="22"/>
      <c r="C85" s="41"/>
      <c r="D85" s="41"/>
      <c r="E85" s="188"/>
      <c r="F85" s="188"/>
      <c r="G85" s="188"/>
      <c r="H85" s="59"/>
      <c r="I85" s="52"/>
      <c r="J85" s="53"/>
      <c r="K85" s="53"/>
      <c r="L85" s="53"/>
      <c r="M85" s="53"/>
      <c r="N85" s="53"/>
      <c r="O85" s="53"/>
      <c r="P85" s="53"/>
    </row>
    <row r="86">
      <c r="A86" s="28" t="s">
        <v>30</v>
      </c>
      <c r="B86" s="29">
        <v>2015.0</v>
      </c>
      <c r="C86" s="29">
        <v>1.0</v>
      </c>
      <c r="D86" s="29">
        <v>2.0</v>
      </c>
      <c r="E86" s="185">
        <v>7.0</v>
      </c>
      <c r="F86" s="185">
        <v>43.0</v>
      </c>
      <c r="G86" s="189">
        <v>25.88</v>
      </c>
      <c r="H86" s="33">
        <v>56.3</v>
      </c>
      <c r="I86" s="34">
        <v>38.46</v>
      </c>
      <c r="J86" s="35">
        <v>0.58</v>
      </c>
      <c r="K86" s="55">
        <v>2.7435401032E7</v>
      </c>
      <c r="L86" s="55">
        <v>438966.4165</v>
      </c>
      <c r="M86" s="55">
        <v>2030219.676</v>
      </c>
      <c r="N86" s="55">
        <v>8687575.969</v>
      </c>
      <c r="O86" s="55">
        <v>86875.75969</v>
      </c>
      <c r="P86" s="55">
        <v>1180137.659</v>
      </c>
    </row>
    <row r="87">
      <c r="A87" s="41"/>
      <c r="B87" s="29">
        <v>2016.0</v>
      </c>
      <c r="C87" s="29">
        <v>1.0</v>
      </c>
      <c r="D87" s="29">
        <v>1.0</v>
      </c>
      <c r="E87" s="185">
        <v>8.0</v>
      </c>
      <c r="F87" s="185">
        <v>42.0</v>
      </c>
      <c r="G87" s="189">
        <v>26.0</v>
      </c>
      <c r="H87" s="33">
        <v>58.8</v>
      </c>
      <c r="I87" s="34">
        <v>45.33</v>
      </c>
      <c r="J87" s="35">
        <v>0.582</v>
      </c>
      <c r="K87" s="55">
        <v>2.8034007792E7</v>
      </c>
      <c r="L87" s="55">
        <v>448544.1247</v>
      </c>
      <c r="M87" s="55">
        <v>2074516.577</v>
      </c>
      <c r="N87" s="55">
        <v>8877128.208</v>
      </c>
      <c r="O87" s="55">
        <v>88771.28208</v>
      </c>
      <c r="P87" s="55">
        <v>1205886.813</v>
      </c>
    </row>
    <row r="88">
      <c r="A88" s="41"/>
      <c r="B88" s="29">
        <v>2017.0</v>
      </c>
      <c r="C88" s="29">
        <v>0.0</v>
      </c>
      <c r="D88" s="29">
        <v>0.0</v>
      </c>
      <c r="E88" s="185">
        <v>7.0</v>
      </c>
      <c r="F88" s="185">
        <v>44.0</v>
      </c>
      <c r="G88" s="189">
        <v>26.25</v>
      </c>
      <c r="H88" s="33">
        <v>54.6</v>
      </c>
      <c r="I88" s="34">
        <v>51.33</v>
      </c>
      <c r="J88" s="35">
        <v>0.592</v>
      </c>
      <c r="K88" s="55">
        <v>2.8633442408E7</v>
      </c>
      <c r="L88" s="55">
        <v>458135.0785</v>
      </c>
      <c r="M88" s="55">
        <v>2118874.738</v>
      </c>
      <c r="N88" s="55">
        <v>9066942.593</v>
      </c>
      <c r="O88" s="55">
        <v>90669.42593</v>
      </c>
      <c r="P88" s="55">
        <v>1231671.578</v>
      </c>
    </row>
    <row r="89">
      <c r="A89" s="41"/>
      <c r="B89" s="29">
        <v>2018.0</v>
      </c>
      <c r="C89" s="29">
        <v>0.0</v>
      </c>
      <c r="D89" s="29">
        <v>0.0</v>
      </c>
      <c r="E89" s="185">
        <v>8.0</v>
      </c>
      <c r="F89" s="185">
        <v>41.0</v>
      </c>
      <c r="G89" s="189">
        <v>26.42</v>
      </c>
      <c r="H89" s="33">
        <v>54.1</v>
      </c>
      <c r="I89" s="34">
        <v>40.19</v>
      </c>
      <c r="J89" s="35">
        <v>0.595</v>
      </c>
      <c r="K89" s="55">
        <v>2.9233448927E7</v>
      </c>
      <c r="L89" s="55">
        <v>467735.1828</v>
      </c>
      <c r="M89" s="55">
        <v>2163275.221</v>
      </c>
      <c r="N89" s="55">
        <v>9256938.074</v>
      </c>
      <c r="O89" s="55">
        <v>92569.38074</v>
      </c>
      <c r="P89" s="55">
        <v>1257480.943</v>
      </c>
    </row>
    <row r="90">
      <c r="A90" s="41"/>
      <c r="B90" s="29">
        <v>2019.0</v>
      </c>
      <c r="C90" s="29">
        <v>0.0</v>
      </c>
      <c r="D90" s="29">
        <v>0.0</v>
      </c>
      <c r="E90" s="185">
        <v>10.0</v>
      </c>
      <c r="F90" s="185">
        <v>43.0</v>
      </c>
      <c r="G90" s="189">
        <v>27.21</v>
      </c>
      <c r="H90" s="33">
        <v>58.7</v>
      </c>
      <c r="I90" s="34">
        <v>44.16</v>
      </c>
      <c r="J90" s="35">
        <v>0.598</v>
      </c>
      <c r="K90" s="55">
        <v>2.9833776714E7</v>
      </c>
      <c r="L90" s="55">
        <v>477340.4274</v>
      </c>
      <c r="M90" s="55">
        <v>2207699.477</v>
      </c>
      <c r="N90" s="55">
        <v>9447035.286</v>
      </c>
      <c r="O90" s="55">
        <v>94470.35286</v>
      </c>
      <c r="P90" s="55">
        <v>1283304.128</v>
      </c>
    </row>
    <row r="91">
      <c r="A91" s="41"/>
      <c r="B91" s="29">
        <v>2020.0</v>
      </c>
      <c r="C91" s="29">
        <v>1.0</v>
      </c>
      <c r="D91" s="29">
        <v>1.0</v>
      </c>
      <c r="E91" s="185">
        <v>10.0</v>
      </c>
      <c r="F91" s="185">
        <v>44.0</v>
      </c>
      <c r="G91" s="189">
        <v>25.88</v>
      </c>
      <c r="H91" s="33">
        <v>60.6</v>
      </c>
      <c r="I91" s="34">
        <v>47.55</v>
      </c>
      <c r="J91" s="35">
        <f>J90+(((J90-J89)+(J89-J88)+(J88-J87)+(J87-J86))/4)</f>
        <v>0.6025</v>
      </c>
      <c r="K91" s="55">
        <v>3.0434179692E7</v>
      </c>
      <c r="L91" s="55">
        <v>486946.8751</v>
      </c>
      <c r="M91" s="55">
        <v>2252129.297</v>
      </c>
      <c r="N91" s="55">
        <v>9637156.308</v>
      </c>
      <c r="O91" s="55">
        <v>96371.56308</v>
      </c>
      <c r="P91" s="55">
        <v>1309130.547</v>
      </c>
    </row>
    <row r="92">
      <c r="A92" s="41"/>
      <c r="B92" s="29">
        <v>2021.0</v>
      </c>
      <c r="C92" s="29">
        <v>1.0</v>
      </c>
      <c r="D92" s="29">
        <v>1.0</v>
      </c>
      <c r="E92" s="185">
        <v>9.0</v>
      </c>
      <c r="F92" s="185">
        <v>43.0</v>
      </c>
      <c r="G92" s="189">
        <v>25.25</v>
      </c>
      <c r="H92" s="59">
        <f>MEDIAN(H86:H91)</f>
        <v>57.5</v>
      </c>
      <c r="I92" s="52">
        <f t="shared" ref="I92:I93" si="10">I91+3.39</f>
        <v>50.94</v>
      </c>
      <c r="J92" s="35">
        <f>J91+(((J91-J90)+(J90-J89)+(J89-J88)+(J88-J87)+(J87-J86))/5)</f>
        <v>0.607</v>
      </c>
      <c r="K92" s="55">
        <v>3.103441634E7</v>
      </c>
      <c r="L92" s="55">
        <v>496550.6614</v>
      </c>
      <c r="M92" s="55">
        <v>2296546.809</v>
      </c>
      <c r="N92" s="55">
        <v>9827224.661</v>
      </c>
      <c r="O92" s="55">
        <v>98272.24661</v>
      </c>
      <c r="P92" s="55">
        <v>1334949.811</v>
      </c>
    </row>
    <row r="93">
      <c r="A93" s="41"/>
      <c r="B93" s="22">
        <v>2022.0</v>
      </c>
      <c r="C93" s="29">
        <v>1.0</v>
      </c>
      <c r="D93" s="29">
        <v>2.0</v>
      </c>
      <c r="E93" s="185">
        <v>10.0</v>
      </c>
      <c r="F93" s="185">
        <v>44.0</v>
      </c>
      <c r="G93" s="185">
        <v>25.15</v>
      </c>
      <c r="H93" s="33">
        <v>27.0</v>
      </c>
      <c r="I93" s="52">
        <f t="shared" si="10"/>
        <v>54.33</v>
      </c>
      <c r="J93" s="35">
        <f>J92+(((J92-J91)+(J91-J90)+(J90-J89)+(J89-J88)+(J88-J87)+(J87-J86))/6)</f>
        <v>0.6115</v>
      </c>
      <c r="K93" s="55">
        <v>3.115469E7</v>
      </c>
      <c r="L93" s="55">
        <v>498475.04</v>
      </c>
      <c r="M93" s="55">
        <v>2305447.06</v>
      </c>
      <c r="N93" s="63">
        <v>9865310.0</v>
      </c>
      <c r="O93" s="55">
        <v>98653.1</v>
      </c>
      <c r="P93" s="55">
        <v>1340123.4</v>
      </c>
    </row>
    <row r="94">
      <c r="A94" s="41"/>
      <c r="B94" s="22"/>
      <c r="C94" s="41"/>
      <c r="D94" s="41"/>
      <c r="E94" s="188"/>
      <c r="F94" s="188"/>
      <c r="G94" s="188"/>
      <c r="H94" s="59"/>
      <c r="I94" s="52"/>
      <c r="J94" s="53"/>
      <c r="K94" s="53"/>
      <c r="L94" s="53"/>
      <c r="M94" s="53"/>
      <c r="N94" s="53"/>
      <c r="O94" s="53"/>
      <c r="P94" s="53"/>
    </row>
    <row r="95">
      <c r="A95" s="28" t="s">
        <v>31</v>
      </c>
      <c r="B95" s="29">
        <v>2015.0</v>
      </c>
      <c r="C95" s="29">
        <v>1.0</v>
      </c>
      <c r="D95" s="29">
        <v>1.0</v>
      </c>
      <c r="E95" s="185">
        <v>15.0</v>
      </c>
      <c r="F95" s="185">
        <v>38.0</v>
      </c>
      <c r="G95" s="189">
        <v>24.29</v>
      </c>
      <c r="H95" s="61">
        <v>27.1</v>
      </c>
      <c r="I95" s="34">
        <v>58.7</v>
      </c>
      <c r="J95" s="55">
        <v>0.657</v>
      </c>
      <c r="K95" s="55">
        <v>3.9816567539E7</v>
      </c>
      <c r="L95" s="55">
        <v>637065.0806</v>
      </c>
      <c r="M95" s="55">
        <v>2944984.733</v>
      </c>
      <c r="N95" s="55">
        <v>2.5105277462E7</v>
      </c>
      <c r="O95" s="55">
        <v>251052.7746</v>
      </c>
      <c r="P95" s="55">
        <v>3313896.625</v>
      </c>
    </row>
    <row r="96">
      <c r="A96" s="41"/>
      <c r="B96" s="29">
        <v>2016.0</v>
      </c>
      <c r="C96" s="29">
        <v>1.0</v>
      </c>
      <c r="D96" s="29">
        <v>1.0</v>
      </c>
      <c r="E96" s="185">
        <v>15.0</v>
      </c>
      <c r="F96" s="185">
        <v>40.0</v>
      </c>
      <c r="G96" s="189">
        <v>24.75</v>
      </c>
      <c r="H96" s="33">
        <v>26.6</v>
      </c>
      <c r="I96" s="34">
        <v>61.14</v>
      </c>
      <c r="J96" s="55">
        <v>0.667</v>
      </c>
      <c r="K96" s="55">
        <v>4.03957331E7</v>
      </c>
      <c r="L96" s="55">
        <v>646331.7296</v>
      </c>
      <c r="M96" s="55">
        <v>2987822.02</v>
      </c>
      <c r="N96" s="55">
        <v>2.54704549E7</v>
      </c>
      <c r="O96" s="55">
        <v>254704.549</v>
      </c>
      <c r="P96" s="55">
        <v>3362100.047</v>
      </c>
    </row>
    <row r="97">
      <c r="A97" s="41"/>
      <c r="B97" s="29">
        <v>2017.0</v>
      </c>
      <c r="C97" s="29">
        <v>0.0</v>
      </c>
      <c r="D97" s="29">
        <v>0.0</v>
      </c>
      <c r="E97" s="185">
        <v>16.0</v>
      </c>
      <c r="F97" s="185">
        <v>40.0</v>
      </c>
      <c r="G97" s="189">
        <v>24.88</v>
      </c>
      <c r="H97" s="61">
        <v>29.7</v>
      </c>
      <c r="I97" s="34">
        <v>60.37</v>
      </c>
      <c r="J97" s="55">
        <v>0.677</v>
      </c>
      <c r="K97" s="55">
        <v>4.097157151E7</v>
      </c>
      <c r="L97" s="55">
        <v>655545.1442</v>
      </c>
      <c r="M97" s="55">
        <v>3030413.218</v>
      </c>
      <c r="N97" s="55">
        <v>2.583353449E7</v>
      </c>
      <c r="O97" s="55">
        <v>258335.3449</v>
      </c>
      <c r="P97" s="55">
        <v>3410026.553</v>
      </c>
    </row>
    <row r="98">
      <c r="A98" s="41"/>
      <c r="B98" s="29">
        <v>2018.0</v>
      </c>
      <c r="C98" s="29">
        <v>0.0</v>
      </c>
      <c r="D98" s="29">
        <v>0.0</v>
      </c>
      <c r="E98" s="185">
        <v>16.0</v>
      </c>
      <c r="F98" s="185">
        <v>39.0</v>
      </c>
      <c r="G98" s="189">
        <v>25.46</v>
      </c>
      <c r="H98" s="61">
        <v>29.3</v>
      </c>
      <c r="I98" s="34">
        <v>58.05</v>
      </c>
      <c r="J98" s="55">
        <v>0.68</v>
      </c>
      <c r="K98" s="55">
        <v>4.1543938028E7</v>
      </c>
      <c r="L98" s="55">
        <v>664703.0084</v>
      </c>
      <c r="M98" s="55">
        <v>3072747.622</v>
      </c>
      <c r="N98" s="55">
        <v>2.6194424972E7</v>
      </c>
      <c r="O98" s="55">
        <v>261944.2497</v>
      </c>
      <c r="P98" s="55">
        <v>3457664.096</v>
      </c>
    </row>
    <row r="99">
      <c r="A99" s="41"/>
      <c r="B99" s="29">
        <v>2019.0</v>
      </c>
      <c r="C99" s="29">
        <v>1.0</v>
      </c>
      <c r="D99" s="29">
        <v>2.0</v>
      </c>
      <c r="E99" s="185">
        <v>16.0</v>
      </c>
      <c r="F99" s="185">
        <v>41.0</v>
      </c>
      <c r="G99" s="189">
        <v>25.63</v>
      </c>
      <c r="H99" s="61">
        <v>25.9</v>
      </c>
      <c r="I99" s="34">
        <v>59.3</v>
      </c>
      <c r="J99" s="55">
        <v>0.683</v>
      </c>
      <c r="K99" s="55">
        <v>4.2112692822E7</v>
      </c>
      <c r="L99" s="55">
        <v>673803.0852</v>
      </c>
      <c r="M99" s="55">
        <v>3114814.89</v>
      </c>
      <c r="N99" s="55">
        <v>2.6553038178E7</v>
      </c>
      <c r="O99" s="55">
        <v>265530.3818</v>
      </c>
      <c r="P99" s="55">
        <v>3505001.039</v>
      </c>
    </row>
    <row r="100">
      <c r="A100" s="41"/>
      <c r="B100" s="29">
        <v>2020.0</v>
      </c>
      <c r="C100" s="29">
        <v>1.0</v>
      </c>
      <c r="D100" s="29">
        <v>1.0</v>
      </c>
      <c r="E100" s="185">
        <v>16.0</v>
      </c>
      <c r="F100" s="185">
        <v>41.0</v>
      </c>
      <c r="G100" s="189">
        <v>24.79</v>
      </c>
      <c r="H100" s="61">
        <v>28.3</v>
      </c>
      <c r="I100" s="34">
        <v>57.93</v>
      </c>
      <c r="J100" s="55">
        <f>J99+(((J99-J98)+(J98-J97)+(J97-J96)+(J96-J95))/4)</f>
        <v>0.6895</v>
      </c>
      <c r="K100" s="55">
        <v>4.2677702807E7</v>
      </c>
      <c r="L100" s="55">
        <v>682843.2449</v>
      </c>
      <c r="M100" s="55">
        <v>3156605.176</v>
      </c>
      <c r="N100" s="55">
        <v>2.6909290193E7</v>
      </c>
      <c r="O100" s="55">
        <v>269092.9019</v>
      </c>
      <c r="P100" s="55">
        <v>3552026.305</v>
      </c>
    </row>
    <row r="101">
      <c r="A101" s="41"/>
      <c r="B101" s="29">
        <v>2021.0</v>
      </c>
      <c r="C101" s="29">
        <v>1.0</v>
      </c>
      <c r="D101" s="29">
        <v>2.0</v>
      </c>
      <c r="E101" s="185">
        <v>15.0</v>
      </c>
      <c r="F101" s="185">
        <v>40.0</v>
      </c>
      <c r="G101" s="189">
        <v>23.63</v>
      </c>
      <c r="H101" s="59">
        <f>MEDIAN(H95:H100)</f>
        <v>27.7</v>
      </c>
      <c r="I101" s="52">
        <f>I100-1.37</f>
        <v>56.56</v>
      </c>
      <c r="J101" s="55">
        <f>J100+(((J100-J99)+(J99-J98)+(J98-J97)+(J97-J96)+(J96-J95))/5)</f>
        <v>0.696</v>
      </c>
      <c r="K101" s="55">
        <v>4.3238842255E7</v>
      </c>
      <c r="L101" s="55">
        <v>691821.4761</v>
      </c>
      <c r="M101" s="55">
        <v>3198109.184</v>
      </c>
      <c r="N101" s="55">
        <v>2.7263101745E7</v>
      </c>
      <c r="O101" s="55">
        <v>272631.0174</v>
      </c>
      <c r="P101" s="55">
        <v>3598729.43</v>
      </c>
    </row>
    <row r="102">
      <c r="A102" s="41"/>
      <c r="B102" s="22">
        <v>2022.0</v>
      </c>
      <c r="C102" s="29">
        <v>1.0</v>
      </c>
      <c r="D102" s="29">
        <v>1.0</v>
      </c>
      <c r="E102" s="185">
        <v>16.0</v>
      </c>
      <c r="F102" s="185">
        <v>39.0</v>
      </c>
      <c r="G102" s="185">
        <v>27.98</v>
      </c>
      <c r="H102" s="33">
        <v>18.0</v>
      </c>
      <c r="I102" s="64">
        <v>55.19</v>
      </c>
      <c r="J102" s="55">
        <f>J101+(((J101-J100)+(J100-J99)+(J99-J98)+(J98-J97)+(J97-J96)+(J96-J95))/6)</f>
        <v>0.7025</v>
      </c>
      <c r="K102" s="55">
        <v>4.3476837E7</v>
      </c>
      <c r="L102" s="55">
        <v>695629.392</v>
      </c>
      <c r="M102" s="55">
        <v>3215712.18</v>
      </c>
      <c r="N102" s="55">
        <v>2.7413163E7</v>
      </c>
      <c r="O102" s="55">
        <v>274131.63</v>
      </c>
      <c r="P102" s="55">
        <v>3618537.516</v>
      </c>
    </row>
    <row r="103">
      <c r="A103" s="41"/>
      <c r="B103" s="22"/>
      <c r="C103" s="41"/>
      <c r="D103" s="41"/>
      <c r="E103" s="188"/>
      <c r="F103" s="188"/>
      <c r="G103" s="188"/>
      <c r="H103" s="59"/>
      <c r="I103" s="52"/>
      <c r="J103" s="53"/>
      <c r="K103" s="53"/>
      <c r="L103" s="53"/>
      <c r="M103" s="53"/>
      <c r="N103" s="53"/>
      <c r="O103" s="53"/>
      <c r="P103" s="53"/>
    </row>
    <row r="104">
      <c r="A104" s="28" t="s">
        <v>32</v>
      </c>
      <c r="B104" s="29">
        <v>2015.0</v>
      </c>
      <c r="C104" s="29">
        <v>0.0</v>
      </c>
      <c r="D104" s="29">
        <v>0.0</v>
      </c>
      <c r="E104" s="185">
        <v>17.0</v>
      </c>
      <c r="F104" s="185">
        <v>37.0</v>
      </c>
      <c r="G104" s="189">
        <v>28.33</v>
      </c>
      <c r="H104" s="33">
        <v>16.4</v>
      </c>
      <c r="I104" s="34">
        <v>80.0</v>
      </c>
      <c r="J104" s="35">
        <v>0.757</v>
      </c>
      <c r="K104" s="55">
        <v>1.7778944634E7</v>
      </c>
      <c r="L104" s="55">
        <v>284463.1141</v>
      </c>
      <c r="M104" s="55">
        <v>1315641.903</v>
      </c>
      <c r="N104" s="55">
        <v>1.6215213366E7</v>
      </c>
      <c r="O104" s="55">
        <v>162152.1337</v>
      </c>
      <c r="P104" s="55">
        <v>2140408.164</v>
      </c>
    </row>
    <row r="105">
      <c r="A105" s="41"/>
      <c r="B105" s="29">
        <v>2016.0</v>
      </c>
      <c r="C105" s="29">
        <v>1.0</v>
      </c>
      <c r="D105" s="29">
        <v>2.0</v>
      </c>
      <c r="E105" s="185">
        <v>19.0</v>
      </c>
      <c r="F105" s="185">
        <v>37.0</v>
      </c>
      <c r="G105" s="189">
        <v>28.13</v>
      </c>
      <c r="H105" s="33">
        <v>18.5</v>
      </c>
      <c r="I105" s="34">
        <v>76.55</v>
      </c>
      <c r="J105" s="35">
        <v>0.763</v>
      </c>
      <c r="K105" s="55">
        <v>1.7852833028E7</v>
      </c>
      <c r="L105" s="55">
        <v>285645.3284</v>
      </c>
      <c r="M105" s="55">
        <v>1321109.644</v>
      </c>
      <c r="N105" s="55">
        <v>1.6282602972E7</v>
      </c>
      <c r="O105" s="55">
        <v>162826.0297</v>
      </c>
      <c r="P105" s="55">
        <v>2149303.592</v>
      </c>
    </row>
    <row r="106">
      <c r="A106" s="41"/>
      <c r="B106" s="29">
        <v>2017.0</v>
      </c>
      <c r="C106" s="29">
        <v>1.0</v>
      </c>
      <c r="D106" s="29">
        <v>1.0</v>
      </c>
      <c r="E106" s="185">
        <v>18.0</v>
      </c>
      <c r="F106" s="185">
        <v>36.0</v>
      </c>
      <c r="G106" s="189">
        <v>28.88</v>
      </c>
      <c r="H106" s="33">
        <v>17.9</v>
      </c>
      <c r="I106" s="34">
        <v>74.01</v>
      </c>
      <c r="J106" s="35">
        <v>0.775</v>
      </c>
      <c r="K106" s="55">
        <v>1.7925544672E7</v>
      </c>
      <c r="L106" s="55">
        <v>286808.7148</v>
      </c>
      <c r="M106" s="55">
        <v>1326490.306</v>
      </c>
      <c r="N106" s="55">
        <v>1.6348919328E7</v>
      </c>
      <c r="O106" s="55">
        <v>163489.1933</v>
      </c>
      <c r="P106" s="55">
        <v>2158057.351</v>
      </c>
    </row>
    <row r="107">
      <c r="A107" s="41"/>
      <c r="B107" s="29">
        <v>2018.0</v>
      </c>
      <c r="C107" s="29">
        <v>1.0</v>
      </c>
      <c r="D107" s="29">
        <v>1.0</v>
      </c>
      <c r="E107" s="185">
        <v>19.0</v>
      </c>
      <c r="F107" s="185">
        <v>36.0</v>
      </c>
      <c r="G107" s="189">
        <v>28.92</v>
      </c>
      <c r="H107" s="33">
        <v>19.9</v>
      </c>
      <c r="I107" s="34">
        <v>76.38</v>
      </c>
      <c r="J107" s="35">
        <v>0.778</v>
      </c>
      <c r="K107" s="55">
        <v>1.7997092641E7</v>
      </c>
      <c r="L107" s="55">
        <v>287953.4823</v>
      </c>
      <c r="M107" s="55">
        <v>1331784.855</v>
      </c>
      <c r="N107" s="55">
        <v>1.6414174359E7</v>
      </c>
      <c r="O107" s="55">
        <v>164141.7436</v>
      </c>
      <c r="P107" s="55">
        <v>2166671.015</v>
      </c>
    </row>
    <row r="108">
      <c r="A108" s="41"/>
      <c r="B108" s="29">
        <v>2019.0</v>
      </c>
      <c r="C108" s="29">
        <v>1.0</v>
      </c>
      <c r="D108" s="29">
        <v>1.0</v>
      </c>
      <c r="E108" s="185">
        <v>18.0</v>
      </c>
      <c r="F108" s="185">
        <v>42.0</v>
      </c>
      <c r="G108" s="189">
        <v>29.46</v>
      </c>
      <c r="H108" s="33">
        <v>15.7</v>
      </c>
      <c r="I108" s="34">
        <v>79.44</v>
      </c>
      <c r="J108" s="35">
        <v>0.782</v>
      </c>
      <c r="K108" s="55">
        <v>1.8067488964E7</v>
      </c>
      <c r="L108" s="55">
        <v>289079.8234</v>
      </c>
      <c r="M108" s="55">
        <v>1336994.183</v>
      </c>
      <c r="N108" s="55">
        <v>1.6478379036E7</v>
      </c>
      <c r="O108" s="55">
        <v>164783.7904</v>
      </c>
      <c r="P108" s="55">
        <v>2175146.033</v>
      </c>
    </row>
    <row r="109">
      <c r="A109" s="41"/>
      <c r="B109" s="29">
        <v>2020.0</v>
      </c>
      <c r="C109" s="29">
        <v>1.0</v>
      </c>
      <c r="D109" s="29">
        <v>3.0</v>
      </c>
      <c r="E109" s="185">
        <v>20.0</v>
      </c>
      <c r="F109" s="185">
        <v>42.0</v>
      </c>
      <c r="G109" s="189">
        <v>27.96</v>
      </c>
      <c r="H109" s="33">
        <v>17.1</v>
      </c>
      <c r="I109" s="34">
        <v>81.6</v>
      </c>
      <c r="J109" s="35">
        <f>J108+(((J108-J107)+(J107-J106)+(J106-J105)+(J105-J104))/4)</f>
        <v>0.78825</v>
      </c>
      <c r="K109" s="55">
        <v>1.8136747762E7</v>
      </c>
      <c r="L109" s="55">
        <v>290187.9642</v>
      </c>
      <c r="M109" s="55">
        <v>1342119.334</v>
      </c>
      <c r="N109" s="55">
        <v>1.6541546238E7</v>
      </c>
      <c r="O109" s="55">
        <v>165415.4624</v>
      </c>
      <c r="P109" s="55">
        <v>2183484.103</v>
      </c>
    </row>
    <row r="110">
      <c r="A110" s="41"/>
      <c r="B110" s="29">
        <v>2021.0</v>
      </c>
      <c r="C110" s="29">
        <v>1.0</v>
      </c>
      <c r="D110" s="29">
        <v>2.0</v>
      </c>
      <c r="E110" s="185">
        <v>18.0</v>
      </c>
      <c r="F110" s="185">
        <v>38.0</v>
      </c>
      <c r="G110" s="189">
        <v>27.0</v>
      </c>
      <c r="H110" s="59">
        <f>MEDIAN(H104:H109)</f>
        <v>17.5</v>
      </c>
      <c r="I110" s="52">
        <f t="shared" ref="I110:I111" si="11">I109+0.6</f>
        <v>82.2</v>
      </c>
      <c r="J110" s="35">
        <f>J109+(((J109-J108)+(J108-J107)+(J107-J106)+(J106-J105)+(J105-J104))/5)</f>
        <v>0.7945</v>
      </c>
      <c r="K110" s="55">
        <v>1.8204881064E7</v>
      </c>
      <c r="L110" s="55">
        <v>291278.097</v>
      </c>
      <c r="M110" s="55">
        <v>1347161.199</v>
      </c>
      <c r="N110" s="55">
        <v>1.6603686936E7</v>
      </c>
      <c r="O110" s="55">
        <v>166036.8694</v>
      </c>
      <c r="P110" s="55">
        <v>2191686.676</v>
      </c>
    </row>
    <row r="111">
      <c r="A111" s="41"/>
      <c r="B111" s="22">
        <v>2022.0</v>
      </c>
      <c r="C111" s="29">
        <v>1.0</v>
      </c>
      <c r="D111" s="29">
        <v>2.0</v>
      </c>
      <c r="E111" s="185">
        <v>19.0</v>
      </c>
      <c r="F111" s="185">
        <v>40.0</v>
      </c>
      <c r="G111" s="185">
        <v>27.98</v>
      </c>
      <c r="H111" s="33">
        <v>29.0</v>
      </c>
      <c r="I111" s="52">
        <f t="shared" si="11"/>
        <v>82.8</v>
      </c>
      <c r="J111" s="35">
        <f>J110+(((J110-J109)+(J109-J108)+(J108-J107)+(J107-J106)+(J106-J105)+(J105-J104))/6)</f>
        <v>0.80075</v>
      </c>
      <c r="K111" s="55">
        <v>1.828931E7</v>
      </c>
      <c r="L111" s="55">
        <v>292628.96</v>
      </c>
      <c r="M111" s="55">
        <v>1353408.94</v>
      </c>
      <c r="N111" s="55">
        <v>1.668069E7</v>
      </c>
      <c r="O111" s="55">
        <v>166806.9</v>
      </c>
      <c r="P111" s="55">
        <v>2201851.08</v>
      </c>
    </row>
    <row r="112">
      <c r="A112" s="41"/>
      <c r="B112" s="22"/>
      <c r="C112" s="41"/>
      <c r="D112" s="41"/>
      <c r="E112" s="188"/>
      <c r="F112" s="188"/>
      <c r="G112" s="188"/>
      <c r="H112" s="59"/>
      <c r="I112" s="52"/>
      <c r="J112" s="53"/>
      <c r="K112" s="53"/>
      <c r="L112" s="53"/>
      <c r="M112" s="53"/>
      <c r="N112" s="53"/>
      <c r="O112" s="53"/>
      <c r="P112" s="53"/>
    </row>
    <row r="113">
      <c r="A113" s="28" t="s">
        <v>33</v>
      </c>
      <c r="B113" s="29">
        <v>2015.0</v>
      </c>
      <c r="C113" s="29">
        <v>1.0</v>
      </c>
      <c r="D113" s="29">
        <v>4.0</v>
      </c>
      <c r="E113" s="185">
        <v>6.0</v>
      </c>
      <c r="F113" s="185">
        <v>46.0</v>
      </c>
      <c r="G113" s="189">
        <v>27.67</v>
      </c>
      <c r="H113" s="33">
        <v>50.1</v>
      </c>
      <c r="I113" s="34">
        <v>38.99</v>
      </c>
      <c r="J113" s="55">
        <v>0.581</v>
      </c>
      <c r="K113" s="55">
        <v>5.657948404E7</v>
      </c>
      <c r="L113" s="55">
        <v>905271.7446</v>
      </c>
      <c r="M113" s="55">
        <v>4186881.819</v>
      </c>
      <c r="N113" s="55">
        <v>2.160136996E7</v>
      </c>
      <c r="O113" s="55">
        <v>216013.6996</v>
      </c>
      <c r="P113" s="55">
        <v>2851380.835</v>
      </c>
    </row>
    <row r="114">
      <c r="A114" s="41"/>
      <c r="B114" s="29">
        <v>2016.0</v>
      </c>
      <c r="C114" s="29">
        <v>1.0</v>
      </c>
      <c r="D114" s="29">
        <v>1.0</v>
      </c>
      <c r="E114" s="185">
        <v>7.0</v>
      </c>
      <c r="F114" s="185">
        <v>47.0</v>
      </c>
      <c r="G114" s="189">
        <v>27.38</v>
      </c>
      <c r="H114" s="33">
        <v>49.6</v>
      </c>
      <c r="I114" s="45">
        <v>39.6</v>
      </c>
      <c r="J114" s="55">
        <v>0.588</v>
      </c>
      <c r="K114" s="55">
        <v>5.7579424672E7</v>
      </c>
      <c r="L114" s="55">
        <v>921270.7948</v>
      </c>
      <c r="M114" s="55">
        <v>4260877.426</v>
      </c>
      <c r="N114" s="55">
        <v>2.1983135328E7</v>
      </c>
      <c r="O114" s="55">
        <v>219831.3533</v>
      </c>
      <c r="P114" s="55">
        <v>2901773.863</v>
      </c>
    </row>
    <row r="115">
      <c r="A115" s="41"/>
      <c r="B115" s="29">
        <v>2017.0</v>
      </c>
      <c r="C115" s="29">
        <v>1.0</v>
      </c>
      <c r="D115" s="29">
        <v>1.0</v>
      </c>
      <c r="E115" s="185">
        <v>5.0</v>
      </c>
      <c r="F115" s="185">
        <v>46.0</v>
      </c>
      <c r="G115" s="189">
        <v>28.08</v>
      </c>
      <c r="H115" s="33">
        <v>51.5</v>
      </c>
      <c r="I115" s="34">
        <v>40.09</v>
      </c>
      <c r="J115" s="55">
        <v>0.598</v>
      </c>
      <c r="K115" s="55">
        <v>5.8576686167E7</v>
      </c>
      <c r="L115" s="55">
        <v>937226.9787</v>
      </c>
      <c r="M115" s="55">
        <v>4334674.776</v>
      </c>
      <c r="N115" s="55">
        <v>2.2363877833E7</v>
      </c>
      <c r="O115" s="55">
        <v>223638.7783</v>
      </c>
      <c r="P115" s="55">
        <v>2952031.874</v>
      </c>
    </row>
    <row r="116">
      <c r="A116" s="41"/>
      <c r="B116" s="29">
        <v>2018.0</v>
      </c>
      <c r="C116" s="29">
        <v>0.0</v>
      </c>
      <c r="D116" s="29">
        <v>0.0</v>
      </c>
      <c r="E116" s="185">
        <v>8.0</v>
      </c>
      <c r="F116" s="185">
        <v>45.0</v>
      </c>
      <c r="G116" s="189">
        <v>28.0</v>
      </c>
      <c r="H116" s="33">
        <v>51.2</v>
      </c>
      <c r="I116" s="34">
        <v>38.39</v>
      </c>
      <c r="J116" s="55">
        <v>0.6</v>
      </c>
      <c r="K116" s="55">
        <v>5.9570928385E7</v>
      </c>
      <c r="L116" s="55">
        <v>953134.8542</v>
      </c>
      <c r="M116" s="55">
        <v>4408248.701</v>
      </c>
      <c r="N116" s="55">
        <v>2.2743467615E7</v>
      </c>
      <c r="O116" s="55">
        <v>227434.6761</v>
      </c>
      <c r="P116" s="55">
        <v>3002137.725</v>
      </c>
    </row>
    <row r="117">
      <c r="A117" s="41"/>
      <c r="B117" s="29">
        <v>2019.0</v>
      </c>
      <c r="C117" s="29">
        <v>0.0</v>
      </c>
      <c r="D117" s="29">
        <v>0.0</v>
      </c>
      <c r="E117" s="185">
        <v>9.0</v>
      </c>
      <c r="F117" s="185">
        <v>47.0</v>
      </c>
      <c r="G117" s="189">
        <v>26.63</v>
      </c>
      <c r="H117" s="33">
        <v>54.8</v>
      </c>
      <c r="I117" s="34">
        <v>33.37</v>
      </c>
      <c r="J117" s="55">
        <v>0.603</v>
      </c>
      <c r="K117" s="55">
        <v>6.0561824215E7</v>
      </c>
      <c r="L117" s="55">
        <v>968989.1874</v>
      </c>
      <c r="M117" s="55">
        <v>4481574.992</v>
      </c>
      <c r="N117" s="55">
        <v>2.3121779785E7</v>
      </c>
      <c r="O117" s="55">
        <v>231217.7979</v>
      </c>
      <c r="P117" s="55">
        <v>3052074.932</v>
      </c>
    </row>
    <row r="118">
      <c r="A118" s="41"/>
      <c r="B118" s="29">
        <v>2020.0</v>
      </c>
      <c r="C118" s="29">
        <v>1.0</v>
      </c>
      <c r="D118" s="29">
        <v>1.0</v>
      </c>
      <c r="E118" s="185">
        <v>10.0</v>
      </c>
      <c r="F118" s="185">
        <v>46.0</v>
      </c>
      <c r="G118" s="189">
        <v>27.71</v>
      </c>
      <c r="H118" s="33">
        <v>53.2</v>
      </c>
      <c r="I118" s="34">
        <v>36.72</v>
      </c>
      <c r="J118" s="55">
        <f>J117+(((J117-J116)+(J116-J115)+(J115-J114)+(J114-J113))/4)</f>
        <v>0.6085</v>
      </c>
      <c r="K118" s="55">
        <v>6.1549055228E7</v>
      </c>
      <c r="L118" s="55">
        <v>984784.8836</v>
      </c>
      <c r="M118" s="55">
        <v>4554630.087</v>
      </c>
      <c r="N118" s="55">
        <v>2.3498692772E7</v>
      </c>
      <c r="O118" s="55">
        <v>234986.9277</v>
      </c>
      <c r="P118" s="55">
        <v>3101827.446</v>
      </c>
    </row>
    <row r="119">
      <c r="A119" s="41"/>
      <c r="B119" s="29">
        <v>2021.0</v>
      </c>
      <c r="C119" s="29">
        <v>1.0</v>
      </c>
      <c r="D119" s="29">
        <v>3.0</v>
      </c>
      <c r="E119" s="185">
        <v>8.0</v>
      </c>
      <c r="F119" s="185">
        <v>46.0</v>
      </c>
      <c r="G119" s="189">
        <v>27.25</v>
      </c>
      <c r="H119" s="59">
        <f>MEDIAN(H113:H118)</f>
        <v>51.35</v>
      </c>
      <c r="I119" s="65">
        <f t="shared" ref="I119:I120" si="12">I118+3.35</f>
        <v>40.07</v>
      </c>
      <c r="J119" s="55">
        <f>J118+(((J118-J117)+(J117-J116)+(J116-J115)+(J115-J114)+(J114-J113))/5)</f>
        <v>0.614</v>
      </c>
      <c r="K119" s="55">
        <v>6.2532312404E7</v>
      </c>
      <c r="L119" s="55">
        <v>1000516.998</v>
      </c>
      <c r="M119" s="55">
        <v>4627391.118</v>
      </c>
      <c r="N119" s="55">
        <v>2.3874088596E7</v>
      </c>
      <c r="O119" s="55">
        <v>238740.886</v>
      </c>
      <c r="P119" s="55">
        <v>3151379.695</v>
      </c>
    </row>
    <row r="120">
      <c r="A120" s="41"/>
      <c r="B120" s="22">
        <v>2022.0</v>
      </c>
      <c r="C120" s="29">
        <v>0.0</v>
      </c>
      <c r="D120" s="29">
        <v>0.0</v>
      </c>
      <c r="E120" s="185">
        <v>7.0</v>
      </c>
      <c r="F120" s="185">
        <v>47.0</v>
      </c>
      <c r="G120" s="185">
        <v>27.18</v>
      </c>
      <c r="H120" s="33">
        <v>35.0</v>
      </c>
      <c r="I120" s="52">
        <f t="shared" si="12"/>
        <v>43.42</v>
      </c>
      <c r="J120" s="55">
        <f>J119+(((J119-J118)+(J118-J117)+(J117-J116)+(J116-J115)+(J115-J114)+(J114-J113))/6)</f>
        <v>0.6195</v>
      </c>
      <c r="K120" s="55">
        <v>6.346849E7</v>
      </c>
      <c r="L120" s="55">
        <v>1015495.84</v>
      </c>
      <c r="M120" s="55">
        <v>4696668.26</v>
      </c>
      <c r="N120" s="55">
        <v>2.423151E7</v>
      </c>
      <c r="O120" s="55">
        <v>242315.1</v>
      </c>
      <c r="P120" s="55">
        <v>3198559.32</v>
      </c>
    </row>
    <row r="121">
      <c r="A121" s="41"/>
      <c r="B121" s="22"/>
      <c r="C121" s="41"/>
      <c r="D121" s="41"/>
      <c r="E121" s="188"/>
      <c r="F121" s="188"/>
      <c r="G121" s="188"/>
      <c r="H121" s="59"/>
      <c r="I121" s="52"/>
      <c r="J121" s="53"/>
      <c r="K121" s="53"/>
      <c r="L121" s="53"/>
      <c r="M121" s="53"/>
      <c r="N121" s="53"/>
      <c r="O121" s="53"/>
      <c r="P121" s="53"/>
    </row>
    <row r="122">
      <c r="A122" s="28" t="s">
        <v>34</v>
      </c>
      <c r="B122" s="29">
        <v>2015.0</v>
      </c>
      <c r="C122" s="29">
        <v>1.0</v>
      </c>
      <c r="D122" s="29">
        <v>2.0</v>
      </c>
      <c r="E122" s="185">
        <v>13.0</v>
      </c>
      <c r="F122" s="185">
        <v>42.0</v>
      </c>
      <c r="G122" s="189">
        <v>29.25</v>
      </c>
      <c r="H122" s="33">
        <v>39.3</v>
      </c>
      <c r="I122" s="34">
        <v>60.09</v>
      </c>
      <c r="J122" s="55">
        <v>0.678</v>
      </c>
      <c r="K122" s="66">
        <v>6.4662527833E7</v>
      </c>
      <c r="L122" s="67">
        <v>1034600.445</v>
      </c>
      <c r="M122" s="68">
        <v>4785027.0596568</v>
      </c>
      <c r="N122" s="69">
        <v>5.3377866167E7</v>
      </c>
      <c r="O122" s="68">
        <v>533778.661668</v>
      </c>
      <c r="P122" s="68">
        <v>7045878.3340176</v>
      </c>
    </row>
    <row r="123">
      <c r="A123" s="41"/>
      <c r="B123" s="29">
        <v>2016.0</v>
      </c>
      <c r="C123" s="29">
        <v>1.0</v>
      </c>
      <c r="D123" s="29">
        <v>1.0</v>
      </c>
      <c r="E123" s="185">
        <v>12.0</v>
      </c>
      <c r="F123" s="185">
        <v>43.0</v>
      </c>
      <c r="G123" s="189">
        <v>28.46</v>
      </c>
      <c r="H123" s="33">
        <v>38.9</v>
      </c>
      <c r="I123" s="34">
        <v>61.07</v>
      </c>
      <c r="J123" s="55">
        <v>0.68</v>
      </c>
      <c r="K123" s="70">
        <v>6.5423047338E7</v>
      </c>
      <c r="L123" s="71">
        <v>1046768.7574080002</v>
      </c>
      <c r="M123" s="72">
        <v>4841305.503012001</v>
      </c>
      <c r="N123" s="73">
        <v>5.4005662662E7</v>
      </c>
      <c r="O123" s="72">
        <v>540056.62662</v>
      </c>
      <c r="P123" s="72">
        <v>7128747.471384</v>
      </c>
    </row>
    <row r="124">
      <c r="A124" s="41"/>
      <c r="B124" s="29">
        <v>2017.0</v>
      </c>
      <c r="C124" s="29">
        <v>1.0</v>
      </c>
      <c r="D124" s="29">
        <v>3.0</v>
      </c>
      <c r="E124" s="185">
        <v>12.0</v>
      </c>
      <c r="F124" s="185">
        <v>42.0</v>
      </c>
      <c r="G124" s="189">
        <v>29.46</v>
      </c>
      <c r="H124" s="33">
        <v>41.6</v>
      </c>
      <c r="I124" s="34">
        <v>63.99</v>
      </c>
      <c r="J124" s="55">
        <v>0.691</v>
      </c>
      <c r="K124" s="70">
        <v>6.6177121976E7</v>
      </c>
      <c r="L124" s="71">
        <v>1058833.9516128001</v>
      </c>
      <c r="M124" s="72">
        <v>4897107.026209201</v>
      </c>
      <c r="N124" s="73">
        <v>5.4628139024E7</v>
      </c>
      <c r="O124" s="72">
        <v>546281.390242</v>
      </c>
      <c r="P124" s="72">
        <v>7210914.3511944</v>
      </c>
    </row>
    <row r="125">
      <c r="A125" s="41"/>
      <c r="B125" s="29">
        <v>2018.0</v>
      </c>
      <c r="C125" s="29">
        <v>1.0</v>
      </c>
      <c r="D125" s="29">
        <v>1.0</v>
      </c>
      <c r="E125" s="185">
        <v>11.0</v>
      </c>
      <c r="F125" s="185">
        <v>42.0</v>
      </c>
      <c r="G125" s="189">
        <v>29.71</v>
      </c>
      <c r="H125" s="33">
        <v>41.3</v>
      </c>
      <c r="I125" s="34">
        <v>68.61</v>
      </c>
      <c r="J125" s="55">
        <v>0.694</v>
      </c>
      <c r="K125" s="70">
        <v>6.6924632874E7</v>
      </c>
      <c r="L125" s="71">
        <v>1070794.1259840003</v>
      </c>
      <c r="M125" s="72">
        <v>4952422.832676001</v>
      </c>
      <c r="N125" s="73">
        <v>5.5245197126E7</v>
      </c>
      <c r="O125" s="72">
        <v>552451.9712599999</v>
      </c>
      <c r="P125" s="72">
        <v>7292366.020631999</v>
      </c>
    </row>
    <row r="126">
      <c r="A126" s="41"/>
      <c r="B126" s="29">
        <v>2019.0</v>
      </c>
      <c r="C126" s="29">
        <v>1.0</v>
      </c>
      <c r="D126" s="29">
        <v>4.0</v>
      </c>
      <c r="E126" s="185">
        <v>14.0</v>
      </c>
      <c r="F126" s="185">
        <v>43.0</v>
      </c>
      <c r="G126" s="189">
        <v>28.88</v>
      </c>
      <c r="H126" s="33">
        <v>40.8</v>
      </c>
      <c r="I126" s="34">
        <v>64.53</v>
      </c>
      <c r="J126" s="55">
        <v>0.697</v>
      </c>
      <c r="K126" s="70">
        <v>6.7665468829E7</v>
      </c>
      <c r="L126" s="71">
        <v>1082647.5012672</v>
      </c>
      <c r="M126" s="72">
        <v>5007244.6933608</v>
      </c>
      <c r="N126" s="73">
        <v>5.5856745171E7</v>
      </c>
      <c r="O126" s="72">
        <v>558567.451708</v>
      </c>
      <c r="P126" s="72">
        <v>7373090.362545599</v>
      </c>
    </row>
    <row r="127">
      <c r="A127" s="41"/>
      <c r="B127" s="29">
        <v>2020.0</v>
      </c>
      <c r="C127" s="29">
        <v>1.0</v>
      </c>
      <c r="D127" s="29">
        <v>3.0</v>
      </c>
      <c r="E127" s="185">
        <v>15.0</v>
      </c>
      <c r="F127" s="185">
        <v>43.0</v>
      </c>
      <c r="G127" s="189">
        <v>27.21</v>
      </c>
      <c r="H127" s="33">
        <v>42.0</v>
      </c>
      <c r="I127" s="34">
        <v>65.54</v>
      </c>
      <c r="J127" s="55">
        <f>J126+(((J126-J125)+(J125-J124)+(J124-J123)+(J123-J122))/4)</f>
        <v>0.70175</v>
      </c>
      <c r="K127" s="70">
        <v>6.8399524116E7</v>
      </c>
      <c r="L127" s="71">
        <v>1094392.3858560002</v>
      </c>
      <c r="M127" s="72">
        <v>5061564.784584001</v>
      </c>
      <c r="N127" s="73">
        <v>5.6462695884E7</v>
      </c>
      <c r="O127" s="72">
        <v>564626.95884</v>
      </c>
      <c r="P127" s="72">
        <v>7453075.856687999</v>
      </c>
    </row>
    <row r="128">
      <c r="A128" s="41"/>
      <c r="B128" s="29">
        <v>2021.0</v>
      </c>
      <c r="C128" s="29">
        <v>1.0</v>
      </c>
      <c r="D128" s="29">
        <v>4.0</v>
      </c>
      <c r="E128" s="185">
        <v>14.0</v>
      </c>
      <c r="F128" s="185">
        <v>42.0</v>
      </c>
      <c r="G128" s="189">
        <v>27.83</v>
      </c>
      <c r="H128" s="33">
        <v>46.4</v>
      </c>
      <c r="I128" s="52">
        <f t="shared" ref="I128:I129" si="13">I127+3.6</f>
        <v>69.14</v>
      </c>
      <c r="J128" s="55">
        <f>J127+(((J127-J126)+(J126-J125)+(J125-J124)+(J124-J123)+(J123-J122))/5)</f>
        <v>0.7065</v>
      </c>
      <c r="K128" s="70">
        <v>6.9126702869E7</v>
      </c>
      <c r="L128" s="71">
        <v>1106027.2459104003</v>
      </c>
      <c r="M128" s="72">
        <v>5115376.0123356</v>
      </c>
      <c r="N128" s="73">
        <v>5.7062970131E7</v>
      </c>
      <c r="O128" s="72">
        <v>570629.701306</v>
      </c>
      <c r="P128" s="72">
        <v>7532312.057239198</v>
      </c>
    </row>
    <row r="129">
      <c r="A129" s="41"/>
      <c r="B129" s="22">
        <v>2022.0</v>
      </c>
      <c r="C129" s="29">
        <v>1.0</v>
      </c>
      <c r="D129" s="29">
        <v>2.0</v>
      </c>
      <c r="E129" s="185">
        <v>13.0</v>
      </c>
      <c r="F129" s="185">
        <v>43.0</v>
      </c>
      <c r="G129" s="185">
        <v>27.6</v>
      </c>
      <c r="H129" s="33">
        <v>51.0</v>
      </c>
      <c r="I129" s="52">
        <f t="shared" si="13"/>
        <v>72.74</v>
      </c>
      <c r="J129" s="55">
        <f>J128+(((J128-J127)+(J127-J126)+(J126-J125)+(J125-J124)+(J124-J123)+(J123-J122))/6)</f>
        <v>0.71125</v>
      </c>
      <c r="K129" s="55">
        <v>7.1307126E7</v>
      </c>
      <c r="L129" s="55">
        <v>1140914.016</v>
      </c>
      <c r="M129" s="55">
        <v>5276727.324</v>
      </c>
      <c r="N129" s="55">
        <v>5.8862874E7</v>
      </c>
      <c r="O129" s="55">
        <v>588628.74</v>
      </c>
      <c r="P129" s="55">
        <v>7769899.368</v>
      </c>
    </row>
    <row r="130">
      <c r="A130" s="41"/>
      <c r="B130" s="22"/>
      <c r="C130" s="41"/>
      <c r="D130" s="41"/>
      <c r="E130" s="188"/>
      <c r="F130" s="188"/>
      <c r="G130" s="188"/>
      <c r="H130" s="59"/>
      <c r="I130" s="52"/>
      <c r="J130" s="53"/>
      <c r="K130" s="53"/>
      <c r="L130" s="53"/>
      <c r="M130" s="53"/>
      <c r="N130" s="53"/>
      <c r="O130" s="53"/>
      <c r="P130" s="53"/>
    </row>
    <row r="131">
      <c r="A131" s="28" t="s">
        <v>35</v>
      </c>
      <c r="B131" s="29">
        <v>2015.0</v>
      </c>
      <c r="C131" s="29">
        <v>1.0</v>
      </c>
      <c r="D131" s="29">
        <v>1.0</v>
      </c>
      <c r="E131" s="185">
        <v>2.0</v>
      </c>
      <c r="F131" s="185">
        <v>33.0</v>
      </c>
      <c r="G131" s="189">
        <v>20.58</v>
      </c>
      <c r="H131" s="33">
        <v>30.3</v>
      </c>
      <c r="I131" s="34">
        <v>57.78</v>
      </c>
      <c r="J131" s="55">
        <v>0.692</v>
      </c>
      <c r="K131" s="55">
        <v>2204283.089</v>
      </c>
      <c r="L131" s="55">
        <v>35268.52942</v>
      </c>
      <c r="M131" s="55">
        <v>163047.8214</v>
      </c>
      <c r="N131" s="55">
        <v>909550.9114</v>
      </c>
      <c r="O131" s="55">
        <v>9095.509114</v>
      </c>
      <c r="P131" s="55">
        <v>120307.336</v>
      </c>
    </row>
    <row r="132">
      <c r="A132" s="41"/>
      <c r="B132" s="29">
        <v>2016.0</v>
      </c>
      <c r="C132" s="29">
        <v>1.0</v>
      </c>
      <c r="D132" s="29">
        <v>4.0</v>
      </c>
      <c r="E132" s="185">
        <v>1.0</v>
      </c>
      <c r="F132" s="185">
        <v>34.0</v>
      </c>
      <c r="G132" s="189">
        <v>21.33</v>
      </c>
      <c r="H132" s="33">
        <v>28.4</v>
      </c>
      <c r="I132" s="34">
        <v>60.59</v>
      </c>
      <c r="J132" s="55">
        <v>0.68</v>
      </c>
      <c r="K132" s="55">
        <v>2250087.05</v>
      </c>
      <c r="L132" s="55">
        <v>36001.3928</v>
      </c>
      <c r="M132" s="55">
        <v>166435.8782</v>
      </c>
      <c r="N132" s="55">
        <v>928450.9498</v>
      </c>
      <c r="O132" s="55">
        <v>9284.509498</v>
      </c>
      <c r="P132" s="55">
        <v>122807.2656</v>
      </c>
    </row>
    <row r="133">
      <c r="A133" s="41"/>
      <c r="B133" s="29">
        <v>2017.0</v>
      </c>
      <c r="C133" s="29">
        <v>1.0</v>
      </c>
      <c r="D133" s="29">
        <v>1.0</v>
      </c>
      <c r="E133" s="185">
        <v>2.0</v>
      </c>
      <c r="F133" s="185">
        <v>34.0</v>
      </c>
      <c r="G133" s="189">
        <v>21.92</v>
      </c>
      <c r="H133" s="33">
        <v>28.0</v>
      </c>
      <c r="I133" s="34">
        <v>51.67</v>
      </c>
      <c r="J133" s="55">
        <v>0.691</v>
      </c>
      <c r="K133" s="55">
        <v>2295908.709</v>
      </c>
      <c r="L133" s="55">
        <v>36734.53935</v>
      </c>
      <c r="M133" s="55">
        <v>169825.244</v>
      </c>
      <c r="N133" s="55">
        <v>947358.2907</v>
      </c>
      <c r="O133" s="55">
        <v>9473.582907</v>
      </c>
      <c r="P133" s="55">
        <v>125308.1611</v>
      </c>
    </row>
    <row r="134">
      <c r="A134" s="41"/>
      <c r="B134" s="29">
        <v>2018.0</v>
      </c>
      <c r="C134" s="29">
        <v>0.0</v>
      </c>
      <c r="D134" s="29">
        <v>0.0</v>
      </c>
      <c r="E134" s="185">
        <v>4.0</v>
      </c>
      <c r="F134" s="185">
        <v>32.0</v>
      </c>
      <c r="G134" s="189">
        <v>22.21</v>
      </c>
      <c r="H134" s="33">
        <v>32.8</v>
      </c>
      <c r="I134" s="34">
        <v>45.64</v>
      </c>
      <c r="J134" s="55">
        <v>0.694</v>
      </c>
      <c r="K134" s="55">
        <v>2341727.537</v>
      </c>
      <c r="L134" s="55">
        <v>37467.64059</v>
      </c>
      <c r="M134" s="55">
        <v>173214.4003</v>
      </c>
      <c r="N134" s="55">
        <v>966264.4632</v>
      </c>
      <c r="O134" s="55">
        <v>9662.644632</v>
      </c>
      <c r="P134" s="55">
        <v>127808.9021</v>
      </c>
    </row>
    <row r="135">
      <c r="A135" s="41"/>
      <c r="B135" s="29">
        <v>2019.0</v>
      </c>
      <c r="C135" s="29">
        <v>0.0</v>
      </c>
      <c r="D135" s="29">
        <v>0.0</v>
      </c>
      <c r="E135" s="185">
        <v>7.0</v>
      </c>
      <c r="F135" s="185">
        <v>34.0</v>
      </c>
      <c r="G135" s="189">
        <v>22.17</v>
      </c>
      <c r="H135" s="33">
        <v>29.2</v>
      </c>
      <c r="I135" s="34">
        <v>39.99</v>
      </c>
      <c r="J135" s="55">
        <v>0.697</v>
      </c>
      <c r="K135" s="55">
        <v>2387526.543</v>
      </c>
      <c r="L135" s="55">
        <v>38200.42469</v>
      </c>
      <c r="M135" s="55">
        <v>176602.0905</v>
      </c>
      <c r="N135" s="55">
        <v>985162.4569</v>
      </c>
      <c r="O135" s="55">
        <v>9851.624569</v>
      </c>
      <c r="P135" s="55">
        <v>130308.5613</v>
      </c>
    </row>
    <row r="136">
      <c r="A136" s="41"/>
      <c r="B136" s="29">
        <v>2020.0</v>
      </c>
      <c r="C136" s="29">
        <v>1.0</v>
      </c>
      <c r="D136" s="29">
        <v>1.0</v>
      </c>
      <c r="E136" s="185">
        <v>6.0</v>
      </c>
      <c r="F136" s="185">
        <v>35.0</v>
      </c>
      <c r="G136" s="189">
        <v>22.21</v>
      </c>
      <c r="H136" s="33">
        <v>29.2</v>
      </c>
      <c r="I136" s="34">
        <v>34.26</v>
      </c>
      <c r="J136" s="55">
        <f>J135+(((J135-J134)+(J134-J133)+(J133-J132)+(J132-J131))/4)</f>
        <v>0.69825</v>
      </c>
      <c r="K136" s="55">
        <v>2433287.323</v>
      </c>
      <c r="L136" s="55">
        <v>38932.59716</v>
      </c>
      <c r="M136" s="55">
        <v>179986.9531</v>
      </c>
      <c r="N136" s="55">
        <v>1004044.677</v>
      </c>
      <c r="O136" s="55">
        <v>10040.44677</v>
      </c>
      <c r="P136" s="55">
        <v>132806.1341</v>
      </c>
    </row>
    <row r="137">
      <c r="A137" s="41"/>
      <c r="B137" s="29">
        <v>2021.0</v>
      </c>
      <c r="C137" s="29">
        <v>1.0</v>
      </c>
      <c r="D137" s="29">
        <v>1.0</v>
      </c>
      <c r="E137" s="185">
        <v>4.0</v>
      </c>
      <c r="F137" s="185">
        <v>33.0</v>
      </c>
      <c r="G137" s="189">
        <v>21.83</v>
      </c>
      <c r="H137" s="59">
        <f>MEDIAN(H131:H136)</f>
        <v>29.2</v>
      </c>
      <c r="I137" s="52">
        <f t="shared" ref="I137:I138" si="14">I136-5.73</f>
        <v>28.53</v>
      </c>
      <c r="J137" s="55">
        <f>J136+(((J136-J135)+(J135-J134)+(J134-J133)+(J133-J132)+(J132-J131))/5)</f>
        <v>0.6995</v>
      </c>
      <c r="K137" s="55">
        <v>2478992.886</v>
      </c>
      <c r="L137" s="55">
        <v>39663.88618</v>
      </c>
      <c r="M137" s="55">
        <v>183367.7315</v>
      </c>
      <c r="N137" s="55">
        <v>1022904.114</v>
      </c>
      <c r="O137" s="55">
        <v>10229.04114</v>
      </c>
      <c r="P137" s="55">
        <v>135300.6933</v>
      </c>
    </row>
    <row r="138">
      <c r="A138" s="41"/>
      <c r="B138" s="22">
        <v>2022.0</v>
      </c>
      <c r="C138" s="29">
        <v>1.0</v>
      </c>
      <c r="D138" s="29">
        <v>1.0</v>
      </c>
      <c r="E138" s="185">
        <v>6.0</v>
      </c>
      <c r="F138" s="185">
        <v>34.0</v>
      </c>
      <c r="G138" s="185">
        <v>25.39</v>
      </c>
      <c r="H138" s="33">
        <v>37.0</v>
      </c>
      <c r="I138" s="52">
        <f t="shared" si="14"/>
        <v>22.8</v>
      </c>
      <c r="J138" s="55">
        <f>J137+(((J137-J136)+(J136-J135)+(J135-J134)+(J134-J133)+(J133-J132)+(J132-J131))/6)</f>
        <v>0.70075</v>
      </c>
      <c r="K138" s="55">
        <v>2534282.0</v>
      </c>
      <c r="L138" s="55">
        <v>40548.512</v>
      </c>
      <c r="M138" s="55">
        <v>187457.392</v>
      </c>
      <c r="N138" s="55">
        <v>1045718.0</v>
      </c>
      <c r="O138" s="55">
        <v>10457.18</v>
      </c>
      <c r="P138" s="55">
        <v>138318.312</v>
      </c>
    </row>
    <row r="139">
      <c r="A139" s="41"/>
      <c r="B139" s="22"/>
      <c r="C139" s="41"/>
      <c r="D139" s="41"/>
      <c r="E139" s="188"/>
      <c r="F139" s="190"/>
      <c r="G139" s="188"/>
      <c r="H139" s="59"/>
      <c r="I139" s="52"/>
      <c r="J139" s="53"/>
      <c r="K139" s="53"/>
      <c r="L139" s="53"/>
      <c r="M139" s="53"/>
      <c r="N139" s="53"/>
      <c r="O139" s="53"/>
      <c r="P139" s="53"/>
    </row>
    <row r="140">
      <c r="A140" s="28" t="s">
        <v>36</v>
      </c>
      <c r="B140" s="29">
        <v>2015.0</v>
      </c>
      <c r="C140" s="29">
        <v>1.0</v>
      </c>
      <c r="D140" s="29">
        <v>1.0</v>
      </c>
      <c r="E140" s="185">
        <v>-1.0</v>
      </c>
      <c r="F140" s="185">
        <v>27.0</v>
      </c>
      <c r="G140" s="189">
        <v>17.0</v>
      </c>
      <c r="H140" s="33">
        <v>33.6</v>
      </c>
      <c r="I140" s="74">
        <v>51.4</v>
      </c>
      <c r="J140" s="55">
        <v>0.646</v>
      </c>
      <c r="K140" s="55">
        <v>2652732.826</v>
      </c>
      <c r="L140" s="55">
        <v>42443.72522</v>
      </c>
      <c r="M140" s="55">
        <v>196375.9069</v>
      </c>
      <c r="N140" s="55">
        <v>666087.174</v>
      </c>
      <c r="O140" s="55">
        <v>6660.87174</v>
      </c>
      <c r="P140" s="55">
        <v>87923.50697</v>
      </c>
    </row>
    <row r="141">
      <c r="A141" s="41"/>
      <c r="B141" s="29">
        <v>2016.0</v>
      </c>
      <c r="C141" s="29">
        <v>1.0</v>
      </c>
      <c r="D141" s="29">
        <v>3.0</v>
      </c>
      <c r="E141" s="185">
        <v>1.0</v>
      </c>
      <c r="F141" s="185">
        <v>28.0</v>
      </c>
      <c r="G141" s="189">
        <v>17.96</v>
      </c>
      <c r="H141" s="33">
        <v>33.9</v>
      </c>
      <c r="I141" s="74">
        <v>56.83</v>
      </c>
      <c r="J141" s="55">
        <v>0.64</v>
      </c>
      <c r="K141" s="55">
        <v>2724393.268</v>
      </c>
      <c r="L141" s="55">
        <v>43590.29229</v>
      </c>
      <c r="M141" s="55">
        <v>201680.77</v>
      </c>
      <c r="N141" s="55">
        <v>684080.732</v>
      </c>
      <c r="O141" s="55">
        <v>6840.807318</v>
      </c>
      <c r="P141" s="55">
        <v>90298.6566</v>
      </c>
    </row>
    <row r="142">
      <c r="A142" s="41"/>
      <c r="B142" s="29">
        <v>2017.0</v>
      </c>
      <c r="C142" s="29">
        <v>0.0</v>
      </c>
      <c r="D142" s="29">
        <v>0.0</v>
      </c>
      <c r="E142" s="185">
        <v>2.0</v>
      </c>
      <c r="F142" s="185">
        <v>29.0</v>
      </c>
      <c r="G142" s="189">
        <v>18.38</v>
      </c>
      <c r="H142" s="33">
        <v>34.2</v>
      </c>
      <c r="I142" s="74">
        <v>55.95</v>
      </c>
      <c r="J142" s="55">
        <v>0.65</v>
      </c>
      <c r="K142" s="55">
        <v>2796517.304</v>
      </c>
      <c r="L142" s="55">
        <v>44744.27687</v>
      </c>
      <c r="M142" s="55">
        <v>207019.9518</v>
      </c>
      <c r="N142" s="55">
        <v>702190.696</v>
      </c>
      <c r="O142" s="55">
        <v>7021.906956</v>
      </c>
      <c r="P142" s="55">
        <v>92689.17182</v>
      </c>
    </row>
    <row r="143">
      <c r="A143" s="41"/>
      <c r="B143" s="29">
        <v>2018.0</v>
      </c>
      <c r="C143" s="29">
        <v>0.0</v>
      </c>
      <c r="D143" s="29">
        <v>0.0</v>
      </c>
      <c r="E143" s="185">
        <v>4.0</v>
      </c>
      <c r="F143" s="185">
        <v>28.0</v>
      </c>
      <c r="G143" s="189">
        <v>18.58</v>
      </c>
      <c r="H143" s="33">
        <v>40.5</v>
      </c>
      <c r="I143" s="74">
        <v>53.2</v>
      </c>
      <c r="J143" s="55">
        <v>0.652</v>
      </c>
      <c r="K143" s="55">
        <v>2869069.765</v>
      </c>
      <c r="L143" s="55">
        <v>45905.11625</v>
      </c>
      <c r="M143" s="55">
        <v>212390.8491</v>
      </c>
      <c r="N143" s="55">
        <v>720408.235</v>
      </c>
      <c r="O143" s="55">
        <v>7204.082346</v>
      </c>
      <c r="P143" s="55">
        <v>95093.88697</v>
      </c>
    </row>
    <row r="144">
      <c r="A144" s="41"/>
      <c r="B144" s="29">
        <v>2019.0</v>
      </c>
      <c r="C144" s="29">
        <v>0.0</v>
      </c>
      <c r="D144" s="29">
        <v>0.0</v>
      </c>
      <c r="E144" s="185">
        <v>3.0</v>
      </c>
      <c r="F144" s="185">
        <v>27.0</v>
      </c>
      <c r="G144" s="189">
        <v>19.71</v>
      </c>
      <c r="H144" s="33">
        <v>36.9</v>
      </c>
      <c r="I144" s="74">
        <v>45.31</v>
      </c>
      <c r="J144" s="55">
        <v>0.656</v>
      </c>
      <c r="K144" s="55">
        <v>2942016.281</v>
      </c>
      <c r="L144" s="55">
        <v>47072.2605</v>
      </c>
      <c r="M144" s="55">
        <v>217790.9173</v>
      </c>
      <c r="N144" s="55">
        <v>738724.719</v>
      </c>
      <c r="O144" s="55">
        <v>7387.247187</v>
      </c>
      <c r="P144" s="55">
        <v>97511.66287</v>
      </c>
    </row>
    <row r="145">
      <c r="A145" s="41"/>
      <c r="B145" s="29">
        <v>2020.0</v>
      </c>
      <c r="C145" s="29">
        <v>1.0</v>
      </c>
      <c r="D145" s="29">
        <v>1.0</v>
      </c>
      <c r="E145" s="185">
        <v>2.0</v>
      </c>
      <c r="F145" s="185">
        <v>28.0</v>
      </c>
      <c r="G145" s="189">
        <v>17.33</v>
      </c>
      <c r="H145" s="33">
        <v>36.9</v>
      </c>
      <c r="I145" s="74">
        <v>25.35</v>
      </c>
      <c r="J145" s="55">
        <f>J144+(((J144-J143)+(J143-J142)+(J142-J141)+(J141-J140))/4)</f>
        <v>0.6585</v>
      </c>
      <c r="K145" s="55">
        <v>3015320.884</v>
      </c>
      <c r="L145" s="55">
        <v>48245.13414</v>
      </c>
      <c r="M145" s="55">
        <v>223217.4938</v>
      </c>
      <c r="N145" s="55">
        <v>757131.116</v>
      </c>
      <c r="O145" s="55">
        <v>7571.311164</v>
      </c>
      <c r="P145" s="55">
        <v>99941.30736</v>
      </c>
    </row>
    <row r="146">
      <c r="A146" s="41"/>
      <c r="B146" s="29">
        <v>2021.0</v>
      </c>
      <c r="C146" s="29">
        <v>1.0</v>
      </c>
      <c r="D146" s="29">
        <v>1.0</v>
      </c>
      <c r="E146" s="185">
        <v>14.0</v>
      </c>
      <c r="F146" s="185">
        <v>23.08</v>
      </c>
      <c r="G146" s="189">
        <v>18.54</v>
      </c>
      <c r="H146" s="59">
        <f>MEDIAN(H140:H145)</f>
        <v>35.55</v>
      </c>
      <c r="I146" s="75">
        <f t="shared" ref="I146:I147" si="15">I145+17.7</f>
        <v>43.05</v>
      </c>
      <c r="J146" s="55">
        <f>J145+(((J145-J144)+(J144-J143)+(J143-J142)+(J142-J141)+(J141-J140))/5)</f>
        <v>0.661</v>
      </c>
      <c r="K146" s="55">
        <v>3088950.002</v>
      </c>
      <c r="L146" s="55">
        <v>49423.20003</v>
      </c>
      <c r="M146" s="55">
        <v>228668.0936</v>
      </c>
      <c r="N146" s="55">
        <v>775618.998</v>
      </c>
      <c r="O146" s="55">
        <v>7756.189983</v>
      </c>
      <c r="P146" s="55">
        <v>102381.7078</v>
      </c>
    </row>
    <row r="147">
      <c r="A147" s="41"/>
      <c r="B147" s="22">
        <v>2022.0</v>
      </c>
      <c r="C147" s="29">
        <v>1.0</v>
      </c>
      <c r="D147" s="29">
        <v>2.0</v>
      </c>
      <c r="E147" s="185">
        <v>10.47</v>
      </c>
      <c r="F147" s="185">
        <v>33.75</v>
      </c>
      <c r="G147" s="185">
        <v>25.39</v>
      </c>
      <c r="H147" s="33">
        <v>43.0</v>
      </c>
      <c r="I147" s="52">
        <f t="shared" si="15"/>
        <v>60.75</v>
      </c>
      <c r="J147" s="55">
        <f>J146+(((J146-J145)+(J145-J144)+(J144-J143)+(J143-J142)+(J142-J141)+(J141-J140))/6)</f>
        <v>0.6635</v>
      </c>
      <c r="K147" s="55">
        <v>3173221.0</v>
      </c>
      <c r="L147" s="55">
        <v>50771.536</v>
      </c>
      <c r="M147" s="55">
        <v>234906.488</v>
      </c>
      <c r="N147" s="55">
        <v>796779.0</v>
      </c>
      <c r="O147" s="55">
        <v>7967.79</v>
      </c>
      <c r="P147" s="55">
        <v>105174.828</v>
      </c>
    </row>
    <row r="148">
      <c r="A148" s="41"/>
      <c r="B148" s="22"/>
      <c r="C148" s="41"/>
      <c r="D148" s="41"/>
      <c r="E148" s="188"/>
      <c r="F148" s="188"/>
      <c r="G148" s="188"/>
      <c r="H148" s="59"/>
      <c r="I148" s="52"/>
      <c r="J148" s="53"/>
      <c r="K148" s="53"/>
      <c r="L148" s="53"/>
      <c r="M148" s="53"/>
      <c r="N148" s="53"/>
      <c r="O148" s="53"/>
      <c r="P148" s="53"/>
    </row>
    <row r="149">
      <c r="A149" s="28" t="s">
        <v>37</v>
      </c>
      <c r="B149" s="29">
        <v>2015.0</v>
      </c>
      <c r="C149" s="29">
        <v>0.0</v>
      </c>
      <c r="D149" s="29">
        <v>0.0</v>
      </c>
      <c r="E149" s="185">
        <v>2.0</v>
      </c>
      <c r="F149" s="185">
        <v>38.0</v>
      </c>
      <c r="G149" s="189">
        <v>18.54</v>
      </c>
      <c r="H149" s="33">
        <v>38.3</v>
      </c>
      <c r="I149" s="34">
        <v>71.27</v>
      </c>
      <c r="J149" s="55">
        <v>0.695</v>
      </c>
      <c r="K149" s="55">
        <v>570482.4415</v>
      </c>
      <c r="L149" s="55">
        <v>9127.719064</v>
      </c>
      <c r="M149" s="55">
        <v>42215.70067</v>
      </c>
      <c r="N149" s="55">
        <v>620752.5585</v>
      </c>
      <c r="O149" s="55">
        <v>6207.525585</v>
      </c>
      <c r="P149" s="55">
        <v>81939.33772</v>
      </c>
    </row>
    <row r="150">
      <c r="A150" s="41"/>
      <c r="B150" s="29">
        <v>2016.0</v>
      </c>
      <c r="C150" s="29">
        <v>1.0</v>
      </c>
      <c r="D150" s="29">
        <v>1.0</v>
      </c>
      <c r="E150" s="185">
        <v>1.0</v>
      </c>
      <c r="F150" s="185">
        <v>38.0</v>
      </c>
      <c r="G150" s="189">
        <v>19.71</v>
      </c>
      <c r="H150" s="33">
        <v>39.1</v>
      </c>
      <c r="I150" s="34">
        <v>73.7</v>
      </c>
      <c r="J150" s="55">
        <v>0.688</v>
      </c>
      <c r="K150" s="55">
        <v>581744.2539</v>
      </c>
      <c r="L150" s="55">
        <v>9307.908062</v>
      </c>
      <c r="M150" s="55">
        <v>43049.07479</v>
      </c>
      <c r="N150" s="55">
        <v>633006.7461</v>
      </c>
      <c r="O150" s="55">
        <v>6330.067461</v>
      </c>
      <c r="P150" s="55">
        <v>83556.89049</v>
      </c>
    </row>
    <row r="151">
      <c r="A151" s="41"/>
      <c r="B151" s="29">
        <v>2017.0</v>
      </c>
      <c r="C151" s="29">
        <v>0.0</v>
      </c>
      <c r="D151" s="29">
        <v>0.0</v>
      </c>
      <c r="E151" s="185">
        <v>3.0</v>
      </c>
      <c r="F151" s="185">
        <v>37.0</v>
      </c>
      <c r="G151" s="189">
        <v>20.21</v>
      </c>
      <c r="H151" s="33">
        <v>34.3</v>
      </c>
      <c r="I151" s="34">
        <v>70.63</v>
      </c>
      <c r="J151" s="55">
        <v>0.699</v>
      </c>
      <c r="K151" s="55">
        <v>592998.4039</v>
      </c>
      <c r="L151" s="55">
        <v>9487.974462</v>
      </c>
      <c r="M151" s="55">
        <v>43881.88189</v>
      </c>
      <c r="N151" s="55">
        <v>645252.5961</v>
      </c>
      <c r="O151" s="55">
        <v>6452.525961</v>
      </c>
      <c r="P151" s="55">
        <v>85173.34269</v>
      </c>
    </row>
    <row r="152">
      <c r="A152" s="41"/>
      <c r="B152" s="29">
        <v>2018.0</v>
      </c>
      <c r="C152" s="29">
        <v>0.0</v>
      </c>
      <c r="D152" s="29">
        <v>0.0</v>
      </c>
      <c r="E152" s="185">
        <v>5.0</v>
      </c>
      <c r="F152" s="185">
        <v>37.0</v>
      </c>
      <c r="G152" s="189">
        <v>19.96</v>
      </c>
      <c r="H152" s="33">
        <v>41.2</v>
      </c>
      <c r="I152" s="34">
        <v>64.01</v>
      </c>
      <c r="J152" s="55">
        <v>0.701</v>
      </c>
      <c r="K152" s="55">
        <v>604241.5392</v>
      </c>
      <c r="L152" s="55">
        <v>9667.864627</v>
      </c>
      <c r="M152" s="55">
        <v>44713.8739</v>
      </c>
      <c r="N152" s="55">
        <v>657486.4608</v>
      </c>
      <c r="O152" s="55">
        <v>6574.864608</v>
      </c>
      <c r="P152" s="55">
        <v>86788.21283</v>
      </c>
    </row>
    <row r="153">
      <c r="A153" s="41"/>
      <c r="B153" s="29">
        <v>2019.0</v>
      </c>
      <c r="C153" s="29">
        <v>0.0</v>
      </c>
      <c r="D153" s="29">
        <v>0.0</v>
      </c>
      <c r="E153" s="185">
        <v>9.0</v>
      </c>
      <c r="F153" s="185">
        <v>40.0</v>
      </c>
      <c r="G153" s="189">
        <v>20.33</v>
      </c>
      <c r="H153" s="33">
        <v>36.7</v>
      </c>
      <c r="I153" s="34">
        <v>57.32</v>
      </c>
      <c r="J153" s="55">
        <v>0.704</v>
      </c>
      <c r="K153" s="55">
        <v>615467.913</v>
      </c>
      <c r="L153" s="55">
        <v>9847.486608</v>
      </c>
      <c r="M153" s="55">
        <v>45544.62556</v>
      </c>
      <c r="N153" s="55">
        <v>669702.087</v>
      </c>
      <c r="O153" s="55">
        <v>6697.02087</v>
      </c>
      <c r="P153" s="55">
        <v>88400.67548</v>
      </c>
    </row>
    <row r="154">
      <c r="A154" s="41"/>
      <c r="B154" s="29">
        <v>2020.0</v>
      </c>
      <c r="C154" s="29">
        <v>1.0</v>
      </c>
      <c r="D154" s="29">
        <v>1.0</v>
      </c>
      <c r="E154" s="185">
        <v>7.0</v>
      </c>
      <c r="F154" s="185">
        <v>40.0</v>
      </c>
      <c r="G154" s="189">
        <v>18.58</v>
      </c>
      <c r="H154" s="61">
        <v>39.5</v>
      </c>
      <c r="I154" s="34">
        <v>75.77</v>
      </c>
      <c r="J154" s="55">
        <f>J153+(((J153-J152)+(J152-J151)+(J151-J150)+(J150-J149))/4)</f>
        <v>0.70625</v>
      </c>
      <c r="K154" s="55">
        <v>626674.6519</v>
      </c>
      <c r="L154" s="55">
        <v>10026.79443</v>
      </c>
      <c r="M154" s="55">
        <v>46373.92424</v>
      </c>
      <c r="N154" s="55">
        <v>681896.3481</v>
      </c>
      <c r="O154" s="55">
        <v>6818.963481</v>
      </c>
      <c r="P154" s="55">
        <v>90010.31795</v>
      </c>
    </row>
    <row r="155">
      <c r="A155" s="41"/>
      <c r="B155" s="29">
        <v>2021.0</v>
      </c>
      <c r="C155" s="29">
        <v>1.0</v>
      </c>
      <c r="D155" s="29">
        <v>1.0</v>
      </c>
      <c r="E155" s="185">
        <v>15.25</v>
      </c>
      <c r="F155" s="185">
        <v>24.17</v>
      </c>
      <c r="G155" s="189">
        <v>19.71</v>
      </c>
      <c r="H155" s="59">
        <f>MEDIAN(H149:H154)</f>
        <v>38.7</v>
      </c>
      <c r="I155" s="52">
        <f t="shared" ref="I155:I156" si="16">I154+18.45</f>
        <v>94.22</v>
      </c>
      <c r="J155" s="55">
        <f>J154+(((J154-J153)+(J153-J152)+(J152-J151)+(J151-J150)+(J150-J149))/5)</f>
        <v>0.7085</v>
      </c>
      <c r="K155" s="55">
        <v>637856.9669</v>
      </c>
      <c r="L155" s="55">
        <v>10205.71147</v>
      </c>
      <c r="M155" s="55">
        <v>47201.41555</v>
      </c>
      <c r="N155" s="55">
        <v>694064.0331</v>
      </c>
      <c r="O155" s="55">
        <v>6940.640331</v>
      </c>
      <c r="P155" s="55">
        <v>91616.45237</v>
      </c>
    </row>
    <row r="156">
      <c r="A156" s="41"/>
      <c r="B156" s="22">
        <v>2022.0</v>
      </c>
      <c r="C156" s="29">
        <v>0.0</v>
      </c>
      <c r="D156" s="29">
        <v>0.0</v>
      </c>
      <c r="E156" s="185">
        <v>15.33</v>
      </c>
      <c r="F156" s="185">
        <v>24.47</v>
      </c>
      <c r="G156" s="185">
        <v>19.9</v>
      </c>
      <c r="H156" s="33">
        <v>11.0</v>
      </c>
      <c r="I156" s="52">
        <f t="shared" si="16"/>
        <v>112.67</v>
      </c>
      <c r="J156" s="55">
        <f>J155+(((J155-J154)+(J154-J153)+(J153-J152)+(J152-J151)+(J151-J150)+(J150-J149))/6)</f>
        <v>0.71075</v>
      </c>
      <c r="K156" s="55">
        <v>646515.0</v>
      </c>
      <c r="L156" s="55">
        <v>10344.24</v>
      </c>
      <c r="M156" s="55">
        <v>47842.11</v>
      </c>
      <c r="N156" s="76">
        <v>703485.0</v>
      </c>
      <c r="O156" s="55">
        <v>7034.85</v>
      </c>
      <c r="P156" s="55">
        <v>92860.02</v>
      </c>
    </row>
    <row r="157">
      <c r="A157" s="41"/>
      <c r="B157" s="22"/>
      <c r="C157" s="41"/>
      <c r="D157" s="41"/>
      <c r="E157" s="188"/>
      <c r="F157" s="188"/>
      <c r="G157" s="188"/>
      <c r="H157" s="59"/>
      <c r="I157" s="52"/>
      <c r="J157" s="53"/>
      <c r="K157" s="53"/>
      <c r="L157" s="53"/>
      <c r="M157" s="53"/>
      <c r="N157" s="53"/>
      <c r="O157" s="53"/>
      <c r="P157" s="53"/>
    </row>
    <row r="158">
      <c r="A158" s="28" t="s">
        <v>38</v>
      </c>
      <c r="B158" s="29">
        <v>2015.0</v>
      </c>
      <c r="C158" s="29">
        <v>0.0</v>
      </c>
      <c r="D158" s="29">
        <v>0.0</v>
      </c>
      <c r="E158" s="185">
        <v>8.0</v>
      </c>
      <c r="F158" s="185">
        <v>36.0</v>
      </c>
      <c r="G158" s="189">
        <v>18.42</v>
      </c>
      <c r="H158" s="33">
        <v>26.5</v>
      </c>
      <c r="I158" s="34">
        <v>45.26</v>
      </c>
      <c r="J158" s="55">
        <v>0.677</v>
      </c>
      <c r="K158" s="55">
        <v>1438530.477</v>
      </c>
      <c r="L158" s="55">
        <v>23016.48763</v>
      </c>
      <c r="M158" s="55">
        <v>106451.2553</v>
      </c>
      <c r="N158" s="55">
        <v>583581.523</v>
      </c>
      <c r="O158" s="55">
        <v>5835.815232</v>
      </c>
      <c r="P158" s="55">
        <v>77032.76106</v>
      </c>
    </row>
    <row r="159">
      <c r="A159" s="41"/>
      <c r="B159" s="29">
        <v>2016.0</v>
      </c>
      <c r="C159" s="29">
        <v>1.0</v>
      </c>
      <c r="D159" s="29">
        <v>1.0</v>
      </c>
      <c r="E159" s="185">
        <v>8.0</v>
      </c>
      <c r="F159" s="185">
        <v>36.0</v>
      </c>
      <c r="G159" s="189">
        <v>18.83</v>
      </c>
      <c r="H159" s="33">
        <v>24.6</v>
      </c>
      <c r="I159" s="34">
        <v>37.38</v>
      </c>
      <c r="J159" s="55">
        <v>0.663</v>
      </c>
      <c r="K159" s="55">
        <v>1446003.022</v>
      </c>
      <c r="L159" s="55">
        <v>23136.04836</v>
      </c>
      <c r="M159" s="55">
        <v>107004.2237</v>
      </c>
      <c r="N159" s="55">
        <v>586612.978</v>
      </c>
      <c r="O159" s="55">
        <v>5866.129776</v>
      </c>
      <c r="P159" s="55">
        <v>77432.91304</v>
      </c>
    </row>
    <row r="160">
      <c r="A160" s="41"/>
      <c r="B160" s="29">
        <v>2017.0</v>
      </c>
      <c r="C160" s="29">
        <v>1.0</v>
      </c>
      <c r="D160" s="29">
        <v>1.0</v>
      </c>
      <c r="E160" s="185">
        <v>6.0</v>
      </c>
      <c r="F160" s="185">
        <v>37.0</v>
      </c>
      <c r="G160" s="189">
        <v>19.17</v>
      </c>
      <c r="H160" s="33">
        <v>25.1</v>
      </c>
      <c r="I160" s="34">
        <v>37.59</v>
      </c>
      <c r="J160" s="55">
        <v>0.673</v>
      </c>
      <c r="K160" s="55">
        <v>1453364.59</v>
      </c>
      <c r="L160" s="55">
        <v>23253.83343</v>
      </c>
      <c r="M160" s="55">
        <v>107548.9796</v>
      </c>
      <c r="N160" s="55">
        <v>589599.41</v>
      </c>
      <c r="O160" s="55">
        <v>5895.994104</v>
      </c>
      <c r="P160" s="55">
        <v>77827.12217</v>
      </c>
    </row>
    <row r="161">
      <c r="A161" s="41"/>
      <c r="B161" s="29">
        <v>2018.0</v>
      </c>
      <c r="C161" s="29">
        <v>0.0</v>
      </c>
      <c r="D161" s="29">
        <v>0.0</v>
      </c>
      <c r="E161" s="185">
        <v>9.0</v>
      </c>
      <c r="F161" s="185">
        <v>37.0</v>
      </c>
      <c r="G161" s="189">
        <v>19.25</v>
      </c>
      <c r="H161" s="33">
        <v>27.5</v>
      </c>
      <c r="I161" s="34">
        <v>38.51</v>
      </c>
      <c r="J161" s="55">
        <v>0.676</v>
      </c>
      <c r="K161" s="55">
        <v>1460615.89</v>
      </c>
      <c r="L161" s="55">
        <v>23369.85424</v>
      </c>
      <c r="M161" s="55">
        <v>108085.5758</v>
      </c>
      <c r="N161" s="55">
        <v>592541.11</v>
      </c>
      <c r="O161" s="55">
        <v>5925.411102</v>
      </c>
      <c r="P161" s="55">
        <v>78215.42655</v>
      </c>
    </row>
    <row r="162">
      <c r="A162" s="41"/>
      <c r="B162" s="29">
        <v>2019.0</v>
      </c>
      <c r="C162" s="29">
        <v>0.0</v>
      </c>
      <c r="D162" s="29">
        <v>0.0</v>
      </c>
      <c r="E162" s="185">
        <v>11.0</v>
      </c>
      <c r="F162" s="185">
        <v>37.0</v>
      </c>
      <c r="G162" s="189">
        <v>19.83</v>
      </c>
      <c r="H162" s="33">
        <v>26.4</v>
      </c>
      <c r="I162" s="34">
        <v>23.53</v>
      </c>
      <c r="J162" s="55">
        <v>0.679</v>
      </c>
      <c r="K162" s="55">
        <v>1467757.634</v>
      </c>
      <c r="L162" s="55">
        <v>23484.12215</v>
      </c>
      <c r="M162" s="55">
        <v>108614.0649</v>
      </c>
      <c r="N162" s="55">
        <v>595438.366</v>
      </c>
      <c r="O162" s="55">
        <v>5954.383656</v>
      </c>
      <c r="P162" s="55">
        <v>78597.86426</v>
      </c>
    </row>
    <row r="163">
      <c r="A163" s="41"/>
      <c r="B163" s="29">
        <v>2020.0</v>
      </c>
      <c r="C163" s="29">
        <v>1.0</v>
      </c>
      <c r="D163" s="29">
        <v>1.0</v>
      </c>
      <c r="E163" s="185">
        <v>8.0</v>
      </c>
      <c r="F163" s="185">
        <v>39.0</v>
      </c>
      <c r="G163" s="189">
        <v>19.58</v>
      </c>
      <c r="H163" s="33">
        <v>25.8</v>
      </c>
      <c r="I163" s="34">
        <v>27.0</v>
      </c>
      <c r="J163" s="55">
        <f t="shared" ref="J163:J165" si="17">J162+(((J162-J161)+(J161-J160)+(J160-J159)+(J159-J158))/4)</f>
        <v>0.6795</v>
      </c>
      <c r="K163" s="55">
        <v>1474790.535</v>
      </c>
      <c r="L163" s="55">
        <v>23596.64856</v>
      </c>
      <c r="M163" s="55">
        <v>109134.4996</v>
      </c>
      <c r="N163" s="55">
        <v>598291.465</v>
      </c>
      <c r="O163" s="55">
        <v>5982.914652</v>
      </c>
      <c r="P163" s="55">
        <v>78974.47341</v>
      </c>
    </row>
    <row r="164">
      <c r="A164" s="41"/>
      <c r="B164" s="29">
        <v>2021.0</v>
      </c>
      <c r="C164" s="29">
        <v>1.0</v>
      </c>
      <c r="D164" s="29">
        <v>1.0</v>
      </c>
      <c r="E164" s="185">
        <v>14.0</v>
      </c>
      <c r="F164" s="185">
        <v>24.83</v>
      </c>
      <c r="G164" s="189">
        <v>19.42</v>
      </c>
      <c r="H164" s="59">
        <f>MEDIAN(H158:H163)</f>
        <v>26.1</v>
      </c>
      <c r="I164" s="52">
        <f t="shared" ref="I164:I165" si="18">I163+3.43</f>
        <v>30.43</v>
      </c>
      <c r="J164" s="55">
        <f t="shared" si="17"/>
        <v>0.683625</v>
      </c>
      <c r="K164" s="55">
        <v>1481716.014</v>
      </c>
      <c r="L164" s="55">
        <v>23707.45622</v>
      </c>
      <c r="M164" s="55">
        <v>109646.985</v>
      </c>
      <c r="N164" s="55">
        <v>601100.986</v>
      </c>
      <c r="O164" s="55">
        <v>6011.009862</v>
      </c>
      <c r="P164" s="55">
        <v>79345.33018</v>
      </c>
    </row>
    <row r="165">
      <c r="A165" s="41"/>
      <c r="B165" s="22">
        <v>2022.0</v>
      </c>
      <c r="C165" s="29">
        <v>0.0</v>
      </c>
      <c r="D165" s="29">
        <v>0.0</v>
      </c>
      <c r="E165" s="185">
        <v>10.47</v>
      </c>
      <c r="F165" s="185">
        <v>33.75</v>
      </c>
      <c r="G165" s="185">
        <v>25.39</v>
      </c>
      <c r="H165" s="33">
        <v>24.0</v>
      </c>
      <c r="I165" s="52">
        <f t="shared" si="18"/>
        <v>33.86</v>
      </c>
      <c r="J165" s="55">
        <f t="shared" si="17"/>
        <v>0.68628125</v>
      </c>
      <c r="K165" s="55">
        <v>1489896.402</v>
      </c>
      <c r="L165" s="55">
        <v>23838.34244</v>
      </c>
      <c r="M165" s="55">
        <v>110252.3338</v>
      </c>
      <c r="N165" s="55">
        <v>604419.598</v>
      </c>
      <c r="O165" s="55">
        <v>6044.195976</v>
      </c>
      <c r="P165" s="55">
        <v>79783.38688</v>
      </c>
    </row>
    <row r="166">
      <c r="A166" s="41"/>
      <c r="B166" s="22"/>
      <c r="C166" s="41"/>
      <c r="D166" s="41"/>
      <c r="E166" s="188"/>
      <c r="F166" s="188"/>
      <c r="G166" s="188"/>
      <c r="H166" s="59"/>
      <c r="I166" s="52"/>
      <c r="J166" s="53"/>
      <c r="K166" s="53"/>
      <c r="L166" s="53"/>
      <c r="M166" s="53"/>
      <c r="N166" s="53"/>
      <c r="O166" s="53"/>
      <c r="P166" s="53"/>
    </row>
    <row r="167">
      <c r="A167" s="28" t="s">
        <v>39</v>
      </c>
      <c r="B167" s="29">
        <v>2015.0</v>
      </c>
      <c r="C167" s="29">
        <v>0.0</v>
      </c>
      <c r="D167" s="29">
        <v>0.0</v>
      </c>
      <c r="E167" s="185">
        <v>9.0</v>
      </c>
      <c r="F167" s="185">
        <v>46.0</v>
      </c>
      <c r="G167" s="189">
        <v>29.54</v>
      </c>
      <c r="H167" s="33">
        <v>44.3</v>
      </c>
      <c r="I167" s="34">
        <v>39.43</v>
      </c>
      <c r="J167" s="55">
        <v>0.582</v>
      </c>
      <c r="K167" s="55">
        <v>3.6900338345E7</v>
      </c>
      <c r="L167" s="55">
        <v>590405.4135</v>
      </c>
      <c r="M167" s="55">
        <v>2730625.038</v>
      </c>
      <c r="N167" s="55">
        <v>7392469.655</v>
      </c>
      <c r="O167" s="55">
        <v>73924.69655</v>
      </c>
      <c r="P167" s="55">
        <v>975805.9945</v>
      </c>
    </row>
    <row r="168">
      <c r="A168" s="41"/>
      <c r="B168" s="29">
        <v>2016.0</v>
      </c>
      <c r="C168" s="29">
        <v>1.0</v>
      </c>
      <c r="D168" s="29">
        <v>2.0</v>
      </c>
      <c r="E168" s="185">
        <v>9.0</v>
      </c>
      <c r="F168" s="185">
        <v>46.0</v>
      </c>
      <c r="G168" s="189">
        <v>29.33</v>
      </c>
      <c r="H168" s="33">
        <v>43.0</v>
      </c>
      <c r="I168" s="34">
        <v>35.97</v>
      </c>
      <c r="J168" s="55">
        <v>0.589</v>
      </c>
      <c r="K168" s="55">
        <v>3.7374976242E7</v>
      </c>
      <c r="L168" s="55">
        <v>597999.6199</v>
      </c>
      <c r="M168" s="55">
        <v>2765748.242</v>
      </c>
      <c r="N168" s="55">
        <v>7487556.758</v>
      </c>
      <c r="O168" s="55">
        <v>74875.56758</v>
      </c>
      <c r="P168" s="55">
        <v>988357.492</v>
      </c>
    </row>
    <row r="169">
      <c r="A169" s="41"/>
      <c r="B169" s="29">
        <v>2017.0</v>
      </c>
      <c r="C169" s="29">
        <v>0.0</v>
      </c>
      <c r="D169" s="29">
        <v>0.0</v>
      </c>
      <c r="E169" s="185">
        <v>8.0</v>
      </c>
      <c r="F169" s="185">
        <v>47.0</v>
      </c>
      <c r="G169" s="189">
        <v>28.79</v>
      </c>
      <c r="H169" s="33">
        <v>42.6</v>
      </c>
      <c r="I169" s="34">
        <v>42.51</v>
      </c>
      <c r="J169" s="55">
        <v>0.599</v>
      </c>
      <c r="K169" s="55">
        <v>3.784610429E7</v>
      </c>
      <c r="L169" s="55">
        <v>605537.6686</v>
      </c>
      <c r="M169" s="55">
        <v>2800611.717</v>
      </c>
      <c r="N169" s="55">
        <v>7581940.711</v>
      </c>
      <c r="O169" s="55">
        <v>75819.40711</v>
      </c>
      <c r="P169" s="55">
        <v>1000816.174</v>
      </c>
    </row>
    <row r="170">
      <c r="A170" s="41"/>
      <c r="B170" s="29">
        <v>2018.0</v>
      </c>
      <c r="C170" s="29">
        <v>0.0</v>
      </c>
      <c r="D170" s="29">
        <v>0.0</v>
      </c>
      <c r="E170" s="185">
        <v>11.0</v>
      </c>
      <c r="F170" s="185">
        <v>43.0</v>
      </c>
      <c r="G170" s="189">
        <v>29.38</v>
      </c>
      <c r="H170" s="33">
        <v>43.3</v>
      </c>
      <c r="I170" s="34">
        <v>46.18</v>
      </c>
      <c r="J170" s="55">
        <v>0.602</v>
      </c>
      <c r="K170" s="55">
        <v>3.8313629179E7</v>
      </c>
      <c r="L170" s="55">
        <v>613018.0669</v>
      </c>
      <c r="M170" s="55">
        <v>2835208.559</v>
      </c>
      <c r="N170" s="55">
        <v>7675602.821</v>
      </c>
      <c r="O170" s="55">
        <v>76756.02821</v>
      </c>
      <c r="P170" s="55">
        <v>1013179.572</v>
      </c>
    </row>
    <row r="171">
      <c r="A171" s="41"/>
      <c r="B171" s="29">
        <v>2019.0</v>
      </c>
      <c r="C171" s="29">
        <v>0.0</v>
      </c>
      <c r="D171" s="29">
        <v>0.0</v>
      </c>
      <c r="E171" s="185">
        <v>13.0</v>
      </c>
      <c r="F171" s="185">
        <v>47.0</v>
      </c>
      <c r="G171" s="189">
        <v>29.96</v>
      </c>
      <c r="H171" s="33">
        <v>43.5</v>
      </c>
      <c r="I171" s="34">
        <v>44.18</v>
      </c>
      <c r="J171" s="55">
        <v>0.605</v>
      </c>
      <c r="K171" s="55">
        <v>3.8777464269E7</v>
      </c>
      <c r="L171" s="55">
        <v>620439.4283</v>
      </c>
      <c r="M171" s="55">
        <v>2869532.356</v>
      </c>
      <c r="N171" s="55">
        <v>7768525.731</v>
      </c>
      <c r="O171" s="55">
        <v>77685.25731</v>
      </c>
      <c r="P171" s="55">
        <v>1025445.396</v>
      </c>
    </row>
    <row r="172">
      <c r="A172" s="41"/>
      <c r="B172" s="29">
        <v>2020.0</v>
      </c>
      <c r="C172" s="29">
        <v>1.0</v>
      </c>
      <c r="D172" s="29">
        <v>1.0</v>
      </c>
      <c r="E172" s="185">
        <v>15.0</v>
      </c>
      <c r="F172" s="185">
        <v>45.0</v>
      </c>
      <c r="G172" s="189">
        <v>28.42</v>
      </c>
      <c r="H172" s="33">
        <v>45.2</v>
      </c>
      <c r="I172" s="34">
        <v>44.31</v>
      </c>
      <c r="J172" s="55">
        <f t="shared" ref="J172:J174" si="19">J171+(((J171-J170)+(J170-J169)+(J169-J168)+(J168-J167))/4)</f>
        <v>0.61075</v>
      </c>
      <c r="K172" s="55">
        <v>3.9237525416E7</v>
      </c>
      <c r="L172" s="55">
        <v>627800.4067</v>
      </c>
      <c r="M172" s="55">
        <v>2903576.881</v>
      </c>
      <c r="N172" s="55">
        <v>7860692.584</v>
      </c>
      <c r="O172" s="55">
        <v>78606.92584</v>
      </c>
      <c r="P172" s="55">
        <v>1037611.421</v>
      </c>
    </row>
    <row r="173">
      <c r="A173" s="41"/>
      <c r="B173" s="29">
        <v>2021.0</v>
      </c>
      <c r="C173" s="29">
        <v>1.0</v>
      </c>
      <c r="D173" s="29">
        <v>2.0</v>
      </c>
      <c r="E173" s="185">
        <v>24.08</v>
      </c>
      <c r="F173" s="185">
        <v>32.33</v>
      </c>
      <c r="G173" s="189">
        <v>28.21</v>
      </c>
      <c r="H173" s="59">
        <f>MEDIAN(H167:H172)</f>
        <v>43.4</v>
      </c>
      <c r="I173" s="52">
        <f t="shared" ref="I173:I174" si="20">I172+0.13</f>
        <v>44.44</v>
      </c>
      <c r="J173" s="55">
        <f t="shared" si="19"/>
        <v>0.6161875</v>
      </c>
      <c r="K173" s="55">
        <v>3.9693734308E7</v>
      </c>
      <c r="L173" s="55">
        <v>635099.7489</v>
      </c>
      <c r="M173" s="55">
        <v>2937336.339</v>
      </c>
      <c r="N173" s="55">
        <v>7952087.692</v>
      </c>
      <c r="O173" s="55">
        <v>79520.87692</v>
      </c>
      <c r="P173" s="55">
        <v>1049675.575</v>
      </c>
    </row>
    <row r="174">
      <c r="A174" s="41"/>
      <c r="B174" s="22">
        <v>2022.0</v>
      </c>
      <c r="C174" s="29">
        <v>1.0</v>
      </c>
      <c r="D174" s="29">
        <v>1.0</v>
      </c>
      <c r="E174" s="185">
        <v>10.47</v>
      </c>
      <c r="F174" s="185">
        <v>33.75</v>
      </c>
      <c r="G174" s="185">
        <v>25.39</v>
      </c>
      <c r="H174" s="33">
        <v>52.0</v>
      </c>
      <c r="I174" s="52">
        <f t="shared" si="20"/>
        <v>44.57</v>
      </c>
      <c r="J174" s="55">
        <f t="shared" si="19"/>
        <v>0.620484375</v>
      </c>
      <c r="K174" s="55">
        <v>3.9922152E7</v>
      </c>
      <c r="L174" s="55">
        <v>638754.0</v>
      </c>
      <c r="M174" s="55">
        <v>2954239.248</v>
      </c>
      <c r="N174" s="55">
        <v>7997848.0</v>
      </c>
      <c r="O174" s="55">
        <v>79978.48</v>
      </c>
      <c r="P174" s="55">
        <v>1055715.936</v>
      </c>
    </row>
    <row r="175">
      <c r="A175" s="41"/>
      <c r="B175" s="22"/>
      <c r="C175" s="41"/>
      <c r="D175" s="41"/>
      <c r="E175" s="188"/>
      <c r="F175" s="188"/>
      <c r="G175" s="188"/>
      <c r="H175" s="59"/>
      <c r="I175" s="52"/>
      <c r="J175" s="53"/>
      <c r="K175" s="53"/>
      <c r="L175" s="53"/>
      <c r="M175" s="53"/>
      <c r="N175" s="53"/>
      <c r="O175" s="53"/>
      <c r="P175" s="53"/>
    </row>
    <row r="176">
      <c r="A176" s="28" t="s">
        <v>40</v>
      </c>
      <c r="B176" s="29">
        <v>2015.0</v>
      </c>
      <c r="C176" s="29">
        <v>1.0</v>
      </c>
      <c r="D176" s="29">
        <v>1.0</v>
      </c>
      <c r="E176" s="185">
        <v>7.0</v>
      </c>
      <c r="F176" s="185">
        <v>50.0</v>
      </c>
      <c r="G176" s="189">
        <v>27.75</v>
      </c>
      <c r="H176" s="61">
        <v>73.8</v>
      </c>
      <c r="I176" s="34">
        <v>62.02</v>
      </c>
      <c r="J176" s="55">
        <v>0.701</v>
      </c>
      <c r="K176" s="77">
        <v>1.8116051532E7</v>
      </c>
      <c r="L176" s="77">
        <v>303765.5013</v>
      </c>
      <c r="M176" s="78">
        <v>1404915.444</v>
      </c>
      <c r="N176" s="78">
        <v>1.0860358468E7</v>
      </c>
      <c r="O176" s="78">
        <v>108603.5847</v>
      </c>
      <c r="P176" s="78">
        <v>1433567.318</v>
      </c>
    </row>
    <row r="177">
      <c r="A177" s="41"/>
      <c r="B177" s="29">
        <v>2016.0</v>
      </c>
      <c r="C177" s="29">
        <v>1.0</v>
      </c>
      <c r="D177" s="29">
        <v>1.0</v>
      </c>
      <c r="E177" s="185">
        <v>8.0</v>
      </c>
      <c r="F177" s="185">
        <v>51.0</v>
      </c>
      <c r="G177" s="189">
        <v>28.54</v>
      </c>
      <c r="H177" s="33">
        <v>81.0</v>
      </c>
      <c r="I177" s="34">
        <v>65.03</v>
      </c>
      <c r="J177" s="55">
        <v>0.707</v>
      </c>
      <c r="K177" s="77">
        <v>1.8304275494E7</v>
      </c>
      <c r="L177" s="77">
        <v>306921.5945</v>
      </c>
      <c r="M177" s="78">
        <v>1419512.374</v>
      </c>
      <c r="N177" s="78">
        <v>1.0973196506E7</v>
      </c>
      <c r="O177" s="78">
        <v>109731.9651</v>
      </c>
      <c r="P177" s="78">
        <v>1448461.939</v>
      </c>
    </row>
    <row r="178">
      <c r="A178" s="41"/>
      <c r="B178" s="29">
        <v>2017.0</v>
      </c>
      <c r="C178" s="29">
        <v>1.0</v>
      </c>
      <c r="D178" s="29">
        <v>1.0</v>
      </c>
      <c r="E178" s="185">
        <v>6.0</v>
      </c>
      <c r="F178" s="185">
        <v>53.0</v>
      </c>
      <c r="G178" s="189">
        <v>28.54</v>
      </c>
      <c r="H178" s="33">
        <v>71.5</v>
      </c>
      <c r="I178" s="34">
        <v>63.01</v>
      </c>
      <c r="J178" s="55">
        <v>0.718</v>
      </c>
      <c r="K178" s="77">
        <v>1.8490651366E7</v>
      </c>
      <c r="L178" s="77">
        <v>310046.6993</v>
      </c>
      <c r="M178" s="78">
        <v>1433965.984</v>
      </c>
      <c r="N178" s="78">
        <v>1.1084926634E7</v>
      </c>
      <c r="O178" s="78">
        <v>110849.2663</v>
      </c>
      <c r="P178" s="78">
        <v>1463210.316</v>
      </c>
    </row>
    <row r="179">
      <c r="A179" s="41"/>
      <c r="B179" s="29">
        <v>2018.0</v>
      </c>
      <c r="C179" s="29">
        <v>1.0</v>
      </c>
      <c r="D179" s="29">
        <v>1.0</v>
      </c>
      <c r="E179" s="185">
        <v>10.0</v>
      </c>
      <c r="F179" s="185">
        <v>51.0</v>
      </c>
      <c r="G179" s="189">
        <v>28.88</v>
      </c>
      <c r="H179" s="61">
        <v>76.0</v>
      </c>
      <c r="I179" s="34">
        <v>59.32</v>
      </c>
      <c r="J179" s="55">
        <v>0.72</v>
      </c>
      <c r="K179" s="77">
        <v>1.8675159764E7</v>
      </c>
      <c r="L179" s="77">
        <v>313140.4908</v>
      </c>
      <c r="M179" s="78">
        <v>1448274.77</v>
      </c>
      <c r="N179" s="78">
        <v>1.1195537236E7</v>
      </c>
      <c r="O179" s="78">
        <v>111955.3724</v>
      </c>
      <c r="P179" s="78">
        <v>1477810.915</v>
      </c>
    </row>
    <row r="180">
      <c r="A180" s="41"/>
      <c r="B180" s="29">
        <v>2019.0</v>
      </c>
      <c r="C180" s="29">
        <v>0.0</v>
      </c>
      <c r="D180" s="29">
        <v>0.0</v>
      </c>
      <c r="E180" s="185">
        <v>7.0</v>
      </c>
      <c r="F180" s="185">
        <v>51.0</v>
      </c>
      <c r="G180" s="189">
        <v>27.04</v>
      </c>
      <c r="H180" s="61">
        <v>68.9</v>
      </c>
      <c r="I180" s="34">
        <v>59.81</v>
      </c>
      <c r="J180" s="55">
        <v>0.724</v>
      </c>
      <c r="K180" s="77">
        <v>1.8857781935E7</v>
      </c>
      <c r="L180" s="77">
        <v>316202.6545</v>
      </c>
      <c r="M180" s="78">
        <v>1462437.277</v>
      </c>
      <c r="N180" s="78">
        <v>1.1305017065E7</v>
      </c>
      <c r="O180" s="78">
        <v>113050.1707</v>
      </c>
      <c r="P180" s="78">
        <v>1492262.253</v>
      </c>
    </row>
    <row r="181">
      <c r="A181" s="41"/>
      <c r="B181" s="29">
        <v>2020.0</v>
      </c>
      <c r="C181" s="29">
        <v>1.0</v>
      </c>
      <c r="D181" s="29">
        <v>1.0</v>
      </c>
      <c r="E181" s="185">
        <v>4.0</v>
      </c>
      <c r="F181" s="185">
        <v>53.0</v>
      </c>
      <c r="G181" s="189">
        <v>28.79</v>
      </c>
      <c r="H181" s="61">
        <v>71.0</v>
      </c>
      <c r="I181" s="34">
        <v>58.08</v>
      </c>
      <c r="J181" s="55">
        <f t="shared" ref="J181:J183" si="21">J180+(((J180-J179)+(J179-J178)+(J178-J177)+(J177-J176))/4)</f>
        <v>0.72975</v>
      </c>
      <c r="K181" s="77">
        <v>1.9038501622E7</v>
      </c>
      <c r="L181" s="77">
        <v>319232.9178</v>
      </c>
      <c r="M181" s="78">
        <v>1476452.245</v>
      </c>
      <c r="N181" s="78">
        <v>1.1413356378E7</v>
      </c>
      <c r="O181" s="78">
        <v>114133.5638</v>
      </c>
      <c r="P181" s="78">
        <v>1506563.042</v>
      </c>
    </row>
    <row r="182">
      <c r="A182" s="41"/>
      <c r="B182" s="29">
        <v>2021.0</v>
      </c>
      <c r="C182" s="29">
        <v>1.0</v>
      </c>
      <c r="D182" s="29">
        <v>1.0</v>
      </c>
      <c r="E182" s="185">
        <v>19.75</v>
      </c>
      <c r="F182" s="185">
        <v>34.25</v>
      </c>
      <c r="G182" s="189">
        <v>27.0</v>
      </c>
      <c r="H182" s="59">
        <f>MEDIAN(H176:H181)</f>
        <v>72.65</v>
      </c>
      <c r="I182" s="52">
        <f t="shared" ref="I182:I183" si="22">I181+1.75</f>
        <v>59.83</v>
      </c>
      <c r="J182" s="55">
        <f t="shared" si="21"/>
        <v>0.7354375</v>
      </c>
      <c r="K182" s="77">
        <v>1.9217304445E7</v>
      </c>
      <c r="L182" s="77">
        <v>322231.0396</v>
      </c>
      <c r="M182" s="78">
        <v>1490318.558</v>
      </c>
      <c r="N182" s="78">
        <v>1.1520546555E7</v>
      </c>
      <c r="O182" s="78">
        <v>115205.4655</v>
      </c>
      <c r="P182" s="78">
        <v>1520712.145</v>
      </c>
    </row>
    <row r="183">
      <c r="A183" s="41"/>
      <c r="B183" s="22">
        <v>2022.0</v>
      </c>
      <c r="C183" s="29">
        <v>1.0</v>
      </c>
      <c r="D183" s="29">
        <v>1.0</v>
      </c>
      <c r="E183" s="185">
        <v>6.72</v>
      </c>
      <c r="F183" s="185">
        <v>36.6</v>
      </c>
      <c r="G183" s="185">
        <v>23.87</v>
      </c>
      <c r="H183" s="33">
        <v>79.0</v>
      </c>
      <c r="I183" s="52">
        <f t="shared" si="22"/>
        <v>61.58</v>
      </c>
      <c r="J183" s="55">
        <f t="shared" si="21"/>
        <v>0.739796875</v>
      </c>
      <c r="K183" s="55">
        <v>1.9424964E7</v>
      </c>
      <c r="L183" s="55">
        <v>325713.024</v>
      </c>
      <c r="M183" s="55">
        <v>1506422.736</v>
      </c>
      <c r="N183" s="55">
        <v>1.1645036E7</v>
      </c>
      <c r="O183" s="55">
        <v>116450.36</v>
      </c>
      <c r="P183" s="55">
        <v>1537144.752</v>
      </c>
    </row>
    <row r="184">
      <c r="A184" s="41"/>
      <c r="B184" s="22"/>
      <c r="C184" s="41"/>
      <c r="D184" s="41"/>
      <c r="E184" s="188"/>
      <c r="F184" s="188"/>
      <c r="G184" s="188"/>
      <c r="H184" s="59"/>
      <c r="I184" s="52"/>
      <c r="J184" s="53"/>
      <c r="K184" s="53"/>
      <c r="L184" s="53"/>
      <c r="M184" s="53"/>
      <c r="N184" s="53"/>
      <c r="O184" s="53"/>
      <c r="P184" s="53"/>
    </row>
    <row r="185">
      <c r="A185" s="28" t="s">
        <v>41</v>
      </c>
      <c r="B185" s="29">
        <v>2015.0</v>
      </c>
      <c r="C185" s="29">
        <v>1.0</v>
      </c>
      <c r="D185" s="29">
        <v>1.0</v>
      </c>
      <c r="E185" s="185">
        <v>6.0</v>
      </c>
      <c r="F185" s="185">
        <v>44.0</v>
      </c>
      <c r="G185" s="189">
        <v>28.21</v>
      </c>
      <c r="H185" s="33">
        <v>65.5</v>
      </c>
      <c r="I185" s="62">
        <v>36.79</v>
      </c>
      <c r="J185" s="55">
        <v>0.602</v>
      </c>
      <c r="K185" s="77">
        <v>5.5198911057E7</v>
      </c>
      <c r="L185" s="77">
        <v>883182.5769</v>
      </c>
      <c r="M185" s="78">
        <v>4084719.418</v>
      </c>
      <c r="N185" s="78">
        <v>1.8272286943E7</v>
      </c>
      <c r="O185" s="78">
        <v>182722.8694</v>
      </c>
      <c r="P185" s="78">
        <v>2411941.876</v>
      </c>
    </row>
    <row r="186">
      <c r="A186" s="41"/>
      <c r="B186" s="29">
        <v>2016.0</v>
      </c>
      <c r="C186" s="29">
        <v>1.0</v>
      </c>
      <c r="D186" s="29">
        <v>1.0</v>
      </c>
      <c r="E186" s="185">
        <v>7.0</v>
      </c>
      <c r="F186" s="185">
        <v>46.0</v>
      </c>
      <c r="G186" s="189">
        <v>27.54</v>
      </c>
      <c r="H186" s="33">
        <v>60.9</v>
      </c>
      <c r="I186" s="34">
        <v>43.1</v>
      </c>
      <c r="J186" s="55">
        <v>0.613</v>
      </c>
      <c r="K186" s="77">
        <v>5.6116528592E7</v>
      </c>
      <c r="L186" s="77">
        <v>897864.4575</v>
      </c>
      <c r="M186" s="78">
        <v>4152623.116</v>
      </c>
      <c r="N186" s="78">
        <v>1.8576042408E7</v>
      </c>
      <c r="O186" s="78">
        <v>185760.4241</v>
      </c>
      <c r="P186" s="78">
        <v>2452037.598</v>
      </c>
    </row>
    <row r="187">
      <c r="A187" s="41"/>
      <c r="B187" s="29">
        <v>2017.0</v>
      </c>
      <c r="C187" s="29">
        <v>1.0</v>
      </c>
      <c r="D187" s="29">
        <v>2.0</v>
      </c>
      <c r="E187" s="185">
        <v>4.0</v>
      </c>
      <c r="F187" s="185">
        <v>45.0</v>
      </c>
      <c r="G187" s="189">
        <v>28.33</v>
      </c>
      <c r="H187" s="33">
        <v>59.9</v>
      </c>
      <c r="I187" s="34">
        <v>48.2</v>
      </c>
      <c r="J187" s="55">
        <v>0.623</v>
      </c>
      <c r="K187" s="77">
        <v>5.7030742738E7</v>
      </c>
      <c r="L187" s="77">
        <v>912491.8838</v>
      </c>
      <c r="M187" s="78">
        <v>4220274.963</v>
      </c>
      <c r="N187" s="78">
        <v>1.8878671262E7</v>
      </c>
      <c r="O187" s="78">
        <v>188786.7126</v>
      </c>
      <c r="P187" s="78">
        <v>2491984.607</v>
      </c>
    </row>
    <row r="188">
      <c r="A188" s="41"/>
      <c r="B188" s="29">
        <v>2018.0</v>
      </c>
      <c r="C188" s="29">
        <v>1.0</v>
      </c>
      <c r="D188" s="29">
        <v>1.0</v>
      </c>
      <c r="E188" s="185">
        <v>6.0</v>
      </c>
      <c r="F188" s="185">
        <v>45.0</v>
      </c>
      <c r="G188" s="189">
        <v>28.04</v>
      </c>
      <c r="H188" s="33">
        <v>63.1</v>
      </c>
      <c r="I188" s="34">
        <v>47.71</v>
      </c>
      <c r="J188" s="55">
        <v>0.625</v>
      </c>
      <c r="K188" s="77">
        <v>5.7941268752E7</v>
      </c>
      <c r="L188" s="77">
        <v>927060.3</v>
      </c>
      <c r="M188" s="78">
        <v>4287653.888</v>
      </c>
      <c r="N188" s="78">
        <v>1.9180079248E7</v>
      </c>
      <c r="O188" s="78">
        <v>191800.7925</v>
      </c>
      <c r="P188" s="78">
        <v>2531770.461</v>
      </c>
    </row>
    <row r="189">
      <c r="A189" s="41"/>
      <c r="B189" s="29">
        <v>2019.0</v>
      </c>
      <c r="C189" s="29">
        <v>0.0</v>
      </c>
      <c r="D189" s="29">
        <v>0.0</v>
      </c>
      <c r="E189" s="185">
        <v>8.0</v>
      </c>
      <c r="F189" s="185">
        <v>46.0</v>
      </c>
      <c r="G189" s="189">
        <v>27.08</v>
      </c>
      <c r="H189" s="33">
        <v>63.0</v>
      </c>
      <c r="I189" s="34">
        <v>41.57</v>
      </c>
      <c r="J189" s="55">
        <v>0.628</v>
      </c>
      <c r="K189" s="77">
        <v>5.8847830157E7</v>
      </c>
      <c r="L189" s="77">
        <v>941565.2825</v>
      </c>
      <c r="M189" s="78">
        <v>4354739.432</v>
      </c>
      <c r="N189" s="78">
        <v>1.9480174844E7</v>
      </c>
      <c r="O189" s="78">
        <v>194801.7484</v>
      </c>
      <c r="P189" s="78">
        <v>2571383.079</v>
      </c>
    </row>
    <row r="190">
      <c r="A190" s="41"/>
      <c r="B190" s="29">
        <v>2020.0</v>
      </c>
      <c r="C190" s="29">
        <v>1.0</v>
      </c>
      <c r="D190" s="29">
        <v>1.0</v>
      </c>
      <c r="E190" s="185">
        <v>5.0</v>
      </c>
      <c r="F190" s="185">
        <v>45.0</v>
      </c>
      <c r="G190" s="189">
        <v>28.25</v>
      </c>
      <c r="H190" s="33">
        <v>61.2</v>
      </c>
      <c r="I190" s="34">
        <v>41.33</v>
      </c>
      <c r="J190" s="55">
        <f t="shared" ref="J190:J192" si="23">J189+(((J189-J188)+(J188-J187)+(J187-J186)+(J186-J185))/4)</f>
        <v>0.6345</v>
      </c>
      <c r="K190" s="77">
        <v>5.975016099E7</v>
      </c>
      <c r="L190" s="77">
        <v>956002.5758</v>
      </c>
      <c r="M190" s="78">
        <v>4421511.913</v>
      </c>
      <c r="N190" s="78">
        <v>1.977887001E7</v>
      </c>
      <c r="O190" s="78">
        <v>197788.7001</v>
      </c>
      <c r="P190" s="78">
        <v>2610810.841</v>
      </c>
    </row>
    <row r="191">
      <c r="A191" s="41"/>
      <c r="B191" s="29">
        <v>2021.0</v>
      </c>
      <c r="C191" s="29">
        <v>1.0</v>
      </c>
      <c r="D191" s="29">
        <v>1.0</v>
      </c>
      <c r="E191" s="185">
        <v>23.0</v>
      </c>
      <c r="F191" s="185">
        <v>33.42</v>
      </c>
      <c r="G191" s="189">
        <v>28.21</v>
      </c>
      <c r="H191" s="59">
        <f>MEDIAN(H185:H190)</f>
        <v>62.1</v>
      </c>
      <c r="I191" s="79">
        <f t="shared" ref="I191:I192" si="24">I190-0.24</f>
        <v>41.09</v>
      </c>
      <c r="J191" s="55">
        <f t="shared" si="23"/>
        <v>0.639875</v>
      </c>
      <c r="K191" s="77">
        <v>6.0648004309E7</v>
      </c>
      <c r="L191" s="77">
        <v>970368.0689</v>
      </c>
      <c r="M191" s="78">
        <v>4487952.319</v>
      </c>
      <c r="N191" s="78">
        <v>2.0076079691E7</v>
      </c>
      <c r="O191" s="78">
        <v>200760.7969</v>
      </c>
      <c r="P191" s="78">
        <v>2650042.519</v>
      </c>
    </row>
    <row r="192">
      <c r="A192" s="41"/>
      <c r="B192" s="22">
        <v>2022.0</v>
      </c>
      <c r="C192" s="29">
        <v>1.0</v>
      </c>
      <c r="D192" s="29">
        <v>1.0</v>
      </c>
      <c r="E192" s="185">
        <v>19.34</v>
      </c>
      <c r="F192" s="185">
        <v>32.38</v>
      </c>
      <c r="G192" s="189">
        <v>25.86</v>
      </c>
      <c r="H192" s="33">
        <v>65.0</v>
      </c>
      <c r="I192" s="52">
        <f t="shared" si="24"/>
        <v>40.85</v>
      </c>
      <c r="J192" s="55">
        <f t="shared" si="23"/>
        <v>0.64409375</v>
      </c>
      <c r="K192" s="55">
        <v>6.0990534E7</v>
      </c>
      <c r="L192" s="55">
        <v>975849.0</v>
      </c>
      <c r="M192" s="55">
        <v>4513299.516</v>
      </c>
      <c r="N192" s="55">
        <v>2.0189466E7</v>
      </c>
      <c r="O192" s="55">
        <v>201894.66</v>
      </c>
      <c r="P192" s="55">
        <v>2665009.512</v>
      </c>
    </row>
    <row r="193">
      <c r="A193" s="41"/>
      <c r="B193" s="22"/>
      <c r="C193" s="41"/>
      <c r="D193" s="41"/>
      <c r="E193" s="188"/>
      <c r="F193" s="188"/>
      <c r="G193" s="188"/>
      <c r="H193" s="59"/>
      <c r="I193" s="65"/>
      <c r="J193" s="53"/>
      <c r="K193" s="53"/>
      <c r="L193" s="53"/>
      <c r="M193" s="53"/>
      <c r="N193" s="53"/>
      <c r="O193" s="53"/>
      <c r="P193" s="53"/>
    </row>
    <row r="194">
      <c r="A194" s="28" t="s">
        <v>42</v>
      </c>
      <c r="B194" s="29">
        <v>2015.0</v>
      </c>
      <c r="C194" s="29">
        <v>0.0</v>
      </c>
      <c r="D194" s="29">
        <v>0.0</v>
      </c>
      <c r="E194" s="185">
        <v>1.0</v>
      </c>
      <c r="F194" s="185">
        <v>24.0</v>
      </c>
      <c r="G194" s="189">
        <v>13.13</v>
      </c>
      <c r="H194" s="33">
        <v>34.3</v>
      </c>
      <c r="I194" s="62">
        <v>53.39</v>
      </c>
      <c r="J194" s="55">
        <v>0.69</v>
      </c>
      <c r="K194" s="77">
        <v>473213.676</v>
      </c>
      <c r="L194" s="77">
        <v>7571.418816</v>
      </c>
      <c r="M194" s="78">
        <v>35017.81202</v>
      </c>
      <c r="N194" s="78">
        <v>159002.324</v>
      </c>
      <c r="O194" s="78">
        <v>1590.02324</v>
      </c>
      <c r="P194" s="78">
        <v>20988.30677</v>
      </c>
    </row>
    <row r="195">
      <c r="A195" s="41"/>
      <c r="B195" s="29">
        <v>2016.0</v>
      </c>
      <c r="C195" s="29">
        <v>1.0</v>
      </c>
      <c r="D195" s="29">
        <v>1.0</v>
      </c>
      <c r="E195" s="185">
        <v>2.0</v>
      </c>
      <c r="F195" s="185">
        <v>26.0</v>
      </c>
      <c r="G195" s="189">
        <v>14.33</v>
      </c>
      <c r="H195" s="33">
        <v>31.1</v>
      </c>
      <c r="I195" s="62">
        <v>53.2</v>
      </c>
      <c r="J195" s="55">
        <v>0.7</v>
      </c>
      <c r="K195" s="77">
        <v>477147.044</v>
      </c>
      <c r="L195" s="77">
        <v>7634.352696</v>
      </c>
      <c r="M195" s="78">
        <v>35308.88122</v>
      </c>
      <c r="N195" s="78">
        <v>160323.957</v>
      </c>
      <c r="O195" s="78">
        <v>1603.239565</v>
      </c>
      <c r="P195" s="78">
        <v>21162.76226</v>
      </c>
    </row>
    <row r="196">
      <c r="A196" s="41"/>
      <c r="B196" s="29">
        <v>2017.0</v>
      </c>
      <c r="C196" s="29">
        <v>0.0</v>
      </c>
      <c r="D196" s="29">
        <v>0.0</v>
      </c>
      <c r="E196" s="185">
        <v>0.0</v>
      </c>
      <c r="F196" s="185">
        <v>25.0</v>
      </c>
      <c r="G196" s="189">
        <v>13.58</v>
      </c>
      <c r="H196" s="33">
        <v>29.9</v>
      </c>
      <c r="I196" s="62">
        <v>50.5</v>
      </c>
      <c r="J196" s="55">
        <v>0.711</v>
      </c>
      <c r="K196" s="77">
        <v>481034.004</v>
      </c>
      <c r="L196" s="77">
        <v>7696.544064</v>
      </c>
      <c r="M196" s="78">
        <v>35596.5163</v>
      </c>
      <c r="N196" s="78">
        <v>161629.996</v>
      </c>
      <c r="O196" s="78">
        <v>1616.29996</v>
      </c>
      <c r="P196" s="78">
        <v>21335.15947</v>
      </c>
    </row>
    <row r="197">
      <c r="A197" s="41"/>
      <c r="B197" s="29">
        <v>2018.0</v>
      </c>
      <c r="C197" s="29">
        <v>0.0</v>
      </c>
      <c r="D197" s="29">
        <v>0.0</v>
      </c>
      <c r="E197" s="185">
        <v>-2.0</v>
      </c>
      <c r="F197" s="185">
        <v>26.0</v>
      </c>
      <c r="G197" s="189">
        <v>13.08</v>
      </c>
      <c r="H197" s="33">
        <v>33.1</v>
      </c>
      <c r="I197" s="62">
        <v>63.31</v>
      </c>
      <c r="J197" s="55">
        <v>0.713</v>
      </c>
      <c r="K197" s="77">
        <v>484873.809</v>
      </c>
      <c r="L197" s="77">
        <v>7757.980944</v>
      </c>
      <c r="M197" s="78">
        <v>35880.66187</v>
      </c>
      <c r="N197" s="78">
        <v>162920.191</v>
      </c>
      <c r="O197" s="78">
        <v>1629.20191</v>
      </c>
      <c r="P197" s="78">
        <v>21505.46521</v>
      </c>
    </row>
    <row r="198">
      <c r="A198" s="41"/>
      <c r="B198" s="29">
        <v>2019.0</v>
      </c>
      <c r="C198" s="29">
        <v>0.0</v>
      </c>
      <c r="D198" s="29">
        <v>0.0</v>
      </c>
      <c r="E198" s="185">
        <v>-4.0</v>
      </c>
      <c r="F198" s="185">
        <v>26.0</v>
      </c>
      <c r="G198" s="189">
        <v>13.04</v>
      </c>
      <c r="H198" s="33">
        <v>28.9</v>
      </c>
      <c r="I198" s="62">
        <v>56.21</v>
      </c>
      <c r="J198" s="55">
        <v>0.717</v>
      </c>
      <c r="K198" s="77">
        <v>488667.207</v>
      </c>
      <c r="L198" s="77">
        <v>7818.675312</v>
      </c>
      <c r="M198" s="78">
        <v>36161.37332</v>
      </c>
      <c r="N198" s="78">
        <v>164194.793</v>
      </c>
      <c r="O198" s="78">
        <v>1641.94793</v>
      </c>
      <c r="P198" s="78">
        <v>21673.71268</v>
      </c>
    </row>
    <row r="199">
      <c r="A199" s="41"/>
      <c r="B199" s="29">
        <v>2020.0</v>
      </c>
      <c r="C199" s="29">
        <v>1.0</v>
      </c>
      <c r="D199" s="29">
        <v>1.0</v>
      </c>
      <c r="E199" s="185">
        <v>-6.0</v>
      </c>
      <c r="F199" s="185">
        <v>25.0</v>
      </c>
      <c r="G199" s="189">
        <v>10.46</v>
      </c>
      <c r="H199" s="33">
        <v>31.6</v>
      </c>
      <c r="I199" s="62">
        <v>55.53</v>
      </c>
      <c r="J199" s="55">
        <f t="shared" ref="J199:J201" si="25">J198+(((J198-J197)+(J197-J196)+(J196-J195)+(J195-J194))/4)</f>
        <v>0.72375</v>
      </c>
      <c r="K199" s="77">
        <v>492413.45</v>
      </c>
      <c r="L199" s="77">
        <v>7878.615192</v>
      </c>
      <c r="M199" s="78">
        <v>36438.59526</v>
      </c>
      <c r="N199" s="78">
        <v>165453.551</v>
      </c>
      <c r="O199" s="78">
        <v>1654.535505</v>
      </c>
      <c r="P199" s="78">
        <v>21839.86867</v>
      </c>
    </row>
    <row r="200">
      <c r="A200" s="41"/>
      <c r="B200" s="29">
        <v>2021.0</v>
      </c>
      <c r="C200" s="29">
        <v>1.0</v>
      </c>
      <c r="D200" s="29">
        <v>1.0</v>
      </c>
      <c r="E200" s="185">
        <v>6.75</v>
      </c>
      <c r="F200" s="185">
        <v>15.58</v>
      </c>
      <c r="G200" s="189">
        <v>11.17</v>
      </c>
      <c r="H200" s="59">
        <f>MEDIAN(H194:H199)</f>
        <v>31.35</v>
      </c>
      <c r="I200" s="79">
        <f t="shared" ref="I200:I201" si="26">I199-0.72</f>
        <v>54.81</v>
      </c>
      <c r="J200" s="55">
        <f t="shared" si="25"/>
        <v>0.7296875</v>
      </c>
      <c r="K200" s="77">
        <v>496113.285</v>
      </c>
      <c r="L200" s="77">
        <v>7937.81256</v>
      </c>
      <c r="M200" s="78">
        <v>36712.38309</v>
      </c>
      <c r="N200" s="78">
        <v>166696.715</v>
      </c>
      <c r="O200" s="78">
        <v>1666.96715</v>
      </c>
      <c r="P200" s="78">
        <v>22003.96638</v>
      </c>
    </row>
    <row r="201">
      <c r="A201" s="41"/>
      <c r="B201" s="22">
        <v>2022.0</v>
      </c>
      <c r="C201" s="29">
        <v>0.0</v>
      </c>
      <c r="D201" s="29">
        <v>0.0</v>
      </c>
      <c r="E201" s="189">
        <v>6.14</v>
      </c>
      <c r="F201" s="189">
        <v>15.54</v>
      </c>
      <c r="G201" s="189">
        <v>10.84</v>
      </c>
      <c r="H201" s="33">
        <v>48.0</v>
      </c>
      <c r="I201" s="52">
        <f t="shared" si="26"/>
        <v>54.09</v>
      </c>
      <c r="J201" s="55">
        <f t="shared" si="25"/>
        <v>0.734359375</v>
      </c>
      <c r="K201" s="55">
        <v>507333.3</v>
      </c>
      <c r="L201" s="55">
        <v>8117.3328</v>
      </c>
      <c r="M201" s="55">
        <v>37542.6642</v>
      </c>
      <c r="N201" s="55">
        <v>170466.7</v>
      </c>
      <c r="O201" s="55">
        <v>1704.667</v>
      </c>
      <c r="P201" s="55">
        <v>22501.6044</v>
      </c>
    </row>
    <row r="202">
      <c r="A202" s="41"/>
      <c r="B202" s="22"/>
      <c r="C202" s="41"/>
      <c r="D202" s="41"/>
      <c r="E202" s="188"/>
      <c r="F202" s="188"/>
      <c r="G202" s="188"/>
      <c r="H202" s="59"/>
      <c r="I202" s="65"/>
      <c r="J202" s="53"/>
      <c r="K202" s="53"/>
      <c r="L202" s="53"/>
      <c r="M202" s="53"/>
      <c r="N202" s="53"/>
      <c r="O202" s="53"/>
      <c r="P202" s="53"/>
    </row>
    <row r="203">
      <c r="A203" s="28" t="s">
        <v>43</v>
      </c>
      <c r="B203" s="29">
        <v>2015.0</v>
      </c>
      <c r="C203" s="29">
        <v>0.0</v>
      </c>
      <c r="D203" s="29">
        <v>0.0</v>
      </c>
      <c r="E203" s="185">
        <v>17.0</v>
      </c>
      <c r="F203" s="185">
        <v>40.0</v>
      </c>
      <c r="G203" s="189">
        <v>28.88</v>
      </c>
      <c r="H203" s="33">
        <v>23.9</v>
      </c>
      <c r="I203" s="62">
        <v>63.28</v>
      </c>
      <c r="J203" s="55">
        <v>0.688</v>
      </c>
      <c r="K203" s="55">
        <v>3.9901362552E7</v>
      </c>
      <c r="L203" s="55">
        <v>638421.8008</v>
      </c>
      <c r="M203" s="55">
        <v>2952700.829</v>
      </c>
      <c r="N203" s="55">
        <v>3.7426859448E7</v>
      </c>
      <c r="O203" s="55">
        <v>374268.5945</v>
      </c>
      <c r="P203" s="55">
        <v>4940345.447</v>
      </c>
    </row>
    <row r="204">
      <c r="A204" s="41"/>
      <c r="B204" s="29">
        <v>2016.0</v>
      </c>
      <c r="C204" s="29">
        <v>1.0</v>
      </c>
      <c r="D204" s="29">
        <v>1.0</v>
      </c>
      <c r="E204" s="185">
        <v>17.0</v>
      </c>
      <c r="F204" s="185">
        <v>42.0</v>
      </c>
      <c r="G204" s="189">
        <v>29.13</v>
      </c>
      <c r="H204" s="33">
        <v>27.7</v>
      </c>
      <c r="I204" s="62">
        <v>63.38</v>
      </c>
      <c r="J204" s="55">
        <v>0.692</v>
      </c>
      <c r="K204" s="55">
        <v>4.0564675908E7</v>
      </c>
      <c r="L204" s="55">
        <v>649034.8145</v>
      </c>
      <c r="M204" s="55">
        <v>3001786.017</v>
      </c>
      <c r="N204" s="55">
        <v>3.8049037092E7</v>
      </c>
      <c r="O204" s="55">
        <v>380490.3709</v>
      </c>
      <c r="P204" s="55">
        <v>5022472.896</v>
      </c>
    </row>
    <row r="205">
      <c r="A205" s="41"/>
      <c r="B205" s="29">
        <v>2017.0</v>
      </c>
      <c r="C205" s="29">
        <v>1.0</v>
      </c>
      <c r="D205" s="29">
        <v>2.0</v>
      </c>
      <c r="E205" s="185">
        <v>17.0</v>
      </c>
      <c r="F205" s="185">
        <v>42.0</v>
      </c>
      <c r="G205" s="189">
        <v>28.96</v>
      </c>
      <c r="H205" s="33">
        <v>28.4</v>
      </c>
      <c r="I205" s="62">
        <v>60.41</v>
      </c>
      <c r="J205" s="55">
        <v>0.703</v>
      </c>
      <c r="K205" s="55">
        <v>4.1225529492E7</v>
      </c>
      <c r="L205" s="55">
        <v>659608.4719</v>
      </c>
      <c r="M205" s="55">
        <v>3050689.182</v>
      </c>
      <c r="N205" s="55">
        <v>3.8668907508E7</v>
      </c>
      <c r="O205" s="55">
        <v>386689.0751</v>
      </c>
      <c r="P205" s="55">
        <v>5104295.791</v>
      </c>
    </row>
    <row r="206">
      <c r="A206" s="41"/>
      <c r="B206" s="29">
        <v>2018.0</v>
      </c>
      <c r="C206" s="29">
        <v>0.0</v>
      </c>
      <c r="D206" s="29">
        <v>0.0</v>
      </c>
      <c r="E206" s="185">
        <v>18.0</v>
      </c>
      <c r="F206" s="185">
        <v>41.0</v>
      </c>
      <c r="G206" s="189">
        <v>28.79</v>
      </c>
      <c r="H206" s="33">
        <v>29.6</v>
      </c>
      <c r="I206" s="62">
        <v>63.37</v>
      </c>
      <c r="J206" s="55">
        <v>0.705</v>
      </c>
      <c r="K206" s="55">
        <v>4.1883716904E7</v>
      </c>
      <c r="L206" s="55">
        <v>670139.4705</v>
      </c>
      <c r="M206" s="55">
        <v>3099395.051</v>
      </c>
      <c r="N206" s="55">
        <v>3.9286277096E7</v>
      </c>
      <c r="O206" s="55">
        <v>392862.771</v>
      </c>
      <c r="P206" s="55">
        <v>5185788.577</v>
      </c>
    </row>
    <row r="207">
      <c r="A207" s="41"/>
      <c r="B207" s="29">
        <v>2019.0</v>
      </c>
      <c r="C207" s="29">
        <v>0.0</v>
      </c>
      <c r="D207" s="29">
        <v>0.0</v>
      </c>
      <c r="E207" s="185">
        <v>19.0</v>
      </c>
      <c r="F207" s="185">
        <v>42.0</v>
      </c>
      <c r="G207" s="189">
        <v>28.96</v>
      </c>
      <c r="H207" s="33">
        <v>25.7</v>
      </c>
      <c r="I207" s="62">
        <v>67.44</v>
      </c>
      <c r="J207" s="55">
        <v>0.709</v>
      </c>
      <c r="K207" s="55">
        <v>4.2539038452E7</v>
      </c>
      <c r="L207" s="55">
        <v>680624.6152</v>
      </c>
      <c r="M207" s="55">
        <v>3147888.845</v>
      </c>
      <c r="N207" s="55">
        <v>3.9900958548E7</v>
      </c>
      <c r="O207" s="55">
        <v>399009.5855</v>
      </c>
      <c r="P207" s="55">
        <v>5266926.528</v>
      </c>
    </row>
    <row r="208">
      <c r="A208" s="41"/>
      <c r="B208" s="29">
        <v>2020.0</v>
      </c>
      <c r="C208" s="29">
        <v>1.0</v>
      </c>
      <c r="D208" s="29">
        <v>3.0</v>
      </c>
      <c r="E208" s="185">
        <v>18.0</v>
      </c>
      <c r="F208" s="185">
        <v>42.0</v>
      </c>
      <c r="G208" s="189">
        <v>28.46</v>
      </c>
      <c r="H208" s="33">
        <v>25.5</v>
      </c>
      <c r="I208" s="62">
        <v>72.42</v>
      </c>
      <c r="J208" s="55">
        <f t="shared" ref="J208:J210" si="27">J207+(((J207-J206)+(J206-J205)+(J205-J204)+(J204-J203))/4)</f>
        <v>0.71425</v>
      </c>
      <c r="K208" s="55">
        <v>4.3191302184E7</v>
      </c>
      <c r="L208" s="55">
        <v>691060.8349</v>
      </c>
      <c r="M208" s="55">
        <v>3196156.362</v>
      </c>
      <c r="N208" s="55">
        <v>4.0512771816E7</v>
      </c>
      <c r="O208" s="55">
        <v>405127.7182</v>
      </c>
      <c r="P208" s="55">
        <v>5347685.88</v>
      </c>
    </row>
    <row r="209">
      <c r="A209" s="41"/>
      <c r="B209" s="29">
        <v>2021.0</v>
      </c>
      <c r="C209" s="29">
        <v>1.0</v>
      </c>
      <c r="D209" s="29">
        <v>1.0</v>
      </c>
      <c r="E209" s="185">
        <v>25.75</v>
      </c>
      <c r="F209" s="185">
        <v>30.67</v>
      </c>
      <c r="G209" s="189">
        <v>28.21</v>
      </c>
      <c r="H209" s="59">
        <f>MEDIAN(H203:H208)</f>
        <v>26.7</v>
      </c>
      <c r="I209" s="65">
        <f t="shared" ref="I209:I210" si="28">I208+1.63</f>
        <v>74.05</v>
      </c>
      <c r="J209" s="55">
        <f t="shared" si="27"/>
        <v>0.7198125</v>
      </c>
      <c r="K209" s="55">
        <v>4.3840321308E7</v>
      </c>
      <c r="L209" s="55">
        <v>701445.1409</v>
      </c>
      <c r="M209" s="55">
        <v>3244183.777</v>
      </c>
      <c r="N209" s="55">
        <v>4.1121541692E7</v>
      </c>
      <c r="O209" s="55">
        <v>411215.4169</v>
      </c>
      <c r="P209" s="55">
        <v>5428043.503</v>
      </c>
    </row>
    <row r="210">
      <c r="A210" s="41"/>
      <c r="B210" s="22">
        <v>2022.0</v>
      </c>
      <c r="C210" s="29">
        <v>1.0</v>
      </c>
      <c r="D210" s="29">
        <v>1.0</v>
      </c>
      <c r="E210" s="189">
        <v>25.51</v>
      </c>
      <c r="F210" s="189">
        <v>30.68</v>
      </c>
      <c r="G210" s="189">
        <v>28.1</v>
      </c>
      <c r="H210" s="33">
        <v>29.0</v>
      </c>
      <c r="I210" s="52">
        <f t="shared" si="28"/>
        <v>75.68</v>
      </c>
      <c r="J210" s="55">
        <f t="shared" si="27"/>
        <v>0.724015625</v>
      </c>
      <c r="K210" s="55">
        <v>4.40148E7</v>
      </c>
      <c r="L210" s="55">
        <v>704236.8</v>
      </c>
      <c r="M210" s="55">
        <v>3257095.2</v>
      </c>
      <c r="N210" s="55">
        <v>4.12852E7</v>
      </c>
      <c r="O210" s="55">
        <v>412852.0</v>
      </c>
      <c r="P210" s="55">
        <v>5449646.4</v>
      </c>
    </row>
    <row r="211">
      <c r="A211" s="41"/>
      <c r="B211" s="22"/>
      <c r="C211" s="41"/>
      <c r="D211" s="41"/>
      <c r="E211" s="188"/>
      <c r="F211" s="188"/>
      <c r="G211" s="188"/>
      <c r="H211" s="59"/>
      <c r="I211" s="65"/>
      <c r="J211" s="53"/>
      <c r="K211" s="53"/>
      <c r="L211" s="53"/>
      <c r="M211" s="53"/>
      <c r="N211" s="53"/>
      <c r="O211" s="53"/>
      <c r="P211" s="53"/>
    </row>
    <row r="212">
      <c r="A212" s="28" t="s">
        <v>44</v>
      </c>
      <c r="B212" s="29">
        <v>2015.0</v>
      </c>
      <c r="C212" s="29">
        <v>1.0</v>
      </c>
      <c r="D212" s="29">
        <v>2.0</v>
      </c>
      <c r="E212" s="185">
        <v>11.0</v>
      </c>
      <c r="F212" s="185">
        <v>44.0</v>
      </c>
      <c r="G212" s="189">
        <v>28.58</v>
      </c>
      <c r="H212" s="33">
        <v>31.9</v>
      </c>
      <c r="I212" s="62">
        <v>54.94</v>
      </c>
      <c r="J212" s="55">
        <v>0.649</v>
      </c>
      <c r="K212" s="55">
        <v>2.4585521736E7</v>
      </c>
      <c r="L212" s="55">
        <v>391951.655</v>
      </c>
      <c r="M212" s="55">
        <v>1812776.405</v>
      </c>
      <c r="N212" s="55">
        <v>1.2307518084E7</v>
      </c>
      <c r="O212" s="55">
        <v>123075.1808</v>
      </c>
      <c r="P212" s="55">
        <v>1624592.387</v>
      </c>
    </row>
    <row r="213">
      <c r="A213" s="41"/>
      <c r="B213" s="29">
        <v>2016.0</v>
      </c>
      <c r="C213" s="29">
        <v>1.0</v>
      </c>
      <c r="D213" s="29">
        <v>1.0</v>
      </c>
      <c r="E213" s="185">
        <v>12.0</v>
      </c>
      <c r="F213" s="185">
        <v>44.0</v>
      </c>
      <c r="G213" s="189">
        <v>28.92</v>
      </c>
      <c r="H213" s="33">
        <v>32.7</v>
      </c>
      <c r="I213" s="62">
        <v>55.39</v>
      </c>
      <c r="J213" s="55">
        <v>0.652</v>
      </c>
      <c r="K213" s="55">
        <v>2.4807500069E7</v>
      </c>
      <c r="L213" s="55">
        <v>395490.5173</v>
      </c>
      <c r="M213" s="55">
        <v>1829143.643</v>
      </c>
      <c r="N213" s="55">
        <v>1.2418640491E7</v>
      </c>
      <c r="O213" s="55">
        <v>124186.4049</v>
      </c>
      <c r="P213" s="55">
        <v>1639260.545</v>
      </c>
    </row>
    <row r="214">
      <c r="A214" s="41"/>
      <c r="B214" s="29">
        <v>2017.0</v>
      </c>
      <c r="C214" s="29">
        <v>0.0</v>
      </c>
      <c r="D214" s="29">
        <v>0.0</v>
      </c>
      <c r="E214" s="185">
        <v>13.0</v>
      </c>
      <c r="F214" s="185">
        <v>44.0</v>
      </c>
      <c r="G214" s="189">
        <v>28.79</v>
      </c>
      <c r="H214" s="33">
        <v>34.4</v>
      </c>
      <c r="I214" s="62">
        <v>59.0</v>
      </c>
      <c r="J214" s="55">
        <v>0.663</v>
      </c>
      <c r="K214" s="55">
        <v>2.5027002793E7</v>
      </c>
      <c r="L214" s="55">
        <v>398989.9125</v>
      </c>
      <c r="M214" s="55">
        <v>1845328.345</v>
      </c>
      <c r="N214" s="55">
        <v>1.2528523607E7</v>
      </c>
      <c r="O214" s="55">
        <v>125285.2361</v>
      </c>
      <c r="P214" s="55">
        <v>1653765.116</v>
      </c>
    </row>
    <row r="215">
      <c r="A215" s="41"/>
      <c r="B215" s="29">
        <v>2018.0</v>
      </c>
      <c r="C215" s="29">
        <v>0.0</v>
      </c>
      <c r="D215" s="29">
        <v>0.0</v>
      </c>
      <c r="E215" s="185">
        <v>12.0</v>
      </c>
      <c r="F215" s="185">
        <v>42.0</v>
      </c>
      <c r="G215" s="189">
        <v>28.92</v>
      </c>
      <c r="H215" s="33">
        <v>34.7</v>
      </c>
      <c r="I215" s="62">
        <v>54.44</v>
      </c>
      <c r="J215" s="55">
        <v>0.665</v>
      </c>
      <c r="K215" s="55">
        <v>2.5244018712E7</v>
      </c>
      <c r="L215" s="55">
        <v>402449.6621</v>
      </c>
      <c r="M215" s="55">
        <v>1861329.687</v>
      </c>
      <c r="N215" s="55">
        <v>1.2637161828E7</v>
      </c>
      <c r="O215" s="55">
        <v>126371.6183</v>
      </c>
      <c r="P215" s="55">
        <v>1668105.361</v>
      </c>
    </row>
    <row r="216">
      <c r="A216" s="41"/>
      <c r="B216" s="29">
        <v>2019.0</v>
      </c>
      <c r="C216" s="29">
        <v>0.0</v>
      </c>
      <c r="D216" s="29">
        <v>0.0</v>
      </c>
      <c r="E216" s="185">
        <v>16.0</v>
      </c>
      <c r="F216" s="185">
        <v>46.0</v>
      </c>
      <c r="G216" s="189">
        <v>28.96</v>
      </c>
      <c r="H216" s="33">
        <v>33.2</v>
      </c>
      <c r="I216" s="62">
        <v>58.31</v>
      </c>
      <c r="J216" s="55">
        <v>0.669</v>
      </c>
      <c r="K216" s="55">
        <v>2.5458538869E7</v>
      </c>
      <c r="L216" s="55">
        <v>405869.6233</v>
      </c>
      <c r="M216" s="55">
        <v>1877147.008</v>
      </c>
      <c r="N216" s="55">
        <v>1.2744550671E7</v>
      </c>
      <c r="O216" s="55">
        <v>127445.5067</v>
      </c>
      <c r="P216" s="55">
        <v>1682280.689</v>
      </c>
    </row>
    <row r="217">
      <c r="A217" s="41"/>
      <c r="B217" s="29">
        <v>2020.0</v>
      </c>
      <c r="C217" s="29">
        <v>1.0</v>
      </c>
      <c r="D217" s="29">
        <v>3.0</v>
      </c>
      <c r="E217" s="185">
        <v>15.0</v>
      </c>
      <c r="F217" s="185">
        <v>46.0</v>
      </c>
      <c r="G217" s="189">
        <v>28.33</v>
      </c>
      <c r="H217" s="33">
        <v>34.1</v>
      </c>
      <c r="I217" s="62">
        <v>65.74</v>
      </c>
      <c r="J217" s="55">
        <f t="shared" ref="J217:J219" si="29">J216+(((J216-J215)+(J215-J214)+(J214-J213)+(J213-J212))/4)</f>
        <v>0.674</v>
      </c>
      <c r="K217" s="55">
        <v>2.5670554869E7</v>
      </c>
      <c r="L217" s="55">
        <v>409249.6623</v>
      </c>
      <c r="M217" s="55">
        <v>1892779.688</v>
      </c>
      <c r="N217" s="55">
        <v>1.2850685931E7</v>
      </c>
      <c r="O217" s="55">
        <v>128506.8593</v>
      </c>
      <c r="P217" s="55">
        <v>1696290.543</v>
      </c>
    </row>
    <row r="218">
      <c r="A218" s="41"/>
      <c r="B218" s="29">
        <v>2021.0</v>
      </c>
      <c r="C218" s="29">
        <v>1.0</v>
      </c>
      <c r="D218" s="29">
        <v>1.0</v>
      </c>
      <c r="E218" s="185">
        <v>25.58</v>
      </c>
      <c r="F218" s="185">
        <v>30.83</v>
      </c>
      <c r="G218" s="189">
        <v>28.21</v>
      </c>
      <c r="H218" s="59">
        <f>MEDIAN(H212:H217)</f>
        <v>33.65</v>
      </c>
      <c r="I218" s="65">
        <f t="shared" ref="I218:I219" si="30">I217+4.22</f>
        <v>69.96</v>
      </c>
      <c r="J218" s="55">
        <f t="shared" si="29"/>
        <v>0.6795</v>
      </c>
      <c r="K218" s="55">
        <v>2.5880060833E7</v>
      </c>
      <c r="L218" s="55">
        <v>412589.6853</v>
      </c>
      <c r="M218" s="55">
        <v>1908227.295</v>
      </c>
      <c r="N218" s="55">
        <v>1.2955564667E7</v>
      </c>
      <c r="O218" s="55">
        <v>129555.6467</v>
      </c>
      <c r="P218" s="55">
        <v>1710134.536</v>
      </c>
    </row>
    <row r="219">
      <c r="A219" s="41"/>
      <c r="B219" s="22">
        <v>2022.0</v>
      </c>
      <c r="C219" s="29">
        <v>0.0</v>
      </c>
      <c r="D219" s="29">
        <v>0.0</v>
      </c>
      <c r="E219" s="189">
        <v>25.43</v>
      </c>
      <c r="F219" s="189">
        <v>30.86</v>
      </c>
      <c r="G219" s="189">
        <v>28.15</v>
      </c>
      <c r="H219" s="33">
        <v>49.0</v>
      </c>
      <c r="I219" s="52">
        <f t="shared" si="30"/>
        <v>74.18</v>
      </c>
      <c r="J219" s="55">
        <f t="shared" si="29"/>
        <v>0.683625</v>
      </c>
      <c r="K219" s="55">
        <v>2.625909216E7</v>
      </c>
      <c r="L219" s="55">
        <v>418632.3456</v>
      </c>
      <c r="M219" s="55">
        <v>1936174.598</v>
      </c>
      <c r="N219" s="55">
        <v>1.314530784E7</v>
      </c>
      <c r="O219" s="55">
        <v>131453.0784</v>
      </c>
      <c r="P219" s="55">
        <v>1735180.635</v>
      </c>
    </row>
    <row r="220">
      <c r="A220" s="41"/>
      <c r="B220" s="22"/>
      <c r="C220" s="41"/>
      <c r="D220" s="41"/>
      <c r="E220" s="188"/>
      <c r="F220" s="188"/>
      <c r="G220" s="188"/>
      <c r="H220" s="59"/>
      <c r="I220" s="65"/>
      <c r="J220" s="53"/>
      <c r="K220" s="53"/>
      <c r="L220" s="53"/>
      <c r="M220" s="53"/>
      <c r="N220" s="53"/>
      <c r="O220" s="53"/>
      <c r="P220" s="53"/>
    </row>
    <row r="221">
      <c r="A221" s="28" t="s">
        <v>45</v>
      </c>
      <c r="B221" s="29">
        <v>2015.0</v>
      </c>
      <c r="C221" s="29">
        <v>0.0</v>
      </c>
      <c r="D221" s="29">
        <v>0.0</v>
      </c>
      <c r="E221" s="185">
        <v>8.0</v>
      </c>
      <c r="F221" s="185">
        <v>38.0</v>
      </c>
      <c r="G221" s="189">
        <v>26.92</v>
      </c>
      <c r="H221" s="33">
        <v>60.0</v>
      </c>
      <c r="I221" s="62">
        <v>45.96</v>
      </c>
      <c r="J221" s="55">
        <v>0.641</v>
      </c>
      <c r="K221" s="55">
        <v>2882340.181</v>
      </c>
      <c r="L221" s="55">
        <v>46117.44289</v>
      </c>
      <c r="M221" s="55">
        <v>213293.1734</v>
      </c>
      <c r="N221" s="55">
        <v>1021682.819</v>
      </c>
      <c r="O221" s="55">
        <v>10216.82819</v>
      </c>
      <c r="P221" s="55">
        <v>134862.1321</v>
      </c>
    </row>
    <row r="222">
      <c r="A222" s="41"/>
      <c r="B222" s="29">
        <v>2016.0</v>
      </c>
      <c r="C222" s="29">
        <v>1.0</v>
      </c>
      <c r="D222" s="29">
        <v>1.0</v>
      </c>
      <c r="E222" s="185">
        <v>10.0</v>
      </c>
      <c r="F222" s="185">
        <v>37.0</v>
      </c>
      <c r="G222" s="189">
        <v>27.5</v>
      </c>
      <c r="H222" s="33">
        <v>65.1</v>
      </c>
      <c r="I222" s="62">
        <v>46.38</v>
      </c>
      <c r="J222" s="55">
        <v>0.642</v>
      </c>
      <c r="K222" s="55">
        <v>2924266.761</v>
      </c>
      <c r="L222" s="55">
        <v>46788.26818</v>
      </c>
      <c r="M222" s="55">
        <v>216395.7403</v>
      </c>
      <c r="N222" s="55">
        <v>1036544.239</v>
      </c>
      <c r="O222" s="55">
        <v>10365.44239</v>
      </c>
      <c r="P222" s="55">
        <v>136823.8395</v>
      </c>
    </row>
    <row r="223">
      <c r="A223" s="41"/>
      <c r="B223" s="29">
        <v>2017.0</v>
      </c>
      <c r="C223" s="29">
        <v>1.0</v>
      </c>
      <c r="D223" s="29">
        <v>1.0</v>
      </c>
      <c r="E223" s="185">
        <v>9.0</v>
      </c>
      <c r="F223" s="185">
        <v>36.0</v>
      </c>
      <c r="G223" s="189">
        <v>26.96</v>
      </c>
      <c r="H223" s="33">
        <v>55.1</v>
      </c>
      <c r="I223" s="62">
        <v>48.35</v>
      </c>
      <c r="J223" s="55">
        <v>0.652</v>
      </c>
      <c r="K223" s="55">
        <v>2965951.918</v>
      </c>
      <c r="L223" s="55">
        <v>47455.23068</v>
      </c>
      <c r="M223" s="55">
        <v>219480.4419</v>
      </c>
      <c r="N223" s="55">
        <v>1051320.082</v>
      </c>
      <c r="O223" s="55">
        <v>10513.20082</v>
      </c>
      <c r="P223" s="55">
        <v>138774.2509</v>
      </c>
    </row>
    <row r="224">
      <c r="A224" s="41"/>
      <c r="B224" s="29">
        <v>2018.0</v>
      </c>
      <c r="C224" s="29">
        <v>0.0</v>
      </c>
      <c r="D224" s="29">
        <v>0.0</v>
      </c>
      <c r="E224" s="185">
        <v>9.0</v>
      </c>
      <c r="F224" s="185">
        <v>38.0</v>
      </c>
      <c r="G224" s="189">
        <v>27.92</v>
      </c>
      <c r="H224" s="33">
        <v>73.4</v>
      </c>
      <c r="I224" s="62">
        <v>43.51</v>
      </c>
      <c r="J224" s="55">
        <v>0.655</v>
      </c>
      <c r="K224" s="55">
        <v>3007385.314</v>
      </c>
      <c r="L224" s="55">
        <v>48118.16502</v>
      </c>
      <c r="M224" s="55">
        <v>222546.5132</v>
      </c>
      <c r="N224" s="55">
        <v>1066006.686</v>
      </c>
      <c r="O224" s="55">
        <v>10660.06686</v>
      </c>
      <c r="P224" s="55">
        <v>140712.8826</v>
      </c>
    </row>
    <row r="225">
      <c r="A225" s="41"/>
      <c r="B225" s="29">
        <v>2019.0</v>
      </c>
      <c r="C225" s="29">
        <v>0.0</v>
      </c>
      <c r="D225" s="29">
        <v>0.0</v>
      </c>
      <c r="E225" s="185">
        <v>12.0</v>
      </c>
      <c r="F225" s="185">
        <v>41.0</v>
      </c>
      <c r="G225" s="189">
        <v>27.92</v>
      </c>
      <c r="H225" s="33">
        <v>61.4</v>
      </c>
      <c r="I225" s="62">
        <v>69.96</v>
      </c>
      <c r="J225" s="55">
        <v>0.658</v>
      </c>
      <c r="K225" s="55">
        <v>3048558.09</v>
      </c>
      <c r="L225" s="55">
        <v>48776.92944</v>
      </c>
      <c r="M225" s="55">
        <v>225593.2986</v>
      </c>
      <c r="N225" s="55">
        <v>1080600.91</v>
      </c>
      <c r="O225" s="55">
        <v>10806.0091</v>
      </c>
      <c r="P225" s="55">
        <v>142639.3202</v>
      </c>
    </row>
    <row r="226">
      <c r="A226" s="41"/>
      <c r="B226" s="29">
        <v>2020.0</v>
      </c>
      <c r="C226" s="29">
        <v>1.0</v>
      </c>
      <c r="D226" s="29">
        <v>1.0</v>
      </c>
      <c r="E226" s="185">
        <v>11.0</v>
      </c>
      <c r="F226" s="185">
        <v>41.0</v>
      </c>
      <c r="G226" s="189">
        <v>27.67</v>
      </c>
      <c r="H226" s="33">
        <v>65.9</v>
      </c>
      <c r="I226" s="62">
        <v>70.16</v>
      </c>
      <c r="J226" s="55">
        <f t="shared" ref="J226:J228" si="31">J225+(((J225-J224)+(J224-J223)+(J223-J222)+(J222-J221))/4)</f>
        <v>0.66225</v>
      </c>
      <c r="K226" s="55">
        <v>3089459.171</v>
      </c>
      <c r="L226" s="55">
        <v>49431.34674</v>
      </c>
      <c r="M226" s="55">
        <v>228619.9787</v>
      </c>
      <c r="N226" s="55">
        <v>1095098.829</v>
      </c>
      <c r="O226" s="55">
        <v>10950.98829</v>
      </c>
      <c r="P226" s="55">
        <v>144553.0454</v>
      </c>
    </row>
    <row r="227">
      <c r="A227" s="41"/>
      <c r="B227" s="29">
        <v>2021.0</v>
      </c>
      <c r="C227" s="29">
        <v>1.0</v>
      </c>
      <c r="D227" s="29">
        <v>1.0</v>
      </c>
      <c r="E227" s="185">
        <v>22.08</v>
      </c>
      <c r="F227" s="185">
        <v>32.42</v>
      </c>
      <c r="G227" s="189">
        <v>27.25</v>
      </c>
      <c r="H227" s="59">
        <f>MEDIAN(H221:H226)</f>
        <v>63.25</v>
      </c>
      <c r="I227" s="65">
        <f t="shared" ref="I227:I228" si="32">I226+0.2</f>
        <v>70.36</v>
      </c>
      <c r="J227" s="55">
        <f t="shared" si="31"/>
        <v>0.6673125</v>
      </c>
      <c r="K227" s="55">
        <v>3130080.437</v>
      </c>
      <c r="L227" s="55">
        <v>50081.287</v>
      </c>
      <c r="M227" s="55">
        <v>231625.9524</v>
      </c>
      <c r="N227" s="55">
        <v>1109497.563</v>
      </c>
      <c r="O227" s="55">
        <v>11094.97563</v>
      </c>
      <c r="P227" s="55">
        <v>146453.6783</v>
      </c>
    </row>
    <row r="228">
      <c r="A228" s="41"/>
      <c r="B228" s="22">
        <v>2022.0</v>
      </c>
      <c r="C228" s="29">
        <v>1.0</v>
      </c>
      <c r="D228" s="29">
        <v>2.0</v>
      </c>
      <c r="E228" s="189">
        <v>22.06</v>
      </c>
      <c r="F228" s="189">
        <v>32.56</v>
      </c>
      <c r="G228" s="189">
        <v>27.31</v>
      </c>
      <c r="H228" s="33">
        <v>226.0</v>
      </c>
      <c r="I228" s="52">
        <f t="shared" si="32"/>
        <v>70.56</v>
      </c>
      <c r="J228" s="55">
        <f t="shared" si="31"/>
        <v>0.671140625</v>
      </c>
      <c r="K228" s="55">
        <v>3137775.0</v>
      </c>
      <c r="L228" s="55">
        <v>50204.4</v>
      </c>
      <c r="M228" s="55">
        <v>232195.35</v>
      </c>
      <c r="N228" s="55">
        <v>1112225.0</v>
      </c>
      <c r="O228" s="55">
        <v>11122.25</v>
      </c>
      <c r="P228" s="55">
        <v>146813.7</v>
      </c>
    </row>
    <row r="229">
      <c r="A229" s="41"/>
      <c r="B229" s="22"/>
      <c r="C229" s="41"/>
      <c r="D229" s="41"/>
      <c r="E229" s="188"/>
      <c r="F229" s="188"/>
      <c r="G229" s="188"/>
      <c r="H229" s="59"/>
      <c r="I229" s="65"/>
      <c r="J229" s="53"/>
      <c r="K229" s="53"/>
      <c r="L229" s="53"/>
      <c r="M229" s="53"/>
      <c r="N229" s="53"/>
      <c r="O229" s="53"/>
      <c r="P229" s="53"/>
    </row>
    <row r="230">
      <c r="A230" s="28" t="s">
        <v>46</v>
      </c>
      <c r="B230" s="29">
        <v>2015.0</v>
      </c>
      <c r="C230" s="29">
        <v>1.0</v>
      </c>
      <c r="D230" s="29">
        <v>1.0</v>
      </c>
      <c r="E230" s="185">
        <v>2.0</v>
      </c>
      <c r="F230" s="185">
        <v>40.0</v>
      </c>
      <c r="G230" s="189">
        <v>21.25</v>
      </c>
      <c r="H230" s="33">
        <v>35.0</v>
      </c>
      <c r="I230" s="62">
        <v>45.32</v>
      </c>
      <c r="J230" s="55">
        <v>0.661</v>
      </c>
      <c r="K230" s="55">
        <v>7542577.946</v>
      </c>
      <c r="L230" s="55">
        <v>120681.2471</v>
      </c>
      <c r="M230" s="55">
        <v>558150.768</v>
      </c>
      <c r="N230" s="55">
        <v>3268054.054</v>
      </c>
      <c r="O230" s="55">
        <v>32680.54054</v>
      </c>
      <c r="P230" s="55">
        <v>431383.1351</v>
      </c>
    </row>
    <row r="231">
      <c r="A231" s="41"/>
      <c r="B231" s="29">
        <v>2016.0</v>
      </c>
      <c r="C231" s="29">
        <v>1.0</v>
      </c>
      <c r="D231" s="29">
        <v>2.0</v>
      </c>
      <c r="E231" s="185">
        <v>1.0</v>
      </c>
      <c r="F231" s="185">
        <v>40.0</v>
      </c>
      <c r="G231" s="189">
        <v>20.92</v>
      </c>
      <c r="H231" s="33">
        <v>37.2</v>
      </c>
      <c r="I231" s="62">
        <v>45.22</v>
      </c>
      <c r="J231" s="55">
        <v>0.667</v>
      </c>
      <c r="K231" s="55">
        <v>7667965.102</v>
      </c>
      <c r="L231" s="55">
        <v>122687.4416</v>
      </c>
      <c r="M231" s="55">
        <v>567429.4175</v>
      </c>
      <c r="N231" s="55">
        <v>3322381.898</v>
      </c>
      <c r="O231" s="55">
        <v>33223.81898</v>
      </c>
      <c r="P231" s="55">
        <v>438554.4105</v>
      </c>
    </row>
    <row r="232">
      <c r="A232" s="41"/>
      <c r="B232" s="29">
        <v>2017.0</v>
      </c>
      <c r="C232" s="29">
        <v>1.0</v>
      </c>
      <c r="D232" s="29">
        <v>1.0</v>
      </c>
      <c r="E232" s="185">
        <v>2.0</v>
      </c>
      <c r="F232" s="185">
        <v>42.0</v>
      </c>
      <c r="G232" s="189">
        <v>21.63</v>
      </c>
      <c r="H232" s="33">
        <v>33.9</v>
      </c>
      <c r="I232" s="62">
        <v>40.2</v>
      </c>
      <c r="J232" s="55">
        <v>0.677</v>
      </c>
      <c r="K232" s="55">
        <v>7792886.194</v>
      </c>
      <c r="L232" s="55">
        <v>124686.1791</v>
      </c>
      <c r="M232" s="55">
        <v>576673.5783</v>
      </c>
      <c r="N232" s="55">
        <v>3376507.806</v>
      </c>
      <c r="O232" s="55">
        <v>33765.07806</v>
      </c>
      <c r="P232" s="55">
        <v>445699.0304</v>
      </c>
    </row>
    <row r="233">
      <c r="A233" s="41"/>
      <c r="B233" s="29">
        <v>2018.0</v>
      </c>
      <c r="C233" s="29">
        <v>0.0</v>
      </c>
      <c r="D233" s="29">
        <v>0.0</v>
      </c>
      <c r="E233" s="185">
        <v>3.0</v>
      </c>
      <c r="F233" s="185">
        <v>41.0</v>
      </c>
      <c r="G233" s="189">
        <v>21.75</v>
      </c>
      <c r="H233" s="33">
        <v>35.7</v>
      </c>
      <c r="I233" s="62">
        <v>43.86</v>
      </c>
      <c r="J233" s="55">
        <v>0.68</v>
      </c>
      <c r="K233" s="55">
        <v>7917303.546</v>
      </c>
      <c r="L233" s="55">
        <v>126676.8567</v>
      </c>
      <c r="M233" s="55">
        <v>585880.4624</v>
      </c>
      <c r="N233" s="55">
        <v>3430415.454</v>
      </c>
      <c r="O233" s="55">
        <v>34304.15454</v>
      </c>
      <c r="P233" s="55">
        <v>452814.8399</v>
      </c>
    </row>
    <row r="234">
      <c r="A234" s="41"/>
      <c r="B234" s="29">
        <v>2019.0</v>
      </c>
      <c r="C234" s="29">
        <v>0.0</v>
      </c>
      <c r="D234" s="29">
        <v>0.0</v>
      </c>
      <c r="E234" s="185">
        <v>5.0</v>
      </c>
      <c r="F234" s="185">
        <v>44.0</v>
      </c>
      <c r="G234" s="189">
        <v>21.54</v>
      </c>
      <c r="H234" s="33">
        <v>31.2</v>
      </c>
      <c r="I234" s="62">
        <v>43.62</v>
      </c>
      <c r="J234" s="55">
        <v>0.683</v>
      </c>
      <c r="K234" s="55">
        <v>8041179.484</v>
      </c>
      <c r="L234" s="55">
        <v>128658.8717</v>
      </c>
      <c r="M234" s="55">
        <v>595047.2818</v>
      </c>
      <c r="N234" s="55">
        <v>3484088.516</v>
      </c>
      <c r="O234" s="55">
        <v>34840.88516</v>
      </c>
      <c r="P234" s="55">
        <v>459899.6842</v>
      </c>
    </row>
    <row r="235">
      <c r="A235" s="41"/>
      <c r="B235" s="29">
        <v>2020.0</v>
      </c>
      <c r="C235" s="29">
        <v>1.0</v>
      </c>
      <c r="D235" s="29">
        <v>1.0</v>
      </c>
      <c r="E235" s="185">
        <v>3.0</v>
      </c>
      <c r="F235" s="185">
        <v>44.0</v>
      </c>
      <c r="G235" s="189">
        <v>23.33</v>
      </c>
      <c r="H235" s="33">
        <v>31.0</v>
      </c>
      <c r="I235" s="62">
        <v>44.21</v>
      </c>
      <c r="J235" s="55">
        <f t="shared" ref="J235:J237" si="33">J234+(((J234-J233)+(J233-J232)+(J232-J231)+(J231-J230))/4)</f>
        <v>0.6885</v>
      </c>
      <c r="K235" s="55">
        <v>8164477.725</v>
      </c>
      <c r="L235" s="55">
        <v>130631.6436</v>
      </c>
      <c r="M235" s="55">
        <v>604171.3517</v>
      </c>
      <c r="N235" s="55">
        <v>3537511.275</v>
      </c>
      <c r="O235" s="55">
        <v>35375.11275</v>
      </c>
      <c r="P235" s="55">
        <v>466951.4883</v>
      </c>
    </row>
    <row r="236">
      <c r="A236" s="41"/>
      <c r="B236" s="29">
        <v>2021.0</v>
      </c>
      <c r="C236" s="29">
        <v>1.0</v>
      </c>
      <c r="D236" s="29">
        <v>2.0</v>
      </c>
      <c r="E236" s="185">
        <v>16.5</v>
      </c>
      <c r="F236" s="185">
        <v>28.25</v>
      </c>
      <c r="G236" s="189">
        <v>22.38</v>
      </c>
      <c r="H236" s="59">
        <f>MEDIAN(H230:H235)</f>
        <v>34.45</v>
      </c>
      <c r="I236" s="65">
        <f t="shared" ref="I236:I237" si="34">I235+0.59</f>
        <v>44.8</v>
      </c>
      <c r="J236" s="55">
        <f t="shared" si="33"/>
        <v>0.693875</v>
      </c>
      <c r="K236" s="55">
        <v>8287161.991</v>
      </c>
      <c r="L236" s="55">
        <v>132594.5919</v>
      </c>
      <c r="M236" s="55">
        <v>613249.9873</v>
      </c>
      <c r="N236" s="55">
        <v>3590668.009</v>
      </c>
      <c r="O236" s="55">
        <v>35906.68009</v>
      </c>
      <c r="P236" s="55">
        <v>473968.1772</v>
      </c>
    </row>
    <row r="237">
      <c r="A237" s="41"/>
      <c r="B237" s="22">
        <v>2022.0</v>
      </c>
      <c r="C237" s="29">
        <v>1.0</v>
      </c>
      <c r="D237" s="29">
        <v>4.0</v>
      </c>
      <c r="E237" s="188"/>
      <c r="F237" s="188"/>
      <c r="G237" s="188"/>
      <c r="H237" s="33">
        <v>77.0</v>
      </c>
      <c r="I237" s="52">
        <f t="shared" si="34"/>
        <v>45.39</v>
      </c>
      <c r="J237" s="55">
        <f t="shared" si="33"/>
        <v>0.69809375</v>
      </c>
      <c r="K237" s="55">
        <v>8393331.0</v>
      </c>
      <c r="L237" s="55">
        <v>134293.296</v>
      </c>
      <c r="M237" s="55">
        <v>621106.494</v>
      </c>
      <c r="N237" s="55">
        <v>3636669.0</v>
      </c>
      <c r="O237" s="55">
        <v>36366.69</v>
      </c>
      <c r="P237" s="55">
        <v>480040.308</v>
      </c>
    </row>
    <row r="238">
      <c r="A238" s="41"/>
      <c r="B238" s="22"/>
      <c r="C238" s="41"/>
      <c r="D238" s="41"/>
      <c r="E238" s="188"/>
      <c r="F238" s="188"/>
      <c r="G238" s="188"/>
      <c r="H238" s="59"/>
      <c r="I238" s="65"/>
      <c r="J238" s="53"/>
      <c r="K238" s="53"/>
      <c r="L238" s="53"/>
      <c r="M238" s="53"/>
      <c r="N238" s="53"/>
      <c r="O238" s="53"/>
      <c r="P238" s="53"/>
    </row>
    <row r="239">
      <c r="A239" s="28" t="s">
        <v>47</v>
      </c>
      <c r="B239" s="29">
        <v>2015.0</v>
      </c>
      <c r="C239" s="29">
        <v>1.0</v>
      </c>
      <c r="D239" s="29">
        <v>4.0</v>
      </c>
      <c r="E239" s="185">
        <v>7.0</v>
      </c>
      <c r="F239" s="185">
        <v>47.0</v>
      </c>
      <c r="G239" s="189">
        <v>29.38</v>
      </c>
      <c r="H239" s="33">
        <v>85.4</v>
      </c>
      <c r="I239" s="80">
        <v>28.14</v>
      </c>
      <c r="J239" s="55">
        <v>0.572</v>
      </c>
      <c r="K239" s="55">
        <v>1.66367790271E8</v>
      </c>
      <c r="L239" s="55">
        <v>2661884.644</v>
      </c>
      <c r="M239" s="55">
        <v>1.231596801E7</v>
      </c>
      <c r="N239" s="55">
        <v>4.7665131729E7</v>
      </c>
      <c r="O239" s="55">
        <v>476651.3173</v>
      </c>
      <c r="P239" s="55">
        <v>6291797.388</v>
      </c>
    </row>
    <row r="240">
      <c r="A240" s="41"/>
      <c r="B240" s="29">
        <v>2016.0</v>
      </c>
      <c r="C240" s="29">
        <v>1.0</v>
      </c>
      <c r="D240" s="29">
        <v>2.0</v>
      </c>
      <c r="E240" s="185">
        <v>8.0</v>
      </c>
      <c r="F240" s="185">
        <v>46.0</v>
      </c>
      <c r="G240" s="189">
        <v>29.04</v>
      </c>
      <c r="H240" s="33">
        <v>93.9</v>
      </c>
      <c r="I240" s="80">
        <v>33.69</v>
      </c>
      <c r="J240" s="55">
        <v>0.579</v>
      </c>
      <c r="K240" s="55">
        <v>1.69109260523E8</v>
      </c>
      <c r="L240" s="55">
        <v>2705748.168</v>
      </c>
      <c r="M240" s="55">
        <v>1.251891511E7</v>
      </c>
      <c r="N240" s="55">
        <v>4.8450575477E7</v>
      </c>
      <c r="O240" s="55">
        <v>484505.7548</v>
      </c>
      <c r="P240" s="55">
        <v>6395475.963</v>
      </c>
    </row>
    <row r="241">
      <c r="A241" s="41"/>
      <c r="B241" s="29">
        <v>2017.0</v>
      </c>
      <c r="C241" s="29">
        <v>1.0</v>
      </c>
      <c r="D241" s="29">
        <v>4.0</v>
      </c>
      <c r="E241" s="185">
        <v>6.0</v>
      </c>
      <c r="F241" s="185">
        <v>48.0</v>
      </c>
      <c r="G241" s="189">
        <v>29.75</v>
      </c>
      <c r="H241" s="33">
        <v>89.2</v>
      </c>
      <c r="I241" s="80">
        <v>28.61</v>
      </c>
      <c r="J241" s="55">
        <v>0.589</v>
      </c>
      <c r="K241" s="55">
        <v>1.71840173486E8</v>
      </c>
      <c r="L241" s="55">
        <v>2749442.776</v>
      </c>
      <c r="M241" s="55">
        <v>1.272108066E7</v>
      </c>
      <c r="N241" s="55">
        <v>4.9232994514E7</v>
      </c>
      <c r="O241" s="55">
        <v>492329.9451</v>
      </c>
      <c r="P241" s="55">
        <v>6498755.276</v>
      </c>
    </row>
    <row r="242">
      <c r="A242" s="41"/>
      <c r="B242" s="29">
        <v>2018.0</v>
      </c>
      <c r="C242" s="29">
        <v>1.0</v>
      </c>
      <c r="D242" s="29">
        <v>1.0</v>
      </c>
      <c r="E242" s="185">
        <v>7.0</v>
      </c>
      <c r="F242" s="185">
        <v>46.0</v>
      </c>
      <c r="G242" s="189">
        <v>29.04</v>
      </c>
      <c r="H242" s="33">
        <v>89.0</v>
      </c>
      <c r="I242" s="80">
        <v>23.58</v>
      </c>
      <c r="J242" s="55">
        <v>0.591</v>
      </c>
      <c r="K242" s="55">
        <v>1.74559686568E8</v>
      </c>
      <c r="L242" s="55">
        <v>2792954.985</v>
      </c>
      <c r="M242" s="55">
        <v>1.29224023E7</v>
      </c>
      <c r="N242" s="55">
        <v>5.0012147432E7</v>
      </c>
      <c r="O242" s="55">
        <v>500121.4743</v>
      </c>
      <c r="P242" s="55">
        <v>6601603.461</v>
      </c>
    </row>
    <row r="243">
      <c r="A243" s="41"/>
      <c r="B243" s="29">
        <v>2019.0</v>
      </c>
      <c r="C243" s="29">
        <v>0.0</v>
      </c>
      <c r="D243" s="29">
        <v>0.0</v>
      </c>
      <c r="E243" s="185">
        <v>9.0</v>
      </c>
      <c r="F243" s="185">
        <v>49.0</v>
      </c>
      <c r="G243" s="189">
        <v>28.75</v>
      </c>
      <c r="H243" s="33">
        <v>91.1</v>
      </c>
      <c r="I243" s="80">
        <v>24.73</v>
      </c>
      <c r="J243" s="55">
        <v>0.594</v>
      </c>
      <c r="K243" s="55">
        <v>1.77266986712E8</v>
      </c>
      <c r="L243" s="55">
        <v>2836271.787</v>
      </c>
      <c r="M243" s="55">
        <v>1.312281983E7</v>
      </c>
      <c r="N243" s="55">
        <v>5.0787801288E7</v>
      </c>
      <c r="O243" s="55">
        <v>507878.0129</v>
      </c>
      <c r="P243" s="55">
        <v>6703989.77</v>
      </c>
    </row>
    <row r="244">
      <c r="A244" s="41"/>
      <c r="B244" s="29">
        <v>2020.0</v>
      </c>
      <c r="C244" s="29">
        <v>1.0</v>
      </c>
      <c r="D244" s="29">
        <v>1.0</v>
      </c>
      <c r="E244" s="185">
        <v>10.0</v>
      </c>
      <c r="F244" s="185">
        <v>48.0</v>
      </c>
      <c r="G244" s="189">
        <v>29.24</v>
      </c>
      <c r="H244" s="33">
        <v>88.3</v>
      </c>
      <c r="I244" s="80">
        <v>30.57</v>
      </c>
      <c r="J244" s="55">
        <f t="shared" ref="J244:J246" si="35">J243+(((J243-J242)+(J242-J241)+(J241-J240)+(J240-J239))/4)</f>
        <v>0.5995</v>
      </c>
      <c r="K244" s="55">
        <v>1.79961290401E8</v>
      </c>
      <c r="L244" s="55">
        <v>2879380.646</v>
      </c>
      <c r="M244" s="55">
        <v>1.332227526E7</v>
      </c>
      <c r="N244" s="55">
        <v>5.1559731599E7</v>
      </c>
      <c r="O244" s="55">
        <v>515597.316</v>
      </c>
      <c r="P244" s="55">
        <v>6805884.571</v>
      </c>
    </row>
    <row r="245">
      <c r="A245" s="41"/>
      <c r="B245" s="29">
        <v>2021.0</v>
      </c>
      <c r="C245" s="29">
        <v>1.0</v>
      </c>
      <c r="D245" s="29">
        <v>2.0</v>
      </c>
      <c r="E245" s="185">
        <v>23.5</v>
      </c>
      <c r="F245" s="185">
        <v>33.67</v>
      </c>
      <c r="G245" s="189">
        <v>28.58</v>
      </c>
      <c r="H245" s="59">
        <f>MEDIAN(H239:H244)</f>
        <v>89.1</v>
      </c>
      <c r="I245" s="80">
        <v>25.06</v>
      </c>
      <c r="J245" s="55">
        <f t="shared" si="35"/>
        <v>0.604625</v>
      </c>
      <c r="K245" s="55">
        <v>1.82641839765E8</v>
      </c>
      <c r="L245" s="55">
        <v>2922269.436</v>
      </c>
      <c r="M245" s="55">
        <v>1.352071247E7</v>
      </c>
      <c r="N245" s="55">
        <v>5.2327721235E7</v>
      </c>
      <c r="O245" s="55">
        <v>523277.2123</v>
      </c>
      <c r="P245" s="55">
        <v>6907259.203</v>
      </c>
    </row>
    <row r="246">
      <c r="A246" s="41"/>
      <c r="B246" s="22">
        <v>2022.0</v>
      </c>
      <c r="C246" s="29">
        <v>1.0</v>
      </c>
      <c r="D246" s="29">
        <v>4.0</v>
      </c>
      <c r="E246" s="188"/>
      <c r="F246" s="188"/>
      <c r="G246" s="188"/>
      <c r="H246" s="33">
        <v>72.0</v>
      </c>
      <c r="I246" s="52">
        <f>I245-(I244-I245)</f>
        <v>19.55</v>
      </c>
      <c r="J246" s="55">
        <f t="shared" si="35"/>
        <v>0.60853125</v>
      </c>
      <c r="K246" s="55">
        <v>1.8523059E8</v>
      </c>
      <c r="L246" s="55">
        <v>2963689.44</v>
      </c>
      <c r="M246" s="55">
        <v>1.371235392E7</v>
      </c>
      <c r="N246" s="55">
        <v>5.306941E7</v>
      </c>
      <c r="O246" s="55">
        <v>530694.1</v>
      </c>
      <c r="P246" s="55">
        <v>7005162.12</v>
      </c>
    </row>
    <row r="247">
      <c r="A247" s="41"/>
      <c r="B247" s="22"/>
      <c r="C247" s="41"/>
      <c r="D247" s="41"/>
      <c r="E247" s="188"/>
      <c r="F247" s="188"/>
      <c r="G247" s="188"/>
      <c r="H247" s="59"/>
      <c r="I247" s="65"/>
      <c r="J247" s="53"/>
      <c r="K247" s="53"/>
      <c r="L247" s="53"/>
      <c r="M247" s="53"/>
      <c r="N247" s="53"/>
      <c r="O247" s="53"/>
      <c r="P247" s="53"/>
    </row>
    <row r="248">
      <c r="A248" s="28" t="s">
        <v>48</v>
      </c>
      <c r="B248" s="29">
        <v>2015.0</v>
      </c>
      <c r="C248" s="29">
        <v>1.0</v>
      </c>
      <c r="D248" s="29">
        <v>2.0</v>
      </c>
      <c r="E248" s="185">
        <v>12.0</v>
      </c>
      <c r="F248" s="185">
        <v>45.0</v>
      </c>
      <c r="G248" s="189">
        <v>29.46</v>
      </c>
      <c r="H248" s="33">
        <v>59.4</v>
      </c>
      <c r="I248" s="62">
        <v>57.87</v>
      </c>
      <c r="J248" s="55">
        <v>0.617</v>
      </c>
      <c r="K248" s="55">
        <v>6.5155646546E7</v>
      </c>
      <c r="L248" s="55">
        <v>1042490.345</v>
      </c>
      <c r="M248" s="55">
        <v>4821517.844</v>
      </c>
      <c r="N248" s="55">
        <v>3.0478650454E7</v>
      </c>
      <c r="O248" s="55">
        <v>304786.5045</v>
      </c>
      <c r="P248" s="55">
        <v>4023181.86</v>
      </c>
    </row>
    <row r="249">
      <c r="A249" s="41"/>
      <c r="B249" s="29">
        <v>2016.0</v>
      </c>
      <c r="C249" s="29">
        <v>1.0</v>
      </c>
      <c r="D249" s="29">
        <v>2.0</v>
      </c>
      <c r="E249" s="185">
        <v>12.0</v>
      </c>
      <c r="F249" s="185">
        <v>46.0</v>
      </c>
      <c r="G249" s="189">
        <v>29.75</v>
      </c>
      <c r="H249" s="33">
        <v>61.4</v>
      </c>
      <c r="I249" s="62">
        <v>58.25</v>
      </c>
      <c r="J249" s="55">
        <v>0.625</v>
      </c>
      <c r="K249" s="55">
        <v>6.5882025442E7</v>
      </c>
      <c r="L249" s="55">
        <v>1054112.407</v>
      </c>
      <c r="M249" s="55">
        <v>4875269.883</v>
      </c>
      <c r="N249" s="55">
        <v>3.0818437558E7</v>
      </c>
      <c r="O249" s="55">
        <v>308184.3756</v>
      </c>
      <c r="P249" s="55">
        <v>4068033.758</v>
      </c>
    </row>
    <row r="250">
      <c r="A250" s="41"/>
      <c r="B250" s="29">
        <v>2017.0</v>
      </c>
      <c r="C250" s="29">
        <v>1.0</v>
      </c>
      <c r="D250" s="29">
        <v>2.0</v>
      </c>
      <c r="E250" s="185">
        <v>10.0</v>
      </c>
      <c r="F250" s="185">
        <v>44.0</v>
      </c>
      <c r="G250" s="189">
        <v>29.17</v>
      </c>
      <c r="H250" s="33">
        <v>59.1</v>
      </c>
      <c r="I250" s="62">
        <v>57.17</v>
      </c>
      <c r="J250" s="55">
        <v>0.635</v>
      </c>
      <c r="K250" s="55">
        <v>6.6601812079E7</v>
      </c>
      <c r="L250" s="55">
        <v>1065628.993</v>
      </c>
      <c r="M250" s="55">
        <v>4928534.094</v>
      </c>
      <c r="N250" s="55">
        <v>3.1155140921E7</v>
      </c>
      <c r="O250" s="55">
        <v>311551.4092</v>
      </c>
      <c r="P250" s="55">
        <v>4112478.602</v>
      </c>
    </row>
    <row r="251">
      <c r="A251" s="41"/>
      <c r="B251" s="29">
        <v>2018.0</v>
      </c>
      <c r="C251" s="29">
        <v>1.0</v>
      </c>
      <c r="D251" s="29">
        <v>1.0</v>
      </c>
      <c r="E251" s="185">
        <v>11.0</v>
      </c>
      <c r="F251" s="185">
        <v>44.0</v>
      </c>
      <c r="G251" s="189">
        <v>30.33</v>
      </c>
      <c r="H251" s="33">
        <v>64.5</v>
      </c>
      <c r="I251" s="79">
        <v>58.36</v>
      </c>
      <c r="J251" s="55">
        <v>0.638</v>
      </c>
      <c r="K251" s="55">
        <v>6.7314909713E7</v>
      </c>
      <c r="L251" s="55">
        <v>1077038.555</v>
      </c>
      <c r="M251" s="55">
        <v>4981303.319</v>
      </c>
      <c r="N251" s="55">
        <v>3.1488715288E7</v>
      </c>
      <c r="O251" s="55">
        <v>314887.1529</v>
      </c>
      <c r="P251" s="55">
        <v>4156510.418</v>
      </c>
    </row>
    <row r="252">
      <c r="A252" s="41"/>
      <c r="B252" s="29">
        <v>2019.0</v>
      </c>
      <c r="C252" s="29">
        <v>0.0</v>
      </c>
      <c r="D252" s="29">
        <v>0.0</v>
      </c>
      <c r="E252" s="185">
        <v>13.0</v>
      </c>
      <c r="F252" s="185">
        <v>46.0</v>
      </c>
      <c r="G252" s="189">
        <v>30.46</v>
      </c>
      <c r="H252" s="33">
        <v>58.7</v>
      </c>
      <c r="I252" s="79">
        <f>I251+(((I251-I250)+(I250-I249)+(I249-I248))/3)</f>
        <v>58.52333333</v>
      </c>
      <c r="J252" s="55">
        <v>0.641</v>
      </c>
      <c r="K252" s="55">
        <v>6.802122773E7</v>
      </c>
      <c r="L252" s="55">
        <v>1088339.644</v>
      </c>
      <c r="M252" s="55">
        <v>5033570.852</v>
      </c>
      <c r="N252" s="55">
        <v>3.181911827E7</v>
      </c>
      <c r="O252" s="55">
        <v>318191.1827</v>
      </c>
      <c r="P252" s="55">
        <v>4200123.612</v>
      </c>
    </row>
    <row r="253">
      <c r="A253" s="41"/>
      <c r="B253" s="29">
        <v>2020.0</v>
      </c>
      <c r="C253" s="29">
        <v>1.0</v>
      </c>
      <c r="D253" s="29">
        <v>1.0</v>
      </c>
      <c r="E253" s="185">
        <v>15.0</v>
      </c>
      <c r="F253" s="185">
        <v>44.0</v>
      </c>
      <c r="G253" s="189">
        <v>29.67</v>
      </c>
      <c r="H253" s="33">
        <v>66.0</v>
      </c>
      <c r="I253" s="79">
        <f>I252+(((I251-I250)+(I250-I249)+(I249-I248)+(I252-I251)/4))</f>
        <v>59.05416667</v>
      </c>
      <c r="J253" s="55">
        <f t="shared" ref="J253:J255" si="36">J252+(((J252-J251)+(J251-J250)+(J250-J249)+(J249-J248))/4)</f>
        <v>0.647</v>
      </c>
      <c r="K253" s="55">
        <v>6.8720682331E7</v>
      </c>
      <c r="L253" s="55">
        <v>1099530.917</v>
      </c>
      <c r="M253" s="55">
        <v>5085330.492</v>
      </c>
      <c r="N253" s="55">
        <v>3.2146310669E7</v>
      </c>
      <c r="O253" s="55">
        <v>321463.1067</v>
      </c>
      <c r="P253" s="55">
        <v>4243313.008</v>
      </c>
    </row>
    <row r="254">
      <c r="A254" s="41"/>
      <c r="B254" s="29">
        <v>2021.0</v>
      </c>
      <c r="C254" s="29">
        <v>1.0</v>
      </c>
      <c r="D254" s="29">
        <v>1.0</v>
      </c>
      <c r="E254" s="185">
        <v>24.0</v>
      </c>
      <c r="F254" s="185">
        <v>32.83</v>
      </c>
      <c r="G254" s="189">
        <v>28.42</v>
      </c>
      <c r="H254" s="59">
        <f>MEDIAN(H248:H253)</f>
        <v>60.4</v>
      </c>
      <c r="I254" s="65">
        <f>I253+(I252-I251)</f>
        <v>59.2175</v>
      </c>
      <c r="J254" s="55">
        <f t="shared" si="36"/>
        <v>0.6525</v>
      </c>
      <c r="K254" s="55">
        <v>6.9413196529E7</v>
      </c>
      <c r="L254" s="55">
        <v>1110611.144</v>
      </c>
      <c r="M254" s="55">
        <v>5136576.543</v>
      </c>
      <c r="N254" s="55">
        <v>3.2470256471E7</v>
      </c>
      <c r="O254" s="55">
        <v>324702.5647</v>
      </c>
      <c r="P254" s="55">
        <v>4286073.854</v>
      </c>
    </row>
    <row r="255">
      <c r="A255" s="41"/>
      <c r="B255" s="22">
        <v>2022.0</v>
      </c>
      <c r="C255" s="29">
        <v>1.0</v>
      </c>
      <c r="D255" s="29">
        <v>3.0</v>
      </c>
      <c r="E255" s="188"/>
      <c r="F255" s="188"/>
      <c r="G255" s="188"/>
      <c r="H255" s="33">
        <v>91.0</v>
      </c>
      <c r="I255" s="52">
        <f>I254+(I254-I253)</f>
        <v>59.38083333</v>
      </c>
      <c r="J255" s="55">
        <f t="shared" si="36"/>
        <v>0.656875</v>
      </c>
      <c r="K255" s="55">
        <v>7.0344225E7</v>
      </c>
      <c r="L255" s="55">
        <v>1125507.6</v>
      </c>
      <c r="M255" s="55">
        <v>5205472.65</v>
      </c>
      <c r="N255" s="81">
        <v>3.2905775E7</v>
      </c>
      <c r="O255" s="55">
        <v>329057.75</v>
      </c>
      <c r="P255" s="55">
        <v>4343562.3</v>
      </c>
    </row>
    <row r="256">
      <c r="A256" s="41"/>
      <c r="B256" s="22"/>
      <c r="C256" s="41"/>
      <c r="D256" s="41"/>
      <c r="E256" s="188"/>
      <c r="F256" s="188"/>
      <c r="G256" s="188"/>
      <c r="H256" s="59"/>
      <c r="I256" s="65"/>
      <c r="J256" s="53"/>
      <c r="K256" s="53"/>
      <c r="L256" s="53"/>
      <c r="M256" s="53"/>
      <c r="N256" s="53"/>
      <c r="O256" s="53"/>
      <c r="P256" s="53"/>
    </row>
    <row r="257">
      <c r="A257" s="28" t="s">
        <v>49</v>
      </c>
      <c r="B257" s="29">
        <v>2015.0</v>
      </c>
      <c r="C257" s="29">
        <v>0.0</v>
      </c>
      <c r="D257" s="29">
        <v>0.0</v>
      </c>
      <c r="E257" s="185">
        <v>26.0</v>
      </c>
      <c r="F257" s="185">
        <v>31.0</v>
      </c>
      <c r="G257" s="189">
        <v>28.67</v>
      </c>
      <c r="H257" s="33">
        <v>15.4</v>
      </c>
      <c r="I257" s="82">
        <f>I258-(((I258-I259)+(I259-I260)+(I260-I261)+(I261-I262)+(I262-I263))/5)</f>
        <v>47.494</v>
      </c>
      <c r="J257" s="83">
        <v>0.72</v>
      </c>
      <c r="K257" s="55">
        <v>242328.31</v>
      </c>
      <c r="L257" s="55">
        <v>3877.25296</v>
      </c>
      <c r="M257" s="55">
        <v>17932.29494</v>
      </c>
      <c r="N257" s="55">
        <v>146641.69</v>
      </c>
      <c r="O257" s="55">
        <v>1466.4169</v>
      </c>
      <c r="P257" s="55">
        <v>19356.70308</v>
      </c>
    </row>
    <row r="258">
      <c r="A258" s="41"/>
      <c r="B258" s="29">
        <v>2016.0</v>
      </c>
      <c r="C258" s="29">
        <v>1.0</v>
      </c>
      <c r="D258" s="29">
        <v>2.0</v>
      </c>
      <c r="E258" s="185">
        <v>26.0</v>
      </c>
      <c r="F258" s="185">
        <v>32.0</v>
      </c>
      <c r="G258" s="189">
        <v>28.58</v>
      </c>
      <c r="H258" s="33">
        <v>16.9</v>
      </c>
      <c r="I258" s="80">
        <v>46.18</v>
      </c>
      <c r="J258" s="83">
        <v>0.724</v>
      </c>
      <c r="K258" s="55">
        <v>243586.77</v>
      </c>
      <c r="L258" s="55">
        <v>3897.38832</v>
      </c>
      <c r="M258" s="55">
        <v>18025.42098</v>
      </c>
      <c r="N258" s="55">
        <v>147403.23</v>
      </c>
      <c r="O258" s="55">
        <v>1474.0323</v>
      </c>
      <c r="P258" s="55">
        <v>19457.22636</v>
      </c>
    </row>
    <row r="259">
      <c r="A259" s="41"/>
      <c r="B259" s="29">
        <v>2017.0</v>
      </c>
      <c r="C259" s="29">
        <v>0.0</v>
      </c>
      <c r="D259" s="29">
        <v>0.0</v>
      </c>
      <c r="E259" s="185">
        <v>25.0</v>
      </c>
      <c r="F259" s="185">
        <v>31.0</v>
      </c>
      <c r="G259" s="189">
        <v>28.29</v>
      </c>
      <c r="H259" s="33">
        <v>14.7</v>
      </c>
      <c r="I259" s="80">
        <v>50.0</v>
      </c>
      <c r="J259" s="83">
        <v>0.735</v>
      </c>
      <c r="K259" s="55">
        <v>244827.163</v>
      </c>
      <c r="L259" s="55">
        <v>3917.234608</v>
      </c>
      <c r="M259" s="55">
        <v>18117.21006</v>
      </c>
      <c r="N259" s="55">
        <v>148153.837</v>
      </c>
      <c r="O259" s="55">
        <v>1481.53837</v>
      </c>
      <c r="P259" s="55">
        <v>19556.30648</v>
      </c>
    </row>
    <row r="260">
      <c r="A260" s="41"/>
      <c r="B260" s="29">
        <v>2018.0</v>
      </c>
      <c r="C260" s="29">
        <v>0.0</v>
      </c>
      <c r="D260" s="29">
        <v>0.0</v>
      </c>
      <c r="E260" s="185">
        <v>23.0</v>
      </c>
      <c r="F260" s="185">
        <v>31.0</v>
      </c>
      <c r="G260" s="189">
        <v>28.63</v>
      </c>
      <c r="H260" s="33">
        <v>16.2</v>
      </c>
      <c r="I260" s="80">
        <v>55.74</v>
      </c>
      <c r="J260" s="83">
        <v>0.738</v>
      </c>
      <c r="K260" s="55">
        <v>246048.866</v>
      </c>
      <c r="L260" s="55">
        <v>3936.781856</v>
      </c>
      <c r="M260" s="55">
        <v>18207.61608</v>
      </c>
      <c r="N260" s="55">
        <v>148893.134</v>
      </c>
      <c r="O260" s="55">
        <v>1488.93134</v>
      </c>
      <c r="P260" s="55">
        <v>19653.89369</v>
      </c>
    </row>
    <row r="261">
      <c r="A261" s="41"/>
      <c r="B261" s="29">
        <v>2019.0</v>
      </c>
      <c r="C261" s="29">
        <v>0.0</v>
      </c>
      <c r="D261" s="29">
        <v>0.0</v>
      </c>
      <c r="E261" s="185">
        <v>21.0</v>
      </c>
      <c r="F261" s="185">
        <v>34.0</v>
      </c>
      <c r="G261" s="189">
        <v>28.33</v>
      </c>
      <c r="H261" s="33">
        <v>16.3</v>
      </c>
      <c r="I261" s="80">
        <v>49.89</v>
      </c>
      <c r="J261" s="83">
        <v>0.741</v>
      </c>
      <c r="K261" s="55">
        <v>247251.879</v>
      </c>
      <c r="L261" s="55">
        <v>3956.030064</v>
      </c>
      <c r="M261" s="55">
        <v>18296.63905</v>
      </c>
      <c r="N261" s="55">
        <v>149621.121</v>
      </c>
      <c r="O261" s="55">
        <v>1496.21121</v>
      </c>
      <c r="P261" s="55">
        <v>19749.98797</v>
      </c>
    </row>
    <row r="262">
      <c r="A262" s="41"/>
      <c r="B262" s="29">
        <v>2020.0</v>
      </c>
      <c r="C262" s="29">
        <v>1.0</v>
      </c>
      <c r="D262" s="29">
        <v>1.0</v>
      </c>
      <c r="E262" s="185">
        <v>20.0</v>
      </c>
      <c r="F262" s="185">
        <v>32.0</v>
      </c>
      <c r="G262" s="189">
        <v>27.42</v>
      </c>
      <c r="H262" s="33">
        <v>16.1</v>
      </c>
      <c r="I262" s="80">
        <v>59.72</v>
      </c>
      <c r="J262" s="83">
        <f t="shared" ref="J262:J264" si="37">J261+(((J261-J260)+(J260-J259)+(J259-J258)+(J258-J257))/4)</f>
        <v>0.74625</v>
      </c>
      <c r="K262" s="55">
        <v>248436.202</v>
      </c>
      <c r="L262" s="55">
        <v>3974.979232</v>
      </c>
      <c r="M262" s="55">
        <v>18384.27895</v>
      </c>
      <c r="N262" s="55">
        <v>150337.798</v>
      </c>
      <c r="O262" s="55">
        <v>1503.37798</v>
      </c>
      <c r="P262" s="55">
        <v>19844.58934</v>
      </c>
    </row>
    <row r="263">
      <c r="A263" s="41"/>
      <c r="B263" s="29">
        <v>2021.0</v>
      </c>
      <c r="C263" s="29">
        <v>1.0</v>
      </c>
      <c r="D263" s="29">
        <v>1.0</v>
      </c>
      <c r="E263" s="185">
        <v>26.42</v>
      </c>
      <c r="F263" s="185">
        <v>28.08</v>
      </c>
      <c r="G263" s="189">
        <v>27.25</v>
      </c>
      <c r="H263" s="59">
        <f>MEDIAN(H257:H262)</f>
        <v>16.15</v>
      </c>
      <c r="I263" s="80">
        <v>52.75</v>
      </c>
      <c r="J263" s="83">
        <f t="shared" si="37"/>
        <v>0.7518125</v>
      </c>
      <c r="K263" s="55">
        <v>249603.081</v>
      </c>
      <c r="L263" s="55">
        <v>3993.649296</v>
      </c>
      <c r="M263" s="55">
        <v>18470.62799</v>
      </c>
      <c r="N263" s="55">
        <v>151043.919</v>
      </c>
      <c r="O263" s="55">
        <v>1510.43919</v>
      </c>
      <c r="P263" s="55">
        <v>19937.79731</v>
      </c>
    </row>
    <row r="264">
      <c r="A264" s="41"/>
      <c r="B264" s="22">
        <v>2022.0</v>
      </c>
      <c r="C264" s="29">
        <v>1.0</v>
      </c>
      <c r="D264" s="29">
        <v>1.0</v>
      </c>
      <c r="E264" s="188"/>
      <c r="F264" s="188"/>
      <c r="G264" s="188"/>
      <c r="H264" s="33">
        <v>17.0</v>
      </c>
      <c r="I264" s="52">
        <f>I263-(I262-I263)</f>
        <v>45.78</v>
      </c>
      <c r="J264" s="83">
        <f t="shared" si="37"/>
        <v>0.756015625</v>
      </c>
      <c r="K264" s="55">
        <v>254121.7</v>
      </c>
      <c r="L264" s="55">
        <v>4065.9472</v>
      </c>
      <c r="M264" s="55">
        <v>18805.0058</v>
      </c>
      <c r="N264" s="55">
        <v>153778.3</v>
      </c>
      <c r="O264" s="55">
        <v>1537.783</v>
      </c>
      <c r="P264" s="55">
        <v>20298.7356</v>
      </c>
    </row>
    <row r="265">
      <c r="A265" s="41"/>
      <c r="B265" s="22"/>
      <c r="C265" s="41"/>
      <c r="D265" s="41"/>
      <c r="E265" s="188"/>
      <c r="F265" s="188"/>
      <c r="G265" s="188"/>
      <c r="H265" s="59"/>
      <c r="I265" s="65"/>
      <c r="J265" s="53"/>
      <c r="K265" s="53"/>
      <c r="L265" s="53"/>
      <c r="M265" s="53"/>
      <c r="N265" s="53"/>
      <c r="O265" s="53"/>
      <c r="P265" s="53"/>
    </row>
    <row r="266">
      <c r="A266" s="28" t="s">
        <v>50</v>
      </c>
      <c r="B266" s="29">
        <v>2015.0</v>
      </c>
      <c r="C266" s="29">
        <v>0.0</v>
      </c>
      <c r="D266" s="29">
        <v>0.0</v>
      </c>
      <c r="E266" s="185">
        <v>3.0</v>
      </c>
      <c r="F266" s="185">
        <v>42.0</v>
      </c>
      <c r="G266" s="189">
        <v>24.71</v>
      </c>
      <c r="H266" s="33">
        <v>51.0</v>
      </c>
      <c r="I266" s="62">
        <v>58.35</v>
      </c>
      <c r="J266" s="55">
        <v>0.732</v>
      </c>
      <c r="K266" s="55">
        <v>30314.9</v>
      </c>
      <c r="L266" s="55">
        <v>485.0384</v>
      </c>
      <c r="M266" s="55">
        <v>2243.3026</v>
      </c>
      <c r="N266" s="55">
        <v>1072045.1</v>
      </c>
      <c r="O266" s="55">
        <v>10720.451</v>
      </c>
      <c r="P266" s="55">
        <v>141509.9532</v>
      </c>
    </row>
    <row r="267">
      <c r="A267" s="41"/>
      <c r="B267" s="29">
        <v>2016.0</v>
      </c>
      <c r="C267" s="29">
        <v>1.0</v>
      </c>
      <c r="D267" s="29">
        <v>1.0</v>
      </c>
      <c r="E267" s="185">
        <v>1.0</v>
      </c>
      <c r="F267" s="185">
        <v>43.0</v>
      </c>
      <c r="G267" s="189">
        <v>24.29</v>
      </c>
      <c r="H267" s="33">
        <v>56.8</v>
      </c>
      <c r="I267" s="62">
        <v>67.08</v>
      </c>
      <c r="J267" s="55">
        <v>0.758</v>
      </c>
      <c r="K267" s="55">
        <v>30629.885</v>
      </c>
      <c r="L267" s="55">
        <v>490.07816</v>
      </c>
      <c r="M267" s="55">
        <v>2266.61149</v>
      </c>
      <c r="N267" s="55">
        <v>1083184.115</v>
      </c>
      <c r="O267" s="55">
        <v>10831.84115</v>
      </c>
      <c r="P267" s="55">
        <v>142980.3032</v>
      </c>
    </row>
    <row r="268">
      <c r="A268" s="41"/>
      <c r="B268" s="29">
        <v>2017.0</v>
      </c>
      <c r="C268" s="29">
        <v>0.0</v>
      </c>
      <c r="D268" s="29">
        <v>0.0</v>
      </c>
      <c r="E268" s="185">
        <v>4.0</v>
      </c>
      <c r="F268" s="185">
        <v>44.0</v>
      </c>
      <c r="G268" s="189">
        <v>24.38</v>
      </c>
      <c r="H268" s="33">
        <v>51.5</v>
      </c>
      <c r="I268" s="62">
        <v>67.53</v>
      </c>
      <c r="J268" s="55">
        <v>0.77</v>
      </c>
      <c r="K268" s="55">
        <v>30941.7625</v>
      </c>
      <c r="L268" s="55">
        <v>495.0682</v>
      </c>
      <c r="M268" s="55">
        <v>2289.690425</v>
      </c>
      <c r="N268" s="55">
        <v>1094213.238</v>
      </c>
      <c r="O268" s="55">
        <v>10942.13238</v>
      </c>
      <c r="P268" s="55">
        <v>144436.1474</v>
      </c>
    </row>
    <row r="269">
      <c r="A269" s="41"/>
      <c r="B269" s="29">
        <v>2018.0</v>
      </c>
      <c r="C269" s="29">
        <v>0.0</v>
      </c>
      <c r="D269" s="29">
        <v>0.0</v>
      </c>
      <c r="E269" s="185">
        <v>6.0</v>
      </c>
      <c r="F269" s="185">
        <v>43.0</v>
      </c>
      <c r="G269" s="189">
        <v>24.63</v>
      </c>
      <c r="H269" s="33">
        <v>54.1</v>
      </c>
      <c r="I269" s="62">
        <v>64.88</v>
      </c>
      <c r="J269" s="55">
        <v>0.772</v>
      </c>
      <c r="K269" s="55">
        <v>31250.505</v>
      </c>
      <c r="L269" s="55">
        <v>500.00808</v>
      </c>
      <c r="M269" s="55">
        <v>2312.53737</v>
      </c>
      <c r="N269" s="55">
        <v>1105131.495</v>
      </c>
      <c r="O269" s="55">
        <v>11051.31495</v>
      </c>
      <c r="P269" s="55">
        <v>145877.3573</v>
      </c>
    </row>
    <row r="270">
      <c r="A270" s="41"/>
      <c r="B270" s="29">
        <v>2019.0</v>
      </c>
      <c r="C270" s="29">
        <v>1.0</v>
      </c>
      <c r="D270" s="29">
        <v>1.0</v>
      </c>
      <c r="E270" s="185">
        <v>7.0</v>
      </c>
      <c r="F270" s="185">
        <v>46.0</v>
      </c>
      <c r="G270" s="189">
        <v>23.54</v>
      </c>
      <c r="H270" s="33">
        <v>49.4</v>
      </c>
      <c r="I270" s="62">
        <v>73.38</v>
      </c>
      <c r="J270" s="55">
        <v>0.776</v>
      </c>
      <c r="K270" s="55">
        <v>31556.085</v>
      </c>
      <c r="L270" s="55">
        <v>504.89736</v>
      </c>
      <c r="M270" s="55">
        <v>2335.15029</v>
      </c>
      <c r="N270" s="55">
        <v>1115937.915</v>
      </c>
      <c r="O270" s="55">
        <v>11159.37915</v>
      </c>
      <c r="P270" s="55">
        <v>147303.8048</v>
      </c>
    </row>
    <row r="271">
      <c r="A271" s="41"/>
      <c r="B271" s="29">
        <v>2020.0</v>
      </c>
      <c r="C271" s="29">
        <v>1.0</v>
      </c>
      <c r="D271" s="29">
        <v>1.0</v>
      </c>
      <c r="E271" s="185">
        <v>5.0</v>
      </c>
      <c r="F271" s="185">
        <v>46.0</v>
      </c>
      <c r="G271" s="189">
        <v>25.83</v>
      </c>
      <c r="H271" s="33">
        <v>50.4</v>
      </c>
      <c r="I271" s="62">
        <v>62.53</v>
      </c>
      <c r="J271" s="55">
        <f t="shared" ref="J271:J273" si="38">J270+(((J270-J269)+(J269-J268)+(J268-J267)+(J267-J266))/4)</f>
        <v>0.787</v>
      </c>
      <c r="K271" s="55">
        <v>31858.5025</v>
      </c>
      <c r="L271" s="55">
        <v>509.73604</v>
      </c>
      <c r="M271" s="55">
        <v>2357.529185</v>
      </c>
      <c r="N271" s="55">
        <v>1126632.498</v>
      </c>
      <c r="O271" s="55">
        <v>11266.32498</v>
      </c>
      <c r="P271" s="55">
        <v>148715.4897</v>
      </c>
    </row>
    <row r="272">
      <c r="A272" s="41"/>
      <c r="B272" s="29">
        <v>2021.0</v>
      </c>
      <c r="C272" s="29">
        <v>1.0</v>
      </c>
      <c r="D272" s="29">
        <v>1.0</v>
      </c>
      <c r="E272" s="185">
        <v>20.0</v>
      </c>
      <c r="F272" s="185">
        <v>32.17</v>
      </c>
      <c r="G272" s="189">
        <v>26.08</v>
      </c>
      <c r="H272" s="59">
        <f>MEDIAN(H266:H271)</f>
        <v>51.25</v>
      </c>
      <c r="I272" s="65">
        <f t="shared" ref="I272:I273" si="39">I271+(I271-I270)</f>
        <v>51.68</v>
      </c>
      <c r="J272" s="55">
        <f t="shared" si="38"/>
        <v>0.79425</v>
      </c>
      <c r="K272" s="55">
        <v>32157.7025</v>
      </c>
      <c r="L272" s="55">
        <v>514.52324</v>
      </c>
      <c r="M272" s="55">
        <v>2379.669985</v>
      </c>
      <c r="N272" s="55">
        <v>1137213.298</v>
      </c>
      <c r="O272" s="55">
        <v>11372.13298</v>
      </c>
      <c r="P272" s="55">
        <v>150112.1553</v>
      </c>
    </row>
    <row r="273">
      <c r="A273" s="41"/>
      <c r="B273" s="22">
        <v>2022.0</v>
      </c>
      <c r="C273" s="29">
        <v>0.0</v>
      </c>
      <c r="D273" s="29">
        <v>0.0</v>
      </c>
      <c r="E273" s="189">
        <v>20.29</v>
      </c>
      <c r="F273" s="189">
        <v>32.33</v>
      </c>
      <c r="G273" s="189">
        <v>26.31</v>
      </c>
      <c r="H273" s="33">
        <v>128.0</v>
      </c>
      <c r="I273" s="52">
        <f t="shared" si="39"/>
        <v>40.83</v>
      </c>
      <c r="J273" s="55">
        <f t="shared" si="38"/>
        <v>0.8003125</v>
      </c>
      <c r="K273" s="55">
        <v>33550.0</v>
      </c>
      <c r="L273" s="55">
        <v>536.8</v>
      </c>
      <c r="M273" s="55">
        <v>2482.7</v>
      </c>
      <c r="N273" s="55">
        <v>1186450.0</v>
      </c>
      <c r="O273" s="55">
        <v>11864.5</v>
      </c>
      <c r="P273" s="55">
        <v>156611.4</v>
      </c>
    </row>
    <row r="274">
      <c r="A274" s="41"/>
      <c r="B274" s="41"/>
      <c r="C274" s="41"/>
      <c r="D274" s="41"/>
      <c r="E274" s="188"/>
      <c r="F274" s="188"/>
      <c r="G274" s="188"/>
      <c r="H274" s="59"/>
      <c r="I274" s="65"/>
      <c r="J274" s="53"/>
      <c r="K274" s="53"/>
      <c r="L274" s="53"/>
      <c r="M274" s="53"/>
      <c r="N274" s="53"/>
      <c r="O274" s="53"/>
      <c r="P274" s="53"/>
    </row>
    <row r="275" ht="19.5" customHeight="1">
      <c r="A275" s="28" t="s">
        <v>51</v>
      </c>
      <c r="B275" s="29">
        <v>2015.0</v>
      </c>
      <c r="C275" s="29">
        <v>0.0</v>
      </c>
      <c r="D275" s="29">
        <v>0.0</v>
      </c>
      <c r="E275" s="185">
        <v>17.0</v>
      </c>
      <c r="F275" s="185">
        <v>38.0</v>
      </c>
      <c r="G275" s="189">
        <v>29.33</v>
      </c>
      <c r="H275" s="33">
        <v>31.0</v>
      </c>
      <c r="I275" s="62">
        <v>45.41</v>
      </c>
      <c r="J275" s="55">
        <v>0.661</v>
      </c>
      <c r="K275" s="55">
        <v>277075.779</v>
      </c>
      <c r="L275" s="55">
        <v>4433.21247</v>
      </c>
      <c r="M275" s="55">
        <v>20532.54612</v>
      </c>
      <c r="N275" s="55">
        <v>390742.221</v>
      </c>
      <c r="O275" s="55">
        <v>3907.422206</v>
      </c>
      <c r="P275" s="55">
        <v>51577.97312</v>
      </c>
    </row>
    <row r="276">
      <c r="A276" s="41"/>
      <c r="B276" s="29">
        <v>2016.0</v>
      </c>
      <c r="C276" s="29">
        <v>0.0</v>
      </c>
      <c r="D276" s="29">
        <v>0.0</v>
      </c>
      <c r="E276" s="185">
        <v>18.0</v>
      </c>
      <c r="F276" s="185">
        <v>35.0</v>
      </c>
      <c r="G276" s="189">
        <v>28.79</v>
      </c>
      <c r="H276" s="33">
        <v>29.9</v>
      </c>
      <c r="I276" s="62">
        <v>60.73</v>
      </c>
      <c r="J276" s="55">
        <v>0.647</v>
      </c>
      <c r="K276" s="55">
        <v>285711.914</v>
      </c>
      <c r="L276" s="55">
        <v>4571.39063</v>
      </c>
      <c r="M276" s="55">
        <v>21172.52209</v>
      </c>
      <c r="N276" s="55">
        <v>402921.086</v>
      </c>
      <c r="O276" s="55">
        <v>4029.210856</v>
      </c>
      <c r="P276" s="55">
        <v>53185.5833</v>
      </c>
    </row>
    <row r="277">
      <c r="A277" s="41"/>
      <c r="B277" s="29">
        <v>2017.0</v>
      </c>
      <c r="C277" s="29">
        <v>0.0</v>
      </c>
      <c r="D277" s="29">
        <v>0.0</v>
      </c>
      <c r="E277" s="185">
        <v>17.0</v>
      </c>
      <c r="F277" s="185">
        <v>37.0</v>
      </c>
      <c r="G277" s="189">
        <v>29.58</v>
      </c>
      <c r="H277" s="33">
        <v>35.0</v>
      </c>
      <c r="I277" s="62">
        <v>81.01</v>
      </c>
      <c r="J277" s="55">
        <v>0.658</v>
      </c>
      <c r="K277" s="55">
        <v>294439.624</v>
      </c>
      <c r="L277" s="55">
        <v>4711.033987</v>
      </c>
      <c r="M277" s="55">
        <v>21819.28415</v>
      </c>
      <c r="N277" s="55">
        <v>415229.376</v>
      </c>
      <c r="O277" s="55">
        <v>4152.293758</v>
      </c>
      <c r="P277" s="55">
        <v>54810.27761</v>
      </c>
    </row>
    <row r="278">
      <c r="A278" s="41"/>
      <c r="B278" s="29">
        <v>2018.0</v>
      </c>
      <c r="C278" s="29">
        <v>0.0</v>
      </c>
      <c r="D278" s="29">
        <v>0.0</v>
      </c>
      <c r="E278" s="185">
        <v>18.0</v>
      </c>
      <c r="F278" s="185">
        <v>35.0</v>
      </c>
      <c r="G278" s="189">
        <v>29.67</v>
      </c>
      <c r="H278" s="33">
        <v>34.5</v>
      </c>
      <c r="I278" s="62">
        <v>82.82</v>
      </c>
      <c r="J278" s="55">
        <v>0.66</v>
      </c>
      <c r="K278" s="55">
        <v>303253.689</v>
      </c>
      <c r="L278" s="55">
        <v>4852.05903</v>
      </c>
      <c r="M278" s="55">
        <v>22472.44553</v>
      </c>
      <c r="N278" s="55">
        <v>427659.311</v>
      </c>
      <c r="O278" s="55">
        <v>4276.593106</v>
      </c>
      <c r="P278" s="55">
        <v>56451.029</v>
      </c>
    </row>
    <row r="279">
      <c r="A279" s="41"/>
      <c r="B279" s="29">
        <v>2019.0</v>
      </c>
      <c r="C279" s="29">
        <v>0.0</v>
      </c>
      <c r="D279" s="29">
        <v>0.0</v>
      </c>
      <c r="E279" s="185">
        <v>18.0</v>
      </c>
      <c r="F279" s="185">
        <v>38.0</v>
      </c>
      <c r="G279" s="189">
        <v>28.67</v>
      </c>
      <c r="H279" s="33">
        <v>32.7</v>
      </c>
      <c r="I279" s="62">
        <v>69.72</v>
      </c>
      <c r="J279" s="55">
        <v>0.663</v>
      </c>
      <c r="K279" s="55">
        <v>312149.92</v>
      </c>
      <c r="L279" s="55">
        <v>4994.39872</v>
      </c>
      <c r="M279" s="55">
        <v>23131.69574</v>
      </c>
      <c r="N279" s="55">
        <v>440205.08</v>
      </c>
      <c r="O279" s="55">
        <v>4402.0508</v>
      </c>
      <c r="P279" s="55">
        <v>58107.07056</v>
      </c>
    </row>
    <row r="280">
      <c r="A280" s="41"/>
      <c r="B280" s="29">
        <v>2020.0</v>
      </c>
      <c r="C280" s="29">
        <v>1.0</v>
      </c>
      <c r="D280" s="29">
        <v>1.0</v>
      </c>
      <c r="E280" s="185">
        <v>16.0</v>
      </c>
      <c r="F280" s="185">
        <v>35.0</v>
      </c>
      <c r="G280" s="189">
        <v>27.88</v>
      </c>
      <c r="H280" s="33">
        <v>32.6</v>
      </c>
      <c r="I280" s="62">
        <v>66.2</v>
      </c>
      <c r="J280" s="55">
        <f t="shared" ref="J280:J282" si="40">J279+(((J279-J278)+(J278-J277)+(J277-J276)+(J276-J275))/4)</f>
        <v>0.6635</v>
      </c>
      <c r="K280" s="55">
        <v>321124.126</v>
      </c>
      <c r="L280" s="55">
        <v>5137.986016</v>
      </c>
      <c r="M280" s="55">
        <v>23796.72427</v>
      </c>
      <c r="N280" s="55">
        <v>452860.874</v>
      </c>
      <c r="O280" s="55">
        <v>4528.60874</v>
      </c>
      <c r="P280" s="55">
        <v>59777.63537</v>
      </c>
    </row>
    <row r="281">
      <c r="A281" s="41"/>
      <c r="B281" s="29">
        <v>2021.0</v>
      </c>
      <c r="C281" s="29">
        <v>1.0</v>
      </c>
      <c r="D281" s="29">
        <v>1.0</v>
      </c>
      <c r="E281" s="185">
        <v>25.42</v>
      </c>
      <c r="F281" s="185">
        <v>32.08</v>
      </c>
      <c r="G281" s="189">
        <v>28.75</v>
      </c>
      <c r="H281" s="59">
        <f>MEDIAN(H275:H280)</f>
        <v>32.65</v>
      </c>
      <c r="I281" s="65">
        <f t="shared" ref="I281:I282" si="41">I280+(I280-I279)</f>
        <v>62.68</v>
      </c>
      <c r="J281" s="55">
        <f t="shared" si="40"/>
        <v>0.667625</v>
      </c>
      <c r="K281" s="55">
        <v>330171.869</v>
      </c>
      <c r="L281" s="55">
        <v>5282.749906</v>
      </c>
      <c r="M281" s="55">
        <v>24467.20224</v>
      </c>
      <c r="N281" s="55">
        <v>465620.131</v>
      </c>
      <c r="O281" s="55">
        <v>4656.201309</v>
      </c>
      <c r="P281" s="55">
        <v>61461.85728</v>
      </c>
    </row>
    <row r="282">
      <c r="A282" s="41"/>
      <c r="B282" s="22">
        <v>2022.0</v>
      </c>
      <c r="C282" s="29">
        <v>0.0</v>
      </c>
      <c r="D282" s="29">
        <v>0.0</v>
      </c>
      <c r="E282" s="189">
        <v>25.53</v>
      </c>
      <c r="F282" s="189">
        <v>31.78</v>
      </c>
      <c r="G282" s="189">
        <v>28.65</v>
      </c>
      <c r="H282" s="33">
        <v>80.0</v>
      </c>
      <c r="I282" s="52">
        <f t="shared" si="41"/>
        <v>59.16</v>
      </c>
      <c r="J282" s="55">
        <f t="shared" si="40"/>
        <v>0.67003125</v>
      </c>
      <c r="K282" s="55">
        <v>363586.1</v>
      </c>
      <c r="L282" s="55">
        <v>5817.3776</v>
      </c>
      <c r="M282" s="55">
        <v>26942.882</v>
      </c>
      <c r="N282" s="55">
        <v>519913.9</v>
      </c>
      <c r="O282" s="55">
        <v>5199.139</v>
      </c>
      <c r="P282" s="55">
        <v>68628.6348</v>
      </c>
    </row>
    <row r="283">
      <c r="A283" s="41"/>
      <c r="B283" s="41"/>
      <c r="C283" s="41"/>
      <c r="D283" s="41"/>
      <c r="E283" s="188"/>
      <c r="F283" s="188"/>
      <c r="G283" s="188"/>
      <c r="H283" s="59"/>
      <c r="I283" s="65"/>
      <c r="J283" s="53"/>
      <c r="K283" s="53"/>
      <c r="L283" s="53"/>
      <c r="M283" s="53"/>
      <c r="N283" s="53"/>
      <c r="O283" s="53"/>
      <c r="P283" s="53"/>
    </row>
    <row r="284">
      <c r="A284" s="28" t="s">
        <v>52</v>
      </c>
      <c r="B284" s="29">
        <v>2015.0</v>
      </c>
      <c r="C284" s="29">
        <v>0.0</v>
      </c>
      <c r="D284" s="29">
        <v>0.0</v>
      </c>
      <c r="E284" s="185">
        <v>5.0</v>
      </c>
      <c r="F284" s="185">
        <v>43.0</v>
      </c>
      <c r="G284" s="189">
        <v>24.63</v>
      </c>
      <c r="H284" s="33">
        <v>16.3</v>
      </c>
      <c r="I284" s="62">
        <v>53.52</v>
      </c>
      <c r="J284" s="55">
        <v>0.672</v>
      </c>
      <c r="K284" s="55">
        <v>9887992.939</v>
      </c>
      <c r="L284" s="55">
        <v>158207.887</v>
      </c>
      <c r="M284" s="55">
        <v>731711.4775</v>
      </c>
      <c r="N284" s="55">
        <v>3728081.061</v>
      </c>
      <c r="O284" s="55">
        <v>37280.81061</v>
      </c>
      <c r="P284" s="55">
        <v>492106.7001</v>
      </c>
    </row>
    <row r="285">
      <c r="A285" s="41"/>
      <c r="B285" s="29">
        <v>2016.0</v>
      </c>
      <c r="C285" s="29">
        <v>1.0</v>
      </c>
      <c r="D285" s="29">
        <v>2.0</v>
      </c>
      <c r="E285" s="185">
        <v>4.0</v>
      </c>
      <c r="F285" s="185">
        <v>43.0</v>
      </c>
      <c r="G285" s="189">
        <v>24.58</v>
      </c>
      <c r="H285" s="33">
        <v>21.2</v>
      </c>
      <c r="I285" s="62">
        <v>60.35</v>
      </c>
      <c r="J285" s="55">
        <v>0.672</v>
      </c>
      <c r="K285" s="55">
        <v>1.008318969E7</v>
      </c>
      <c r="L285" s="55">
        <v>161331.035</v>
      </c>
      <c r="M285" s="55">
        <v>746156.037</v>
      </c>
      <c r="N285" s="55">
        <v>3801676.311</v>
      </c>
      <c r="O285" s="55">
        <v>38016.76311</v>
      </c>
      <c r="P285" s="55">
        <v>501821.273</v>
      </c>
    </row>
    <row r="286">
      <c r="A286" s="41"/>
      <c r="B286" s="29">
        <v>2017.0</v>
      </c>
      <c r="C286" s="29">
        <v>1.0</v>
      </c>
      <c r="D286" s="29">
        <v>2.0</v>
      </c>
      <c r="E286" s="185">
        <v>4.0</v>
      </c>
      <c r="F286" s="185">
        <v>44.0</v>
      </c>
      <c r="G286" s="189">
        <v>24.83</v>
      </c>
      <c r="H286" s="33">
        <v>17.5</v>
      </c>
      <c r="I286" s="62">
        <v>62.37</v>
      </c>
      <c r="J286" s="55">
        <v>0.682</v>
      </c>
      <c r="K286" s="55">
        <v>1.027825935E7</v>
      </c>
      <c r="L286" s="55">
        <v>164452.1497</v>
      </c>
      <c r="M286" s="55">
        <v>760591.1922</v>
      </c>
      <c r="N286" s="55">
        <v>3875223.645</v>
      </c>
      <c r="O286" s="55">
        <v>38752.23645</v>
      </c>
      <c r="P286" s="55">
        <v>511529.5212</v>
      </c>
    </row>
    <row r="287">
      <c r="A287" s="41"/>
      <c r="B287" s="29">
        <v>2018.0</v>
      </c>
      <c r="C287" s="29">
        <v>0.0</v>
      </c>
      <c r="D287" s="29">
        <v>0.0</v>
      </c>
      <c r="E287" s="185">
        <v>6.0</v>
      </c>
      <c r="F287" s="185">
        <v>44.0</v>
      </c>
      <c r="G287" s="189">
        <v>25.13</v>
      </c>
      <c r="H287" s="33">
        <v>17.9</v>
      </c>
      <c r="I287" s="62">
        <v>37.45</v>
      </c>
      <c r="J287" s="55">
        <v>0.685</v>
      </c>
      <c r="K287" s="55">
        <v>1.047312496E7</v>
      </c>
      <c r="L287" s="55">
        <v>167569.9993</v>
      </c>
      <c r="M287" s="55">
        <v>775011.2469</v>
      </c>
      <c r="N287" s="55">
        <v>3948694.042</v>
      </c>
      <c r="O287" s="55">
        <v>39486.94042</v>
      </c>
      <c r="P287" s="55">
        <v>521227.6136</v>
      </c>
    </row>
    <row r="288">
      <c r="A288" s="41"/>
      <c r="B288" s="29">
        <v>2019.0</v>
      </c>
      <c r="C288" s="29">
        <v>0.0</v>
      </c>
      <c r="D288" s="29">
        <v>0.0</v>
      </c>
      <c r="E288" s="185">
        <v>6.0</v>
      </c>
      <c r="F288" s="185">
        <v>46.0</v>
      </c>
      <c r="G288" s="189">
        <v>23.42</v>
      </c>
      <c r="H288" s="33">
        <v>15.3</v>
      </c>
      <c r="I288" s="62">
        <v>46.99</v>
      </c>
      <c r="J288" s="55">
        <v>0.688</v>
      </c>
      <c r="K288" s="55">
        <v>1.066771461E7</v>
      </c>
      <c r="L288" s="55">
        <v>170683.4337</v>
      </c>
      <c r="M288" s="55">
        <v>789410.8808</v>
      </c>
      <c r="N288" s="55">
        <v>4022060.395</v>
      </c>
      <c r="O288" s="55">
        <v>40220.60395</v>
      </c>
      <c r="P288" s="55">
        <v>530911.9721</v>
      </c>
    </row>
    <row r="289">
      <c r="A289" s="41"/>
      <c r="B289" s="29">
        <v>2020.0</v>
      </c>
      <c r="C289" s="29">
        <v>1.0</v>
      </c>
      <c r="D289" s="29">
        <v>1.0</v>
      </c>
      <c r="E289" s="185">
        <v>5.0</v>
      </c>
      <c r="F289" s="185">
        <v>48.0</v>
      </c>
      <c r="G289" s="189">
        <v>26.88</v>
      </c>
      <c r="H289" s="33">
        <v>15.4</v>
      </c>
      <c r="I289" s="62">
        <v>57.38</v>
      </c>
      <c r="J289" s="55">
        <f t="shared" ref="J289:J290" si="42">J288+(((J288-J287)+(J287-J286)+(J286-J285)+(J285-J284))/4)</f>
        <v>0.692</v>
      </c>
      <c r="K289" s="55">
        <v>1.086195568E7</v>
      </c>
      <c r="L289" s="55">
        <v>173791.2908</v>
      </c>
      <c r="M289" s="55">
        <v>803784.72</v>
      </c>
      <c r="N289" s="55">
        <v>4095295.324</v>
      </c>
      <c r="O289" s="55">
        <v>40952.95324</v>
      </c>
      <c r="P289" s="55">
        <v>540578.9827</v>
      </c>
    </row>
    <row r="290">
      <c r="A290" s="41"/>
      <c r="B290" s="29">
        <v>2021.0</v>
      </c>
      <c r="C290" s="29">
        <v>1.0</v>
      </c>
      <c r="D290" s="29">
        <v>1.0</v>
      </c>
      <c r="E290" s="185">
        <v>19.08</v>
      </c>
      <c r="F290" s="185">
        <v>31.58</v>
      </c>
      <c r="G290" s="189">
        <v>25.33</v>
      </c>
      <c r="H290" s="59">
        <f>MEDIAN(H284:H289)</f>
        <v>16.9</v>
      </c>
      <c r="I290" s="62">
        <f t="shared" ref="I290:I291" si="43">I289+(I289-I288)</f>
        <v>67.77</v>
      </c>
      <c r="J290" s="55">
        <f t="shared" si="42"/>
        <v>0.697</v>
      </c>
      <c r="K290" s="55">
        <v>1.105577773E7</v>
      </c>
      <c r="L290" s="55">
        <v>176892.4437</v>
      </c>
      <c r="M290" s="55">
        <v>818127.552</v>
      </c>
      <c r="N290" s="55">
        <v>4168372.27</v>
      </c>
      <c r="O290" s="55">
        <v>41683.7227</v>
      </c>
      <c r="P290" s="55">
        <v>550225.1396</v>
      </c>
    </row>
    <row r="291">
      <c r="A291" s="41"/>
      <c r="B291" s="22">
        <v>2022.0</v>
      </c>
      <c r="C291" s="29">
        <v>1.0</v>
      </c>
      <c r="D291" s="29">
        <v>2.0</v>
      </c>
      <c r="E291" s="189">
        <v>19.35</v>
      </c>
      <c r="F291" s="189">
        <v>31.56</v>
      </c>
      <c r="G291" s="189">
        <v>25.45</v>
      </c>
      <c r="H291" s="33">
        <v>14.0</v>
      </c>
      <c r="I291" s="52">
        <f t="shared" si="43"/>
        <v>78.16</v>
      </c>
      <c r="J291" s="55">
        <f>J290+(((J290-J289)+(J289-J288)+(J288-J287)+(J287-J286)+(J286-J285)+(J285-J284))/6)</f>
        <v>0.7011666667</v>
      </c>
      <c r="K291" s="55">
        <v>1.1168956E7</v>
      </c>
      <c r="L291" s="55">
        <v>178703.0</v>
      </c>
      <c r="M291" s="55">
        <v>826502.744</v>
      </c>
      <c r="N291" s="55">
        <v>4211044.0</v>
      </c>
      <c r="O291" s="55">
        <v>42110.44</v>
      </c>
      <c r="P291" s="55">
        <v>555857.808</v>
      </c>
    </row>
    <row r="292">
      <c r="A292" s="41"/>
      <c r="B292" s="41"/>
      <c r="C292" s="41"/>
      <c r="D292" s="41"/>
      <c r="E292" s="188"/>
      <c r="F292" s="188"/>
      <c r="G292" s="188"/>
      <c r="H292" s="59"/>
      <c r="I292" s="65"/>
      <c r="J292" s="53"/>
      <c r="K292" s="53"/>
      <c r="L292" s="53"/>
      <c r="M292" s="53"/>
      <c r="N292" s="53"/>
      <c r="O292" s="53"/>
      <c r="P292" s="53"/>
    </row>
    <row r="293">
      <c r="A293" s="28" t="s">
        <v>53</v>
      </c>
      <c r="B293" s="29">
        <v>2015.0</v>
      </c>
      <c r="C293" s="29">
        <v>0.0</v>
      </c>
      <c r="D293" s="29">
        <v>0.0</v>
      </c>
      <c r="E293" s="185">
        <v>22.0</v>
      </c>
      <c r="F293" s="185">
        <v>37.0</v>
      </c>
      <c r="G293" s="189">
        <v>28.96</v>
      </c>
      <c r="H293" s="33">
        <v>25.5</v>
      </c>
      <c r="I293" s="62">
        <v>49.26</v>
      </c>
      <c r="J293" s="55">
        <v>0.729</v>
      </c>
      <c r="K293" s="55">
        <v>449674.7292</v>
      </c>
      <c r="L293" s="55">
        <v>7194.795667</v>
      </c>
      <c r="M293" s="55">
        <v>33275.92996</v>
      </c>
      <c r="N293" s="55">
        <v>970201.2708</v>
      </c>
      <c r="O293" s="55">
        <v>9702.012708</v>
      </c>
      <c r="P293" s="55">
        <v>128066.5677</v>
      </c>
    </row>
    <row r="294">
      <c r="A294" s="41"/>
      <c r="B294" s="29">
        <v>2016.0</v>
      </c>
      <c r="C294" s="29">
        <v>0.0</v>
      </c>
      <c r="D294" s="29">
        <v>0.0</v>
      </c>
      <c r="E294" s="185">
        <v>22.0</v>
      </c>
      <c r="F294" s="185">
        <v>36.0</v>
      </c>
      <c r="G294" s="189">
        <v>29.0</v>
      </c>
      <c r="H294" s="33">
        <v>30.7</v>
      </c>
      <c r="I294" s="62">
        <v>50.83</v>
      </c>
      <c r="J294" s="55">
        <v>0.722</v>
      </c>
      <c r="K294" s="55">
        <v>463690.9211</v>
      </c>
      <c r="L294" s="55">
        <v>7419.054738</v>
      </c>
      <c r="M294" s="55">
        <v>34313.12816</v>
      </c>
      <c r="N294" s="55">
        <v>1000442.079</v>
      </c>
      <c r="O294" s="55">
        <v>10004.42079</v>
      </c>
      <c r="P294" s="55">
        <v>132058.3544</v>
      </c>
    </row>
    <row r="295">
      <c r="A295" s="41"/>
      <c r="B295" s="29">
        <v>2017.0</v>
      </c>
      <c r="C295" s="29">
        <v>0.0</v>
      </c>
      <c r="D295" s="29">
        <v>0.0</v>
      </c>
      <c r="E295" s="185">
        <v>22.0</v>
      </c>
      <c r="F295" s="185">
        <v>36.0</v>
      </c>
      <c r="G295" s="189">
        <v>29.17</v>
      </c>
      <c r="H295" s="33">
        <v>30.1</v>
      </c>
      <c r="I295" s="62">
        <v>36.2</v>
      </c>
      <c r="J295" s="55">
        <v>0.734</v>
      </c>
      <c r="K295" s="55">
        <v>477855.0119</v>
      </c>
      <c r="L295" s="55">
        <v>7645.68019</v>
      </c>
      <c r="M295" s="55">
        <v>35361.27088</v>
      </c>
      <c r="N295" s="55">
        <v>1031001.988</v>
      </c>
      <c r="O295" s="55">
        <v>10310.01988</v>
      </c>
      <c r="P295" s="55">
        <v>136092.2624</v>
      </c>
    </row>
    <row r="296">
      <c r="A296" s="41"/>
      <c r="B296" s="29">
        <v>2018.0</v>
      </c>
      <c r="C296" s="29">
        <v>0.0</v>
      </c>
      <c r="D296" s="29">
        <v>0.0</v>
      </c>
      <c r="E296" s="185">
        <v>21.0</v>
      </c>
      <c r="F296" s="185">
        <v>35.0</v>
      </c>
      <c r="G296" s="189">
        <v>28.96</v>
      </c>
      <c r="H296" s="33">
        <v>29.8</v>
      </c>
      <c r="I296" s="62">
        <v>49.26</v>
      </c>
      <c r="J296" s="55">
        <v>0.736</v>
      </c>
      <c r="K296" s="55">
        <v>492159.7175</v>
      </c>
      <c r="L296" s="55">
        <v>7874.55548</v>
      </c>
      <c r="M296" s="55">
        <v>36419.8191</v>
      </c>
      <c r="N296" s="55">
        <v>1061865.283</v>
      </c>
      <c r="O296" s="55">
        <v>10618.65283</v>
      </c>
      <c r="P296" s="55">
        <v>140166.2173</v>
      </c>
    </row>
    <row r="297">
      <c r="A297" s="41"/>
      <c r="B297" s="29">
        <v>2019.0</v>
      </c>
      <c r="C297" s="29">
        <v>0.0</v>
      </c>
      <c r="D297" s="29">
        <v>0.0</v>
      </c>
      <c r="E297" s="185">
        <v>20.0</v>
      </c>
      <c r="F297" s="185">
        <v>38.0</v>
      </c>
      <c r="G297" s="189">
        <v>28.75</v>
      </c>
      <c r="H297" s="33">
        <v>27.5</v>
      </c>
      <c r="I297" s="62">
        <v>46.54</v>
      </c>
      <c r="J297" s="55">
        <v>0.74</v>
      </c>
      <c r="K297" s="55">
        <v>506598.0705</v>
      </c>
      <c r="L297" s="55">
        <v>8105.569128</v>
      </c>
      <c r="M297" s="55">
        <v>37488.25722</v>
      </c>
      <c r="N297" s="55">
        <v>1093016.93</v>
      </c>
      <c r="O297" s="55">
        <v>10930.1693</v>
      </c>
      <c r="P297" s="55">
        <v>144278.2347</v>
      </c>
    </row>
    <row r="298">
      <c r="A298" s="41"/>
      <c r="B298" s="29">
        <v>2020.0</v>
      </c>
      <c r="C298" s="29">
        <v>1.0</v>
      </c>
      <c r="D298" s="29">
        <v>1.0</v>
      </c>
      <c r="E298" s="185">
        <v>19.0</v>
      </c>
      <c r="F298" s="185">
        <v>39.0</v>
      </c>
      <c r="G298" s="189">
        <v>28.25</v>
      </c>
      <c r="H298" s="33">
        <v>26.1</v>
      </c>
      <c r="I298" s="62">
        <v>47.48</v>
      </c>
      <c r="J298" s="55">
        <f t="shared" ref="J298:J300" si="44">J297+(((J297-J296)+(J296-J295)+(J295-J294)+(J294-J293))/4)</f>
        <v>0.74275</v>
      </c>
      <c r="K298" s="55">
        <v>521162.7868</v>
      </c>
      <c r="L298" s="55">
        <v>8338.604589</v>
      </c>
      <c r="M298" s="55">
        <v>38566.04622</v>
      </c>
      <c r="N298" s="55">
        <v>1124441.213</v>
      </c>
      <c r="O298" s="55">
        <v>11244.41213</v>
      </c>
      <c r="P298" s="55">
        <v>148426.2401</v>
      </c>
    </row>
    <row r="299">
      <c r="A299" s="41"/>
      <c r="B299" s="29">
        <v>2021.0</v>
      </c>
      <c r="C299" s="29">
        <v>1.0</v>
      </c>
      <c r="D299" s="29">
        <v>1.0</v>
      </c>
      <c r="E299" s="185">
        <v>25.33</v>
      </c>
      <c r="F299" s="185">
        <v>30.75</v>
      </c>
      <c r="G299" s="189">
        <v>28.04</v>
      </c>
      <c r="H299" s="59">
        <f>MEDIAN(H293:H298)</f>
        <v>28.65</v>
      </c>
      <c r="I299" s="65">
        <f>I298+(I297-I296)</f>
        <v>44.76</v>
      </c>
      <c r="J299" s="55">
        <f t="shared" si="44"/>
        <v>0.7479375</v>
      </c>
      <c r="K299" s="55">
        <v>535846.5823</v>
      </c>
      <c r="L299" s="55">
        <v>8573.545317</v>
      </c>
      <c r="M299" s="55">
        <v>39652.64709</v>
      </c>
      <c r="N299" s="55">
        <v>1156122.418</v>
      </c>
      <c r="O299" s="55">
        <v>11561.22418</v>
      </c>
      <c r="P299" s="55">
        <v>152608.1591</v>
      </c>
    </row>
    <row r="300">
      <c r="A300" s="41"/>
      <c r="B300" s="22">
        <v>2022.0</v>
      </c>
      <c r="C300" s="29">
        <v>0.0</v>
      </c>
      <c r="D300" s="29">
        <v>0.0</v>
      </c>
      <c r="E300" s="189">
        <v>25.03</v>
      </c>
      <c r="F300" s="189">
        <v>30.75</v>
      </c>
      <c r="G300" s="189">
        <v>27.89</v>
      </c>
      <c r="H300" s="33">
        <v>37.0</v>
      </c>
      <c r="I300" s="52">
        <f>I299+(I299-I298)</f>
        <v>42.04</v>
      </c>
      <c r="J300" s="55">
        <f t="shared" si="44"/>
        <v>0.751421875</v>
      </c>
      <c r="K300" s="55">
        <v>538390.0</v>
      </c>
      <c r="L300" s="55">
        <v>8614.24</v>
      </c>
      <c r="M300" s="55">
        <v>39840.86</v>
      </c>
      <c r="N300" s="55">
        <v>1161610.0</v>
      </c>
      <c r="O300" s="55">
        <v>11616.1</v>
      </c>
      <c r="P300" s="55">
        <v>153332.52</v>
      </c>
    </row>
    <row r="301">
      <c r="A301" s="84"/>
      <c r="B301" s="84"/>
      <c r="C301" s="85"/>
      <c r="D301" s="86" t="s">
        <v>54</v>
      </c>
      <c r="E301" s="191"/>
      <c r="F301" s="191"/>
      <c r="G301" s="191"/>
      <c r="H301" s="88" t="s">
        <v>56</v>
      </c>
      <c r="I301" s="86" t="s">
        <v>57</v>
      </c>
      <c r="J301" s="86" t="s">
        <v>58</v>
      </c>
      <c r="K301" s="192"/>
      <c r="L301" s="89" t="s">
        <v>133</v>
      </c>
    </row>
    <row r="302" ht="30.0" customHeight="1">
      <c r="A302" s="90"/>
      <c r="B302" s="90"/>
      <c r="C302" s="90"/>
      <c r="D302" s="90"/>
      <c r="E302" s="90"/>
      <c r="F302" s="90"/>
      <c r="G302" s="90"/>
      <c r="H302" s="91" t="s">
        <v>60</v>
      </c>
      <c r="I302" s="90"/>
      <c r="J302" s="85"/>
      <c r="K302" s="90"/>
      <c r="L302" s="90"/>
      <c r="M302" s="90"/>
      <c r="N302" s="90"/>
      <c r="O302" s="90"/>
      <c r="P302" s="90"/>
    </row>
    <row r="314">
      <c r="K314" s="92"/>
      <c r="L314" s="93"/>
      <c r="M314" s="94"/>
      <c r="N314" s="93"/>
      <c r="O314" s="93"/>
    </row>
    <row r="315">
      <c r="C315" s="92"/>
      <c r="D315" s="93"/>
      <c r="E315" s="94"/>
      <c r="F315" s="93"/>
      <c r="K315" s="92"/>
      <c r="L315" s="93"/>
      <c r="M315" s="94"/>
      <c r="N315" s="93"/>
      <c r="O315" s="93"/>
    </row>
    <row r="316">
      <c r="C316" s="92"/>
      <c r="D316" s="93"/>
      <c r="E316" s="94"/>
      <c r="F316" s="93"/>
      <c r="K316" s="92"/>
      <c r="L316" s="93"/>
      <c r="M316" s="94"/>
      <c r="N316" s="93"/>
      <c r="O316" s="93"/>
    </row>
    <row r="317">
      <c r="C317" s="92"/>
      <c r="D317" s="93"/>
      <c r="E317" s="94"/>
      <c r="F317" s="93"/>
      <c r="K317" s="92"/>
      <c r="L317" s="93"/>
      <c r="M317" s="94"/>
      <c r="N317" s="93"/>
      <c r="O317" s="93"/>
    </row>
    <row r="318">
      <c r="C318" s="92"/>
      <c r="D318" s="93"/>
      <c r="E318" s="94"/>
      <c r="F318" s="93"/>
      <c r="K318" s="92"/>
      <c r="L318" s="93"/>
      <c r="M318" s="94"/>
      <c r="N318" s="93"/>
      <c r="O318" s="93"/>
    </row>
    <row r="319">
      <c r="C319" s="92"/>
      <c r="D319" s="93"/>
      <c r="E319" s="94"/>
      <c r="F319" s="93"/>
      <c r="K319" s="92"/>
      <c r="L319" s="93"/>
      <c r="M319" s="94"/>
      <c r="N319" s="93"/>
      <c r="O319" s="93"/>
    </row>
    <row r="320">
      <c r="C320" s="92"/>
      <c r="D320" s="93"/>
      <c r="E320" s="94"/>
      <c r="F320" s="93"/>
      <c r="K320" s="92"/>
      <c r="L320" s="93"/>
      <c r="M320" s="94"/>
      <c r="N320" s="93"/>
      <c r="O320" s="93"/>
    </row>
    <row r="321">
      <c r="C321" s="92"/>
      <c r="D321" s="93"/>
      <c r="E321" s="94"/>
      <c r="F321" s="93"/>
    </row>
    <row r="328">
      <c r="K328" s="92"/>
      <c r="L328" s="93"/>
      <c r="M328" s="94"/>
      <c r="N328" s="93"/>
      <c r="O328" s="93"/>
    </row>
    <row r="329">
      <c r="C329" s="92"/>
      <c r="D329" s="93"/>
      <c r="E329" s="94"/>
      <c r="F329" s="93"/>
      <c r="K329" s="92"/>
      <c r="L329" s="93"/>
      <c r="M329" s="94"/>
      <c r="N329" s="93"/>
      <c r="O329" s="93"/>
    </row>
    <row r="330">
      <c r="C330" s="92"/>
      <c r="D330" s="93"/>
      <c r="E330" s="94"/>
      <c r="F330" s="93"/>
      <c r="K330" s="92"/>
      <c r="L330" s="93"/>
      <c r="M330" s="94"/>
      <c r="N330" s="93"/>
      <c r="O330" s="93"/>
    </row>
    <row r="331">
      <c r="C331" s="92"/>
      <c r="D331" s="93"/>
      <c r="E331" s="94"/>
      <c r="F331" s="93"/>
      <c r="K331" s="92"/>
      <c r="L331" s="93"/>
      <c r="M331" s="94"/>
      <c r="N331" s="93"/>
      <c r="O331" s="93"/>
    </row>
    <row r="332">
      <c r="C332" s="92"/>
      <c r="D332" s="93"/>
      <c r="E332" s="94"/>
      <c r="F332" s="93"/>
      <c r="K332" s="92"/>
      <c r="L332" s="93"/>
      <c r="M332" s="94"/>
      <c r="N332" s="93"/>
      <c r="O332" s="93"/>
    </row>
    <row r="333">
      <c r="C333" s="92"/>
      <c r="D333" s="93"/>
      <c r="E333" s="94"/>
      <c r="F333" s="93"/>
      <c r="K333" s="92"/>
      <c r="L333" s="93"/>
      <c r="M333" s="94"/>
      <c r="N333" s="93"/>
      <c r="O333" s="93"/>
    </row>
    <row r="334">
      <c r="C334" s="92"/>
      <c r="D334" s="93"/>
      <c r="E334" s="94"/>
      <c r="F334" s="93"/>
      <c r="K334" s="92"/>
      <c r="L334" s="93"/>
      <c r="M334" s="94"/>
      <c r="N334" s="93"/>
      <c r="O334" s="93"/>
    </row>
    <row r="335">
      <c r="C335" s="92"/>
      <c r="D335" s="93"/>
      <c r="E335" s="94"/>
      <c r="F335" s="93"/>
    </row>
    <row r="339">
      <c r="K339" s="92"/>
      <c r="L339" s="93"/>
      <c r="M339" s="94"/>
      <c r="N339" s="93"/>
      <c r="O339" s="93"/>
    </row>
    <row r="340">
      <c r="K340" s="92"/>
      <c r="L340" s="93"/>
      <c r="M340" s="94"/>
      <c r="N340" s="93"/>
      <c r="O340" s="93"/>
    </row>
    <row r="341">
      <c r="C341" s="92"/>
      <c r="D341" s="93"/>
      <c r="E341" s="94"/>
      <c r="F341" s="93"/>
      <c r="K341" s="92"/>
      <c r="L341" s="93"/>
      <c r="M341" s="94"/>
      <c r="N341" s="93"/>
      <c r="O341" s="93"/>
    </row>
    <row r="342">
      <c r="C342" s="92"/>
      <c r="D342" s="93"/>
      <c r="E342" s="94"/>
      <c r="F342" s="93"/>
      <c r="K342" s="92"/>
      <c r="L342" s="93"/>
      <c r="M342" s="94"/>
      <c r="N342" s="93"/>
      <c r="O342" s="93"/>
    </row>
    <row r="343">
      <c r="C343" s="92"/>
      <c r="D343" s="93"/>
      <c r="E343" s="94"/>
      <c r="F343" s="93"/>
      <c r="K343" s="92"/>
      <c r="L343" s="93"/>
      <c r="M343" s="94"/>
      <c r="N343" s="93"/>
      <c r="O343" s="93"/>
    </row>
    <row r="344">
      <c r="C344" s="92"/>
      <c r="D344" s="93"/>
      <c r="E344" s="94"/>
      <c r="F344" s="93"/>
      <c r="K344" s="92"/>
      <c r="L344" s="93"/>
      <c r="M344" s="94"/>
      <c r="N344" s="93"/>
      <c r="O344" s="93"/>
    </row>
    <row r="345">
      <c r="C345" s="92"/>
      <c r="D345" s="93"/>
      <c r="E345" s="94"/>
      <c r="F345" s="93"/>
      <c r="K345" s="92"/>
      <c r="L345" s="93"/>
      <c r="M345" s="94"/>
      <c r="N345" s="93"/>
      <c r="O345" s="93"/>
    </row>
    <row r="346">
      <c r="C346" s="92"/>
      <c r="D346" s="93"/>
      <c r="E346" s="94"/>
      <c r="F346" s="93"/>
    </row>
    <row r="347">
      <c r="C347" s="92"/>
      <c r="D347" s="93"/>
      <c r="E347" s="94"/>
      <c r="F347" s="93"/>
    </row>
    <row r="352">
      <c r="M352" s="93"/>
      <c r="N352" s="94"/>
      <c r="O352" s="94"/>
    </row>
    <row r="353">
      <c r="C353" s="92"/>
      <c r="D353" s="93"/>
      <c r="E353" s="94"/>
      <c r="F353" s="93"/>
      <c r="M353" s="93"/>
      <c r="N353" s="94"/>
      <c r="O353" s="94"/>
    </row>
    <row r="354">
      <c r="C354" s="92"/>
      <c r="D354" s="93"/>
      <c r="E354" s="94"/>
      <c r="F354" s="93"/>
      <c r="M354" s="93"/>
      <c r="N354" s="94"/>
      <c r="O354" s="94"/>
    </row>
    <row r="355">
      <c r="C355" s="92"/>
      <c r="D355" s="93"/>
      <c r="E355" s="94"/>
      <c r="F355" s="93"/>
      <c r="M355" s="93"/>
      <c r="N355" s="94"/>
      <c r="O355" s="94"/>
    </row>
    <row r="356">
      <c r="C356" s="92"/>
      <c r="D356" s="93"/>
      <c r="E356" s="94"/>
      <c r="F356" s="93"/>
      <c r="M356" s="93"/>
      <c r="N356" s="94"/>
      <c r="O356" s="94"/>
    </row>
    <row r="357">
      <c r="C357" s="92"/>
      <c r="D357" s="93"/>
      <c r="E357" s="94"/>
      <c r="F357" s="93"/>
      <c r="M357" s="93"/>
      <c r="N357" s="94"/>
      <c r="O357" s="94"/>
    </row>
    <row r="358">
      <c r="C358" s="92"/>
      <c r="D358" s="93"/>
      <c r="E358" s="94"/>
      <c r="F358" s="93"/>
      <c r="M358" s="93"/>
      <c r="N358" s="94"/>
      <c r="O358" s="94"/>
    </row>
    <row r="359">
      <c r="C359" s="92"/>
      <c r="D359" s="93"/>
      <c r="E359" s="94"/>
      <c r="F359" s="93"/>
    </row>
    <row r="363">
      <c r="C363" s="92"/>
      <c r="D363" s="93"/>
      <c r="E363" s="94"/>
      <c r="G363" s="93"/>
      <c r="K363" s="92"/>
      <c r="L363" s="93"/>
      <c r="M363" s="94"/>
    </row>
    <row r="364">
      <c r="C364" s="92"/>
      <c r="D364" s="93"/>
      <c r="E364" s="94"/>
      <c r="G364" s="93"/>
      <c r="K364" s="92"/>
      <c r="L364" s="93"/>
      <c r="M364" s="94"/>
    </row>
    <row r="365">
      <c r="C365" s="92"/>
      <c r="D365" s="93"/>
      <c r="E365" s="94"/>
      <c r="G365" s="93"/>
      <c r="K365" s="92"/>
      <c r="L365" s="93"/>
      <c r="M365" s="94"/>
    </row>
    <row r="366">
      <c r="C366" s="92"/>
      <c r="D366" s="93"/>
      <c r="E366" s="94"/>
      <c r="G366" s="93"/>
      <c r="K366" s="92"/>
      <c r="L366" s="93"/>
      <c r="M366" s="94"/>
    </row>
    <row r="367">
      <c r="C367" s="92"/>
      <c r="D367" s="93"/>
      <c r="E367" s="94"/>
      <c r="G367" s="93"/>
      <c r="K367" s="92"/>
      <c r="L367" s="93"/>
      <c r="M367" s="94"/>
    </row>
    <row r="368">
      <c r="C368" s="92"/>
      <c r="D368" s="93"/>
      <c r="E368" s="94"/>
      <c r="G368" s="93"/>
      <c r="K368" s="92"/>
      <c r="L368" s="93"/>
      <c r="M368" s="94"/>
    </row>
    <row r="369">
      <c r="C369" s="92"/>
      <c r="D369" s="93"/>
      <c r="E369" s="94"/>
      <c r="G369" s="93"/>
      <c r="K369" s="92"/>
      <c r="L369" s="93"/>
      <c r="M369" s="94"/>
    </row>
    <row r="374">
      <c r="C374" s="92"/>
      <c r="D374" s="93"/>
      <c r="E374" s="94"/>
      <c r="F374" s="93"/>
      <c r="K374" s="92"/>
      <c r="L374" s="93"/>
      <c r="M374" s="94"/>
      <c r="N374" s="93"/>
      <c r="O374" s="93"/>
    </row>
    <row r="375">
      <c r="C375" s="92"/>
      <c r="D375" s="93"/>
      <c r="E375" s="94"/>
      <c r="F375" s="93"/>
      <c r="K375" s="92"/>
      <c r="L375" s="93"/>
      <c r="M375" s="94"/>
      <c r="N375" s="93"/>
      <c r="O375" s="93"/>
    </row>
    <row r="376">
      <c r="C376" s="92"/>
      <c r="D376" s="93"/>
      <c r="E376" s="94"/>
      <c r="F376" s="93"/>
      <c r="K376" s="92"/>
      <c r="L376" s="93"/>
      <c r="M376" s="94"/>
      <c r="N376" s="93"/>
      <c r="O376" s="93"/>
    </row>
    <row r="377">
      <c r="C377" s="92"/>
      <c r="D377" s="93"/>
      <c r="E377" s="94"/>
      <c r="F377" s="93"/>
      <c r="K377" s="92"/>
      <c r="L377" s="93"/>
      <c r="M377" s="94"/>
      <c r="N377" s="93"/>
      <c r="O377" s="93"/>
    </row>
    <row r="378">
      <c r="C378" s="92"/>
      <c r="D378" s="93"/>
      <c r="E378" s="94"/>
      <c r="F378" s="93"/>
      <c r="K378" s="92"/>
      <c r="L378" s="93"/>
      <c r="M378" s="94"/>
      <c r="N378" s="93"/>
      <c r="O378" s="93"/>
    </row>
    <row r="379">
      <c r="C379" s="92"/>
      <c r="D379" s="93"/>
      <c r="E379" s="94"/>
      <c r="F379" s="93"/>
      <c r="K379" s="92"/>
      <c r="L379" s="93"/>
      <c r="M379" s="94"/>
      <c r="N379" s="93"/>
      <c r="O379" s="93"/>
    </row>
    <row r="380">
      <c r="C380" s="92"/>
      <c r="D380" s="93"/>
      <c r="E380" s="94"/>
      <c r="F380" s="93"/>
      <c r="K380" s="92"/>
      <c r="L380" s="93"/>
      <c r="M380" s="94"/>
      <c r="N380" s="93"/>
      <c r="O380" s="93"/>
    </row>
    <row r="381">
      <c r="C381" s="95"/>
      <c r="D381" s="95"/>
    </row>
    <row r="386">
      <c r="C386" s="92"/>
      <c r="D386" s="93"/>
      <c r="E386" s="94"/>
      <c r="F386" s="96"/>
      <c r="K386" s="92"/>
      <c r="L386" s="93"/>
      <c r="M386" s="94"/>
      <c r="N386" s="97"/>
      <c r="O386" s="97"/>
    </row>
    <row r="387">
      <c r="C387" s="92"/>
      <c r="D387" s="93"/>
      <c r="E387" s="94"/>
      <c r="F387" s="96"/>
      <c r="K387" s="92"/>
      <c r="L387" s="93"/>
      <c r="M387" s="94"/>
      <c r="N387" s="97"/>
      <c r="O387" s="97"/>
    </row>
    <row r="388">
      <c r="C388" s="92"/>
      <c r="D388" s="93"/>
      <c r="E388" s="94"/>
      <c r="F388" s="96"/>
      <c r="K388" s="92"/>
      <c r="L388" s="93"/>
      <c r="M388" s="94"/>
      <c r="N388" s="97"/>
      <c r="O388" s="97"/>
    </row>
    <row r="389">
      <c r="C389" s="92"/>
      <c r="D389" s="93"/>
      <c r="E389" s="94"/>
      <c r="F389" s="96"/>
      <c r="K389" s="92"/>
      <c r="L389" s="93"/>
      <c r="M389" s="94"/>
      <c r="N389" s="97"/>
      <c r="O389" s="97"/>
    </row>
    <row r="390">
      <c r="C390" s="92"/>
      <c r="D390" s="93"/>
      <c r="E390" s="94"/>
      <c r="F390" s="96"/>
      <c r="K390" s="92"/>
      <c r="L390" s="93"/>
      <c r="M390" s="94"/>
      <c r="N390" s="97"/>
      <c r="O390" s="97"/>
    </row>
    <row r="391">
      <c r="C391" s="92"/>
      <c r="D391" s="93"/>
      <c r="E391" s="94"/>
      <c r="F391" s="96"/>
      <c r="K391" s="92"/>
      <c r="L391" s="93"/>
      <c r="M391" s="94"/>
      <c r="N391" s="97"/>
      <c r="O391" s="97"/>
    </row>
    <row r="392">
      <c r="C392" s="92"/>
      <c r="D392" s="93"/>
      <c r="E392" s="94"/>
      <c r="F392" s="96"/>
      <c r="K392" s="92"/>
      <c r="L392" s="93"/>
      <c r="M392" s="94"/>
      <c r="N392" s="97"/>
      <c r="O392" s="97"/>
    </row>
    <row r="393">
      <c r="K393" s="95"/>
      <c r="L393" s="95"/>
    </row>
    <row r="396">
      <c r="C396" s="92"/>
      <c r="D396" s="93"/>
      <c r="E396" s="94"/>
      <c r="F396" s="98"/>
      <c r="G396" s="99"/>
      <c r="H396" s="99"/>
      <c r="I396" s="99"/>
    </row>
    <row r="397">
      <c r="C397" s="92"/>
      <c r="D397" s="93"/>
      <c r="E397" s="94"/>
      <c r="F397" s="98"/>
      <c r="G397" s="99"/>
      <c r="H397" s="99"/>
      <c r="I397" s="99"/>
      <c r="K397" s="92"/>
      <c r="L397" s="93"/>
      <c r="M397" s="94"/>
      <c r="N397" s="93"/>
      <c r="O397" s="93"/>
    </row>
    <row r="398">
      <c r="C398" s="92"/>
      <c r="D398" s="93"/>
      <c r="E398" s="94"/>
      <c r="F398" s="98"/>
      <c r="G398" s="99"/>
      <c r="H398" s="99"/>
      <c r="I398" s="99"/>
      <c r="K398" s="92"/>
      <c r="L398" s="93"/>
      <c r="M398" s="94"/>
      <c r="N398" s="93"/>
      <c r="O398" s="93"/>
    </row>
    <row r="399">
      <c r="C399" s="92"/>
      <c r="D399" s="93"/>
      <c r="E399" s="94"/>
      <c r="F399" s="98"/>
      <c r="G399" s="99"/>
      <c r="H399" s="99"/>
      <c r="I399" s="99"/>
      <c r="K399" s="92"/>
      <c r="L399" s="93"/>
      <c r="M399" s="94"/>
      <c r="N399" s="93"/>
      <c r="O399" s="93"/>
    </row>
    <row r="400">
      <c r="C400" s="92"/>
      <c r="D400" s="93"/>
      <c r="E400" s="94"/>
      <c r="F400" s="98"/>
      <c r="G400" s="99"/>
      <c r="H400" s="99"/>
      <c r="I400" s="99"/>
      <c r="K400" s="92"/>
      <c r="L400" s="93"/>
      <c r="M400" s="94"/>
      <c r="N400" s="93"/>
      <c r="O400" s="93"/>
    </row>
    <row r="401">
      <c r="C401" s="92"/>
      <c r="D401" s="93"/>
      <c r="E401" s="94"/>
      <c r="F401" s="98"/>
      <c r="G401" s="99"/>
      <c r="H401" s="99"/>
      <c r="I401" s="99"/>
      <c r="K401" s="92"/>
      <c r="L401" s="93"/>
      <c r="M401" s="94"/>
      <c r="N401" s="93"/>
      <c r="O401" s="93"/>
    </row>
    <row r="402">
      <c r="C402" s="92"/>
      <c r="D402" s="93"/>
      <c r="E402" s="94"/>
      <c r="F402" s="98"/>
      <c r="G402" s="99"/>
      <c r="H402" s="99"/>
      <c r="I402" s="99"/>
      <c r="K402" s="92"/>
      <c r="L402" s="93"/>
      <c r="M402" s="94"/>
      <c r="N402" s="93"/>
      <c r="O402" s="93"/>
    </row>
    <row r="403">
      <c r="K403" s="92"/>
      <c r="L403" s="93"/>
      <c r="M403" s="94"/>
      <c r="N403" s="93"/>
      <c r="O403" s="93"/>
    </row>
    <row r="404">
      <c r="K404" s="95"/>
      <c r="L404" s="95"/>
    </row>
    <row r="406">
      <c r="C406" s="92"/>
      <c r="D406" s="93"/>
      <c r="E406" s="94"/>
      <c r="F406" s="98"/>
      <c r="G406" s="100"/>
      <c r="H406" s="100"/>
      <c r="I406" s="100"/>
      <c r="K406" s="92"/>
      <c r="L406" s="93"/>
      <c r="M406" s="94"/>
      <c r="N406" s="93"/>
      <c r="O406" s="93"/>
    </row>
    <row r="407">
      <c r="C407" s="92"/>
      <c r="D407" s="93"/>
      <c r="E407" s="94"/>
      <c r="F407" s="98"/>
      <c r="G407" s="100"/>
      <c r="H407" s="100"/>
      <c r="I407" s="100"/>
      <c r="K407" s="92"/>
      <c r="L407" s="93"/>
      <c r="M407" s="94"/>
      <c r="N407" s="93"/>
      <c r="O407" s="93"/>
    </row>
    <row r="408">
      <c r="C408" s="92"/>
      <c r="D408" s="93"/>
      <c r="E408" s="94"/>
      <c r="F408" s="98"/>
      <c r="G408" s="100"/>
      <c r="H408" s="100"/>
      <c r="I408" s="100"/>
      <c r="K408" s="92"/>
      <c r="L408" s="93"/>
      <c r="M408" s="94"/>
      <c r="N408" s="93"/>
      <c r="O408" s="93"/>
    </row>
    <row r="409">
      <c r="C409" s="92"/>
      <c r="D409" s="93"/>
      <c r="E409" s="94"/>
      <c r="F409" s="98"/>
      <c r="G409" s="100"/>
      <c r="H409" s="100"/>
      <c r="I409" s="100"/>
      <c r="K409" s="92"/>
      <c r="L409" s="93"/>
      <c r="M409" s="94"/>
      <c r="N409" s="93"/>
      <c r="O409" s="93"/>
    </row>
    <row r="410">
      <c r="C410" s="92"/>
      <c r="D410" s="93"/>
      <c r="E410" s="94"/>
      <c r="F410" s="98"/>
      <c r="G410" s="100"/>
      <c r="H410" s="100"/>
      <c r="I410" s="100"/>
      <c r="K410" s="92"/>
      <c r="L410" s="93"/>
      <c r="M410" s="94"/>
      <c r="N410" s="93"/>
      <c r="O410" s="93"/>
    </row>
    <row r="411">
      <c r="C411" s="92"/>
      <c r="D411" s="93"/>
      <c r="E411" s="94"/>
      <c r="F411" s="98"/>
      <c r="G411" s="100"/>
      <c r="H411" s="100"/>
      <c r="I411" s="100"/>
      <c r="K411" s="92"/>
      <c r="L411" s="93"/>
      <c r="M411" s="94"/>
      <c r="N411" s="93"/>
      <c r="O411" s="93"/>
    </row>
    <row r="412">
      <c r="C412" s="92"/>
      <c r="D412" s="93"/>
      <c r="E412" s="94"/>
      <c r="F412" s="98"/>
      <c r="G412" s="100"/>
      <c r="H412" s="100"/>
      <c r="I412" s="100"/>
      <c r="K412" s="92"/>
      <c r="L412" s="93"/>
      <c r="M412" s="94"/>
      <c r="N412" s="93"/>
      <c r="O412" s="93"/>
    </row>
    <row r="416">
      <c r="C416" s="92"/>
      <c r="D416" s="93"/>
      <c r="E416" s="94"/>
      <c r="F416" s="93"/>
      <c r="K416" s="92"/>
      <c r="L416" s="93"/>
      <c r="M416" s="94"/>
      <c r="N416" s="93"/>
      <c r="O416" s="93"/>
    </row>
    <row r="417">
      <c r="C417" s="92"/>
      <c r="D417" s="93"/>
      <c r="E417" s="94"/>
      <c r="F417" s="93"/>
      <c r="K417" s="92"/>
      <c r="L417" s="93"/>
      <c r="M417" s="94"/>
      <c r="N417" s="93"/>
      <c r="O417" s="93"/>
    </row>
    <row r="418">
      <c r="C418" s="92"/>
      <c r="D418" s="93"/>
      <c r="E418" s="94"/>
      <c r="F418" s="93"/>
      <c r="K418" s="92"/>
      <c r="L418" s="93"/>
      <c r="M418" s="94"/>
      <c r="N418" s="93"/>
      <c r="O418" s="93"/>
    </row>
    <row r="419">
      <c r="C419" s="92"/>
      <c r="D419" s="93"/>
      <c r="E419" s="94"/>
      <c r="F419" s="93"/>
      <c r="K419" s="92"/>
      <c r="L419" s="93"/>
      <c r="M419" s="94"/>
      <c r="N419" s="93"/>
      <c r="O419" s="93"/>
    </row>
    <row r="420">
      <c r="C420" s="92"/>
      <c r="D420" s="93"/>
      <c r="E420" s="94"/>
      <c r="F420" s="93"/>
      <c r="K420" s="92"/>
      <c r="L420" s="93"/>
      <c r="M420" s="94"/>
      <c r="N420" s="93"/>
      <c r="O420" s="93"/>
    </row>
    <row r="421">
      <c r="C421" s="92"/>
      <c r="D421" s="93"/>
      <c r="E421" s="94"/>
      <c r="F421" s="93"/>
      <c r="K421" s="92"/>
      <c r="L421" s="93"/>
      <c r="M421" s="94"/>
      <c r="N421" s="93"/>
      <c r="O421" s="93"/>
    </row>
    <row r="422">
      <c r="C422" s="92"/>
      <c r="D422" s="93"/>
      <c r="E422" s="94"/>
      <c r="F422" s="93"/>
      <c r="K422" s="92"/>
      <c r="L422" s="93"/>
      <c r="M422" s="94"/>
      <c r="N422" s="93"/>
      <c r="O422" s="93"/>
    </row>
    <row r="426">
      <c r="C426" s="92"/>
      <c r="D426" s="93"/>
      <c r="E426" s="94"/>
      <c r="F426" s="93"/>
      <c r="K426" s="92"/>
      <c r="L426" s="93"/>
      <c r="M426" s="94"/>
      <c r="N426" s="93"/>
      <c r="O426" s="93"/>
    </row>
    <row r="427">
      <c r="C427" s="92"/>
      <c r="D427" s="93"/>
      <c r="E427" s="94"/>
      <c r="F427" s="93"/>
      <c r="K427" s="92"/>
      <c r="L427" s="93"/>
      <c r="M427" s="94"/>
      <c r="N427" s="93"/>
      <c r="O427" s="93"/>
    </row>
    <row r="428">
      <c r="C428" s="92"/>
      <c r="D428" s="93"/>
      <c r="E428" s="94"/>
      <c r="F428" s="93"/>
      <c r="K428" s="92"/>
      <c r="L428" s="93"/>
      <c r="M428" s="94"/>
      <c r="N428" s="93"/>
      <c r="O428" s="93"/>
    </row>
    <row r="429">
      <c r="C429" s="92"/>
      <c r="D429" s="93"/>
      <c r="E429" s="94"/>
      <c r="F429" s="93"/>
      <c r="K429" s="92"/>
      <c r="L429" s="93"/>
      <c r="M429" s="94"/>
      <c r="N429" s="93"/>
      <c r="O429" s="93"/>
    </row>
    <row r="430">
      <c r="C430" s="92"/>
      <c r="D430" s="93"/>
      <c r="E430" s="94"/>
      <c r="F430" s="93"/>
      <c r="K430" s="92"/>
      <c r="L430" s="93"/>
      <c r="M430" s="94"/>
      <c r="N430" s="93"/>
      <c r="O430" s="93"/>
    </row>
    <row r="431">
      <c r="C431" s="92"/>
      <c r="D431" s="93"/>
      <c r="E431" s="94"/>
      <c r="F431" s="93"/>
      <c r="K431" s="92"/>
      <c r="L431" s="93"/>
      <c r="M431" s="94"/>
      <c r="N431" s="93"/>
      <c r="O431" s="93"/>
    </row>
    <row r="432">
      <c r="C432" s="92"/>
      <c r="D432" s="93"/>
      <c r="E432" s="94"/>
      <c r="F432" s="93"/>
      <c r="K432" s="92"/>
      <c r="L432" s="93"/>
      <c r="M432" s="94"/>
      <c r="N432" s="93"/>
      <c r="O432" s="93"/>
    </row>
    <row r="437">
      <c r="C437" s="92"/>
      <c r="D437" s="93"/>
      <c r="E437" s="94"/>
      <c r="F437" s="93"/>
      <c r="K437" s="92"/>
      <c r="L437" s="93"/>
      <c r="M437" s="94"/>
      <c r="N437" s="93"/>
      <c r="O437" s="93"/>
    </row>
    <row r="438">
      <c r="C438" s="92"/>
      <c r="D438" s="93"/>
      <c r="E438" s="94"/>
      <c r="F438" s="93"/>
      <c r="K438" s="92"/>
      <c r="L438" s="93"/>
      <c r="M438" s="94"/>
      <c r="N438" s="93"/>
      <c r="O438" s="93"/>
    </row>
    <row r="439">
      <c r="C439" s="92"/>
      <c r="D439" s="93"/>
      <c r="E439" s="94"/>
      <c r="F439" s="93"/>
      <c r="K439" s="92"/>
      <c r="L439" s="93"/>
      <c r="M439" s="94"/>
      <c r="N439" s="93"/>
      <c r="O439" s="93"/>
    </row>
    <row r="440">
      <c r="C440" s="92"/>
      <c r="D440" s="93"/>
      <c r="E440" s="94"/>
      <c r="F440" s="93"/>
      <c r="K440" s="92"/>
      <c r="L440" s="93"/>
      <c r="M440" s="94"/>
      <c r="N440" s="93"/>
      <c r="O440" s="93"/>
    </row>
    <row r="441">
      <c r="C441" s="92"/>
      <c r="D441" s="93"/>
      <c r="E441" s="94"/>
      <c r="F441" s="93"/>
      <c r="K441" s="92"/>
      <c r="L441" s="93"/>
      <c r="M441" s="94"/>
      <c r="N441" s="93"/>
      <c r="O441" s="93"/>
    </row>
    <row r="442">
      <c r="C442" s="92"/>
      <c r="D442" s="93"/>
      <c r="E442" s="94"/>
      <c r="F442" s="93"/>
      <c r="K442" s="92"/>
      <c r="L442" s="93"/>
      <c r="M442" s="94"/>
      <c r="N442" s="93"/>
      <c r="O442" s="93"/>
    </row>
    <row r="443">
      <c r="C443" s="92"/>
      <c r="D443" s="93"/>
      <c r="E443" s="94"/>
      <c r="F443" s="93"/>
      <c r="K443" s="92"/>
      <c r="L443" s="93"/>
      <c r="M443" s="94"/>
      <c r="N443" s="93"/>
      <c r="O443" s="93"/>
    </row>
    <row r="447">
      <c r="C447" s="92"/>
      <c r="D447" s="93"/>
      <c r="E447" s="94"/>
      <c r="F447" s="93"/>
      <c r="K447" s="92"/>
      <c r="L447" s="93"/>
      <c r="M447" s="94"/>
      <c r="N447" s="93"/>
      <c r="O447" s="93"/>
    </row>
    <row r="448">
      <c r="C448" s="92"/>
      <c r="D448" s="93"/>
      <c r="E448" s="94"/>
      <c r="F448" s="93"/>
      <c r="K448" s="92"/>
      <c r="L448" s="93"/>
      <c r="M448" s="94"/>
      <c r="N448" s="93"/>
      <c r="O448" s="93"/>
    </row>
    <row r="449">
      <c r="C449" s="92"/>
      <c r="D449" s="93"/>
      <c r="E449" s="94"/>
      <c r="F449" s="93"/>
      <c r="K449" s="92"/>
      <c r="L449" s="93"/>
      <c r="M449" s="94"/>
      <c r="N449" s="93"/>
      <c r="O449" s="93"/>
    </row>
    <row r="450">
      <c r="C450" s="92"/>
      <c r="D450" s="93"/>
      <c r="E450" s="94"/>
      <c r="F450" s="93"/>
      <c r="K450" s="92"/>
      <c r="L450" s="93"/>
      <c r="M450" s="94"/>
      <c r="N450" s="93"/>
      <c r="O450" s="93"/>
    </row>
    <row r="451">
      <c r="C451" s="92"/>
      <c r="D451" s="93"/>
      <c r="E451" s="94"/>
      <c r="F451" s="93"/>
      <c r="K451" s="92"/>
      <c r="L451" s="93"/>
      <c r="M451" s="94"/>
      <c r="N451" s="93"/>
      <c r="O451" s="93"/>
    </row>
    <row r="452">
      <c r="C452" s="92"/>
      <c r="D452" s="93"/>
      <c r="E452" s="94"/>
      <c r="F452" s="93"/>
      <c r="K452" s="92"/>
      <c r="L452" s="93"/>
      <c r="M452" s="94"/>
      <c r="N452" s="93"/>
      <c r="O452" s="93"/>
    </row>
    <row r="453">
      <c r="C453" s="92"/>
      <c r="D453" s="93"/>
      <c r="E453" s="94"/>
      <c r="F453" s="93"/>
      <c r="K453" s="92"/>
      <c r="L453" s="93"/>
      <c r="M453" s="94"/>
      <c r="N453" s="93"/>
      <c r="O453" s="93"/>
    </row>
    <row r="457">
      <c r="C457" s="92"/>
      <c r="D457" s="93"/>
      <c r="E457" s="94"/>
      <c r="F457" s="93"/>
      <c r="K457" s="92"/>
      <c r="L457" s="93"/>
      <c r="M457" s="94"/>
      <c r="N457" s="93"/>
      <c r="O457" s="93"/>
    </row>
    <row r="458">
      <c r="C458" s="92"/>
      <c r="D458" s="93"/>
      <c r="E458" s="94"/>
      <c r="F458" s="93"/>
      <c r="K458" s="92"/>
      <c r="L458" s="93"/>
      <c r="M458" s="94"/>
      <c r="N458" s="93"/>
      <c r="O458" s="93"/>
    </row>
    <row r="459">
      <c r="C459" s="92"/>
      <c r="D459" s="93"/>
      <c r="E459" s="94"/>
      <c r="F459" s="93"/>
      <c r="K459" s="92"/>
      <c r="L459" s="93"/>
      <c r="M459" s="94"/>
      <c r="N459" s="93"/>
      <c r="O459" s="93"/>
    </row>
    <row r="460">
      <c r="C460" s="92"/>
      <c r="D460" s="93"/>
      <c r="E460" s="94"/>
      <c r="F460" s="93"/>
      <c r="K460" s="92"/>
      <c r="L460" s="93"/>
      <c r="M460" s="94"/>
      <c r="N460" s="93"/>
      <c r="O460" s="93"/>
    </row>
    <row r="461">
      <c r="C461" s="92"/>
      <c r="D461" s="93"/>
      <c r="E461" s="94"/>
      <c r="F461" s="93"/>
      <c r="K461" s="92"/>
      <c r="L461" s="93"/>
      <c r="M461" s="94"/>
      <c r="N461" s="93"/>
      <c r="O461" s="93"/>
    </row>
    <row r="462">
      <c r="C462" s="92"/>
      <c r="D462" s="93"/>
      <c r="E462" s="94"/>
      <c r="F462" s="93"/>
      <c r="K462" s="92"/>
      <c r="L462" s="93"/>
      <c r="M462" s="94"/>
      <c r="N462" s="93"/>
      <c r="O462" s="93"/>
    </row>
    <row r="463">
      <c r="C463" s="92"/>
      <c r="D463" s="93"/>
      <c r="E463" s="94"/>
      <c r="F463" s="93"/>
      <c r="K463" s="92"/>
      <c r="L463" s="93"/>
      <c r="M463" s="94"/>
      <c r="N463" s="93"/>
      <c r="O463" s="93"/>
    </row>
    <row r="467">
      <c r="C467" s="92"/>
      <c r="D467" s="93"/>
      <c r="E467" s="94"/>
      <c r="F467" s="93"/>
    </row>
    <row r="468">
      <c r="C468" s="92"/>
      <c r="D468" s="93"/>
      <c r="E468" s="94"/>
      <c r="F468" s="93"/>
      <c r="K468" s="92"/>
      <c r="L468" s="93"/>
      <c r="M468" s="94"/>
      <c r="N468" s="93"/>
      <c r="O468" s="93"/>
    </row>
    <row r="469">
      <c r="C469" s="92"/>
      <c r="D469" s="93"/>
      <c r="E469" s="94"/>
      <c r="F469" s="93"/>
      <c r="K469" s="92"/>
      <c r="L469" s="93"/>
      <c r="M469" s="94"/>
      <c r="N469" s="93"/>
      <c r="O469" s="93"/>
    </row>
    <row r="470">
      <c r="C470" s="92"/>
      <c r="D470" s="93"/>
      <c r="E470" s="94"/>
      <c r="F470" s="93"/>
      <c r="K470" s="92"/>
      <c r="L470" s="93"/>
      <c r="M470" s="94"/>
      <c r="N470" s="93"/>
      <c r="O470" s="93"/>
    </row>
    <row r="471">
      <c r="C471" s="92"/>
      <c r="D471" s="93"/>
      <c r="E471" s="94"/>
      <c r="F471" s="93"/>
      <c r="K471" s="92"/>
      <c r="L471" s="93"/>
      <c r="M471" s="94"/>
      <c r="N471" s="93"/>
      <c r="O471" s="93"/>
    </row>
    <row r="472">
      <c r="C472" s="92"/>
      <c r="D472" s="93"/>
      <c r="E472" s="94"/>
      <c r="F472" s="93"/>
      <c r="K472" s="92"/>
      <c r="L472" s="93"/>
      <c r="M472" s="94"/>
      <c r="N472" s="93"/>
      <c r="O472" s="93"/>
    </row>
    <row r="473">
      <c r="C473" s="92"/>
      <c r="D473" s="93"/>
      <c r="E473" s="94"/>
      <c r="F473" s="93"/>
      <c r="K473" s="92"/>
      <c r="L473" s="93"/>
      <c r="M473" s="94"/>
      <c r="N473" s="93"/>
      <c r="O473" s="93"/>
    </row>
    <row r="474">
      <c r="K474" s="92"/>
      <c r="L474" s="93"/>
      <c r="M474" s="94"/>
      <c r="N474" s="93"/>
      <c r="O474" s="93"/>
    </row>
    <row r="475">
      <c r="K475" s="95"/>
      <c r="L475" s="95"/>
    </row>
    <row r="478">
      <c r="K478" s="92"/>
      <c r="L478" s="93"/>
      <c r="M478" s="94"/>
      <c r="N478" s="93"/>
      <c r="O478" s="93"/>
    </row>
    <row r="479">
      <c r="C479" s="92"/>
      <c r="D479" s="93"/>
      <c r="E479" s="94"/>
      <c r="F479" s="93"/>
      <c r="K479" s="92"/>
      <c r="L479" s="93"/>
      <c r="M479" s="94"/>
      <c r="N479" s="93"/>
      <c r="O479" s="93"/>
    </row>
    <row r="480">
      <c r="C480" s="92"/>
      <c r="D480" s="93"/>
      <c r="E480" s="94"/>
      <c r="F480" s="93"/>
      <c r="K480" s="92"/>
      <c r="L480" s="93"/>
      <c r="M480" s="94"/>
      <c r="N480" s="93"/>
      <c r="O480" s="93"/>
    </row>
    <row r="481">
      <c r="C481" s="92"/>
      <c r="D481" s="93"/>
      <c r="E481" s="94"/>
      <c r="F481" s="93"/>
      <c r="K481" s="92"/>
      <c r="L481" s="93"/>
      <c r="M481" s="94"/>
      <c r="N481" s="93"/>
      <c r="O481" s="93"/>
    </row>
    <row r="482">
      <c r="C482" s="92"/>
      <c r="D482" s="93"/>
      <c r="E482" s="94"/>
      <c r="F482" s="93"/>
      <c r="K482" s="92"/>
      <c r="L482" s="93"/>
      <c r="M482" s="94"/>
      <c r="N482" s="93"/>
      <c r="O482" s="93"/>
    </row>
    <row r="483">
      <c r="C483" s="92"/>
      <c r="D483" s="93"/>
      <c r="E483" s="94"/>
      <c r="F483" s="93"/>
      <c r="K483" s="92"/>
      <c r="L483" s="93"/>
      <c r="M483" s="94"/>
      <c r="N483" s="93"/>
      <c r="O483" s="93"/>
    </row>
    <row r="484">
      <c r="C484" s="92"/>
      <c r="D484" s="93"/>
      <c r="E484" s="94"/>
      <c r="F484" s="93"/>
      <c r="K484" s="92"/>
      <c r="L484" s="93"/>
      <c r="M484" s="94"/>
      <c r="N484" s="93"/>
      <c r="O484" s="93"/>
    </row>
    <row r="485">
      <c r="C485" s="92"/>
      <c r="D485" s="93"/>
      <c r="E485" s="94"/>
      <c r="F485" s="93"/>
    </row>
    <row r="486">
      <c r="C486" s="95"/>
      <c r="D486" s="95"/>
    </row>
    <row r="489">
      <c r="C489" s="92"/>
      <c r="D489" s="93"/>
      <c r="E489" s="94"/>
    </row>
    <row r="490">
      <c r="C490" s="92"/>
      <c r="D490" s="93"/>
      <c r="E490" s="94"/>
      <c r="K490" s="92"/>
      <c r="L490" s="93"/>
      <c r="M490" s="94"/>
    </row>
    <row r="491">
      <c r="C491" s="92"/>
      <c r="D491" s="93"/>
      <c r="E491" s="94"/>
      <c r="K491" s="92"/>
      <c r="L491" s="93"/>
      <c r="M491" s="94"/>
    </row>
    <row r="492">
      <c r="C492" s="92"/>
      <c r="D492" s="93"/>
      <c r="E492" s="94"/>
      <c r="K492" s="92"/>
      <c r="L492" s="93"/>
      <c r="M492" s="94"/>
    </row>
    <row r="493">
      <c r="C493" s="92"/>
      <c r="D493" s="93"/>
      <c r="E493" s="94"/>
      <c r="K493" s="92"/>
      <c r="L493" s="93"/>
      <c r="M493" s="94"/>
    </row>
    <row r="494">
      <c r="C494" s="92"/>
      <c r="D494" s="93"/>
      <c r="E494" s="94"/>
      <c r="K494" s="92"/>
      <c r="L494" s="93"/>
      <c r="M494" s="94"/>
    </row>
    <row r="495">
      <c r="C495" s="92"/>
      <c r="D495" s="93"/>
      <c r="E495" s="94"/>
      <c r="K495" s="92"/>
      <c r="L495" s="93"/>
      <c r="M495" s="94"/>
    </row>
    <row r="496">
      <c r="K496" s="92"/>
      <c r="L496" s="93"/>
      <c r="M496" s="94"/>
    </row>
    <row r="498">
      <c r="E498" s="93"/>
    </row>
    <row r="499">
      <c r="E499" s="93"/>
    </row>
    <row r="500">
      <c r="E500" s="93"/>
    </row>
    <row r="501">
      <c r="E501" s="93"/>
    </row>
    <row r="502">
      <c r="E502" s="93"/>
    </row>
    <row r="503">
      <c r="E503" s="93"/>
    </row>
    <row r="504">
      <c r="E504" s="93"/>
    </row>
  </sheetData>
  <mergeCells count="8">
    <mergeCell ref="D1:G1"/>
    <mergeCell ref="I1:J1"/>
    <mergeCell ref="E2:G2"/>
    <mergeCell ref="K2:L2"/>
    <mergeCell ref="M2:P2"/>
    <mergeCell ref="L3:M3"/>
    <mergeCell ref="O3:P3"/>
    <mergeCell ref="L301:P301"/>
  </mergeCells>
  <hyperlinks>
    <hyperlink r:id="rId1" ref="M2"/>
    <hyperlink r:id="rId2" ref="D301"/>
    <hyperlink r:id="rId3" ref="H301"/>
    <hyperlink r:id="rId4" ref="I301"/>
    <hyperlink r:id="rId5" ref="J301"/>
    <hyperlink r:id="rId6" ref="L301"/>
    <hyperlink r:id="rId7" ref="H302"/>
  </hyperlinks>
  <drawing r:id="rId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2"/>
      <c r="D1" s="3" t="s">
        <v>0</v>
      </c>
      <c r="E1" s="4"/>
      <c r="F1" s="4"/>
      <c r="G1" s="5"/>
      <c r="H1" s="6" t="s">
        <v>1</v>
      </c>
      <c r="I1" s="7" t="s">
        <v>2</v>
      </c>
      <c r="J1" s="5"/>
      <c r="K1" s="8"/>
      <c r="L1" s="8"/>
      <c r="M1" s="9"/>
      <c r="N1" s="9"/>
      <c r="O1" s="9"/>
      <c r="P1" s="10"/>
    </row>
    <row r="2">
      <c r="A2" s="13" t="s">
        <v>3</v>
      </c>
      <c r="B2" s="13" t="s">
        <v>4</v>
      </c>
      <c r="C2" s="14" t="s">
        <v>5</v>
      </c>
      <c r="D2" s="14" t="s">
        <v>6</v>
      </c>
      <c r="E2" s="15" t="s">
        <v>7</v>
      </c>
      <c r="F2" s="4"/>
      <c r="G2" s="5"/>
      <c r="H2" s="16" t="s">
        <v>8</v>
      </c>
      <c r="I2" s="17" t="s">
        <v>9</v>
      </c>
      <c r="J2" s="17" t="s">
        <v>10</v>
      </c>
      <c r="K2" s="18" t="s">
        <v>11</v>
      </c>
      <c r="L2" s="5"/>
      <c r="M2" s="19" t="s">
        <v>134</v>
      </c>
      <c r="N2" s="4"/>
      <c r="O2" s="4"/>
      <c r="P2" s="5"/>
    </row>
    <row r="3">
      <c r="A3" s="22"/>
      <c r="B3" s="22"/>
      <c r="C3" s="23"/>
      <c r="D3" s="23"/>
      <c r="E3" s="24"/>
      <c r="F3" s="25"/>
      <c r="G3" s="25"/>
      <c r="H3" s="22"/>
      <c r="I3" s="26"/>
      <c r="J3" s="22"/>
      <c r="K3" s="22"/>
      <c r="L3" s="27" t="s">
        <v>13</v>
      </c>
      <c r="M3" s="5"/>
      <c r="N3" s="22"/>
      <c r="O3" s="27" t="s">
        <v>14</v>
      </c>
      <c r="P3" s="5"/>
    </row>
    <row r="4">
      <c r="A4" s="22"/>
      <c r="B4" s="22"/>
      <c r="C4" s="23"/>
      <c r="D4" s="23"/>
      <c r="E4" s="24" t="s">
        <v>15</v>
      </c>
      <c r="F4" s="25" t="s">
        <v>16</v>
      </c>
      <c r="G4" s="25" t="s">
        <v>17</v>
      </c>
      <c r="H4" s="22" t="s">
        <v>18</v>
      </c>
      <c r="I4" s="26"/>
      <c r="J4" s="22"/>
      <c r="K4" s="22" t="s">
        <v>19</v>
      </c>
      <c r="L4" s="22" t="s">
        <v>15</v>
      </c>
      <c r="M4" s="22" t="s">
        <v>16</v>
      </c>
      <c r="N4" s="22" t="s">
        <v>20</v>
      </c>
      <c r="O4" s="22" t="s">
        <v>15</v>
      </c>
      <c r="P4" s="22" t="s">
        <v>16</v>
      </c>
    </row>
    <row r="5">
      <c r="A5" s="28" t="s">
        <v>21</v>
      </c>
      <c r="B5" s="29">
        <v>2015.0</v>
      </c>
      <c r="C5" s="29">
        <v>1.0</v>
      </c>
      <c r="D5" s="29">
        <v>2.0</v>
      </c>
      <c r="E5" s="30">
        <v>22.33333333</v>
      </c>
      <c r="F5" s="31">
        <v>31.41666667</v>
      </c>
      <c r="G5" s="32">
        <v>26.87</v>
      </c>
      <c r="H5" s="33">
        <v>28.6</v>
      </c>
      <c r="I5" s="34">
        <v>57.75</v>
      </c>
      <c r="J5" s="35">
        <v>0.627</v>
      </c>
      <c r="K5" s="36">
        <v>3.3951434778E7</v>
      </c>
      <c r="L5" s="37">
        <v>541266.571</v>
      </c>
      <c r="M5" s="38">
        <v>2503357.892</v>
      </c>
      <c r="N5" s="39">
        <v>1.6996096402E7</v>
      </c>
      <c r="O5" s="39">
        <v>169960.964</v>
      </c>
      <c r="P5" s="39">
        <v>2243484.725</v>
      </c>
    </row>
    <row r="6">
      <c r="A6" s="41"/>
      <c r="B6" s="29">
        <v>2016.0</v>
      </c>
      <c r="C6" s="29">
        <v>1.0</v>
      </c>
      <c r="D6" s="29">
        <v>2.0</v>
      </c>
      <c r="E6" s="31">
        <v>22.33333333</v>
      </c>
      <c r="F6" s="31">
        <v>31.5</v>
      </c>
      <c r="G6" s="32">
        <f t="shared" ref="G6:G11" si="1">AVERAGE(E6:F6)</f>
        <v>26.91666667</v>
      </c>
      <c r="H6" s="33">
        <v>28.9</v>
      </c>
      <c r="I6" s="34">
        <v>60.16</v>
      </c>
      <c r="J6" s="35">
        <v>0.633</v>
      </c>
      <c r="K6" s="36">
        <v>3.4257976286E7</v>
      </c>
      <c r="L6" s="42">
        <v>546153.572</v>
      </c>
      <c r="M6" s="38">
        <v>2525960.268</v>
      </c>
      <c r="N6" s="39">
        <v>1.7149551154E7</v>
      </c>
      <c r="O6" s="39">
        <v>171495.512</v>
      </c>
      <c r="P6" s="39">
        <v>2263740.752</v>
      </c>
    </row>
    <row r="7">
      <c r="A7" s="41"/>
      <c r="B7" s="29">
        <v>2017.0</v>
      </c>
      <c r="C7" s="29">
        <v>1.0</v>
      </c>
      <c r="D7" s="29">
        <v>1.0</v>
      </c>
      <c r="E7" s="43">
        <v>23.25</v>
      </c>
      <c r="F7" s="31">
        <v>31.66666667</v>
      </c>
      <c r="G7" s="32">
        <f t="shared" si="1"/>
        <v>27.45833334</v>
      </c>
      <c r="H7" s="33">
        <v>31.9</v>
      </c>
      <c r="I7" s="34">
        <v>65.13</v>
      </c>
      <c r="J7" s="35">
        <v>0.644</v>
      </c>
      <c r="K7" s="36">
        <v>3.4561099095E7</v>
      </c>
      <c r="L7" s="42">
        <v>550986.07</v>
      </c>
      <c r="M7" s="38">
        <v>2548310.572</v>
      </c>
      <c r="N7" s="39">
        <v>1.7301294505E7</v>
      </c>
      <c r="O7" s="39">
        <v>173012.945</v>
      </c>
      <c r="P7" s="39">
        <v>2283770.875</v>
      </c>
    </row>
    <row r="8">
      <c r="A8" s="41"/>
      <c r="B8" s="29">
        <v>2018.0</v>
      </c>
      <c r="C8" s="29">
        <v>0.0</v>
      </c>
      <c r="D8" s="29">
        <v>0.0</v>
      </c>
      <c r="E8" s="31">
        <v>24.91666667</v>
      </c>
      <c r="F8" s="43">
        <v>36.7</v>
      </c>
      <c r="G8" s="32">
        <f t="shared" si="1"/>
        <v>30.80833334</v>
      </c>
      <c r="H8" s="33">
        <v>31.8</v>
      </c>
      <c r="I8" s="34">
        <v>64.17</v>
      </c>
      <c r="J8" s="35">
        <v>0.646</v>
      </c>
      <c r="K8" s="36">
        <v>3.4860787745E7</v>
      </c>
      <c r="L8" s="42">
        <v>555763.819</v>
      </c>
      <c r="M8" s="38">
        <v>2570407.663</v>
      </c>
      <c r="N8" s="39">
        <v>1.7451318715E7</v>
      </c>
      <c r="O8" s="39">
        <v>174513.187</v>
      </c>
      <c r="P8" s="39">
        <v>2303574.07</v>
      </c>
    </row>
    <row r="9">
      <c r="A9" s="41"/>
      <c r="B9" s="29">
        <v>2019.0</v>
      </c>
      <c r="C9" s="29">
        <v>1.0</v>
      </c>
      <c r="D9" s="29">
        <v>1.0</v>
      </c>
      <c r="E9" s="31">
        <v>24.0</v>
      </c>
      <c r="F9" s="31">
        <v>32.5</v>
      </c>
      <c r="G9" s="32">
        <f t="shared" si="1"/>
        <v>28.25</v>
      </c>
      <c r="H9" s="33">
        <v>29.0</v>
      </c>
      <c r="I9" s="34">
        <v>68.88</v>
      </c>
      <c r="J9" s="35">
        <v>0.649</v>
      </c>
      <c r="K9" s="36">
        <v>3.5157029867E7</v>
      </c>
      <c r="L9" s="42">
        <v>560486.623</v>
      </c>
      <c r="M9" s="38">
        <v>2592250.63</v>
      </c>
      <c r="N9" s="39">
        <v>1.7599617593E7</v>
      </c>
      <c r="O9" s="39">
        <v>175996.176</v>
      </c>
      <c r="P9" s="39">
        <v>2323149.522</v>
      </c>
    </row>
    <row r="10">
      <c r="A10" s="41"/>
      <c r="B10" s="29">
        <v>2020.0</v>
      </c>
      <c r="C10" s="29">
        <v>1.0</v>
      </c>
      <c r="D10" s="29">
        <v>4.0</v>
      </c>
      <c r="E10" s="31">
        <v>22.66666667</v>
      </c>
      <c r="F10" s="31">
        <v>29.91666667</v>
      </c>
      <c r="G10" s="32">
        <f t="shared" si="1"/>
        <v>26.29166667</v>
      </c>
      <c r="H10" s="33">
        <v>29.4</v>
      </c>
      <c r="I10" s="45">
        <v>69.95</v>
      </c>
      <c r="J10" s="35">
        <f>J9+((J9-J8)+(J8-J7)+(J7-J6)+(J6-J5))/4</f>
        <v>0.6545</v>
      </c>
      <c r="K10" s="36">
        <v>3.5449813867E7</v>
      </c>
      <c r="L10" s="42">
        <v>565154.296</v>
      </c>
      <c r="M10" s="38">
        <v>2613838.617</v>
      </c>
      <c r="N10" s="39">
        <v>1.7746185333E7</v>
      </c>
      <c r="O10" s="39">
        <v>177461.853</v>
      </c>
      <c r="P10" s="39">
        <v>2342496.464</v>
      </c>
    </row>
    <row r="11">
      <c r="A11" s="41"/>
      <c r="B11" s="29">
        <v>2021.0</v>
      </c>
      <c r="C11" s="29">
        <v>1.0</v>
      </c>
      <c r="D11" s="29">
        <v>1.0</v>
      </c>
      <c r="E11" s="31">
        <v>22.91666667</v>
      </c>
      <c r="F11" s="31">
        <v>31.5</v>
      </c>
      <c r="G11" s="32">
        <f t="shared" si="1"/>
        <v>27.20833334</v>
      </c>
      <c r="H11" s="46">
        <f>MEDIAN(H5:H10)</f>
        <v>29.2</v>
      </c>
      <c r="I11" s="45">
        <f t="shared" ref="I11:I12" si="2">I10+1.07</f>
        <v>71.02</v>
      </c>
      <c r="J11" s="35">
        <f>(((J10-J9)+(J9-J8)+(J8-J7)+(J7-J6)+(J6-J5))/5)+J10</f>
        <v>0.66</v>
      </c>
      <c r="K11" s="36">
        <v>3.5739131627E7</v>
      </c>
      <c r="L11" s="42">
        <v>569766.708</v>
      </c>
      <c r="M11" s="38">
        <v>2635171.026</v>
      </c>
      <c r="N11" s="39">
        <v>1.7891017873E7</v>
      </c>
      <c r="O11" s="39">
        <v>178910.179</v>
      </c>
      <c r="P11" s="39">
        <v>2361614.359</v>
      </c>
    </row>
    <row r="12">
      <c r="A12" s="41"/>
      <c r="B12" s="29">
        <v>2022.0</v>
      </c>
      <c r="C12" s="29">
        <v>1.0</v>
      </c>
      <c r="D12" s="29">
        <v>1.0</v>
      </c>
      <c r="E12" s="43">
        <v>21.8</v>
      </c>
      <c r="F12" s="43">
        <v>34.42</v>
      </c>
      <c r="G12" s="32">
        <v>27.98</v>
      </c>
      <c r="H12" s="47">
        <v>37.0</v>
      </c>
      <c r="I12" s="48">
        <f t="shared" si="2"/>
        <v>72.09</v>
      </c>
      <c r="J12" s="35">
        <f>(((J11-J10)+(J10-J9)+(J9-J8)+(J8-J7)+(J7-J6)+(J6-J5))/6)+J11</f>
        <v>0.6655</v>
      </c>
      <c r="K12" s="42">
        <v>3.626255584E7</v>
      </c>
      <c r="L12" s="42">
        <v>578111.334</v>
      </c>
      <c r="M12" s="38">
        <v>2673764.922</v>
      </c>
      <c r="N12" s="49">
        <v>1.815304416E7</v>
      </c>
      <c r="O12" s="49">
        <v>181530.442</v>
      </c>
      <c r="P12" s="49">
        <v>2396201.829</v>
      </c>
    </row>
  </sheetData>
  <mergeCells count="7">
    <mergeCell ref="D1:G1"/>
    <mergeCell ref="I1:J1"/>
    <mergeCell ref="E2:G2"/>
    <mergeCell ref="K2:L2"/>
    <mergeCell ref="M2:P2"/>
    <mergeCell ref="L3:M3"/>
    <mergeCell ref="O3:P3"/>
  </mergeCells>
  <hyperlinks>
    <hyperlink r:id="rId1" ref="M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4" max="4" width="16.63"/>
    <col customWidth="1" min="7" max="7" width="17.25"/>
    <col customWidth="1" min="8" max="8" width="19.13"/>
    <col customWidth="1" min="9" max="9" width="15.75"/>
    <col customWidth="1" min="10" max="10" width="17.88"/>
  </cols>
  <sheetData>
    <row r="1">
      <c r="A1" s="101" t="s">
        <v>61</v>
      </c>
      <c r="B1" s="101" t="s">
        <v>4</v>
      </c>
      <c r="C1" s="101" t="s">
        <v>8</v>
      </c>
      <c r="D1" s="101" t="s">
        <v>9</v>
      </c>
      <c r="E1" s="101" t="s">
        <v>10</v>
      </c>
      <c r="F1" s="101" t="s">
        <v>62</v>
      </c>
      <c r="G1" s="101" t="s">
        <v>63</v>
      </c>
      <c r="H1" s="101" t="s">
        <v>64</v>
      </c>
      <c r="I1" s="101" t="s">
        <v>65</v>
      </c>
      <c r="J1" s="101" t="s">
        <v>66</v>
      </c>
    </row>
    <row r="2">
      <c r="A2" s="102">
        <v>0.0</v>
      </c>
      <c r="B2" s="102">
        <v>2015.0</v>
      </c>
      <c r="C2" s="102">
        <v>0.08186</v>
      </c>
      <c r="D2" s="102">
        <v>0.388895</v>
      </c>
      <c r="E2" s="102">
        <v>0.627</v>
      </c>
      <c r="F2" s="102">
        <v>0.52512</v>
      </c>
      <c r="G2" s="102">
        <v>0.541267</v>
      </c>
      <c r="H2" s="102">
        <v>2.503358</v>
      </c>
      <c r="I2" s="102">
        <v>0.169961</v>
      </c>
      <c r="J2" s="102">
        <v>2.243485</v>
      </c>
    </row>
    <row r="3">
      <c r="A3" s="102">
        <v>1.0</v>
      </c>
      <c r="B3" s="102">
        <v>2016.0</v>
      </c>
      <c r="C3" s="102">
        <v>0.083256</v>
      </c>
      <c r="D3" s="102">
        <v>0.415712</v>
      </c>
      <c r="E3" s="102">
        <v>0.633</v>
      </c>
      <c r="F3" s="102">
        <v>0.52672</v>
      </c>
      <c r="G3" s="102">
        <v>0.546154</v>
      </c>
      <c r="H3" s="102">
        <v>2.52596</v>
      </c>
      <c r="I3" s="102">
        <v>0.171496</v>
      </c>
      <c r="J3" s="102">
        <v>2.263741</v>
      </c>
    </row>
    <row r="4">
      <c r="A4" s="102">
        <v>2.0</v>
      </c>
      <c r="B4" s="102">
        <v>2017.0</v>
      </c>
      <c r="C4" s="102">
        <v>0.097209</v>
      </c>
      <c r="D4" s="102">
        <v>0.471014</v>
      </c>
      <c r="E4" s="102">
        <v>0.644</v>
      </c>
      <c r="F4" s="102">
        <v>0.544</v>
      </c>
      <c r="G4" s="102">
        <v>0.550986</v>
      </c>
      <c r="H4" s="102">
        <v>2.548311</v>
      </c>
      <c r="I4" s="102">
        <v>0.173013</v>
      </c>
      <c r="J4" s="102">
        <v>2.283771</v>
      </c>
    </row>
    <row r="5">
      <c r="A5" s="102">
        <v>3.0</v>
      </c>
      <c r="B5" s="102">
        <v>2018.0</v>
      </c>
      <c r="C5" s="102">
        <v>0.096744</v>
      </c>
      <c r="D5" s="102">
        <v>0.460332</v>
      </c>
      <c r="E5" s="102">
        <v>0.646</v>
      </c>
      <c r="F5" s="102">
        <v>0.65024</v>
      </c>
      <c r="G5" s="102">
        <v>0.555764</v>
      </c>
      <c r="H5" s="102">
        <v>2.570408</v>
      </c>
      <c r="I5" s="102">
        <v>0.174513</v>
      </c>
      <c r="J5" s="102">
        <v>2.303574</v>
      </c>
    </row>
    <row r="6">
      <c r="A6" s="102">
        <v>4.0</v>
      </c>
      <c r="B6" s="102">
        <v>2019.0</v>
      </c>
      <c r="C6" s="102">
        <v>0.083721</v>
      </c>
      <c r="D6" s="102">
        <v>0.512741</v>
      </c>
      <c r="E6" s="102">
        <v>0.649</v>
      </c>
      <c r="F6" s="102">
        <v>0.56928</v>
      </c>
      <c r="G6" s="102">
        <v>0.560487</v>
      </c>
      <c r="H6" s="102">
        <v>2.592251</v>
      </c>
      <c r="I6" s="102">
        <v>0.175996</v>
      </c>
      <c r="J6" s="102">
        <v>2.32315</v>
      </c>
    </row>
    <row r="7">
      <c r="A7" s="102">
        <v>5.0</v>
      </c>
      <c r="B7" s="102">
        <v>2020.0</v>
      </c>
      <c r="C7" s="102">
        <v>0.085581</v>
      </c>
      <c r="D7" s="102">
        <v>0.524647</v>
      </c>
      <c r="E7" s="102">
        <v>0.655</v>
      </c>
      <c r="F7" s="102">
        <v>0.50656</v>
      </c>
      <c r="G7" s="102">
        <v>0.565154</v>
      </c>
      <c r="H7" s="102">
        <v>2.613839</v>
      </c>
      <c r="I7" s="102">
        <v>0.177462</v>
      </c>
      <c r="J7" s="102">
        <v>2.342496</v>
      </c>
    </row>
    <row r="8">
      <c r="A8" s="102">
        <v>6.0</v>
      </c>
      <c r="B8" s="102">
        <v>2021.0</v>
      </c>
      <c r="C8" s="102">
        <v>0.084651</v>
      </c>
      <c r="D8" s="102">
        <v>0.536553</v>
      </c>
      <c r="E8" s="102">
        <v>0.66</v>
      </c>
      <c r="F8" s="102">
        <v>0.536</v>
      </c>
      <c r="G8" s="102">
        <v>0.569767</v>
      </c>
      <c r="H8" s="102">
        <v>2.635171</v>
      </c>
      <c r="I8" s="102">
        <v>0.17891</v>
      </c>
      <c r="J8" s="102">
        <v>2.361614</v>
      </c>
    </row>
    <row r="9">
      <c r="A9" s="102">
        <v>7.0</v>
      </c>
      <c r="B9" s="102">
        <v>2022.0</v>
      </c>
      <c r="C9" s="102">
        <v>0.12093</v>
      </c>
      <c r="D9" s="102">
        <v>0.548459</v>
      </c>
      <c r="E9" s="102">
        <v>0.666</v>
      </c>
      <c r="F9" s="102">
        <v>0.56064</v>
      </c>
      <c r="G9" s="102">
        <v>0.578111</v>
      </c>
      <c r="H9" s="102">
        <v>2.673765</v>
      </c>
      <c r="I9" s="102">
        <v>0.18153</v>
      </c>
      <c r="J9" s="102">
        <v>2.396202</v>
      </c>
    </row>
    <row r="10">
      <c r="A10" s="102">
        <v>9.0</v>
      </c>
      <c r="B10" s="102">
        <v>2015.0</v>
      </c>
      <c r="C10" s="102">
        <v>0.006512</v>
      </c>
      <c r="D10" s="102">
        <v>0.309336</v>
      </c>
      <c r="E10" s="102">
        <v>0.66</v>
      </c>
      <c r="F10" s="102">
        <v>0.41984</v>
      </c>
      <c r="G10" s="102">
        <v>0.018842</v>
      </c>
      <c r="H10" s="102">
        <v>0.087146</v>
      </c>
      <c r="I10" s="102">
        <v>0.003506</v>
      </c>
      <c r="J10" s="102">
        <v>0.046276</v>
      </c>
    </row>
    <row r="11">
      <c r="A11" s="102">
        <v>10.0</v>
      </c>
      <c r="B11" s="102">
        <v>2016.0</v>
      </c>
      <c r="C11" s="102">
        <v>0.009302</v>
      </c>
      <c r="D11" s="102">
        <v>0.297207</v>
      </c>
      <c r="E11" s="102">
        <v>0.644</v>
      </c>
      <c r="F11" s="102">
        <v>0.44544</v>
      </c>
      <c r="G11" s="102">
        <v>0.019293</v>
      </c>
      <c r="H11" s="102">
        <v>0.089228</v>
      </c>
      <c r="I11" s="102">
        <v>0.00359</v>
      </c>
      <c r="J11" s="102">
        <v>0.047381</v>
      </c>
    </row>
    <row r="12">
      <c r="A12" s="102">
        <v>11.0</v>
      </c>
      <c r="B12" s="102">
        <v>2017.0</v>
      </c>
      <c r="C12" s="102">
        <v>0.008837</v>
      </c>
      <c r="D12" s="102">
        <v>0.25893</v>
      </c>
      <c r="E12" s="102">
        <v>0.655</v>
      </c>
      <c r="F12" s="102">
        <v>0.48928</v>
      </c>
      <c r="G12" s="102">
        <v>0.019744</v>
      </c>
      <c r="H12" s="102">
        <v>0.091318</v>
      </c>
      <c r="I12" s="102">
        <v>0.003674</v>
      </c>
      <c r="J12" s="102">
        <v>0.048491</v>
      </c>
    </row>
    <row r="13">
      <c r="A13" s="102">
        <v>12.0</v>
      </c>
      <c r="B13" s="102">
        <v>2018.0</v>
      </c>
      <c r="C13" s="102">
        <v>0.011628</v>
      </c>
      <c r="D13" s="102">
        <v>0.227996</v>
      </c>
      <c r="E13" s="102">
        <v>0.657</v>
      </c>
      <c r="F13" s="102">
        <v>0.46656</v>
      </c>
      <c r="G13" s="102">
        <v>0.020198</v>
      </c>
      <c r="H13" s="102">
        <v>0.093413</v>
      </c>
      <c r="I13" s="102">
        <v>0.003758</v>
      </c>
      <c r="J13" s="102">
        <v>0.049604</v>
      </c>
    </row>
    <row r="14">
      <c r="A14" s="102">
        <v>13.0</v>
      </c>
      <c r="B14" s="102">
        <v>2019.0</v>
      </c>
      <c r="C14" s="102">
        <v>0.011628</v>
      </c>
      <c r="D14" s="102">
        <v>0.197953</v>
      </c>
      <c r="E14" s="102">
        <v>0.661</v>
      </c>
      <c r="F14" s="102">
        <v>0.552</v>
      </c>
      <c r="G14" s="102">
        <v>0.020652</v>
      </c>
      <c r="H14" s="102">
        <v>0.095515</v>
      </c>
      <c r="I14" s="102">
        <v>0.003842</v>
      </c>
      <c r="J14" s="102">
        <v>0.05072</v>
      </c>
    </row>
    <row r="15">
      <c r="A15" s="102">
        <v>14.0</v>
      </c>
      <c r="B15" s="102">
        <v>2020.0</v>
      </c>
      <c r="C15" s="102">
        <v>0.006047</v>
      </c>
      <c r="D15" s="102">
        <v>0.123734</v>
      </c>
      <c r="E15" s="102">
        <v>0.661</v>
      </c>
      <c r="F15" s="102">
        <v>0.472</v>
      </c>
      <c r="G15" s="102">
        <v>0.021107</v>
      </c>
      <c r="H15" s="102">
        <v>0.09762</v>
      </c>
      <c r="I15" s="102">
        <v>0.003927</v>
      </c>
      <c r="J15" s="102">
        <v>0.051838</v>
      </c>
    </row>
    <row r="16">
      <c r="A16" s="102">
        <v>15.0</v>
      </c>
      <c r="B16" s="102">
        <v>2021.0</v>
      </c>
      <c r="C16" s="102">
        <v>0.009302</v>
      </c>
      <c r="D16" s="102">
        <v>0.10671</v>
      </c>
      <c r="E16" s="102">
        <v>0.662</v>
      </c>
      <c r="F16" s="102">
        <v>0.47744</v>
      </c>
      <c r="G16" s="102">
        <v>0.021563</v>
      </c>
      <c r="H16" s="102">
        <v>0.099728</v>
      </c>
      <c r="I16" s="102">
        <v>0.004012</v>
      </c>
      <c r="J16" s="102">
        <v>0.052957</v>
      </c>
    </row>
    <row r="17">
      <c r="A17" s="102">
        <v>16.0</v>
      </c>
      <c r="B17" s="102">
        <v>2022.0</v>
      </c>
      <c r="C17" s="102">
        <v>0.209302</v>
      </c>
      <c r="D17" s="102">
        <v>0.089685</v>
      </c>
      <c r="E17" s="102">
        <v>0.662</v>
      </c>
      <c r="F17" s="102">
        <v>0.47776</v>
      </c>
      <c r="G17" s="102">
        <v>0.021947</v>
      </c>
      <c r="H17" s="102">
        <v>0.101503</v>
      </c>
      <c r="I17" s="102">
        <v>0.004083</v>
      </c>
      <c r="J17" s="102">
        <v>0.0539</v>
      </c>
    </row>
    <row r="18">
      <c r="A18" s="102">
        <v>18.0</v>
      </c>
      <c r="B18" s="102">
        <v>2015.0</v>
      </c>
      <c r="C18" s="102">
        <v>0.086047</v>
      </c>
      <c r="D18" s="102">
        <v>0.230667</v>
      </c>
      <c r="E18" s="102">
        <v>0.595</v>
      </c>
      <c r="F18" s="102">
        <v>0.43328</v>
      </c>
      <c r="G18" s="102">
        <v>0.458624</v>
      </c>
      <c r="H18" s="102">
        <v>2.121136</v>
      </c>
      <c r="I18" s="102">
        <v>0.04972</v>
      </c>
      <c r="J18" s="102">
        <v>0.062106</v>
      </c>
    </row>
    <row r="19">
      <c r="A19" s="102">
        <v>19.0</v>
      </c>
      <c r="B19" s="102">
        <v>2016.0</v>
      </c>
      <c r="C19" s="102">
        <v>0.085581</v>
      </c>
      <c r="D19" s="102">
        <v>0.237343</v>
      </c>
      <c r="E19" s="102">
        <v>0.598</v>
      </c>
      <c r="F19" s="102">
        <v>0.45344</v>
      </c>
      <c r="G19" s="102">
        <v>0.465991</v>
      </c>
      <c r="H19" s="102">
        <v>2.155208</v>
      </c>
      <c r="I19" s="102">
        <v>0.050519</v>
      </c>
      <c r="J19" s="102">
        <v>0.063104</v>
      </c>
    </row>
    <row r="20">
      <c r="A20" s="102">
        <v>20.0</v>
      </c>
      <c r="B20" s="102">
        <v>2017.0</v>
      </c>
      <c r="C20" s="102">
        <v>0.092558</v>
      </c>
      <c r="D20" s="102">
        <v>0.289863</v>
      </c>
      <c r="E20" s="102">
        <v>0.608</v>
      </c>
      <c r="F20" s="102">
        <v>0.46528</v>
      </c>
      <c r="G20" s="102">
        <v>0.473326</v>
      </c>
      <c r="H20" s="102">
        <v>2.189134</v>
      </c>
      <c r="I20" s="102">
        <v>0.051314</v>
      </c>
      <c r="J20" s="102">
        <v>0.064097</v>
      </c>
    </row>
    <row r="21">
      <c r="A21" s="102">
        <v>21.0</v>
      </c>
      <c r="B21" s="102">
        <v>2018.0</v>
      </c>
      <c r="C21" s="102">
        <v>0.111628</v>
      </c>
      <c r="D21" s="102">
        <v>0.312785</v>
      </c>
      <c r="E21" s="102">
        <v>0.61</v>
      </c>
      <c r="F21" s="102">
        <v>0.47872</v>
      </c>
      <c r="G21" s="102">
        <v>0.480628</v>
      </c>
      <c r="H21" s="102">
        <v>2.222905</v>
      </c>
      <c r="I21" s="102">
        <v>0.052105</v>
      </c>
      <c r="J21" s="102">
        <v>0.065086</v>
      </c>
    </row>
    <row r="22">
      <c r="A22" s="102">
        <v>22.0</v>
      </c>
      <c r="B22" s="102">
        <v>2019.0</v>
      </c>
      <c r="C22" s="102">
        <v>0.097674</v>
      </c>
      <c r="D22" s="102">
        <v>0.330366</v>
      </c>
      <c r="E22" s="102">
        <v>0.613</v>
      </c>
      <c r="F22" s="102">
        <v>0.496</v>
      </c>
      <c r="G22" s="102">
        <v>0.487894</v>
      </c>
      <c r="H22" s="102">
        <v>2.256511</v>
      </c>
      <c r="I22" s="102">
        <v>0.052893</v>
      </c>
      <c r="J22" s="102">
        <v>0.06607</v>
      </c>
    </row>
    <row r="23">
      <c r="A23" s="102">
        <v>23.0</v>
      </c>
      <c r="B23" s="102">
        <v>2020.0</v>
      </c>
      <c r="C23" s="102">
        <v>0.099535</v>
      </c>
      <c r="D23" s="102">
        <v>0.277512</v>
      </c>
      <c r="E23" s="102">
        <v>0.618</v>
      </c>
      <c r="F23" s="102">
        <v>0.50656</v>
      </c>
      <c r="G23" s="102">
        <v>0.495123</v>
      </c>
      <c r="H23" s="102">
        <v>2.289943</v>
      </c>
      <c r="I23" s="102">
        <v>0.053677</v>
      </c>
      <c r="J23" s="102">
        <v>0.067049</v>
      </c>
    </row>
    <row r="24">
      <c r="A24" s="102">
        <v>24.0</v>
      </c>
      <c r="B24" s="102">
        <v>2021.0</v>
      </c>
      <c r="C24" s="102">
        <v>0.095349</v>
      </c>
      <c r="D24" s="102">
        <v>0.325915</v>
      </c>
      <c r="E24" s="102">
        <v>0.622</v>
      </c>
      <c r="F24" s="102">
        <v>0.49984</v>
      </c>
      <c r="G24" s="102">
        <v>0.502312</v>
      </c>
      <c r="H24" s="102">
        <v>2.323192</v>
      </c>
      <c r="I24" s="102">
        <v>0.054456</v>
      </c>
      <c r="J24" s="102">
        <v>0.068023</v>
      </c>
    </row>
    <row r="25">
      <c r="A25" s="102">
        <v>25.0</v>
      </c>
      <c r="B25" s="102">
        <v>2022.0</v>
      </c>
      <c r="C25" s="102">
        <v>0.330233</v>
      </c>
      <c r="D25" s="102">
        <v>0.374318</v>
      </c>
      <c r="E25" s="102">
        <v>0.627</v>
      </c>
      <c r="F25" s="102">
        <v>0.47776</v>
      </c>
      <c r="G25" s="102">
        <v>0.498083</v>
      </c>
      <c r="H25" s="102">
        <v>2.303632</v>
      </c>
      <c r="I25" s="102">
        <v>0.053998</v>
      </c>
      <c r="J25" s="102">
        <v>0.06745</v>
      </c>
    </row>
    <row r="26">
      <c r="A26" s="102">
        <v>27.0</v>
      </c>
      <c r="B26" s="102">
        <v>2015.0</v>
      </c>
      <c r="C26" s="102">
        <v>0.312558</v>
      </c>
      <c r="D26" s="102">
        <v>0.132413</v>
      </c>
      <c r="E26" s="102">
        <v>0.554</v>
      </c>
      <c r="F26" s="102">
        <v>0.60672</v>
      </c>
      <c r="G26" s="102">
        <v>1.629884</v>
      </c>
      <c r="H26" s="102">
        <v>7.538212</v>
      </c>
      <c r="I26" s="102">
        <v>0.129646</v>
      </c>
      <c r="J26" s="102">
        <v>1.711323</v>
      </c>
    </row>
    <row r="27">
      <c r="A27" s="102">
        <v>28.0</v>
      </c>
      <c r="B27" s="102">
        <v>2016.0</v>
      </c>
      <c r="C27" s="102">
        <v>0.338605</v>
      </c>
      <c r="D27" s="102">
        <v>0.174252</v>
      </c>
      <c r="E27" s="102">
        <v>0.559</v>
      </c>
      <c r="F27" s="102">
        <v>0.608</v>
      </c>
      <c r="G27" s="102">
        <v>1.668359</v>
      </c>
      <c r="H27" s="102">
        <v>7.716158</v>
      </c>
      <c r="I27" s="102">
        <v>0.132706</v>
      </c>
      <c r="J27" s="102">
        <v>1.75172</v>
      </c>
    </row>
    <row r="28">
      <c r="A28" s="102">
        <v>29.0</v>
      </c>
      <c r="B28" s="102">
        <v>2017.0</v>
      </c>
      <c r="C28" s="102">
        <v>0.308372</v>
      </c>
      <c r="D28" s="102">
        <v>0.103594</v>
      </c>
      <c r="E28" s="102">
        <v>0.569</v>
      </c>
      <c r="F28" s="102">
        <v>0.592</v>
      </c>
      <c r="G28" s="102">
        <v>1.706954</v>
      </c>
      <c r="H28" s="102">
        <v>7.894662</v>
      </c>
      <c r="I28" s="102">
        <v>0.135776</v>
      </c>
      <c r="J28" s="102">
        <v>1.792244</v>
      </c>
    </row>
    <row r="29">
      <c r="A29" s="102">
        <v>30.0</v>
      </c>
      <c r="B29" s="102">
        <v>2018.0</v>
      </c>
      <c r="C29" s="102">
        <v>0.333953</v>
      </c>
      <c r="D29" s="102">
        <v>0.129966</v>
      </c>
      <c r="E29" s="102">
        <v>0.571</v>
      </c>
      <c r="F29" s="102">
        <v>0.62144</v>
      </c>
      <c r="G29" s="102">
        <v>1.745652</v>
      </c>
      <c r="H29" s="102">
        <v>8.073642</v>
      </c>
      <c r="I29" s="102">
        <v>0.138854</v>
      </c>
      <c r="J29" s="102">
        <v>1.832876</v>
      </c>
    </row>
    <row r="30">
      <c r="A30" s="102">
        <v>31.0</v>
      </c>
      <c r="B30" s="102">
        <v>2019.0</v>
      </c>
      <c r="C30" s="102">
        <v>0.325581</v>
      </c>
      <c r="D30" s="102">
        <v>0.151218</v>
      </c>
      <c r="E30" s="102">
        <v>0.574</v>
      </c>
      <c r="F30" s="102">
        <v>0.61184</v>
      </c>
      <c r="G30" s="102">
        <v>1.784437</v>
      </c>
      <c r="H30" s="102">
        <v>8.253019</v>
      </c>
      <c r="I30" s="102">
        <v>0.141939</v>
      </c>
      <c r="J30" s="102">
        <v>1.873598</v>
      </c>
    </row>
    <row r="31">
      <c r="A31" s="102">
        <v>32.0</v>
      </c>
      <c r="B31" s="102">
        <v>2020.0</v>
      </c>
      <c r="C31" s="102">
        <v>0.339535</v>
      </c>
      <c r="D31" s="102">
        <v>0.082786</v>
      </c>
      <c r="E31" s="102">
        <v>0.579</v>
      </c>
      <c r="F31" s="102">
        <v>0.61184</v>
      </c>
      <c r="G31" s="102">
        <v>1.82329</v>
      </c>
      <c r="H31" s="102">
        <v>8.432714</v>
      </c>
      <c r="I31" s="102">
        <v>0.14503</v>
      </c>
      <c r="J31" s="102">
        <v>1.914392</v>
      </c>
    </row>
    <row r="32">
      <c r="A32" s="102">
        <v>33.0</v>
      </c>
      <c r="B32" s="102">
        <v>2021.0</v>
      </c>
      <c r="C32" s="102">
        <v>0.329767</v>
      </c>
      <c r="D32" s="102">
        <v>0.091243</v>
      </c>
      <c r="E32" s="102">
        <v>0.584</v>
      </c>
      <c r="F32" s="102">
        <v>0.57056</v>
      </c>
      <c r="G32" s="102">
        <v>1.862195</v>
      </c>
      <c r="H32" s="102">
        <v>8.61265</v>
      </c>
      <c r="I32" s="102">
        <v>0.148124</v>
      </c>
      <c r="J32" s="102">
        <v>1.955241</v>
      </c>
    </row>
    <row r="33">
      <c r="A33" s="102">
        <v>34.0</v>
      </c>
      <c r="B33" s="102">
        <v>2022.0</v>
      </c>
      <c r="C33" s="102">
        <v>0.6</v>
      </c>
      <c r="D33" s="102">
        <v>0.0997</v>
      </c>
      <c r="E33" s="102">
        <v>0.61</v>
      </c>
      <c r="F33" s="102">
        <v>0.47776</v>
      </c>
      <c r="G33" s="102">
        <v>1.831116</v>
      </c>
      <c r="H33" s="102">
        <v>8.468913</v>
      </c>
      <c r="I33" s="102">
        <v>0.145652</v>
      </c>
      <c r="J33" s="102">
        <v>1.92261</v>
      </c>
    </row>
    <row r="34">
      <c r="A34" s="102">
        <v>36.0</v>
      </c>
      <c r="B34" s="102">
        <v>2015.0</v>
      </c>
      <c r="C34" s="102">
        <v>0.182791</v>
      </c>
      <c r="D34" s="102">
        <v>0.287415</v>
      </c>
      <c r="E34" s="102">
        <v>0.59</v>
      </c>
      <c r="F34" s="102">
        <v>0.59072</v>
      </c>
      <c r="G34" s="102">
        <v>0.349461</v>
      </c>
      <c r="H34" s="102">
        <v>1.616259</v>
      </c>
      <c r="I34" s="102">
        <v>0.066127</v>
      </c>
      <c r="J34" s="102">
        <v>0.87288</v>
      </c>
    </row>
    <row r="35">
      <c r="A35" s="102">
        <v>37.0</v>
      </c>
      <c r="B35" s="102">
        <v>2016.0</v>
      </c>
      <c r="C35" s="102">
        <v>0.177674</v>
      </c>
      <c r="D35" s="102">
        <v>0.325136</v>
      </c>
      <c r="E35" s="102">
        <v>0.596</v>
      </c>
      <c r="F35" s="102">
        <v>0.58528</v>
      </c>
      <c r="G35" s="102">
        <v>0.358539</v>
      </c>
      <c r="H35" s="102">
        <v>1.658241</v>
      </c>
      <c r="I35" s="102">
        <v>0.067845</v>
      </c>
      <c r="J35" s="102">
        <v>0.895552</v>
      </c>
    </row>
    <row r="36">
      <c r="A36" s="102">
        <v>38.0</v>
      </c>
      <c r="B36" s="102">
        <v>2017.0</v>
      </c>
      <c r="C36" s="102">
        <v>0.176279</v>
      </c>
      <c r="D36" s="102">
        <v>0.370424</v>
      </c>
      <c r="E36" s="102">
        <v>0.606</v>
      </c>
      <c r="F36" s="102">
        <v>0.59872</v>
      </c>
      <c r="G36" s="102">
        <v>0.367665</v>
      </c>
      <c r="H36" s="102">
        <v>1.700452</v>
      </c>
      <c r="I36" s="102">
        <v>0.069572</v>
      </c>
      <c r="J36" s="102">
        <v>0.918349</v>
      </c>
    </row>
    <row r="37">
      <c r="A37" s="102">
        <v>39.0</v>
      </c>
      <c r="B37" s="102">
        <v>2018.0</v>
      </c>
      <c r="C37" s="102">
        <v>0.178605</v>
      </c>
      <c r="D37" s="102">
        <v>0.33771</v>
      </c>
      <c r="E37" s="102">
        <v>0.608</v>
      </c>
      <c r="F37" s="102">
        <v>0.61184</v>
      </c>
      <c r="G37" s="102">
        <v>0.376837</v>
      </c>
      <c r="H37" s="102">
        <v>1.742872</v>
      </c>
      <c r="I37" s="102">
        <v>0.071307</v>
      </c>
      <c r="J37" s="102">
        <v>0.941258</v>
      </c>
    </row>
    <row r="38">
      <c r="A38" s="102">
        <v>40.0</v>
      </c>
      <c r="B38" s="102">
        <v>2019.0</v>
      </c>
      <c r="C38" s="102">
        <v>0.18186</v>
      </c>
      <c r="D38" s="102">
        <v>0.31145</v>
      </c>
      <c r="E38" s="102">
        <v>0.611</v>
      </c>
      <c r="F38" s="102">
        <v>0.608</v>
      </c>
      <c r="G38" s="102">
        <v>0.38605</v>
      </c>
      <c r="H38" s="102">
        <v>1.78548</v>
      </c>
      <c r="I38" s="102">
        <v>0.073051</v>
      </c>
      <c r="J38" s="102">
        <v>0.964269</v>
      </c>
    </row>
    <row r="39">
      <c r="A39" s="102">
        <v>41.0</v>
      </c>
      <c r="B39" s="102">
        <v>2020.0</v>
      </c>
      <c r="C39" s="102">
        <v>0.194884</v>
      </c>
      <c r="D39" s="102">
        <v>0.310448</v>
      </c>
      <c r="E39" s="102">
        <v>0.616</v>
      </c>
      <c r="F39" s="102">
        <v>0.592</v>
      </c>
      <c r="G39" s="102">
        <v>0.395299</v>
      </c>
      <c r="H39" s="102">
        <v>1.828257</v>
      </c>
      <c r="I39" s="102">
        <v>0.074801</v>
      </c>
      <c r="J39" s="102">
        <v>0.987372</v>
      </c>
    </row>
    <row r="40">
      <c r="A40" s="102">
        <v>42.0</v>
      </c>
      <c r="B40" s="102">
        <v>2021.0</v>
      </c>
      <c r="C40" s="102">
        <v>0.180465</v>
      </c>
      <c r="D40" s="102">
        <v>0.309447</v>
      </c>
      <c r="E40" s="102">
        <v>0.622</v>
      </c>
      <c r="F40" s="102">
        <v>0.56672</v>
      </c>
      <c r="G40" s="102">
        <v>0.40458</v>
      </c>
      <c r="H40" s="102">
        <v>1.871183</v>
      </c>
      <c r="I40" s="102">
        <v>0.076557</v>
      </c>
      <c r="J40" s="102">
        <v>1.010554</v>
      </c>
    </row>
    <row r="41">
      <c r="A41" s="102">
        <v>43.0</v>
      </c>
      <c r="B41" s="102">
        <v>2022.0</v>
      </c>
      <c r="C41" s="102">
        <v>0.04186</v>
      </c>
      <c r="D41" s="102">
        <v>0.308446</v>
      </c>
      <c r="E41" s="102">
        <v>0.627</v>
      </c>
      <c r="F41" s="102">
        <v>0.53536</v>
      </c>
      <c r="G41" s="102">
        <v>0.406275</v>
      </c>
      <c r="H41" s="102">
        <v>1.879023</v>
      </c>
      <c r="I41" s="102">
        <v>0.076878</v>
      </c>
      <c r="J41" s="102">
        <v>1.014789</v>
      </c>
    </row>
    <row r="42">
      <c r="A42" s="102">
        <v>45.0</v>
      </c>
      <c r="B42" s="102">
        <v>2015.0</v>
      </c>
      <c r="C42" s="102">
        <v>0.08093</v>
      </c>
      <c r="D42" s="102">
        <v>0.337487</v>
      </c>
      <c r="E42" s="102">
        <v>0.753</v>
      </c>
      <c r="F42" s="102">
        <v>0.57472</v>
      </c>
      <c r="G42" s="102">
        <v>0.009005</v>
      </c>
      <c r="H42" s="102">
        <v>0.038346</v>
      </c>
      <c r="I42" s="102">
        <v>0.00925</v>
      </c>
      <c r="J42" s="102">
        <v>0.122094</v>
      </c>
    </row>
    <row r="43">
      <c r="A43" s="102">
        <v>46.0</v>
      </c>
      <c r="B43" s="102">
        <v>2016.0</v>
      </c>
      <c r="C43" s="102">
        <v>0.082326</v>
      </c>
      <c r="D43" s="102">
        <v>0.323801</v>
      </c>
      <c r="E43" s="102">
        <v>0.745</v>
      </c>
      <c r="F43" s="102">
        <v>0.55328</v>
      </c>
      <c r="G43" s="102">
        <v>0.009048</v>
      </c>
      <c r="H43" s="102">
        <v>0.038528</v>
      </c>
      <c r="I43" s="102">
        <v>0.009293</v>
      </c>
      <c r="J43" s="102">
        <v>0.122671</v>
      </c>
    </row>
    <row r="44">
      <c r="A44" s="102">
        <v>47.0</v>
      </c>
      <c r="B44" s="102">
        <v>2017.0</v>
      </c>
      <c r="C44" s="102">
        <v>0.091628</v>
      </c>
      <c r="D44" s="102">
        <v>0.445866</v>
      </c>
      <c r="E44" s="102">
        <v>0.756</v>
      </c>
      <c r="F44" s="102">
        <v>0.56256</v>
      </c>
      <c r="G44" s="102">
        <v>0.00909</v>
      </c>
      <c r="H44" s="102">
        <v>0.038706</v>
      </c>
      <c r="I44" s="102">
        <v>0.009336</v>
      </c>
      <c r="J44" s="102">
        <v>0.123239</v>
      </c>
    </row>
    <row r="45">
      <c r="A45" s="102">
        <v>48.0</v>
      </c>
      <c r="B45" s="102">
        <v>2018.0</v>
      </c>
      <c r="C45" s="102">
        <v>0.095349</v>
      </c>
      <c r="D45" s="102">
        <v>0.515077</v>
      </c>
      <c r="E45" s="102">
        <v>0.759</v>
      </c>
      <c r="F45" s="102">
        <v>0.59744</v>
      </c>
      <c r="G45" s="102">
        <v>0.009131</v>
      </c>
      <c r="H45" s="102">
        <v>0.038882</v>
      </c>
      <c r="I45" s="102">
        <v>0.009379</v>
      </c>
      <c r="J45" s="102">
        <v>0.123799</v>
      </c>
    </row>
    <row r="46">
      <c r="A46" s="102">
        <v>49.0</v>
      </c>
      <c r="B46" s="102">
        <v>2019.0</v>
      </c>
      <c r="C46" s="102">
        <v>0.075814</v>
      </c>
      <c r="D46" s="102">
        <v>0.4847</v>
      </c>
      <c r="E46" s="102">
        <v>0.763</v>
      </c>
      <c r="F46" s="102">
        <v>0.57856</v>
      </c>
      <c r="G46" s="102">
        <v>0.009172</v>
      </c>
      <c r="H46" s="102">
        <v>0.039055</v>
      </c>
      <c r="I46" s="102">
        <v>0.00942</v>
      </c>
      <c r="J46" s="102">
        <v>0.12435</v>
      </c>
    </row>
    <row r="47">
      <c r="A47" s="102">
        <v>50.0</v>
      </c>
      <c r="B47" s="102">
        <v>2020.0</v>
      </c>
      <c r="C47" s="102">
        <v>0.091163</v>
      </c>
      <c r="D47" s="102">
        <v>0.343607</v>
      </c>
      <c r="E47" s="102">
        <v>0.766</v>
      </c>
      <c r="F47" s="102">
        <v>0.52128</v>
      </c>
      <c r="G47" s="102">
        <v>0.009212</v>
      </c>
      <c r="H47" s="102">
        <v>0.039225</v>
      </c>
      <c r="I47" s="102">
        <v>0.009461</v>
      </c>
      <c r="J47" s="102">
        <v>0.124892</v>
      </c>
    </row>
    <row r="48">
      <c r="A48" s="102">
        <v>51.0</v>
      </c>
      <c r="B48" s="102">
        <v>2021.0</v>
      </c>
      <c r="C48" s="102">
        <v>0.086977</v>
      </c>
      <c r="D48" s="102">
        <v>0.202515</v>
      </c>
      <c r="E48" s="102">
        <v>0.768</v>
      </c>
      <c r="F48" s="102">
        <v>0.53728</v>
      </c>
      <c r="G48" s="102">
        <v>0.009251</v>
      </c>
      <c r="H48" s="102">
        <v>0.039393</v>
      </c>
      <c r="I48" s="102">
        <v>0.009502</v>
      </c>
      <c r="J48" s="102">
        <v>0.125425</v>
      </c>
    </row>
    <row r="49">
      <c r="A49" s="102">
        <v>52.0</v>
      </c>
      <c r="B49" s="102">
        <v>2022.0</v>
      </c>
      <c r="C49" s="102">
        <v>0.07907</v>
      </c>
      <c r="D49" s="102">
        <v>0.061422</v>
      </c>
      <c r="E49" s="102">
        <v>0.771</v>
      </c>
      <c r="F49" s="102">
        <v>0.5312</v>
      </c>
      <c r="G49" s="102">
        <v>0.009442</v>
      </c>
      <c r="H49" s="102">
        <v>0.040208</v>
      </c>
      <c r="I49" s="102">
        <v>0.009699</v>
      </c>
      <c r="J49" s="102">
        <v>0.12802</v>
      </c>
    </row>
    <row r="50">
      <c r="A50" s="102">
        <v>54.0</v>
      </c>
      <c r="B50" s="102">
        <v>2015.0</v>
      </c>
      <c r="C50" s="102">
        <v>0.154884</v>
      </c>
      <c r="D50" s="102">
        <v>0.450428</v>
      </c>
      <c r="E50" s="102">
        <v>0.649</v>
      </c>
      <c r="F50" s="102">
        <v>0.608</v>
      </c>
      <c r="G50" s="102">
        <v>0.59622</v>
      </c>
      <c r="H50" s="102">
        <v>2.757518</v>
      </c>
      <c r="I50" s="102">
        <v>0.276557</v>
      </c>
      <c r="J50" s="102">
        <v>3.650549</v>
      </c>
    </row>
    <row r="51">
      <c r="A51" s="102">
        <v>55.0</v>
      </c>
      <c r="B51" s="102">
        <v>2016.0</v>
      </c>
      <c r="C51" s="102">
        <v>0.14093</v>
      </c>
      <c r="D51" s="102">
        <v>0.447202</v>
      </c>
      <c r="E51" s="102">
        <v>0.656</v>
      </c>
      <c r="F51" s="102">
        <v>0.60384</v>
      </c>
      <c r="G51" s="102">
        <v>0.606441</v>
      </c>
      <c r="H51" s="102">
        <v>2.804791</v>
      </c>
      <c r="I51" s="102">
        <v>0.281298</v>
      </c>
      <c r="J51" s="102">
        <v>3.713132</v>
      </c>
    </row>
    <row r="52">
      <c r="A52" s="102">
        <v>56.0</v>
      </c>
      <c r="B52" s="102">
        <v>2017.0</v>
      </c>
      <c r="C52" s="102">
        <v>0.16186</v>
      </c>
      <c r="D52" s="102">
        <v>0.436074</v>
      </c>
      <c r="E52" s="102">
        <v>0.667</v>
      </c>
      <c r="F52" s="102">
        <v>0.62272</v>
      </c>
      <c r="G52" s="102">
        <v>0.61663</v>
      </c>
      <c r="H52" s="102">
        <v>2.851912</v>
      </c>
      <c r="I52" s="102">
        <v>0.286024</v>
      </c>
      <c r="J52" s="102">
        <v>3.775514</v>
      </c>
    </row>
    <row r="53">
      <c r="A53" s="102">
        <v>57.0</v>
      </c>
      <c r="B53" s="102">
        <v>2018.0</v>
      </c>
      <c r="C53" s="102">
        <v>0.166047</v>
      </c>
      <c r="D53" s="102">
        <v>0.453099</v>
      </c>
      <c r="E53" s="102">
        <v>0.669</v>
      </c>
      <c r="F53" s="102">
        <v>0.61472</v>
      </c>
      <c r="G53" s="102">
        <v>0.626782</v>
      </c>
      <c r="H53" s="102">
        <v>2.898868</v>
      </c>
      <c r="I53" s="102">
        <v>0.290733</v>
      </c>
      <c r="J53" s="102">
        <v>3.837676</v>
      </c>
    </row>
    <row r="54">
      <c r="A54" s="102">
        <v>58.0</v>
      </c>
      <c r="B54" s="102">
        <v>2019.0</v>
      </c>
      <c r="C54" s="102">
        <v>0.166977</v>
      </c>
      <c r="D54" s="102">
        <v>0.467342</v>
      </c>
      <c r="E54" s="102">
        <v>0.672</v>
      </c>
      <c r="F54" s="102">
        <v>0.56</v>
      </c>
      <c r="G54" s="102">
        <v>0.636895</v>
      </c>
      <c r="H54" s="102">
        <v>2.945641</v>
      </c>
      <c r="I54" s="102">
        <v>0.295424</v>
      </c>
      <c r="J54" s="102">
        <v>3.899597</v>
      </c>
    </row>
    <row r="55">
      <c r="A55" s="102">
        <v>59.0</v>
      </c>
      <c r="B55" s="102">
        <v>2020.0</v>
      </c>
      <c r="C55" s="102">
        <v>0.160465</v>
      </c>
      <c r="D55" s="102">
        <v>0.441304</v>
      </c>
      <c r="E55" s="102">
        <v>0.678</v>
      </c>
      <c r="F55" s="102">
        <v>1.0</v>
      </c>
      <c r="G55" s="102">
        <v>0.646966</v>
      </c>
      <c r="H55" s="102">
        <v>2.992219</v>
      </c>
      <c r="I55" s="102">
        <v>0.300095</v>
      </c>
      <c r="J55" s="102">
        <v>3.96126</v>
      </c>
    </row>
    <row r="56">
      <c r="A56" s="102">
        <v>60.0</v>
      </c>
      <c r="B56" s="102">
        <v>2021.0</v>
      </c>
      <c r="C56" s="102">
        <v>0.161395</v>
      </c>
      <c r="D56" s="102">
        <v>0.435184</v>
      </c>
      <c r="E56" s="102">
        <v>0.684</v>
      </c>
      <c r="F56" s="102">
        <v>0.60256</v>
      </c>
      <c r="G56" s="102">
        <v>0.656992</v>
      </c>
      <c r="H56" s="102">
        <v>3.038587</v>
      </c>
      <c r="I56" s="102">
        <v>0.304746</v>
      </c>
      <c r="J56" s="102">
        <v>4.022644</v>
      </c>
    </row>
    <row r="57">
      <c r="A57" s="102">
        <v>61.0</v>
      </c>
      <c r="B57" s="102">
        <v>2022.0</v>
      </c>
      <c r="C57" s="102">
        <v>0.213953</v>
      </c>
      <c r="D57" s="102">
        <v>0.429064</v>
      </c>
      <c r="E57" s="102">
        <v>0.689</v>
      </c>
      <c r="F57" s="102">
        <v>0.6016</v>
      </c>
      <c r="G57" s="102">
        <v>0.659044</v>
      </c>
      <c r="H57" s="102">
        <v>3.048078</v>
      </c>
      <c r="I57" s="102">
        <v>0.305698</v>
      </c>
      <c r="J57" s="102">
        <v>4.035208</v>
      </c>
    </row>
    <row r="58">
      <c r="A58" s="102">
        <v>63.0</v>
      </c>
      <c r="B58" s="102">
        <v>2015.0</v>
      </c>
      <c r="C58" s="102">
        <v>0.340465</v>
      </c>
      <c r="D58" s="102">
        <v>0.301213</v>
      </c>
      <c r="E58" s="102">
        <v>0.684</v>
      </c>
      <c r="F58" s="102">
        <v>0.56</v>
      </c>
      <c r="G58" s="102">
        <v>0.280686</v>
      </c>
      <c r="H58" s="102">
        <v>1.298172</v>
      </c>
      <c r="I58" s="102">
        <v>0.093964</v>
      </c>
      <c r="J58" s="102">
        <v>1.240328</v>
      </c>
    </row>
    <row r="59">
      <c r="A59" s="102">
        <v>64.0</v>
      </c>
      <c r="B59" s="102">
        <v>2016.0</v>
      </c>
      <c r="C59" s="102">
        <v>0.361395</v>
      </c>
      <c r="D59" s="102">
        <v>0.268944</v>
      </c>
      <c r="E59" s="102">
        <v>0.691</v>
      </c>
      <c r="F59" s="102">
        <v>0.56256</v>
      </c>
      <c r="G59" s="102">
        <v>0.284769</v>
      </c>
      <c r="H59" s="102">
        <v>1.317055</v>
      </c>
      <c r="I59" s="102">
        <v>0.095331</v>
      </c>
      <c r="J59" s="102">
        <v>1.258369</v>
      </c>
    </row>
    <row r="60">
      <c r="A60" s="102">
        <v>65.0</v>
      </c>
      <c r="B60" s="102">
        <v>2017.0</v>
      </c>
      <c r="C60" s="102">
        <v>0.347442</v>
      </c>
      <c r="D60" s="102">
        <v>0.341716</v>
      </c>
      <c r="E60" s="102">
        <v>0.702</v>
      </c>
      <c r="F60" s="102">
        <v>0.56384</v>
      </c>
      <c r="G60" s="102">
        <v>0.288828</v>
      </c>
      <c r="H60" s="102">
        <v>1.335829</v>
      </c>
      <c r="I60" s="102">
        <v>0.09669</v>
      </c>
      <c r="J60" s="102">
        <v>1.276307</v>
      </c>
    </row>
    <row r="61">
      <c r="A61" s="102">
        <v>66.0</v>
      </c>
      <c r="B61" s="102">
        <v>2018.0</v>
      </c>
      <c r="C61" s="102">
        <v>0.363256</v>
      </c>
      <c r="D61" s="102">
        <v>0.260265</v>
      </c>
      <c r="E61" s="102">
        <v>0.705</v>
      </c>
      <c r="F61" s="102">
        <v>0.59328</v>
      </c>
      <c r="G61" s="102">
        <v>0.292863</v>
      </c>
      <c r="H61" s="102">
        <v>1.354491</v>
      </c>
      <c r="I61" s="102">
        <v>0.098041</v>
      </c>
      <c r="J61" s="102">
        <v>1.294137</v>
      </c>
    </row>
    <row r="62">
      <c r="A62" s="102">
        <v>67.0</v>
      </c>
      <c r="B62" s="102">
        <v>2019.0</v>
      </c>
      <c r="C62" s="102">
        <v>0.354884</v>
      </c>
      <c r="D62" s="102">
        <v>0.262602</v>
      </c>
      <c r="E62" s="102">
        <v>0.708</v>
      </c>
      <c r="F62" s="102">
        <v>0.51744</v>
      </c>
      <c r="G62" s="102">
        <v>0.296872</v>
      </c>
      <c r="H62" s="102">
        <v>1.373034</v>
      </c>
      <c r="I62" s="102">
        <v>0.099383</v>
      </c>
      <c r="J62" s="102">
        <v>1.311855</v>
      </c>
    </row>
    <row r="63">
      <c r="A63" s="102">
        <v>68.0</v>
      </c>
      <c r="B63" s="102">
        <v>2020.0</v>
      </c>
      <c r="C63" s="102">
        <v>0.336744</v>
      </c>
      <c r="D63" s="102">
        <v>0.294425</v>
      </c>
      <c r="E63" s="102">
        <v>0.714</v>
      </c>
      <c r="F63" s="102">
        <v>0.56384</v>
      </c>
      <c r="G63" s="102">
        <v>0.300855</v>
      </c>
      <c r="H63" s="102">
        <v>1.391456</v>
      </c>
      <c r="I63" s="102">
        <v>0.100716</v>
      </c>
      <c r="J63" s="102">
        <v>1.329455</v>
      </c>
    </row>
    <row r="64">
      <c r="A64" s="102">
        <v>69.0</v>
      </c>
      <c r="B64" s="102">
        <v>2021.0</v>
      </c>
      <c r="C64" s="102">
        <v>0.351163</v>
      </c>
      <c r="D64" s="102">
        <v>0.288305</v>
      </c>
      <c r="E64" s="102">
        <v>0.72</v>
      </c>
      <c r="F64" s="102">
        <v>0.55328</v>
      </c>
      <c r="G64" s="102">
        <v>0.304811</v>
      </c>
      <c r="H64" s="102">
        <v>1.409751</v>
      </c>
      <c r="I64" s="102">
        <v>0.102041</v>
      </c>
      <c r="J64" s="102">
        <v>1.346935</v>
      </c>
    </row>
    <row r="65">
      <c r="A65" s="102">
        <v>70.0</v>
      </c>
      <c r="B65" s="102">
        <v>2022.0</v>
      </c>
      <c r="C65" s="102">
        <v>0.334884</v>
      </c>
      <c r="D65" s="102">
        <v>0.282185</v>
      </c>
      <c r="E65" s="102">
        <v>0.726</v>
      </c>
      <c r="F65" s="102">
        <v>0.59648</v>
      </c>
      <c r="G65" s="102">
        <v>0.31716</v>
      </c>
      <c r="H65" s="102">
        <v>1.466867</v>
      </c>
      <c r="I65" s="102">
        <v>0.106175</v>
      </c>
      <c r="J65" s="102">
        <v>1.401506</v>
      </c>
    </row>
    <row r="66">
      <c r="A66" s="102">
        <v>72.0</v>
      </c>
      <c r="B66" s="102">
        <v>2015.0</v>
      </c>
      <c r="C66" s="102">
        <v>0.075814</v>
      </c>
      <c r="D66" s="102">
        <v>0.437521</v>
      </c>
      <c r="E66" s="102">
        <v>0.702</v>
      </c>
      <c r="F66" s="102">
        <v>0.19744</v>
      </c>
      <c r="G66" s="102">
        <v>0.103009</v>
      </c>
      <c r="H66" s="102">
        <v>0.476415</v>
      </c>
      <c r="I66" s="102">
        <v>0.007177</v>
      </c>
      <c r="J66" s="102">
        <v>0.094739</v>
      </c>
    </row>
    <row r="67">
      <c r="A67" s="102">
        <v>73.0</v>
      </c>
      <c r="B67" s="102">
        <v>2016.0</v>
      </c>
      <c r="C67" s="102">
        <v>0.09814</v>
      </c>
      <c r="D67" s="102">
        <v>0.427284</v>
      </c>
      <c r="E67" s="102">
        <v>0.708</v>
      </c>
      <c r="F67" s="102">
        <v>0.2</v>
      </c>
      <c r="G67" s="102">
        <v>0.104031</v>
      </c>
      <c r="H67" s="102">
        <v>0.481142</v>
      </c>
      <c r="I67" s="102">
        <v>0.007248</v>
      </c>
      <c r="J67" s="102">
        <v>0.095679</v>
      </c>
    </row>
    <row r="68">
      <c r="A68" s="102">
        <v>74.0</v>
      </c>
      <c r="B68" s="102">
        <v>2017.0</v>
      </c>
      <c r="C68" s="102">
        <v>0.078605</v>
      </c>
      <c r="D68" s="102">
        <v>0.508067</v>
      </c>
      <c r="E68" s="102">
        <v>0.719</v>
      </c>
      <c r="F68" s="102">
        <v>0.21856</v>
      </c>
      <c r="G68" s="102">
        <v>0.105042</v>
      </c>
      <c r="H68" s="102">
        <v>0.48582</v>
      </c>
      <c r="I68" s="102">
        <v>0.007319</v>
      </c>
      <c r="J68" s="102">
        <v>0.09661</v>
      </c>
    </row>
    <row r="69">
      <c r="A69" s="102">
        <v>75.0</v>
      </c>
      <c r="B69" s="102">
        <v>2018.0</v>
      </c>
      <c r="C69" s="102">
        <v>0.085116</v>
      </c>
      <c r="D69" s="102">
        <v>0.474574</v>
      </c>
      <c r="E69" s="102">
        <v>0.721</v>
      </c>
      <c r="F69" s="102">
        <v>0.22784</v>
      </c>
      <c r="G69" s="102">
        <v>0.106043</v>
      </c>
      <c r="H69" s="102">
        <v>0.49045</v>
      </c>
      <c r="I69" s="102">
        <v>0.007389</v>
      </c>
      <c r="J69" s="102">
        <v>0.09753</v>
      </c>
    </row>
    <row r="70">
      <c r="A70" s="102">
        <v>76.0</v>
      </c>
      <c r="B70" s="102">
        <v>2019.0</v>
      </c>
      <c r="C70" s="102">
        <v>0.065581</v>
      </c>
      <c r="D70" s="102">
        <v>0.449872</v>
      </c>
      <c r="E70" s="102">
        <v>0.725</v>
      </c>
      <c r="F70" s="102">
        <v>0.20928</v>
      </c>
      <c r="G70" s="102">
        <v>0.107034</v>
      </c>
      <c r="H70" s="102">
        <v>0.49503</v>
      </c>
      <c r="I70" s="102">
        <v>0.007458</v>
      </c>
      <c r="J70" s="102">
        <v>0.098441</v>
      </c>
    </row>
    <row r="71">
      <c r="A71" s="102">
        <v>77.0</v>
      </c>
      <c r="B71" s="102">
        <v>2020.0</v>
      </c>
      <c r="C71" s="102">
        <v>0.070233</v>
      </c>
      <c r="D71" s="102">
        <v>0.449204</v>
      </c>
      <c r="E71" s="102">
        <v>0.731</v>
      </c>
      <c r="F71" s="102">
        <v>0.24928</v>
      </c>
      <c r="G71" s="102">
        <v>0.108013</v>
      </c>
      <c r="H71" s="102">
        <v>0.499561</v>
      </c>
      <c r="I71" s="102">
        <v>0.007526</v>
      </c>
      <c r="J71" s="102">
        <v>0.099342</v>
      </c>
    </row>
    <row r="72">
      <c r="A72" s="102">
        <v>78.0</v>
      </c>
      <c r="B72" s="102">
        <v>2021.0</v>
      </c>
      <c r="C72" s="102">
        <v>0.077209</v>
      </c>
      <c r="D72" s="102">
        <v>0.448537</v>
      </c>
      <c r="E72" s="102">
        <v>0.737</v>
      </c>
      <c r="F72" s="102">
        <v>0.23072</v>
      </c>
      <c r="G72" s="102">
        <v>0.108982</v>
      </c>
      <c r="H72" s="102">
        <v>0.504041</v>
      </c>
      <c r="I72" s="102">
        <v>0.007593</v>
      </c>
      <c r="J72" s="102">
        <v>0.100233</v>
      </c>
    </row>
    <row r="73">
      <c r="A73" s="102">
        <v>79.0</v>
      </c>
      <c r="B73" s="102">
        <v>2022.0</v>
      </c>
      <c r="C73" s="102">
        <v>0.106977</v>
      </c>
      <c r="D73" s="102">
        <v>0.447869</v>
      </c>
      <c r="E73" s="102">
        <v>0.742</v>
      </c>
      <c r="F73" s="102">
        <v>0.23616</v>
      </c>
      <c r="G73" s="102">
        <v>0.110699</v>
      </c>
      <c r="H73" s="102">
        <v>0.511983</v>
      </c>
      <c r="I73" s="102">
        <v>0.007713</v>
      </c>
      <c r="J73" s="102">
        <v>0.101813</v>
      </c>
    </row>
    <row r="74">
      <c r="A74" s="102">
        <v>81.0</v>
      </c>
      <c r="B74" s="102">
        <v>2015.0</v>
      </c>
      <c r="C74" s="102">
        <v>0.210698</v>
      </c>
      <c r="D74" s="102">
        <v>0.174252</v>
      </c>
      <c r="E74" s="102">
        <v>0.58</v>
      </c>
      <c r="F74" s="102">
        <v>0.49344</v>
      </c>
      <c r="G74" s="102">
        <v>0.438966</v>
      </c>
      <c r="H74" s="102">
        <v>2.03022</v>
      </c>
      <c r="I74" s="102">
        <v>0.086876</v>
      </c>
      <c r="J74" s="102">
        <v>1.180138</v>
      </c>
    </row>
    <row r="75">
      <c r="A75" s="102">
        <v>82.0</v>
      </c>
      <c r="B75" s="102">
        <v>2016.0</v>
      </c>
      <c r="C75" s="102">
        <v>0.222326</v>
      </c>
      <c r="D75" s="102">
        <v>0.250695</v>
      </c>
      <c r="E75" s="102">
        <v>0.582</v>
      </c>
      <c r="F75" s="102">
        <v>0.49728</v>
      </c>
      <c r="G75" s="102">
        <v>0.448544</v>
      </c>
      <c r="H75" s="102">
        <v>2.074517</v>
      </c>
      <c r="I75" s="102">
        <v>0.088771</v>
      </c>
      <c r="J75" s="102">
        <v>1.205887</v>
      </c>
    </row>
    <row r="76">
      <c r="A76" s="102">
        <v>83.0</v>
      </c>
      <c r="B76" s="102">
        <v>2017.0</v>
      </c>
      <c r="C76" s="102">
        <v>0.202791</v>
      </c>
      <c r="D76" s="102">
        <v>0.317459</v>
      </c>
      <c r="E76" s="102">
        <v>0.592</v>
      </c>
      <c r="F76" s="102">
        <v>0.50528</v>
      </c>
      <c r="G76" s="102">
        <v>0.458135</v>
      </c>
      <c r="H76" s="102">
        <v>2.118875</v>
      </c>
      <c r="I76" s="102">
        <v>0.090669</v>
      </c>
      <c r="J76" s="102">
        <v>1.231672</v>
      </c>
    </row>
    <row r="77">
      <c r="A77" s="102">
        <v>84.0</v>
      </c>
      <c r="B77" s="102">
        <v>2018.0</v>
      </c>
      <c r="C77" s="102">
        <v>0.200465</v>
      </c>
      <c r="D77" s="102">
        <v>0.193502</v>
      </c>
      <c r="E77" s="102">
        <v>0.595</v>
      </c>
      <c r="F77" s="102">
        <v>0.51072</v>
      </c>
      <c r="G77" s="102">
        <v>0.467735</v>
      </c>
      <c r="H77" s="102">
        <v>2.163275</v>
      </c>
      <c r="I77" s="102">
        <v>0.092569</v>
      </c>
      <c r="J77" s="102">
        <v>1.257481</v>
      </c>
    </row>
    <row r="78">
      <c r="A78" s="102">
        <v>85.0</v>
      </c>
      <c r="B78" s="102">
        <v>2019.0</v>
      </c>
      <c r="C78" s="102">
        <v>0.22186</v>
      </c>
      <c r="D78" s="102">
        <v>0.237677</v>
      </c>
      <c r="E78" s="102">
        <v>0.598</v>
      </c>
      <c r="F78" s="102">
        <v>0.536</v>
      </c>
      <c r="G78" s="102">
        <v>0.47734</v>
      </c>
      <c r="H78" s="102">
        <v>2.207699</v>
      </c>
      <c r="I78" s="102">
        <v>0.09447</v>
      </c>
      <c r="J78" s="102">
        <v>1.283304</v>
      </c>
    </row>
    <row r="79">
      <c r="A79" s="102">
        <v>86.0</v>
      </c>
      <c r="B79" s="102">
        <v>2020.0</v>
      </c>
      <c r="C79" s="102">
        <v>0.230698</v>
      </c>
      <c r="D79" s="102">
        <v>0.275398</v>
      </c>
      <c r="E79" s="102">
        <v>0.603</v>
      </c>
      <c r="F79" s="102">
        <v>0.49344</v>
      </c>
      <c r="G79" s="102">
        <v>0.486947</v>
      </c>
      <c r="H79" s="102">
        <v>2.252129</v>
      </c>
      <c r="I79" s="102">
        <v>0.096372</v>
      </c>
      <c r="J79" s="102">
        <v>1.309131</v>
      </c>
    </row>
    <row r="80">
      <c r="A80" s="102">
        <v>87.0</v>
      </c>
      <c r="B80" s="102">
        <v>2021.0</v>
      </c>
      <c r="C80" s="102">
        <v>0.216279</v>
      </c>
      <c r="D80" s="102">
        <v>0.313119</v>
      </c>
      <c r="E80" s="102">
        <v>0.607</v>
      </c>
      <c r="F80" s="102">
        <v>0.47328</v>
      </c>
      <c r="G80" s="102">
        <v>0.496551</v>
      </c>
      <c r="H80" s="102">
        <v>2.296547</v>
      </c>
      <c r="I80" s="102">
        <v>0.098272</v>
      </c>
      <c r="J80" s="102">
        <v>1.33495</v>
      </c>
    </row>
    <row r="81">
      <c r="A81" s="102">
        <v>88.0</v>
      </c>
      <c r="B81" s="102">
        <v>2022.0</v>
      </c>
      <c r="C81" s="102">
        <v>0.074419</v>
      </c>
      <c r="D81" s="102">
        <v>0.35084</v>
      </c>
      <c r="E81" s="102">
        <v>0.612</v>
      </c>
      <c r="F81" s="102">
        <v>0.47008</v>
      </c>
      <c r="G81" s="102">
        <v>0.498475</v>
      </c>
      <c r="H81" s="102">
        <v>2.305447</v>
      </c>
      <c r="I81" s="102">
        <v>0.098653</v>
      </c>
      <c r="J81" s="102">
        <v>1.340123</v>
      </c>
    </row>
    <row r="82">
      <c r="A82" s="102">
        <v>90.0</v>
      </c>
      <c r="B82" s="102">
        <v>2015.0</v>
      </c>
      <c r="C82" s="102">
        <v>0.074884</v>
      </c>
      <c r="D82" s="102">
        <v>0.399466</v>
      </c>
      <c r="E82" s="102">
        <v>0.657</v>
      </c>
      <c r="F82" s="102">
        <v>0.44256</v>
      </c>
      <c r="G82" s="102">
        <v>0.637065</v>
      </c>
      <c r="H82" s="102">
        <v>2.944985</v>
      </c>
      <c r="I82" s="102">
        <v>0.251053</v>
      </c>
      <c r="J82" s="102">
        <v>3.313897</v>
      </c>
    </row>
    <row r="83">
      <c r="A83" s="102">
        <v>91.0</v>
      </c>
      <c r="B83" s="102">
        <v>2016.0</v>
      </c>
      <c r="C83" s="102">
        <v>0.072558</v>
      </c>
      <c r="D83" s="102">
        <v>0.426616</v>
      </c>
      <c r="E83" s="102">
        <v>0.667</v>
      </c>
      <c r="F83" s="102">
        <v>0.45728</v>
      </c>
      <c r="G83" s="102">
        <v>0.646332</v>
      </c>
      <c r="H83" s="102">
        <v>2.987822</v>
      </c>
      <c r="I83" s="102">
        <v>0.254705</v>
      </c>
      <c r="J83" s="102">
        <v>3.3621</v>
      </c>
    </row>
    <row r="84">
      <c r="A84" s="102">
        <v>92.0</v>
      </c>
      <c r="B84" s="102">
        <v>2017.0</v>
      </c>
      <c r="C84" s="102">
        <v>0.086977</v>
      </c>
      <c r="D84" s="102">
        <v>0.418048</v>
      </c>
      <c r="E84" s="102">
        <v>0.677</v>
      </c>
      <c r="F84" s="102">
        <v>0.46144</v>
      </c>
      <c r="G84" s="102">
        <v>0.655545</v>
      </c>
      <c r="H84" s="102">
        <v>3.030413</v>
      </c>
      <c r="I84" s="102">
        <v>0.258335</v>
      </c>
      <c r="J84" s="102">
        <v>3.410027</v>
      </c>
    </row>
    <row r="85">
      <c r="A85" s="102">
        <v>93.0</v>
      </c>
      <c r="B85" s="102">
        <v>2018.0</v>
      </c>
      <c r="C85" s="102">
        <v>0.085116</v>
      </c>
      <c r="D85" s="102">
        <v>0.392233</v>
      </c>
      <c r="E85" s="102">
        <v>0.68</v>
      </c>
      <c r="F85" s="102">
        <v>0.48</v>
      </c>
      <c r="G85" s="102">
        <v>0.664703</v>
      </c>
      <c r="H85" s="102">
        <v>3.072748</v>
      </c>
      <c r="I85" s="102">
        <v>0.261944</v>
      </c>
      <c r="J85" s="102">
        <v>3.457664</v>
      </c>
    </row>
    <row r="86">
      <c r="A86" s="102">
        <v>94.0</v>
      </c>
      <c r="B86" s="102">
        <v>2019.0</v>
      </c>
      <c r="C86" s="102">
        <v>0.069302</v>
      </c>
      <c r="D86" s="102">
        <v>0.406142</v>
      </c>
      <c r="E86" s="102">
        <v>0.683</v>
      </c>
      <c r="F86" s="102">
        <v>0.48544</v>
      </c>
      <c r="G86" s="102">
        <v>0.673803</v>
      </c>
      <c r="H86" s="102">
        <v>3.114815</v>
      </c>
      <c r="I86" s="102">
        <v>0.26553</v>
      </c>
      <c r="J86" s="102">
        <v>3.505001</v>
      </c>
    </row>
    <row r="87">
      <c r="A87" s="102">
        <v>95.0</v>
      </c>
      <c r="B87" s="102">
        <v>2020.0</v>
      </c>
      <c r="C87" s="102">
        <v>0.080465</v>
      </c>
      <c r="D87" s="102">
        <v>0.390898</v>
      </c>
      <c r="E87" s="102">
        <v>0.69</v>
      </c>
      <c r="F87" s="102">
        <v>0.45856</v>
      </c>
      <c r="G87" s="102">
        <v>0.682843</v>
      </c>
      <c r="H87" s="102">
        <v>3.156605</v>
      </c>
      <c r="I87" s="102">
        <v>0.269093</v>
      </c>
      <c r="J87" s="102">
        <v>3.552026</v>
      </c>
    </row>
    <row r="88">
      <c r="A88" s="102">
        <v>96.0</v>
      </c>
      <c r="B88" s="102">
        <v>2021.0</v>
      </c>
      <c r="C88" s="102">
        <v>0.077674</v>
      </c>
      <c r="D88" s="102">
        <v>0.375654</v>
      </c>
      <c r="E88" s="102">
        <v>0.696</v>
      </c>
      <c r="F88" s="102">
        <v>0.42144</v>
      </c>
      <c r="G88" s="102">
        <v>0.691821</v>
      </c>
      <c r="H88" s="102">
        <v>3.198109</v>
      </c>
      <c r="I88" s="102">
        <v>0.272631</v>
      </c>
      <c r="J88" s="102">
        <v>3.598729</v>
      </c>
    </row>
    <row r="89">
      <c r="A89" s="102">
        <v>97.0</v>
      </c>
      <c r="B89" s="102">
        <v>2022.0</v>
      </c>
      <c r="C89" s="102">
        <v>0.032558</v>
      </c>
      <c r="D89" s="102">
        <v>0.360409</v>
      </c>
      <c r="E89" s="102">
        <v>0.703</v>
      </c>
      <c r="F89" s="102">
        <v>0.5648</v>
      </c>
      <c r="G89" s="102">
        <v>0.695629</v>
      </c>
      <c r="H89" s="102">
        <v>3.215712</v>
      </c>
      <c r="I89" s="102">
        <v>0.274132</v>
      </c>
      <c r="J89" s="102">
        <v>3.618538</v>
      </c>
    </row>
    <row r="90">
      <c r="A90" s="102">
        <v>99.0</v>
      </c>
      <c r="B90" s="102">
        <v>2015.0</v>
      </c>
      <c r="C90" s="102">
        <v>0.025116</v>
      </c>
      <c r="D90" s="102">
        <v>0.636475</v>
      </c>
      <c r="E90" s="102">
        <v>0.757</v>
      </c>
      <c r="F90" s="102">
        <v>0.57184</v>
      </c>
      <c r="G90" s="102">
        <v>0.284463</v>
      </c>
      <c r="H90" s="102">
        <v>1.315642</v>
      </c>
      <c r="I90" s="102">
        <v>0.162152</v>
      </c>
      <c r="J90" s="102">
        <v>2.140408</v>
      </c>
    </row>
    <row r="91">
      <c r="A91" s="102">
        <v>100.0</v>
      </c>
      <c r="B91" s="102">
        <v>2016.0</v>
      </c>
      <c r="C91" s="102">
        <v>0.034884</v>
      </c>
      <c r="D91" s="102">
        <v>0.598086</v>
      </c>
      <c r="E91" s="102">
        <v>0.763</v>
      </c>
      <c r="F91" s="102">
        <v>0.56544</v>
      </c>
      <c r="G91" s="102">
        <v>0.285645</v>
      </c>
      <c r="H91" s="102">
        <v>1.32111</v>
      </c>
      <c r="I91" s="102">
        <v>0.162826</v>
      </c>
      <c r="J91" s="102">
        <v>2.149304</v>
      </c>
    </row>
    <row r="92">
      <c r="A92" s="102">
        <v>101.0</v>
      </c>
      <c r="B92" s="102">
        <v>2017.0</v>
      </c>
      <c r="C92" s="102">
        <v>0.032093</v>
      </c>
      <c r="D92" s="102">
        <v>0.569823</v>
      </c>
      <c r="E92" s="102">
        <v>0.775</v>
      </c>
      <c r="F92" s="102">
        <v>0.58944</v>
      </c>
      <c r="G92" s="102">
        <v>0.286809</v>
      </c>
      <c r="H92" s="102">
        <v>1.32649</v>
      </c>
      <c r="I92" s="102">
        <v>0.163489</v>
      </c>
      <c r="J92" s="102">
        <v>2.158057</v>
      </c>
    </row>
    <row r="93">
      <c r="A93" s="102">
        <v>102.0</v>
      </c>
      <c r="B93" s="102">
        <v>2018.0</v>
      </c>
      <c r="C93" s="102">
        <v>0.041395</v>
      </c>
      <c r="D93" s="102">
        <v>0.596195</v>
      </c>
      <c r="E93" s="102">
        <v>0.778</v>
      </c>
      <c r="F93" s="102">
        <v>0.59072</v>
      </c>
      <c r="G93" s="102">
        <v>0.287953</v>
      </c>
      <c r="H93" s="102">
        <v>1.331785</v>
      </c>
      <c r="I93" s="102">
        <v>0.164142</v>
      </c>
      <c r="J93" s="102">
        <v>2.166671</v>
      </c>
    </row>
    <row r="94">
      <c r="A94" s="102">
        <v>103.0</v>
      </c>
      <c r="B94" s="102">
        <v>2019.0</v>
      </c>
      <c r="C94" s="102">
        <v>0.02186</v>
      </c>
      <c r="D94" s="102">
        <v>0.630244</v>
      </c>
      <c r="E94" s="102">
        <v>0.782</v>
      </c>
      <c r="F94" s="102">
        <v>0.608</v>
      </c>
      <c r="G94" s="102">
        <v>0.28908</v>
      </c>
      <c r="H94" s="102">
        <v>1.336994</v>
      </c>
      <c r="I94" s="102">
        <v>0.164784</v>
      </c>
      <c r="J94" s="102">
        <v>2.175146</v>
      </c>
    </row>
    <row r="95">
      <c r="A95" s="102">
        <v>104.0</v>
      </c>
      <c r="B95" s="102">
        <v>2020.0</v>
      </c>
      <c r="C95" s="102">
        <v>0.028372</v>
      </c>
      <c r="D95" s="102">
        <v>0.654278</v>
      </c>
      <c r="E95" s="102">
        <v>0.788</v>
      </c>
      <c r="F95" s="102">
        <v>0.56</v>
      </c>
      <c r="G95" s="102">
        <v>0.290188</v>
      </c>
      <c r="H95" s="102">
        <v>1.342119</v>
      </c>
      <c r="I95" s="102">
        <v>0.165415</v>
      </c>
      <c r="J95" s="102">
        <v>2.183484</v>
      </c>
    </row>
    <row r="96">
      <c r="A96" s="102">
        <v>105.0</v>
      </c>
      <c r="B96" s="102">
        <v>2021.0</v>
      </c>
      <c r="C96" s="102">
        <v>0.030233</v>
      </c>
      <c r="D96" s="102">
        <v>0.660955</v>
      </c>
      <c r="E96" s="102">
        <v>0.795</v>
      </c>
      <c r="F96" s="102">
        <v>0.52928</v>
      </c>
      <c r="G96" s="102">
        <v>0.291278</v>
      </c>
      <c r="H96" s="102">
        <v>1.347161</v>
      </c>
      <c r="I96" s="102">
        <v>0.166037</v>
      </c>
      <c r="J96" s="102">
        <v>2.191687</v>
      </c>
    </row>
    <row r="97">
      <c r="A97" s="102">
        <v>106.0</v>
      </c>
      <c r="B97" s="102">
        <v>2022.0</v>
      </c>
      <c r="C97" s="102">
        <v>0.083721</v>
      </c>
      <c r="D97" s="102">
        <v>0.667631</v>
      </c>
      <c r="E97" s="102">
        <v>0.801</v>
      </c>
      <c r="F97" s="102">
        <v>0.5648</v>
      </c>
      <c r="G97" s="102">
        <v>0.292629</v>
      </c>
      <c r="H97" s="102">
        <v>1.353409</v>
      </c>
      <c r="I97" s="102">
        <v>0.166807</v>
      </c>
      <c r="J97" s="102">
        <v>2.201851</v>
      </c>
    </row>
    <row r="98">
      <c r="A98" s="102">
        <v>108.0</v>
      </c>
      <c r="B98" s="102">
        <v>2015.0</v>
      </c>
      <c r="C98" s="102">
        <v>0.18186</v>
      </c>
      <c r="D98" s="102">
        <v>0.180149</v>
      </c>
      <c r="E98" s="102">
        <v>0.581</v>
      </c>
      <c r="F98" s="102">
        <v>0.55072</v>
      </c>
      <c r="G98" s="102">
        <v>0.905272</v>
      </c>
      <c r="H98" s="102">
        <v>4.186882</v>
      </c>
      <c r="I98" s="102">
        <v>0.216014</v>
      </c>
      <c r="J98" s="102">
        <v>2.851381</v>
      </c>
    </row>
    <row r="99">
      <c r="A99" s="102">
        <v>109.0</v>
      </c>
      <c r="B99" s="102">
        <v>2016.0</v>
      </c>
      <c r="C99" s="102">
        <v>0.179535</v>
      </c>
      <c r="D99" s="102">
        <v>0.186937</v>
      </c>
      <c r="E99" s="102">
        <v>0.588</v>
      </c>
      <c r="F99" s="102">
        <v>0.54144</v>
      </c>
      <c r="G99" s="102">
        <v>0.921271</v>
      </c>
      <c r="H99" s="102">
        <v>4.260877</v>
      </c>
      <c r="I99" s="102">
        <v>0.219831</v>
      </c>
      <c r="J99" s="102">
        <v>2.901774</v>
      </c>
    </row>
    <row r="100">
      <c r="A100" s="102">
        <v>110.0</v>
      </c>
      <c r="B100" s="102">
        <v>2017.0</v>
      </c>
      <c r="C100" s="102">
        <v>0.188372</v>
      </c>
      <c r="D100" s="102">
        <v>0.192389</v>
      </c>
      <c r="E100" s="102">
        <v>0.598</v>
      </c>
      <c r="F100" s="102">
        <v>0.56384</v>
      </c>
      <c r="G100" s="102">
        <v>0.937227</v>
      </c>
      <c r="H100" s="102">
        <v>4.334675</v>
      </c>
      <c r="I100" s="102">
        <v>0.223639</v>
      </c>
      <c r="J100" s="102">
        <v>2.952032</v>
      </c>
    </row>
    <row r="101">
      <c r="A101" s="102">
        <v>111.0</v>
      </c>
      <c r="B101" s="102">
        <v>2018.0</v>
      </c>
      <c r="C101" s="102">
        <v>0.186977</v>
      </c>
      <c r="D101" s="102">
        <v>0.173473</v>
      </c>
      <c r="E101" s="102">
        <v>0.6</v>
      </c>
      <c r="F101" s="102">
        <v>0.56128</v>
      </c>
      <c r="G101" s="102">
        <v>0.953135</v>
      </c>
      <c r="H101" s="102">
        <v>4.408249</v>
      </c>
      <c r="I101" s="102">
        <v>0.227435</v>
      </c>
      <c r="J101" s="102">
        <v>3.002138</v>
      </c>
    </row>
    <row r="102">
      <c r="A102" s="102">
        <v>112.0</v>
      </c>
      <c r="B102" s="102">
        <v>2019.0</v>
      </c>
      <c r="C102" s="102">
        <v>0.203721</v>
      </c>
      <c r="D102" s="102">
        <v>0.117614</v>
      </c>
      <c r="E102" s="102">
        <v>0.603</v>
      </c>
      <c r="F102" s="102">
        <v>0.51744</v>
      </c>
      <c r="G102" s="102">
        <v>0.968989</v>
      </c>
      <c r="H102" s="102">
        <v>4.481575</v>
      </c>
      <c r="I102" s="102">
        <v>0.231218</v>
      </c>
      <c r="J102" s="102">
        <v>3.052075</v>
      </c>
    </row>
    <row r="103">
      <c r="A103" s="102">
        <v>113.0</v>
      </c>
      <c r="B103" s="102">
        <v>2020.0</v>
      </c>
      <c r="C103" s="102">
        <v>0.196279</v>
      </c>
      <c r="D103" s="102">
        <v>0.15489</v>
      </c>
      <c r="E103" s="102">
        <v>0.609</v>
      </c>
      <c r="F103" s="102">
        <v>0.552</v>
      </c>
      <c r="G103" s="102">
        <v>0.984785</v>
      </c>
      <c r="H103" s="102">
        <v>4.55463</v>
      </c>
      <c r="I103" s="102">
        <v>0.234987</v>
      </c>
      <c r="J103" s="102">
        <v>3.101827</v>
      </c>
    </row>
    <row r="104">
      <c r="A104" s="102">
        <v>114.0</v>
      </c>
      <c r="B104" s="102">
        <v>2021.0</v>
      </c>
      <c r="C104" s="102">
        <v>0.187907</v>
      </c>
      <c r="D104" s="102">
        <v>0.192166</v>
      </c>
      <c r="E104" s="102">
        <v>0.614</v>
      </c>
      <c r="F104" s="102">
        <v>0.53728</v>
      </c>
      <c r="G104" s="102">
        <v>1.000517</v>
      </c>
      <c r="H104" s="102">
        <v>4.627391</v>
      </c>
      <c r="I104" s="102">
        <v>0.238741</v>
      </c>
      <c r="J104" s="102">
        <v>3.15138</v>
      </c>
    </row>
    <row r="105">
      <c r="A105" s="102">
        <v>115.0</v>
      </c>
      <c r="B105" s="102">
        <v>2022.0</v>
      </c>
      <c r="C105" s="102">
        <v>0.111628</v>
      </c>
      <c r="D105" s="102">
        <v>0.229443</v>
      </c>
      <c r="E105" s="102">
        <v>0.62</v>
      </c>
      <c r="F105" s="102">
        <v>0.53504</v>
      </c>
      <c r="G105" s="102">
        <v>1.015496</v>
      </c>
      <c r="H105" s="102">
        <v>4.696668</v>
      </c>
      <c r="I105" s="102">
        <v>0.242315</v>
      </c>
      <c r="J105" s="102">
        <v>3.198559</v>
      </c>
    </row>
    <row r="106">
      <c r="A106" s="102">
        <v>117.0</v>
      </c>
      <c r="B106" s="102">
        <v>2015.0</v>
      </c>
      <c r="C106" s="102">
        <v>0.131628</v>
      </c>
      <c r="D106" s="102">
        <v>0.414933</v>
      </c>
      <c r="E106" s="102">
        <v>0.678</v>
      </c>
      <c r="F106" s="102">
        <v>0.60128</v>
      </c>
      <c r="G106" s="102">
        <v>1.0346</v>
      </c>
      <c r="H106" s="102">
        <v>4.785027</v>
      </c>
      <c r="I106" s="102">
        <v>0.533779</v>
      </c>
      <c r="J106" s="102">
        <v>7.045878</v>
      </c>
    </row>
    <row r="107">
      <c r="A107" s="102">
        <v>118.0</v>
      </c>
      <c r="B107" s="102">
        <v>2016.0</v>
      </c>
      <c r="C107" s="102">
        <v>0.129767</v>
      </c>
      <c r="D107" s="102">
        <v>0.425837</v>
      </c>
      <c r="E107" s="102">
        <v>0.68</v>
      </c>
      <c r="F107" s="102">
        <v>0.576</v>
      </c>
      <c r="G107" s="102">
        <v>1.046769</v>
      </c>
      <c r="H107" s="102">
        <v>4.841306</v>
      </c>
      <c r="I107" s="102">
        <v>0.540057</v>
      </c>
      <c r="J107" s="102">
        <v>7.128747</v>
      </c>
    </row>
    <row r="108">
      <c r="A108" s="102">
        <v>119.0</v>
      </c>
      <c r="B108" s="102">
        <v>2017.0</v>
      </c>
      <c r="C108" s="102">
        <v>0.142326</v>
      </c>
      <c r="D108" s="102">
        <v>0.458329</v>
      </c>
      <c r="E108" s="102">
        <v>0.691</v>
      </c>
      <c r="F108" s="102">
        <v>0.608</v>
      </c>
      <c r="G108" s="102">
        <v>1.058834</v>
      </c>
      <c r="H108" s="102">
        <v>4.897107</v>
      </c>
      <c r="I108" s="102">
        <v>0.546281</v>
      </c>
      <c r="J108" s="102">
        <v>7.210914</v>
      </c>
    </row>
    <row r="109">
      <c r="A109" s="102">
        <v>120.0</v>
      </c>
      <c r="B109" s="102">
        <v>2018.0</v>
      </c>
      <c r="C109" s="102">
        <v>0.14093</v>
      </c>
      <c r="D109" s="102">
        <v>0.509736</v>
      </c>
      <c r="E109" s="102">
        <v>0.694</v>
      </c>
      <c r="F109" s="102">
        <v>0.616</v>
      </c>
      <c r="G109" s="102">
        <v>1.070794</v>
      </c>
      <c r="H109" s="102">
        <v>4.952423</v>
      </c>
      <c r="I109" s="102">
        <v>0.552452</v>
      </c>
      <c r="J109" s="102">
        <v>7.292366</v>
      </c>
    </row>
    <row r="110">
      <c r="A110" s="102">
        <v>121.0</v>
      </c>
      <c r="B110" s="102">
        <v>2019.0</v>
      </c>
      <c r="C110" s="102">
        <v>0.138605</v>
      </c>
      <c r="D110" s="102">
        <v>0.464337</v>
      </c>
      <c r="E110" s="102">
        <v>0.697</v>
      </c>
      <c r="F110" s="102">
        <v>0.58944</v>
      </c>
      <c r="G110" s="102">
        <v>1.082648</v>
      </c>
      <c r="H110" s="102">
        <v>5.007245</v>
      </c>
      <c r="I110" s="102">
        <v>0.558567</v>
      </c>
      <c r="J110" s="102">
        <v>7.37309</v>
      </c>
    </row>
    <row r="111">
      <c r="A111" s="102">
        <v>122.0</v>
      </c>
      <c r="B111" s="102">
        <v>2020.0</v>
      </c>
      <c r="C111" s="102">
        <v>0.144186</v>
      </c>
      <c r="D111" s="102">
        <v>0.475576</v>
      </c>
      <c r="E111" s="102">
        <v>0.702</v>
      </c>
      <c r="F111" s="102">
        <v>0.536</v>
      </c>
      <c r="G111" s="102">
        <v>1.094392</v>
      </c>
      <c r="H111" s="102">
        <v>5.061565</v>
      </c>
      <c r="I111" s="102">
        <v>0.564627</v>
      </c>
      <c r="J111" s="102">
        <v>7.453076</v>
      </c>
    </row>
    <row r="112">
      <c r="A112" s="102">
        <v>123.0</v>
      </c>
      <c r="B112" s="102">
        <v>2021.0</v>
      </c>
      <c r="C112" s="102">
        <v>0.164651</v>
      </c>
      <c r="D112" s="102">
        <v>0.515634</v>
      </c>
      <c r="E112" s="102">
        <v>0.707</v>
      </c>
      <c r="F112" s="102">
        <v>0.55584</v>
      </c>
      <c r="G112" s="102">
        <v>1.106027</v>
      </c>
      <c r="H112" s="102">
        <v>5.115376</v>
      </c>
      <c r="I112" s="102">
        <v>0.57063</v>
      </c>
      <c r="J112" s="102">
        <v>7.532312</v>
      </c>
    </row>
    <row r="113">
      <c r="A113" s="102">
        <v>124.0</v>
      </c>
      <c r="B113" s="102">
        <v>2022.0</v>
      </c>
      <c r="C113" s="102">
        <v>0.186047</v>
      </c>
      <c r="D113" s="102">
        <v>0.555692</v>
      </c>
      <c r="E113" s="102">
        <v>0.711</v>
      </c>
      <c r="F113" s="102">
        <v>0.54848</v>
      </c>
      <c r="G113" s="102">
        <v>1.140914</v>
      </c>
      <c r="H113" s="102">
        <v>5.276727</v>
      </c>
      <c r="I113" s="102">
        <v>0.588629</v>
      </c>
      <c r="J113" s="102">
        <v>7.769899</v>
      </c>
    </row>
    <row r="114">
      <c r="A114" s="102">
        <v>126.0</v>
      </c>
      <c r="B114" s="102">
        <v>2015.0</v>
      </c>
      <c r="C114" s="102">
        <v>0.089767</v>
      </c>
      <c r="D114" s="102">
        <v>0.389229</v>
      </c>
      <c r="E114" s="102">
        <v>0.692</v>
      </c>
      <c r="F114" s="102">
        <v>0.32384</v>
      </c>
      <c r="G114" s="102">
        <v>0.035269</v>
      </c>
      <c r="H114" s="102">
        <v>0.163048</v>
      </c>
      <c r="I114" s="102">
        <v>0.009096</v>
      </c>
      <c r="J114" s="102">
        <v>0.120307</v>
      </c>
    </row>
    <row r="115">
      <c r="A115" s="102">
        <v>127.0</v>
      </c>
      <c r="B115" s="102">
        <v>2016.0</v>
      </c>
      <c r="C115" s="102">
        <v>0.08093</v>
      </c>
      <c r="D115" s="102">
        <v>0.420496</v>
      </c>
      <c r="E115" s="102">
        <v>0.68</v>
      </c>
      <c r="F115" s="102">
        <v>0.34784</v>
      </c>
      <c r="G115" s="102">
        <v>0.036001</v>
      </c>
      <c r="H115" s="102">
        <v>0.166436</v>
      </c>
      <c r="I115" s="102">
        <v>0.009285</v>
      </c>
      <c r="J115" s="102">
        <v>0.122807</v>
      </c>
    </row>
    <row r="116">
      <c r="A116" s="102">
        <v>128.0</v>
      </c>
      <c r="B116" s="102">
        <v>2017.0</v>
      </c>
      <c r="C116" s="102">
        <v>0.07907</v>
      </c>
      <c r="D116" s="102">
        <v>0.321242</v>
      </c>
      <c r="E116" s="102">
        <v>0.691</v>
      </c>
      <c r="F116" s="102">
        <v>0.36672</v>
      </c>
      <c r="G116" s="102">
        <v>0.036735</v>
      </c>
      <c r="H116" s="102">
        <v>0.169825</v>
      </c>
      <c r="I116" s="102">
        <v>0.009474</v>
      </c>
      <c r="J116" s="102">
        <v>0.125308</v>
      </c>
    </row>
    <row r="117">
      <c r="A117" s="102">
        <v>129.0</v>
      </c>
      <c r="B117" s="102">
        <v>2018.0</v>
      </c>
      <c r="C117" s="102">
        <v>0.101395</v>
      </c>
      <c r="D117" s="102">
        <v>0.254145</v>
      </c>
      <c r="E117" s="102">
        <v>0.694</v>
      </c>
      <c r="F117" s="102">
        <v>0.376</v>
      </c>
      <c r="G117" s="102">
        <v>0.037468</v>
      </c>
      <c r="H117" s="102">
        <v>0.173214</v>
      </c>
      <c r="I117" s="102">
        <v>0.009663</v>
      </c>
      <c r="J117" s="102">
        <v>0.127809</v>
      </c>
    </row>
    <row r="118">
      <c r="A118" s="102">
        <v>130.0</v>
      </c>
      <c r="B118" s="102">
        <v>2019.0</v>
      </c>
      <c r="C118" s="102">
        <v>0.084651</v>
      </c>
      <c r="D118" s="102">
        <v>0.191276</v>
      </c>
      <c r="E118" s="102">
        <v>0.697</v>
      </c>
      <c r="F118" s="102">
        <v>0.37472</v>
      </c>
      <c r="G118" s="102">
        <v>0.0382</v>
      </c>
      <c r="H118" s="102">
        <v>0.176602</v>
      </c>
      <c r="I118" s="102">
        <v>0.009852</v>
      </c>
      <c r="J118" s="102">
        <v>0.130309</v>
      </c>
    </row>
    <row r="119">
      <c r="A119" s="102">
        <v>131.0</v>
      </c>
      <c r="B119" s="102">
        <v>2020.0</v>
      </c>
      <c r="C119" s="102">
        <v>0.084651</v>
      </c>
      <c r="D119" s="102">
        <v>0.127518</v>
      </c>
      <c r="E119" s="102">
        <v>0.698</v>
      </c>
      <c r="F119" s="102">
        <v>0.376</v>
      </c>
      <c r="G119" s="102">
        <v>0.038933</v>
      </c>
      <c r="H119" s="102">
        <v>0.179987</v>
      </c>
      <c r="I119" s="102">
        <v>0.01004</v>
      </c>
      <c r="J119" s="102">
        <v>0.132806</v>
      </c>
    </row>
    <row r="120">
      <c r="A120" s="102">
        <v>132.0</v>
      </c>
      <c r="B120" s="102">
        <v>2021.0</v>
      </c>
      <c r="C120" s="102">
        <v>0.084651</v>
      </c>
      <c r="D120" s="102">
        <v>0.063759</v>
      </c>
      <c r="E120" s="102">
        <v>0.7</v>
      </c>
      <c r="F120" s="102">
        <v>0.36384</v>
      </c>
      <c r="G120" s="102">
        <v>0.039664</v>
      </c>
      <c r="H120" s="102">
        <v>0.183368</v>
      </c>
      <c r="I120" s="102">
        <v>0.010229</v>
      </c>
      <c r="J120" s="102">
        <v>0.135301</v>
      </c>
    </row>
    <row r="121">
      <c r="A121" s="102">
        <v>133.0</v>
      </c>
      <c r="B121" s="102">
        <v>2022.0</v>
      </c>
      <c r="C121" s="102">
        <v>0.12093</v>
      </c>
      <c r="D121" s="102">
        <v>0.0</v>
      </c>
      <c r="E121" s="102">
        <v>0.701</v>
      </c>
      <c r="F121" s="102">
        <v>0.49312</v>
      </c>
      <c r="G121" s="102">
        <v>0.040549</v>
      </c>
      <c r="H121" s="102">
        <v>0.187457</v>
      </c>
      <c r="I121" s="102">
        <v>0.010457</v>
      </c>
      <c r="J121" s="102">
        <v>0.138318</v>
      </c>
    </row>
    <row r="122">
      <c r="A122" s="102">
        <v>135.0</v>
      </c>
      <c r="B122" s="102">
        <v>2015.0</v>
      </c>
      <c r="C122" s="102">
        <v>0.105116</v>
      </c>
      <c r="D122" s="102">
        <v>0.318237</v>
      </c>
      <c r="E122" s="102">
        <v>0.646</v>
      </c>
      <c r="F122" s="102">
        <v>0.20928</v>
      </c>
      <c r="G122" s="102">
        <v>0.042444</v>
      </c>
      <c r="H122" s="102">
        <v>0.196376</v>
      </c>
      <c r="I122" s="102">
        <v>0.006661</v>
      </c>
      <c r="J122" s="102">
        <v>0.087924</v>
      </c>
    </row>
    <row r="123">
      <c r="A123" s="102">
        <v>136.0</v>
      </c>
      <c r="B123" s="102">
        <v>2016.0</v>
      </c>
      <c r="C123" s="102">
        <v>0.106512</v>
      </c>
      <c r="D123" s="102">
        <v>0.378658</v>
      </c>
      <c r="E123" s="102">
        <v>0.64</v>
      </c>
      <c r="F123" s="102">
        <v>0.24</v>
      </c>
      <c r="G123" s="102">
        <v>0.04359</v>
      </c>
      <c r="H123" s="102">
        <v>0.201681</v>
      </c>
      <c r="I123" s="102">
        <v>0.006841</v>
      </c>
      <c r="J123" s="102">
        <v>0.090299</v>
      </c>
    </row>
    <row r="124">
      <c r="A124" s="102">
        <v>137.0</v>
      </c>
      <c r="B124" s="102">
        <v>2017.0</v>
      </c>
      <c r="C124" s="102">
        <v>0.107907</v>
      </c>
      <c r="D124" s="102">
        <v>0.368866</v>
      </c>
      <c r="E124" s="102">
        <v>0.65</v>
      </c>
      <c r="F124" s="102">
        <v>0.25344</v>
      </c>
      <c r="G124" s="102">
        <v>0.044744</v>
      </c>
      <c r="H124" s="102">
        <v>0.20702</v>
      </c>
      <c r="I124" s="102">
        <v>0.007022</v>
      </c>
      <c r="J124" s="102">
        <v>0.092689</v>
      </c>
    </row>
    <row r="125">
      <c r="A125" s="102">
        <v>138.0</v>
      </c>
      <c r="B125" s="102">
        <v>2018.0</v>
      </c>
      <c r="C125" s="102">
        <v>0.137209</v>
      </c>
      <c r="D125" s="102">
        <v>0.338266</v>
      </c>
      <c r="E125" s="102">
        <v>0.652</v>
      </c>
      <c r="F125" s="102">
        <v>0.25984</v>
      </c>
      <c r="G125" s="102">
        <v>0.045905</v>
      </c>
      <c r="H125" s="102">
        <v>0.212391</v>
      </c>
      <c r="I125" s="102">
        <v>0.007204</v>
      </c>
      <c r="J125" s="102">
        <v>0.095094</v>
      </c>
    </row>
    <row r="126">
      <c r="A126" s="102">
        <v>139.0</v>
      </c>
      <c r="B126" s="102">
        <v>2019.0</v>
      </c>
      <c r="C126" s="102">
        <v>0.120465</v>
      </c>
      <c r="D126" s="102">
        <v>0.250473</v>
      </c>
      <c r="E126" s="102">
        <v>0.656</v>
      </c>
      <c r="F126" s="102">
        <v>0.296</v>
      </c>
      <c r="G126" s="102">
        <v>0.047072</v>
      </c>
      <c r="H126" s="102">
        <v>0.217791</v>
      </c>
      <c r="I126" s="102">
        <v>0.007387</v>
      </c>
      <c r="J126" s="102">
        <v>0.097512</v>
      </c>
    </row>
    <row r="127">
      <c r="A127" s="102">
        <v>140.0</v>
      </c>
      <c r="B127" s="102">
        <v>2020.0</v>
      </c>
      <c r="C127" s="102">
        <v>0.120465</v>
      </c>
      <c r="D127" s="102">
        <v>0.028374</v>
      </c>
      <c r="E127" s="102">
        <v>0.659</v>
      </c>
      <c r="F127" s="102">
        <v>0.21984</v>
      </c>
      <c r="G127" s="102">
        <v>0.048245</v>
      </c>
      <c r="H127" s="102">
        <v>0.223217</v>
      </c>
      <c r="I127" s="102">
        <v>0.007571</v>
      </c>
      <c r="J127" s="102">
        <v>0.099941</v>
      </c>
    </row>
    <row r="128">
      <c r="A128" s="102">
        <v>141.0</v>
      </c>
      <c r="B128" s="102">
        <v>2021.0</v>
      </c>
      <c r="C128" s="102">
        <v>0.114419</v>
      </c>
      <c r="D128" s="102">
        <v>0.225325</v>
      </c>
      <c r="E128" s="102">
        <v>0.661</v>
      </c>
      <c r="F128" s="102">
        <v>0.25856</v>
      </c>
      <c r="G128" s="102">
        <v>0.049423</v>
      </c>
      <c r="H128" s="102">
        <v>0.228668</v>
      </c>
      <c r="I128" s="102">
        <v>0.007756</v>
      </c>
      <c r="J128" s="102">
        <v>0.102382</v>
      </c>
    </row>
    <row r="129">
      <c r="A129" s="102">
        <v>142.0</v>
      </c>
      <c r="B129" s="102">
        <v>2022.0</v>
      </c>
      <c r="C129" s="102">
        <v>0.148837</v>
      </c>
      <c r="D129" s="102">
        <v>0.422277</v>
      </c>
      <c r="E129" s="102">
        <v>0.664</v>
      </c>
      <c r="F129" s="102">
        <v>0.4528</v>
      </c>
      <c r="G129" s="102">
        <v>0.050772</v>
      </c>
      <c r="H129" s="102">
        <v>0.234906</v>
      </c>
      <c r="I129" s="102">
        <v>0.007968</v>
      </c>
      <c r="J129" s="102">
        <v>0.105175</v>
      </c>
    </row>
    <row r="130">
      <c r="A130" s="102">
        <v>144.0</v>
      </c>
      <c r="B130" s="102">
        <v>2015.0</v>
      </c>
      <c r="C130" s="102">
        <v>0.126977</v>
      </c>
      <c r="D130" s="102">
        <v>0.539335</v>
      </c>
      <c r="E130" s="102">
        <v>0.695</v>
      </c>
      <c r="F130" s="102">
        <v>0.25856</v>
      </c>
      <c r="G130" s="102">
        <v>0.009128</v>
      </c>
      <c r="H130" s="102">
        <v>0.042216</v>
      </c>
      <c r="I130" s="102">
        <v>0.006208</v>
      </c>
      <c r="J130" s="102">
        <v>0.081939</v>
      </c>
    </row>
    <row r="131">
      <c r="A131" s="102">
        <v>145.0</v>
      </c>
      <c r="B131" s="102">
        <v>2016.0</v>
      </c>
      <c r="C131" s="102">
        <v>0.130698</v>
      </c>
      <c r="D131" s="102">
        <v>0.566374</v>
      </c>
      <c r="E131" s="102">
        <v>0.688</v>
      </c>
      <c r="F131" s="102">
        <v>0.296</v>
      </c>
      <c r="G131" s="102">
        <v>0.009308</v>
      </c>
      <c r="H131" s="102">
        <v>0.043049</v>
      </c>
      <c r="I131" s="102">
        <v>0.00633</v>
      </c>
      <c r="J131" s="102">
        <v>0.083557</v>
      </c>
    </row>
    <row r="132">
      <c r="A132" s="102">
        <v>146.0</v>
      </c>
      <c r="B132" s="102">
        <v>2017.0</v>
      </c>
      <c r="C132" s="102">
        <v>0.108372</v>
      </c>
      <c r="D132" s="102">
        <v>0.532213</v>
      </c>
      <c r="E132" s="102">
        <v>0.699</v>
      </c>
      <c r="F132" s="102">
        <v>0.312</v>
      </c>
      <c r="G132" s="102">
        <v>0.009488</v>
      </c>
      <c r="H132" s="102">
        <v>0.043882</v>
      </c>
      <c r="I132" s="102">
        <v>0.006453</v>
      </c>
      <c r="J132" s="102">
        <v>0.085173</v>
      </c>
    </row>
    <row r="133">
      <c r="A133" s="102">
        <v>147.0</v>
      </c>
      <c r="B133" s="102">
        <v>2018.0</v>
      </c>
      <c r="C133" s="102">
        <v>0.140465</v>
      </c>
      <c r="D133" s="102">
        <v>0.458551</v>
      </c>
      <c r="E133" s="102">
        <v>0.701</v>
      </c>
      <c r="F133" s="102">
        <v>0.304</v>
      </c>
      <c r="G133" s="102">
        <v>0.009668</v>
      </c>
      <c r="H133" s="102">
        <v>0.044714</v>
      </c>
      <c r="I133" s="102">
        <v>0.006575</v>
      </c>
      <c r="J133" s="102">
        <v>0.086788</v>
      </c>
    </row>
    <row r="134">
      <c r="A134" s="102">
        <v>148.0</v>
      </c>
      <c r="B134" s="102">
        <v>2019.0</v>
      </c>
      <c r="C134" s="102">
        <v>0.119535</v>
      </c>
      <c r="D134" s="102">
        <v>0.38411</v>
      </c>
      <c r="E134" s="102">
        <v>0.704</v>
      </c>
      <c r="F134" s="102">
        <v>0.31584</v>
      </c>
      <c r="G134" s="102">
        <v>0.009847</v>
      </c>
      <c r="H134" s="102">
        <v>0.045545</v>
      </c>
      <c r="I134" s="102">
        <v>0.006697</v>
      </c>
      <c r="J134" s="102">
        <v>0.088401</v>
      </c>
    </row>
    <row r="135">
      <c r="A135" s="102">
        <v>149.0</v>
      </c>
      <c r="B135" s="102">
        <v>2020.0</v>
      </c>
      <c r="C135" s="102">
        <v>0.132558</v>
      </c>
      <c r="D135" s="102">
        <v>0.589407</v>
      </c>
      <c r="E135" s="102">
        <v>0.706</v>
      </c>
      <c r="F135" s="102">
        <v>0.25984</v>
      </c>
      <c r="G135" s="102">
        <v>0.010027</v>
      </c>
      <c r="H135" s="102">
        <v>0.046374</v>
      </c>
      <c r="I135" s="102">
        <v>0.006819</v>
      </c>
      <c r="J135" s="102">
        <v>0.09001</v>
      </c>
    </row>
    <row r="136">
      <c r="A136" s="102">
        <v>150.0</v>
      </c>
      <c r="B136" s="102">
        <v>2021.0</v>
      </c>
      <c r="C136" s="102">
        <v>0.128837</v>
      </c>
      <c r="D136" s="102">
        <v>0.794703</v>
      </c>
      <c r="E136" s="102">
        <v>0.709</v>
      </c>
      <c r="F136" s="102">
        <v>0.296</v>
      </c>
      <c r="G136" s="102">
        <v>0.010206</v>
      </c>
      <c r="H136" s="102">
        <v>0.047201</v>
      </c>
      <c r="I136" s="102">
        <v>0.006941</v>
      </c>
      <c r="J136" s="102">
        <v>0.091616</v>
      </c>
    </row>
    <row r="137">
      <c r="A137" s="102">
        <v>151.0</v>
      </c>
      <c r="B137" s="102">
        <v>2022.0</v>
      </c>
      <c r="C137" s="102">
        <v>0.0</v>
      </c>
      <c r="D137" s="102">
        <v>1.0</v>
      </c>
      <c r="E137" s="102">
        <v>0.711</v>
      </c>
      <c r="F137" s="102">
        <v>0.30208</v>
      </c>
      <c r="G137" s="102">
        <v>0.010344</v>
      </c>
      <c r="H137" s="102">
        <v>0.047842</v>
      </c>
      <c r="I137" s="102">
        <v>0.007035</v>
      </c>
      <c r="J137" s="102">
        <v>0.09286</v>
      </c>
    </row>
    <row r="138">
      <c r="A138" s="102">
        <v>153.0</v>
      </c>
      <c r="B138" s="102">
        <v>2015.0</v>
      </c>
      <c r="C138" s="102">
        <v>0.072093</v>
      </c>
      <c r="D138" s="102">
        <v>0.249917</v>
      </c>
      <c r="E138" s="102">
        <v>0.677</v>
      </c>
      <c r="F138" s="102">
        <v>0.25472</v>
      </c>
      <c r="G138" s="102">
        <v>0.023016</v>
      </c>
      <c r="H138" s="102">
        <v>0.106451</v>
      </c>
      <c r="I138" s="102">
        <v>0.005836</v>
      </c>
      <c r="J138" s="102">
        <v>0.077033</v>
      </c>
    </row>
    <row r="139">
      <c r="A139" s="102">
        <v>154.0</v>
      </c>
      <c r="B139" s="102">
        <v>2016.0</v>
      </c>
      <c r="C139" s="102">
        <v>0.063256</v>
      </c>
      <c r="D139" s="102">
        <v>0.162234</v>
      </c>
      <c r="E139" s="102">
        <v>0.663</v>
      </c>
      <c r="F139" s="102">
        <v>0.26784</v>
      </c>
      <c r="G139" s="102">
        <v>0.023136</v>
      </c>
      <c r="H139" s="102">
        <v>0.107004</v>
      </c>
      <c r="I139" s="102">
        <v>0.005866</v>
      </c>
      <c r="J139" s="102">
        <v>0.077433</v>
      </c>
    </row>
    <row r="140">
      <c r="A140" s="102">
        <v>155.0</v>
      </c>
      <c r="B140" s="102">
        <v>2017.0</v>
      </c>
      <c r="C140" s="102">
        <v>0.065581</v>
      </c>
      <c r="D140" s="102">
        <v>0.164571</v>
      </c>
      <c r="E140" s="102">
        <v>0.673</v>
      </c>
      <c r="F140" s="102">
        <v>0.27872</v>
      </c>
      <c r="G140" s="102">
        <v>0.023254</v>
      </c>
      <c r="H140" s="102">
        <v>0.107549</v>
      </c>
      <c r="I140" s="102">
        <v>0.005896</v>
      </c>
      <c r="J140" s="102">
        <v>0.077827</v>
      </c>
    </row>
    <row r="141">
      <c r="A141" s="102">
        <v>156.0</v>
      </c>
      <c r="B141" s="102">
        <v>2018.0</v>
      </c>
      <c r="C141" s="102">
        <v>0.076744</v>
      </c>
      <c r="D141" s="102">
        <v>0.174808</v>
      </c>
      <c r="E141" s="102">
        <v>0.676</v>
      </c>
      <c r="F141" s="102">
        <v>0.28128</v>
      </c>
      <c r="G141" s="102">
        <v>0.02337</v>
      </c>
      <c r="H141" s="102">
        <v>0.108086</v>
      </c>
      <c r="I141" s="102">
        <v>0.005925</v>
      </c>
      <c r="J141" s="102">
        <v>0.078215</v>
      </c>
    </row>
    <row r="142">
      <c r="A142" s="102">
        <v>157.0</v>
      </c>
      <c r="B142" s="102">
        <v>2019.0</v>
      </c>
      <c r="C142" s="102">
        <v>0.071628</v>
      </c>
      <c r="D142" s="102">
        <v>0.008123</v>
      </c>
      <c r="E142" s="102">
        <v>0.679</v>
      </c>
      <c r="F142" s="102">
        <v>0.29984</v>
      </c>
      <c r="G142" s="102">
        <v>0.023484</v>
      </c>
      <c r="H142" s="102">
        <v>0.108614</v>
      </c>
      <c r="I142" s="102">
        <v>0.005954</v>
      </c>
      <c r="J142" s="102">
        <v>0.078598</v>
      </c>
    </row>
    <row r="143">
      <c r="A143" s="102">
        <v>158.0</v>
      </c>
      <c r="B143" s="102">
        <v>2020.0</v>
      </c>
      <c r="C143" s="102">
        <v>0.068837</v>
      </c>
      <c r="D143" s="102">
        <v>0.046734</v>
      </c>
      <c r="E143" s="102">
        <v>0.68</v>
      </c>
      <c r="F143" s="102">
        <v>0.29184</v>
      </c>
      <c r="G143" s="102">
        <v>0.023597</v>
      </c>
      <c r="H143" s="102">
        <v>0.109134</v>
      </c>
      <c r="I143" s="102">
        <v>0.005983</v>
      </c>
      <c r="J143" s="102">
        <v>0.078974</v>
      </c>
    </row>
    <row r="144">
      <c r="A144" s="102">
        <v>159.0</v>
      </c>
      <c r="B144" s="102">
        <v>2021.0</v>
      </c>
      <c r="C144" s="102">
        <v>0.070233</v>
      </c>
      <c r="D144" s="102">
        <v>0.0849</v>
      </c>
      <c r="E144" s="102">
        <v>0.684</v>
      </c>
      <c r="F144" s="102">
        <v>0.28672</v>
      </c>
      <c r="G144" s="102">
        <v>0.023707</v>
      </c>
      <c r="H144" s="102">
        <v>0.109647</v>
      </c>
      <c r="I144" s="102">
        <v>0.006011</v>
      </c>
      <c r="J144" s="102">
        <v>0.079345</v>
      </c>
    </row>
    <row r="145">
      <c r="A145" s="102">
        <v>160.0</v>
      </c>
      <c r="B145" s="102">
        <v>2022.0</v>
      </c>
      <c r="C145" s="102">
        <v>0.060465</v>
      </c>
      <c r="D145" s="102">
        <v>0.123067</v>
      </c>
      <c r="E145" s="102">
        <v>0.686</v>
      </c>
      <c r="F145" s="102">
        <v>0.47776</v>
      </c>
      <c r="G145" s="102">
        <v>0.023838</v>
      </c>
      <c r="H145" s="102">
        <v>0.110252</v>
      </c>
      <c r="I145" s="102">
        <v>0.006044</v>
      </c>
      <c r="J145" s="102">
        <v>0.079783</v>
      </c>
    </row>
    <row r="146">
      <c r="A146" s="102">
        <v>162.0</v>
      </c>
      <c r="B146" s="102">
        <v>2015.0</v>
      </c>
      <c r="C146" s="102">
        <v>0.154884</v>
      </c>
      <c r="D146" s="102">
        <v>0.185045</v>
      </c>
      <c r="E146" s="102">
        <v>0.582</v>
      </c>
      <c r="F146" s="102">
        <v>0.61056</v>
      </c>
      <c r="G146" s="102">
        <v>0.590405</v>
      </c>
      <c r="H146" s="102">
        <v>2.730625</v>
      </c>
      <c r="I146" s="102">
        <v>0.073925</v>
      </c>
      <c r="J146" s="102">
        <v>0.975806</v>
      </c>
    </row>
    <row r="147">
      <c r="A147" s="102">
        <v>163.0</v>
      </c>
      <c r="B147" s="102">
        <v>2016.0</v>
      </c>
      <c r="C147" s="102">
        <v>0.148837</v>
      </c>
      <c r="D147" s="102">
        <v>0.146545</v>
      </c>
      <c r="E147" s="102">
        <v>0.589</v>
      </c>
      <c r="F147" s="102">
        <v>0.60384</v>
      </c>
      <c r="G147" s="102">
        <v>0.598</v>
      </c>
      <c r="H147" s="102">
        <v>2.765748</v>
      </c>
      <c r="I147" s="102">
        <v>0.074876</v>
      </c>
      <c r="J147" s="102">
        <v>0.988357</v>
      </c>
    </row>
    <row r="148">
      <c r="A148" s="102">
        <v>164.0</v>
      </c>
      <c r="B148" s="102">
        <v>2017.0</v>
      </c>
      <c r="C148" s="102">
        <v>0.146977</v>
      </c>
      <c r="D148" s="102">
        <v>0.219317</v>
      </c>
      <c r="E148" s="102">
        <v>0.599</v>
      </c>
      <c r="F148" s="102">
        <v>0.58656</v>
      </c>
      <c r="G148" s="102">
        <v>0.605538</v>
      </c>
      <c r="H148" s="102">
        <v>2.800612</v>
      </c>
      <c r="I148" s="102">
        <v>0.075819</v>
      </c>
      <c r="J148" s="102">
        <v>1.000816</v>
      </c>
    </row>
    <row r="149">
      <c r="A149" s="102">
        <v>165.0</v>
      </c>
      <c r="B149" s="102">
        <v>2018.0</v>
      </c>
      <c r="C149" s="102">
        <v>0.150233</v>
      </c>
      <c r="D149" s="102">
        <v>0.260154</v>
      </c>
      <c r="E149" s="102">
        <v>0.602</v>
      </c>
      <c r="F149" s="102">
        <v>0.60544</v>
      </c>
      <c r="G149" s="102">
        <v>0.613018</v>
      </c>
      <c r="H149" s="102">
        <v>2.835209</v>
      </c>
      <c r="I149" s="102">
        <v>0.076756</v>
      </c>
      <c r="J149" s="102">
        <v>1.01318</v>
      </c>
    </row>
    <row r="150">
      <c r="A150" s="102">
        <v>166.0</v>
      </c>
      <c r="B150" s="102">
        <v>2019.0</v>
      </c>
      <c r="C150" s="102">
        <v>0.151163</v>
      </c>
      <c r="D150" s="102">
        <v>0.237899</v>
      </c>
      <c r="E150" s="102">
        <v>0.605</v>
      </c>
      <c r="F150" s="102">
        <v>0.624</v>
      </c>
      <c r="G150" s="102">
        <v>0.620439</v>
      </c>
      <c r="H150" s="102">
        <v>2.869532</v>
      </c>
      <c r="I150" s="102">
        <v>0.077685</v>
      </c>
      <c r="J150" s="102">
        <v>1.025445</v>
      </c>
    </row>
    <row r="151">
      <c r="A151" s="102">
        <v>167.0</v>
      </c>
      <c r="B151" s="102">
        <v>2020.0</v>
      </c>
      <c r="C151" s="102">
        <v>0.15907</v>
      </c>
      <c r="D151" s="102">
        <v>0.239346</v>
      </c>
      <c r="E151" s="102">
        <v>0.611</v>
      </c>
      <c r="F151" s="102">
        <v>0.57472</v>
      </c>
      <c r="G151" s="102">
        <v>0.6278</v>
      </c>
      <c r="H151" s="102">
        <v>2.903577</v>
      </c>
      <c r="I151" s="102">
        <v>0.078607</v>
      </c>
      <c r="J151" s="102">
        <v>1.037611</v>
      </c>
    </row>
    <row r="152">
      <c r="A152" s="102">
        <v>168.0</v>
      </c>
      <c r="B152" s="102">
        <v>2021.0</v>
      </c>
      <c r="C152" s="102">
        <v>0.150698</v>
      </c>
      <c r="D152" s="102">
        <v>0.240792</v>
      </c>
      <c r="E152" s="102">
        <v>0.616</v>
      </c>
      <c r="F152" s="102">
        <v>0.568</v>
      </c>
      <c r="G152" s="102">
        <v>0.6351</v>
      </c>
      <c r="H152" s="102">
        <v>2.937336</v>
      </c>
      <c r="I152" s="102">
        <v>0.079521</v>
      </c>
      <c r="J152" s="102">
        <v>1.049676</v>
      </c>
    </row>
    <row r="153">
      <c r="A153" s="102">
        <v>169.0</v>
      </c>
      <c r="B153" s="102">
        <v>2022.0</v>
      </c>
      <c r="C153" s="102">
        <v>0.190698</v>
      </c>
      <c r="D153" s="102">
        <v>0.242239</v>
      </c>
      <c r="E153" s="102">
        <v>0.62</v>
      </c>
      <c r="F153" s="102">
        <v>0.5968</v>
      </c>
      <c r="G153" s="102">
        <v>0.638754</v>
      </c>
      <c r="H153" s="102">
        <v>2.954239</v>
      </c>
      <c r="I153" s="102">
        <v>0.079978</v>
      </c>
      <c r="J153" s="102">
        <v>1.055716</v>
      </c>
    </row>
    <row r="154">
      <c r="A154" s="102">
        <v>171.0</v>
      </c>
      <c r="B154" s="102">
        <v>2015.0</v>
      </c>
      <c r="C154" s="102">
        <v>0.292093</v>
      </c>
      <c r="D154" s="102">
        <v>0.436408</v>
      </c>
      <c r="E154" s="102">
        <v>0.701</v>
      </c>
      <c r="F154" s="102">
        <v>0.55328</v>
      </c>
      <c r="G154" s="102">
        <v>0.303766</v>
      </c>
      <c r="H154" s="102">
        <v>1.404915</v>
      </c>
      <c r="I154" s="102">
        <v>0.108604</v>
      </c>
      <c r="J154" s="102">
        <v>1.433567</v>
      </c>
    </row>
    <row r="155">
      <c r="A155" s="102">
        <v>172.0</v>
      </c>
      <c r="B155" s="102">
        <v>2016.0</v>
      </c>
      <c r="C155" s="102">
        <v>0.325581</v>
      </c>
      <c r="D155" s="102">
        <v>0.469901</v>
      </c>
      <c r="E155" s="102">
        <v>0.707</v>
      </c>
      <c r="F155" s="102">
        <v>0.57856</v>
      </c>
      <c r="G155" s="102">
        <v>0.306922</v>
      </c>
      <c r="H155" s="102">
        <v>1.419512</v>
      </c>
      <c r="I155" s="102">
        <v>0.109732</v>
      </c>
      <c r="J155" s="102">
        <v>1.448462</v>
      </c>
    </row>
    <row r="156">
      <c r="A156" s="102">
        <v>173.0</v>
      </c>
      <c r="B156" s="102">
        <v>2017.0</v>
      </c>
      <c r="C156" s="102">
        <v>0.281395</v>
      </c>
      <c r="D156" s="102">
        <v>0.447424</v>
      </c>
      <c r="E156" s="102">
        <v>0.718</v>
      </c>
      <c r="F156" s="102">
        <v>0.57856</v>
      </c>
      <c r="G156" s="102">
        <v>0.310047</v>
      </c>
      <c r="H156" s="102">
        <v>1.433966</v>
      </c>
      <c r="I156" s="102">
        <v>0.110849</v>
      </c>
      <c r="J156" s="102">
        <v>1.46321</v>
      </c>
    </row>
    <row r="157">
      <c r="A157" s="102">
        <v>174.0</v>
      </c>
      <c r="B157" s="102">
        <v>2018.0</v>
      </c>
      <c r="C157" s="102">
        <v>0.302326</v>
      </c>
      <c r="D157" s="102">
        <v>0.406365</v>
      </c>
      <c r="E157" s="102">
        <v>0.72</v>
      </c>
      <c r="F157" s="102">
        <v>0.58944</v>
      </c>
      <c r="G157" s="102">
        <v>0.31314</v>
      </c>
      <c r="H157" s="102">
        <v>1.448275</v>
      </c>
      <c r="I157" s="102">
        <v>0.111955</v>
      </c>
      <c r="J157" s="102">
        <v>1.477811</v>
      </c>
    </row>
    <row r="158">
      <c r="A158" s="102">
        <v>175.0</v>
      </c>
      <c r="B158" s="102">
        <v>2019.0</v>
      </c>
      <c r="C158" s="102">
        <v>0.269302</v>
      </c>
      <c r="D158" s="102">
        <v>0.411817</v>
      </c>
      <c r="E158" s="102">
        <v>0.724</v>
      </c>
      <c r="F158" s="102">
        <v>0.53056</v>
      </c>
      <c r="G158" s="102">
        <v>0.316203</v>
      </c>
      <c r="H158" s="102">
        <v>1.462437</v>
      </c>
      <c r="I158" s="102">
        <v>0.11305</v>
      </c>
      <c r="J158" s="102">
        <v>1.492262</v>
      </c>
    </row>
    <row r="159">
      <c r="A159" s="102">
        <v>176.0</v>
      </c>
      <c r="B159" s="102">
        <v>2020.0</v>
      </c>
      <c r="C159" s="102">
        <v>0.27907</v>
      </c>
      <c r="D159" s="102">
        <v>0.392567</v>
      </c>
      <c r="E159" s="102">
        <v>0.73</v>
      </c>
      <c r="F159" s="102">
        <v>0.58656</v>
      </c>
      <c r="G159" s="102">
        <v>0.319233</v>
      </c>
      <c r="H159" s="102">
        <v>1.476452</v>
      </c>
      <c r="I159" s="102">
        <v>0.114134</v>
      </c>
      <c r="J159" s="102">
        <v>1.506563</v>
      </c>
    </row>
    <row r="160">
      <c r="A160" s="102">
        <v>177.0</v>
      </c>
      <c r="B160" s="102">
        <v>2021.0</v>
      </c>
      <c r="C160" s="102">
        <v>0.286977</v>
      </c>
      <c r="D160" s="102">
        <v>0.41204</v>
      </c>
      <c r="E160" s="102">
        <v>0.735</v>
      </c>
      <c r="F160" s="102">
        <v>0.52928</v>
      </c>
      <c r="G160" s="102">
        <v>0.322231</v>
      </c>
      <c r="H160" s="102">
        <v>1.490319</v>
      </c>
      <c r="I160" s="102">
        <v>0.115205</v>
      </c>
      <c r="J160" s="102">
        <v>1.520712</v>
      </c>
    </row>
    <row r="161">
      <c r="A161" s="102">
        <v>178.0</v>
      </c>
      <c r="B161" s="102">
        <v>2022.0</v>
      </c>
      <c r="C161" s="102">
        <v>0.316279</v>
      </c>
      <c r="D161" s="102">
        <v>0.431512</v>
      </c>
      <c r="E161" s="102">
        <v>0.74</v>
      </c>
      <c r="F161" s="102">
        <v>0.5984</v>
      </c>
      <c r="G161" s="102">
        <v>0.325713</v>
      </c>
      <c r="H161" s="102">
        <v>1.506423</v>
      </c>
      <c r="I161" s="102">
        <v>0.11645</v>
      </c>
      <c r="J161" s="102">
        <v>1.537145</v>
      </c>
    </row>
    <row r="162">
      <c r="A162" s="102">
        <v>180.0</v>
      </c>
      <c r="B162" s="102">
        <v>2015.0</v>
      </c>
      <c r="C162" s="102">
        <v>0.253488</v>
      </c>
      <c r="D162" s="102">
        <v>0.155669</v>
      </c>
      <c r="E162" s="102">
        <v>0.602</v>
      </c>
      <c r="F162" s="102">
        <v>0.568</v>
      </c>
      <c r="G162" s="102">
        <v>0.883183</v>
      </c>
      <c r="H162" s="102">
        <v>4.084719</v>
      </c>
      <c r="I162" s="102">
        <v>0.182723</v>
      </c>
      <c r="J162" s="102">
        <v>2.411942</v>
      </c>
    </row>
    <row r="163">
      <c r="A163" s="102">
        <v>181.0</v>
      </c>
      <c r="B163" s="102">
        <v>2016.0</v>
      </c>
      <c r="C163" s="102">
        <v>0.232093</v>
      </c>
      <c r="D163" s="102">
        <v>0.225882</v>
      </c>
      <c r="E163" s="102">
        <v>0.613</v>
      </c>
      <c r="F163" s="102">
        <v>0.54656</v>
      </c>
      <c r="G163" s="102">
        <v>0.897864</v>
      </c>
      <c r="H163" s="102">
        <v>4.152623</v>
      </c>
      <c r="I163" s="102">
        <v>0.18576</v>
      </c>
      <c r="J163" s="102">
        <v>2.452038</v>
      </c>
    </row>
    <row r="164">
      <c r="A164" s="102">
        <v>182.0</v>
      </c>
      <c r="B164" s="102">
        <v>2017.0</v>
      </c>
      <c r="C164" s="102">
        <v>0.227442</v>
      </c>
      <c r="D164" s="102">
        <v>0.28263</v>
      </c>
      <c r="E164" s="102">
        <v>0.623</v>
      </c>
      <c r="F164" s="102">
        <v>0.57184</v>
      </c>
      <c r="G164" s="102">
        <v>0.912492</v>
      </c>
      <c r="H164" s="102">
        <v>4.220275</v>
      </c>
      <c r="I164" s="102">
        <v>0.188787</v>
      </c>
      <c r="J164" s="102">
        <v>2.491985</v>
      </c>
    </row>
    <row r="165">
      <c r="A165" s="102">
        <v>183.0</v>
      </c>
      <c r="B165" s="102">
        <v>2018.0</v>
      </c>
      <c r="C165" s="102">
        <v>0.242326</v>
      </c>
      <c r="D165" s="102">
        <v>0.277178</v>
      </c>
      <c r="E165" s="102">
        <v>0.625</v>
      </c>
      <c r="F165" s="102">
        <v>0.56256</v>
      </c>
      <c r="G165" s="102">
        <v>0.92706</v>
      </c>
      <c r="H165" s="102">
        <v>4.287654</v>
      </c>
      <c r="I165" s="102">
        <v>0.191801</v>
      </c>
      <c r="J165" s="102">
        <v>2.53177</v>
      </c>
    </row>
    <row r="166">
      <c r="A166" s="102">
        <v>184.0</v>
      </c>
      <c r="B166" s="102">
        <v>2019.0</v>
      </c>
      <c r="C166" s="102">
        <v>0.24186</v>
      </c>
      <c r="D166" s="102">
        <v>0.208857</v>
      </c>
      <c r="E166" s="102">
        <v>0.628</v>
      </c>
      <c r="F166" s="102">
        <v>0.53184</v>
      </c>
      <c r="G166" s="102">
        <v>0.941565</v>
      </c>
      <c r="H166" s="102">
        <v>4.354739</v>
      </c>
      <c r="I166" s="102">
        <v>0.194802</v>
      </c>
      <c r="J166" s="102">
        <v>2.571383</v>
      </c>
    </row>
    <row r="167">
      <c r="A167" s="102">
        <v>185.0</v>
      </c>
      <c r="B167" s="102">
        <v>2020.0</v>
      </c>
      <c r="C167" s="102">
        <v>0.233488</v>
      </c>
      <c r="D167" s="102">
        <v>0.206187</v>
      </c>
      <c r="E167" s="102">
        <v>0.635</v>
      </c>
      <c r="F167" s="102">
        <v>0.56928</v>
      </c>
      <c r="G167" s="102">
        <v>0.956003</v>
      </c>
      <c r="H167" s="102">
        <v>4.421512</v>
      </c>
      <c r="I167" s="102">
        <v>0.197789</v>
      </c>
      <c r="J167" s="102">
        <v>2.610811</v>
      </c>
    </row>
    <row r="168">
      <c r="A168" s="102">
        <v>186.0</v>
      </c>
      <c r="B168" s="102">
        <v>2021.0</v>
      </c>
      <c r="C168" s="102">
        <v>0.237674</v>
      </c>
      <c r="D168" s="102">
        <v>0.203516</v>
      </c>
      <c r="E168" s="102">
        <v>0.64</v>
      </c>
      <c r="F168" s="102">
        <v>0.568</v>
      </c>
      <c r="G168" s="102">
        <v>0.970368</v>
      </c>
      <c r="H168" s="102">
        <v>4.487952</v>
      </c>
      <c r="I168" s="102">
        <v>0.200761</v>
      </c>
      <c r="J168" s="102">
        <v>2.650043</v>
      </c>
    </row>
    <row r="169">
      <c r="A169" s="102">
        <v>187.0</v>
      </c>
      <c r="B169" s="102">
        <v>2022.0</v>
      </c>
      <c r="C169" s="102">
        <v>0.251163</v>
      </c>
      <c r="D169" s="102">
        <v>0.200846</v>
      </c>
      <c r="E169" s="102">
        <v>0.644</v>
      </c>
      <c r="F169" s="102">
        <v>0.4928</v>
      </c>
      <c r="G169" s="102">
        <v>0.975849</v>
      </c>
      <c r="H169" s="102">
        <v>4.5133</v>
      </c>
      <c r="I169" s="102">
        <v>0.201895</v>
      </c>
      <c r="J169" s="102">
        <v>2.66501</v>
      </c>
    </row>
    <row r="170">
      <c r="A170" s="102">
        <v>189.0</v>
      </c>
      <c r="B170" s="102">
        <v>2015.0</v>
      </c>
      <c r="C170" s="102">
        <v>0.108372</v>
      </c>
      <c r="D170" s="102">
        <v>0.340381</v>
      </c>
      <c r="E170" s="102">
        <v>0.69</v>
      </c>
      <c r="F170" s="102">
        <v>0.08544</v>
      </c>
      <c r="G170" s="102">
        <v>0.007571</v>
      </c>
      <c r="H170" s="102">
        <v>0.035018</v>
      </c>
      <c r="I170" s="102">
        <v>0.00159</v>
      </c>
      <c r="J170" s="102">
        <v>0.020988</v>
      </c>
    </row>
    <row r="171">
      <c r="A171" s="102">
        <v>190.0</v>
      </c>
      <c r="B171" s="102">
        <v>2016.0</v>
      </c>
      <c r="C171" s="102">
        <v>0.093488</v>
      </c>
      <c r="D171" s="102">
        <v>0.338266</v>
      </c>
      <c r="E171" s="102">
        <v>0.7</v>
      </c>
      <c r="F171" s="102">
        <v>0.12384</v>
      </c>
      <c r="G171" s="102">
        <v>0.007634</v>
      </c>
      <c r="H171" s="102">
        <v>0.035309</v>
      </c>
      <c r="I171" s="102">
        <v>0.001603</v>
      </c>
      <c r="J171" s="102">
        <v>0.021163</v>
      </c>
    </row>
    <row r="172">
      <c r="A172" s="102">
        <v>191.0</v>
      </c>
      <c r="B172" s="102">
        <v>2017.0</v>
      </c>
      <c r="C172" s="102">
        <v>0.087907</v>
      </c>
      <c r="D172" s="102">
        <v>0.308223</v>
      </c>
      <c r="E172" s="102">
        <v>0.711</v>
      </c>
      <c r="F172" s="102">
        <v>0.09984</v>
      </c>
      <c r="G172" s="102">
        <v>0.007697</v>
      </c>
      <c r="H172" s="102">
        <v>0.035597</v>
      </c>
      <c r="I172" s="102">
        <v>0.001616</v>
      </c>
      <c r="J172" s="102">
        <v>0.021335</v>
      </c>
    </row>
    <row r="173">
      <c r="A173" s="102">
        <v>192.0</v>
      </c>
      <c r="B173" s="102">
        <v>2018.0</v>
      </c>
      <c r="C173" s="102">
        <v>0.102791</v>
      </c>
      <c r="D173" s="102">
        <v>0.450762</v>
      </c>
      <c r="E173" s="102">
        <v>0.713</v>
      </c>
      <c r="F173" s="102">
        <v>0.08384</v>
      </c>
      <c r="G173" s="102">
        <v>0.007758</v>
      </c>
      <c r="H173" s="102">
        <v>0.035881</v>
      </c>
      <c r="I173" s="102">
        <v>0.001629</v>
      </c>
      <c r="J173" s="102">
        <v>0.021505</v>
      </c>
    </row>
    <row r="174">
      <c r="A174" s="102">
        <v>193.0</v>
      </c>
      <c r="B174" s="102">
        <v>2019.0</v>
      </c>
      <c r="C174" s="102">
        <v>0.083256</v>
      </c>
      <c r="D174" s="102">
        <v>0.371759</v>
      </c>
      <c r="E174" s="102">
        <v>0.717</v>
      </c>
      <c r="F174" s="102">
        <v>0.08256</v>
      </c>
      <c r="G174" s="102">
        <v>0.007819</v>
      </c>
      <c r="H174" s="102">
        <v>0.036161</v>
      </c>
      <c r="I174" s="102">
        <v>0.001642</v>
      </c>
      <c r="J174" s="102">
        <v>0.021674</v>
      </c>
    </row>
    <row r="175">
      <c r="A175" s="102">
        <v>194.0</v>
      </c>
      <c r="B175" s="102">
        <v>2020.0</v>
      </c>
      <c r="C175" s="102">
        <v>0.095814</v>
      </c>
      <c r="D175" s="102">
        <v>0.364193</v>
      </c>
      <c r="E175" s="102">
        <v>0.724</v>
      </c>
      <c r="F175" s="102">
        <v>0.0</v>
      </c>
      <c r="G175" s="102">
        <v>0.007879</v>
      </c>
      <c r="H175" s="102">
        <v>0.036439</v>
      </c>
      <c r="I175" s="102">
        <v>0.001655</v>
      </c>
      <c r="J175" s="102">
        <v>0.02184</v>
      </c>
    </row>
    <row r="176">
      <c r="A176" s="102">
        <v>195.0</v>
      </c>
      <c r="B176" s="102">
        <v>2021.0</v>
      </c>
      <c r="C176" s="102">
        <v>0.094884</v>
      </c>
      <c r="D176" s="102">
        <v>0.356181</v>
      </c>
      <c r="E176" s="102">
        <v>0.73</v>
      </c>
      <c r="F176" s="102">
        <v>0.02272</v>
      </c>
      <c r="G176" s="102">
        <v>0.007938</v>
      </c>
      <c r="H176" s="102">
        <v>0.036712</v>
      </c>
      <c r="I176" s="102">
        <v>0.001667</v>
      </c>
      <c r="J176" s="102">
        <v>0.022004</v>
      </c>
    </row>
    <row r="177">
      <c r="A177" s="102">
        <v>196.0</v>
      </c>
      <c r="B177" s="102">
        <v>2022.0</v>
      </c>
      <c r="C177" s="102">
        <v>0.172093</v>
      </c>
      <c r="D177" s="102">
        <v>0.34817</v>
      </c>
      <c r="E177" s="102">
        <v>0.734</v>
      </c>
      <c r="F177" s="102">
        <v>0.01216</v>
      </c>
      <c r="G177" s="102">
        <v>0.008117</v>
      </c>
      <c r="H177" s="102">
        <v>0.037543</v>
      </c>
      <c r="I177" s="102">
        <v>0.001705</v>
      </c>
      <c r="J177" s="102">
        <v>0.022502</v>
      </c>
    </row>
    <row r="178">
      <c r="A178" s="102">
        <v>198.0</v>
      </c>
      <c r="B178" s="102">
        <v>2015.0</v>
      </c>
      <c r="C178" s="102">
        <v>0.06</v>
      </c>
      <c r="D178" s="102">
        <v>0.450428</v>
      </c>
      <c r="E178" s="102">
        <v>0.688</v>
      </c>
      <c r="F178" s="102">
        <v>0.58944</v>
      </c>
      <c r="G178" s="102">
        <v>0.638422</v>
      </c>
      <c r="H178" s="102">
        <v>2.952701</v>
      </c>
      <c r="I178" s="102">
        <v>0.374269</v>
      </c>
      <c r="J178" s="102">
        <v>4.940345</v>
      </c>
    </row>
    <row r="179">
      <c r="A179" s="102">
        <v>199.0</v>
      </c>
      <c r="B179" s="102">
        <v>2016.0</v>
      </c>
      <c r="C179" s="102">
        <v>0.077674</v>
      </c>
      <c r="D179" s="102">
        <v>0.451541</v>
      </c>
      <c r="E179" s="102">
        <v>0.692</v>
      </c>
      <c r="F179" s="102">
        <v>0.59744</v>
      </c>
      <c r="G179" s="102">
        <v>0.649035</v>
      </c>
      <c r="H179" s="102">
        <v>3.001786</v>
      </c>
      <c r="I179" s="102">
        <v>0.38049</v>
      </c>
      <c r="J179" s="102">
        <v>5.022473</v>
      </c>
    </row>
    <row r="180">
      <c r="A180" s="102">
        <v>200.0</v>
      </c>
      <c r="B180" s="102">
        <v>2017.0</v>
      </c>
      <c r="C180" s="102">
        <v>0.08093</v>
      </c>
      <c r="D180" s="102">
        <v>0.418493</v>
      </c>
      <c r="E180" s="102">
        <v>0.703</v>
      </c>
      <c r="F180" s="102">
        <v>0.592</v>
      </c>
      <c r="G180" s="102">
        <v>0.659608</v>
      </c>
      <c r="H180" s="102">
        <v>3.050689</v>
      </c>
      <c r="I180" s="102">
        <v>0.386689</v>
      </c>
      <c r="J180" s="102">
        <v>5.104296</v>
      </c>
    </row>
    <row r="181">
      <c r="A181" s="102">
        <v>201.0</v>
      </c>
      <c r="B181" s="102">
        <v>2018.0</v>
      </c>
      <c r="C181" s="102">
        <v>0.086512</v>
      </c>
      <c r="D181" s="102">
        <v>0.45143</v>
      </c>
      <c r="E181" s="102">
        <v>0.705</v>
      </c>
      <c r="F181" s="102">
        <v>0.58656</v>
      </c>
      <c r="G181" s="102">
        <v>0.670139</v>
      </c>
      <c r="H181" s="102">
        <v>3.099395</v>
      </c>
      <c r="I181" s="102">
        <v>0.392863</v>
      </c>
      <c r="J181" s="102">
        <v>5.185789</v>
      </c>
    </row>
    <row r="182">
      <c r="A182" s="102">
        <v>202.0</v>
      </c>
      <c r="B182" s="102">
        <v>2019.0</v>
      </c>
      <c r="C182" s="102">
        <v>0.068372</v>
      </c>
      <c r="D182" s="102">
        <v>0.496717</v>
      </c>
      <c r="E182" s="102">
        <v>0.709</v>
      </c>
      <c r="F182" s="102">
        <v>0.592</v>
      </c>
      <c r="G182" s="102">
        <v>0.680625</v>
      </c>
      <c r="H182" s="102">
        <v>3.147889</v>
      </c>
      <c r="I182" s="102">
        <v>0.39901</v>
      </c>
      <c r="J182" s="102">
        <v>5.266927</v>
      </c>
    </row>
    <row r="183">
      <c r="A183" s="102">
        <v>203.0</v>
      </c>
      <c r="B183" s="102">
        <v>2020.0</v>
      </c>
      <c r="C183" s="102">
        <v>0.067442</v>
      </c>
      <c r="D183" s="102">
        <v>0.552131</v>
      </c>
      <c r="E183" s="102">
        <v>0.714</v>
      </c>
      <c r="F183" s="102">
        <v>0.576</v>
      </c>
      <c r="G183" s="102">
        <v>0.691061</v>
      </c>
      <c r="H183" s="102">
        <v>3.196156</v>
      </c>
      <c r="I183" s="102">
        <v>0.405128</v>
      </c>
      <c r="J183" s="102">
        <v>5.347686</v>
      </c>
    </row>
    <row r="184">
      <c r="A184" s="102">
        <v>204.0</v>
      </c>
      <c r="B184" s="102">
        <v>2021.0</v>
      </c>
      <c r="C184" s="102">
        <v>0.073023</v>
      </c>
      <c r="D184" s="102">
        <v>0.570268</v>
      </c>
      <c r="E184" s="102">
        <v>0.72</v>
      </c>
      <c r="F184" s="102">
        <v>0.568</v>
      </c>
      <c r="G184" s="102">
        <v>0.701445</v>
      </c>
      <c r="H184" s="102">
        <v>3.244184</v>
      </c>
      <c r="I184" s="102">
        <v>0.411215</v>
      </c>
      <c r="J184" s="102">
        <v>5.428044</v>
      </c>
    </row>
    <row r="185">
      <c r="A185" s="102">
        <v>205.0</v>
      </c>
      <c r="B185" s="102">
        <v>2022.0</v>
      </c>
      <c r="C185" s="102">
        <v>0.083721</v>
      </c>
      <c r="D185" s="102">
        <v>0.588405</v>
      </c>
      <c r="E185" s="102">
        <v>0.724</v>
      </c>
      <c r="F185" s="102">
        <v>0.56448</v>
      </c>
      <c r="G185" s="102">
        <v>0.704237</v>
      </c>
      <c r="H185" s="102">
        <v>3.257095</v>
      </c>
      <c r="I185" s="102">
        <v>0.412852</v>
      </c>
      <c r="J185" s="102">
        <v>5.449646</v>
      </c>
    </row>
    <row r="186">
      <c r="A186" s="102">
        <v>207.0</v>
      </c>
      <c r="B186" s="102">
        <v>2015.0</v>
      </c>
      <c r="C186" s="102">
        <v>0.097209</v>
      </c>
      <c r="D186" s="102">
        <v>0.357628</v>
      </c>
      <c r="E186" s="102">
        <v>0.649</v>
      </c>
      <c r="F186" s="102">
        <v>0.57984</v>
      </c>
      <c r="G186" s="102">
        <v>0.391952</v>
      </c>
      <c r="H186" s="102">
        <v>1.812776</v>
      </c>
      <c r="I186" s="102">
        <v>0.123075</v>
      </c>
      <c r="J186" s="102">
        <v>1.624592</v>
      </c>
    </row>
    <row r="187">
      <c r="A187" s="102">
        <v>208.0</v>
      </c>
      <c r="B187" s="102">
        <v>2016.0</v>
      </c>
      <c r="C187" s="102">
        <v>0.10093</v>
      </c>
      <c r="D187" s="102">
        <v>0.362635</v>
      </c>
      <c r="E187" s="102">
        <v>0.652</v>
      </c>
      <c r="F187" s="102">
        <v>0.59072</v>
      </c>
      <c r="G187" s="102">
        <v>0.395491</v>
      </c>
      <c r="H187" s="102">
        <v>1.829144</v>
      </c>
      <c r="I187" s="102">
        <v>0.124186</v>
      </c>
      <c r="J187" s="102">
        <v>1.639261</v>
      </c>
    </row>
    <row r="188">
      <c r="A188" s="102">
        <v>209.0</v>
      </c>
      <c r="B188" s="102">
        <v>2017.0</v>
      </c>
      <c r="C188" s="102">
        <v>0.108837</v>
      </c>
      <c r="D188" s="102">
        <v>0.402804</v>
      </c>
      <c r="E188" s="102">
        <v>0.663</v>
      </c>
      <c r="F188" s="102">
        <v>0.58656</v>
      </c>
      <c r="G188" s="102">
        <v>0.39899</v>
      </c>
      <c r="H188" s="102">
        <v>1.845328</v>
      </c>
      <c r="I188" s="102">
        <v>0.125285</v>
      </c>
      <c r="J188" s="102">
        <v>1.653765</v>
      </c>
    </row>
    <row r="189">
      <c r="A189" s="102">
        <v>210.0</v>
      </c>
      <c r="B189" s="102">
        <v>2018.0</v>
      </c>
      <c r="C189" s="102">
        <v>0.110233</v>
      </c>
      <c r="D189" s="102">
        <v>0.352064</v>
      </c>
      <c r="E189" s="102">
        <v>0.665</v>
      </c>
      <c r="F189" s="102">
        <v>0.59072</v>
      </c>
      <c r="G189" s="102">
        <v>0.40245</v>
      </c>
      <c r="H189" s="102">
        <v>1.86133</v>
      </c>
      <c r="I189" s="102">
        <v>0.126372</v>
      </c>
      <c r="J189" s="102">
        <v>1.668105</v>
      </c>
    </row>
    <row r="190">
      <c r="A190" s="102">
        <v>211.0</v>
      </c>
      <c r="B190" s="102">
        <v>2019.0</v>
      </c>
      <c r="C190" s="102">
        <v>0.103256</v>
      </c>
      <c r="D190" s="102">
        <v>0.395126</v>
      </c>
      <c r="E190" s="102">
        <v>0.669</v>
      </c>
      <c r="F190" s="102">
        <v>0.592</v>
      </c>
      <c r="G190" s="102">
        <v>0.40587</v>
      </c>
      <c r="H190" s="102">
        <v>1.877147</v>
      </c>
      <c r="I190" s="102">
        <v>0.127446</v>
      </c>
      <c r="J190" s="102">
        <v>1.682281</v>
      </c>
    </row>
    <row r="191">
      <c r="A191" s="102">
        <v>212.0</v>
      </c>
      <c r="B191" s="102">
        <v>2020.0</v>
      </c>
      <c r="C191" s="102">
        <v>0.107442</v>
      </c>
      <c r="D191" s="102">
        <v>0.477801</v>
      </c>
      <c r="E191" s="102">
        <v>0.674</v>
      </c>
      <c r="F191" s="102">
        <v>0.57184</v>
      </c>
      <c r="G191" s="102">
        <v>0.40925</v>
      </c>
      <c r="H191" s="102">
        <v>1.89278</v>
      </c>
      <c r="I191" s="102">
        <v>0.128507</v>
      </c>
      <c r="J191" s="102">
        <v>1.696291</v>
      </c>
    </row>
    <row r="192">
      <c r="A192" s="102">
        <v>213.0</v>
      </c>
      <c r="B192" s="102">
        <v>2021.0</v>
      </c>
      <c r="C192" s="102">
        <v>0.105581</v>
      </c>
      <c r="D192" s="102">
        <v>0.524758</v>
      </c>
      <c r="E192" s="102">
        <v>0.68</v>
      </c>
      <c r="F192" s="102">
        <v>0.568</v>
      </c>
      <c r="G192" s="102">
        <v>0.41259</v>
      </c>
      <c r="H192" s="102">
        <v>1.908227</v>
      </c>
      <c r="I192" s="102">
        <v>0.129556</v>
      </c>
      <c r="J192" s="102">
        <v>1.710135</v>
      </c>
    </row>
    <row r="193">
      <c r="A193" s="102">
        <v>214.0</v>
      </c>
      <c r="B193" s="102">
        <v>2022.0</v>
      </c>
      <c r="C193" s="102">
        <v>0.176744</v>
      </c>
      <c r="D193" s="102">
        <v>0.571715</v>
      </c>
      <c r="E193" s="102">
        <v>0.684</v>
      </c>
      <c r="F193" s="102">
        <v>0.56608</v>
      </c>
      <c r="G193" s="102">
        <v>0.418632</v>
      </c>
      <c r="H193" s="102">
        <v>1.936175</v>
      </c>
      <c r="I193" s="102">
        <v>0.131453</v>
      </c>
      <c r="J193" s="102">
        <v>1.735181</v>
      </c>
    </row>
    <row r="194">
      <c r="A194" s="102">
        <v>216.0</v>
      </c>
      <c r="B194" s="102">
        <v>2015.0</v>
      </c>
      <c r="C194" s="102">
        <v>0.227907</v>
      </c>
      <c r="D194" s="102">
        <v>0.257706</v>
      </c>
      <c r="E194" s="102">
        <v>0.641</v>
      </c>
      <c r="F194" s="102">
        <v>0.52672</v>
      </c>
      <c r="G194" s="102">
        <v>0.046117</v>
      </c>
      <c r="H194" s="102">
        <v>0.213293</v>
      </c>
      <c r="I194" s="102">
        <v>0.010217</v>
      </c>
      <c r="J194" s="102">
        <v>0.134862</v>
      </c>
    </row>
    <row r="195">
      <c r="A195" s="102">
        <v>217.0</v>
      </c>
      <c r="B195" s="102">
        <v>2016.0</v>
      </c>
      <c r="C195" s="102">
        <v>0.251628</v>
      </c>
      <c r="D195" s="102">
        <v>0.262379</v>
      </c>
      <c r="E195" s="102">
        <v>0.642</v>
      </c>
      <c r="F195" s="102">
        <v>0.54528</v>
      </c>
      <c r="G195" s="102">
        <v>0.046788</v>
      </c>
      <c r="H195" s="102">
        <v>0.216396</v>
      </c>
      <c r="I195" s="102">
        <v>0.010365</v>
      </c>
      <c r="J195" s="102">
        <v>0.136824</v>
      </c>
    </row>
    <row r="196">
      <c r="A196" s="102">
        <v>218.0</v>
      </c>
      <c r="B196" s="102">
        <v>2017.0</v>
      </c>
      <c r="C196" s="102">
        <v>0.205116</v>
      </c>
      <c r="D196" s="102">
        <v>0.2843</v>
      </c>
      <c r="E196" s="102">
        <v>0.652</v>
      </c>
      <c r="F196" s="102">
        <v>0.528</v>
      </c>
      <c r="G196" s="102">
        <v>0.047455</v>
      </c>
      <c r="H196" s="102">
        <v>0.21948</v>
      </c>
      <c r="I196" s="102">
        <v>0.010513</v>
      </c>
      <c r="J196" s="102">
        <v>0.138774</v>
      </c>
    </row>
    <row r="197">
      <c r="A197" s="102">
        <v>219.0</v>
      </c>
      <c r="B197" s="102">
        <v>2018.0</v>
      </c>
      <c r="C197" s="102">
        <v>0.290233</v>
      </c>
      <c r="D197" s="102">
        <v>0.230444</v>
      </c>
      <c r="E197" s="102">
        <v>0.655</v>
      </c>
      <c r="F197" s="102">
        <v>0.55872</v>
      </c>
      <c r="G197" s="102">
        <v>0.048118</v>
      </c>
      <c r="H197" s="102">
        <v>0.222547</v>
      </c>
      <c r="I197" s="102">
        <v>0.01066</v>
      </c>
      <c r="J197" s="102">
        <v>0.140713</v>
      </c>
    </row>
    <row r="198">
      <c r="A198" s="102">
        <v>220.0</v>
      </c>
      <c r="B198" s="102">
        <v>2019.0</v>
      </c>
      <c r="C198" s="102">
        <v>0.234419</v>
      </c>
      <c r="D198" s="102">
        <v>0.524758</v>
      </c>
      <c r="E198" s="102">
        <v>0.658</v>
      </c>
      <c r="F198" s="102">
        <v>0.55872</v>
      </c>
      <c r="G198" s="102">
        <v>0.048777</v>
      </c>
      <c r="H198" s="102">
        <v>0.225593</v>
      </c>
      <c r="I198" s="102">
        <v>0.010806</v>
      </c>
      <c r="J198" s="102">
        <v>0.142639</v>
      </c>
    </row>
    <row r="199">
      <c r="A199" s="102">
        <v>221.0</v>
      </c>
      <c r="B199" s="102">
        <v>2020.0</v>
      </c>
      <c r="C199" s="102">
        <v>0.255349</v>
      </c>
      <c r="D199" s="102">
        <v>0.526983</v>
      </c>
      <c r="E199" s="102">
        <v>0.662</v>
      </c>
      <c r="F199" s="102">
        <v>0.55072</v>
      </c>
      <c r="G199" s="102">
        <v>0.049431</v>
      </c>
      <c r="H199" s="102">
        <v>0.22862</v>
      </c>
      <c r="I199" s="102">
        <v>0.010951</v>
      </c>
      <c r="J199" s="102">
        <v>0.144553</v>
      </c>
    </row>
    <row r="200">
      <c r="A200" s="102">
        <v>222.0</v>
      </c>
      <c r="B200" s="102">
        <v>2021.0</v>
      </c>
      <c r="C200" s="102">
        <v>0.243256</v>
      </c>
      <c r="D200" s="102">
        <v>0.529209</v>
      </c>
      <c r="E200" s="102">
        <v>0.667</v>
      </c>
      <c r="F200" s="102">
        <v>0.53728</v>
      </c>
      <c r="G200" s="102">
        <v>0.050081</v>
      </c>
      <c r="H200" s="102">
        <v>0.231626</v>
      </c>
      <c r="I200" s="102">
        <v>0.011095</v>
      </c>
      <c r="J200" s="102">
        <v>0.146454</v>
      </c>
    </row>
    <row r="201">
      <c r="A201" s="102">
        <v>223.0</v>
      </c>
      <c r="B201" s="102">
        <v>2022.0</v>
      </c>
      <c r="C201" s="102">
        <v>1.0</v>
      </c>
      <c r="D201" s="102">
        <v>0.531434</v>
      </c>
      <c r="E201" s="102">
        <v>0.671</v>
      </c>
      <c r="F201" s="102">
        <v>0.5392</v>
      </c>
      <c r="G201" s="102">
        <v>0.050204</v>
      </c>
      <c r="H201" s="102">
        <v>0.232195</v>
      </c>
      <c r="I201" s="102">
        <v>0.011122</v>
      </c>
      <c r="J201" s="102">
        <v>0.146814</v>
      </c>
    </row>
    <row r="202">
      <c r="A202" s="102">
        <v>225.0</v>
      </c>
      <c r="B202" s="102">
        <v>2015.0</v>
      </c>
      <c r="C202" s="102">
        <v>0.111628</v>
      </c>
      <c r="D202" s="102">
        <v>0.250584</v>
      </c>
      <c r="E202" s="102">
        <v>0.661</v>
      </c>
      <c r="F202" s="102">
        <v>0.34528</v>
      </c>
      <c r="G202" s="102">
        <v>0.120681</v>
      </c>
      <c r="H202" s="102">
        <v>0.558151</v>
      </c>
      <c r="I202" s="102">
        <v>0.032681</v>
      </c>
      <c r="J202" s="102">
        <v>0.431383</v>
      </c>
    </row>
    <row r="203">
      <c r="A203" s="102">
        <v>226.0</v>
      </c>
      <c r="B203" s="102">
        <v>2016.0</v>
      </c>
      <c r="C203" s="102">
        <v>0.12186</v>
      </c>
      <c r="D203" s="102">
        <v>0.249471</v>
      </c>
      <c r="E203" s="102">
        <v>0.667</v>
      </c>
      <c r="F203" s="102">
        <v>0.33472</v>
      </c>
      <c r="G203" s="102">
        <v>0.122687</v>
      </c>
      <c r="H203" s="102">
        <v>0.567429</v>
      </c>
      <c r="I203" s="102">
        <v>0.033224</v>
      </c>
      <c r="J203" s="102">
        <v>0.438554</v>
      </c>
    </row>
    <row r="204">
      <c r="A204" s="102">
        <v>227.0</v>
      </c>
      <c r="B204" s="102">
        <v>2017.0</v>
      </c>
      <c r="C204" s="102">
        <v>0.106512</v>
      </c>
      <c r="D204" s="102">
        <v>0.193613</v>
      </c>
      <c r="E204" s="102">
        <v>0.677</v>
      </c>
      <c r="F204" s="102">
        <v>0.35744</v>
      </c>
      <c r="G204" s="102">
        <v>0.124686</v>
      </c>
      <c r="H204" s="102">
        <v>0.576674</v>
      </c>
      <c r="I204" s="102">
        <v>0.033765</v>
      </c>
      <c r="J204" s="102">
        <v>0.445699</v>
      </c>
    </row>
    <row r="205">
      <c r="A205" s="102">
        <v>228.0</v>
      </c>
      <c r="B205" s="102">
        <v>2018.0</v>
      </c>
      <c r="C205" s="102">
        <v>0.114884</v>
      </c>
      <c r="D205" s="102">
        <v>0.234338</v>
      </c>
      <c r="E205" s="102">
        <v>0.68</v>
      </c>
      <c r="F205" s="102">
        <v>0.36128</v>
      </c>
      <c r="G205" s="102">
        <v>0.126677</v>
      </c>
      <c r="H205" s="102">
        <v>0.58588</v>
      </c>
      <c r="I205" s="102">
        <v>0.034304</v>
      </c>
      <c r="J205" s="102">
        <v>0.452815</v>
      </c>
    </row>
    <row r="206">
      <c r="A206" s="102">
        <v>229.0</v>
      </c>
      <c r="B206" s="102">
        <v>2019.0</v>
      </c>
      <c r="C206" s="102">
        <v>0.093953</v>
      </c>
      <c r="D206" s="102">
        <v>0.231668</v>
      </c>
      <c r="E206" s="102">
        <v>0.683</v>
      </c>
      <c r="F206" s="102">
        <v>0.35456</v>
      </c>
      <c r="G206" s="102">
        <v>0.128659</v>
      </c>
      <c r="H206" s="102">
        <v>0.595047</v>
      </c>
      <c r="I206" s="102">
        <v>0.034841</v>
      </c>
      <c r="J206" s="102">
        <v>0.4599</v>
      </c>
    </row>
    <row r="207">
      <c r="A207" s="102">
        <v>230.0</v>
      </c>
      <c r="B207" s="102">
        <v>2020.0</v>
      </c>
      <c r="C207" s="102">
        <v>0.093023</v>
      </c>
      <c r="D207" s="102">
        <v>0.238233</v>
      </c>
      <c r="E207" s="102">
        <v>0.689</v>
      </c>
      <c r="F207" s="102">
        <v>0.41184</v>
      </c>
      <c r="G207" s="102">
        <v>0.130632</v>
      </c>
      <c r="H207" s="102">
        <v>0.604171</v>
      </c>
      <c r="I207" s="102">
        <v>0.035375</v>
      </c>
      <c r="J207" s="102">
        <v>0.466951</v>
      </c>
    </row>
    <row r="208">
      <c r="A208" s="102">
        <v>231.0</v>
      </c>
      <c r="B208" s="102">
        <v>2021.0</v>
      </c>
      <c r="C208" s="102">
        <v>0.109302</v>
      </c>
      <c r="D208" s="102">
        <v>0.244798</v>
      </c>
      <c r="E208" s="102">
        <v>0.694</v>
      </c>
      <c r="F208" s="102">
        <v>0.38144</v>
      </c>
      <c r="G208" s="102">
        <v>0.132595</v>
      </c>
      <c r="H208" s="102">
        <v>0.61325</v>
      </c>
      <c r="I208" s="102">
        <v>0.035907</v>
      </c>
      <c r="J208" s="102">
        <v>0.473968</v>
      </c>
    </row>
    <row r="209">
      <c r="A209" s="102">
        <v>234.0</v>
      </c>
      <c r="B209" s="102">
        <v>2015.0</v>
      </c>
      <c r="C209" s="102">
        <v>0.346047</v>
      </c>
      <c r="D209" s="102">
        <v>0.059419</v>
      </c>
      <c r="E209" s="102">
        <v>0.572</v>
      </c>
      <c r="F209" s="102">
        <v>0.60544</v>
      </c>
      <c r="G209" s="102">
        <v>2.661885</v>
      </c>
      <c r="H209" s="102">
        <v>12.31597</v>
      </c>
      <c r="I209" s="102">
        <v>0.476651</v>
      </c>
      <c r="J209" s="102">
        <v>6.291797</v>
      </c>
    </row>
    <row r="210">
      <c r="A210" s="102">
        <v>235.0</v>
      </c>
      <c r="B210" s="102">
        <v>2016.0</v>
      </c>
      <c r="C210" s="102">
        <v>0.385581</v>
      </c>
      <c r="D210" s="102">
        <v>0.121175</v>
      </c>
      <c r="E210" s="102">
        <v>0.579</v>
      </c>
      <c r="F210" s="102">
        <v>0.59456</v>
      </c>
      <c r="G210" s="102">
        <v>2.705748</v>
      </c>
      <c r="H210" s="102">
        <v>12.51892</v>
      </c>
      <c r="I210" s="102">
        <v>0.484506</v>
      </c>
      <c r="J210" s="102">
        <v>6.395476</v>
      </c>
    </row>
    <row r="211">
      <c r="A211" s="102">
        <v>236.0</v>
      </c>
      <c r="B211" s="102">
        <v>2017.0</v>
      </c>
      <c r="C211" s="102">
        <v>0.363721</v>
      </c>
      <c r="D211" s="102">
        <v>0.064649</v>
      </c>
      <c r="E211" s="102">
        <v>0.589</v>
      </c>
      <c r="F211" s="102">
        <v>0.61728</v>
      </c>
      <c r="G211" s="102">
        <v>2.749443</v>
      </c>
      <c r="H211" s="102">
        <v>12.72108</v>
      </c>
      <c r="I211" s="102">
        <v>0.49233</v>
      </c>
      <c r="J211" s="102">
        <v>6.498755</v>
      </c>
    </row>
    <row r="212">
      <c r="A212" s="102">
        <v>237.0</v>
      </c>
      <c r="B212" s="102">
        <v>2018.0</v>
      </c>
      <c r="C212" s="102">
        <v>0.362791</v>
      </c>
      <c r="D212" s="102">
        <v>0.008679</v>
      </c>
      <c r="E212" s="102">
        <v>0.591</v>
      </c>
      <c r="F212" s="102">
        <v>0.59456</v>
      </c>
      <c r="G212" s="102">
        <v>2.792955</v>
      </c>
      <c r="H212" s="102">
        <v>12.9224</v>
      </c>
      <c r="I212" s="102">
        <v>0.500121</v>
      </c>
      <c r="J212" s="102">
        <v>6.601603</v>
      </c>
    </row>
    <row r="213">
      <c r="A213" s="102">
        <v>238.0</v>
      </c>
      <c r="B213" s="102">
        <v>2019.0</v>
      </c>
      <c r="C213" s="102">
        <v>0.372558</v>
      </c>
      <c r="D213" s="102">
        <v>0.021475</v>
      </c>
      <c r="E213" s="102">
        <v>0.594</v>
      </c>
      <c r="F213" s="102">
        <v>0.58528</v>
      </c>
      <c r="G213" s="102">
        <v>2.836272</v>
      </c>
      <c r="H213" s="102">
        <v>13.12282</v>
      </c>
      <c r="I213" s="102">
        <v>0.507878</v>
      </c>
      <c r="J213" s="102">
        <v>6.70399</v>
      </c>
    </row>
    <row r="214">
      <c r="A214" s="102">
        <v>239.0</v>
      </c>
      <c r="B214" s="102">
        <v>2020.0</v>
      </c>
      <c r="C214" s="102">
        <v>0.359535</v>
      </c>
      <c r="D214" s="102">
        <v>0.086458</v>
      </c>
      <c r="E214" s="102">
        <v>0.6</v>
      </c>
      <c r="F214" s="102">
        <v>0.60096</v>
      </c>
      <c r="G214" s="102">
        <v>2.879381</v>
      </c>
      <c r="H214" s="102">
        <v>13.32228</v>
      </c>
      <c r="I214" s="102">
        <v>0.515597</v>
      </c>
      <c r="J214" s="102">
        <v>6.805885</v>
      </c>
    </row>
    <row r="215">
      <c r="A215" s="102">
        <v>240.0</v>
      </c>
      <c r="B215" s="102">
        <v>2021.0</v>
      </c>
      <c r="C215" s="102">
        <v>0.363256</v>
      </c>
      <c r="D215" s="102">
        <v>0.025147</v>
      </c>
      <c r="E215" s="102">
        <v>0.605</v>
      </c>
      <c r="F215" s="102">
        <v>0.57984</v>
      </c>
      <c r="G215" s="102">
        <v>2.922269</v>
      </c>
      <c r="H215" s="102">
        <v>13.52071</v>
      </c>
      <c r="I215" s="102">
        <v>0.523277</v>
      </c>
      <c r="J215" s="102">
        <v>6.907259</v>
      </c>
    </row>
    <row r="216">
      <c r="A216" s="102">
        <v>243.0</v>
      </c>
      <c r="B216" s="102">
        <v>2015.0</v>
      </c>
      <c r="C216" s="102">
        <v>0.225116</v>
      </c>
      <c r="D216" s="102">
        <v>0.39023</v>
      </c>
      <c r="E216" s="102">
        <v>0.617</v>
      </c>
      <c r="F216" s="102">
        <v>0.608</v>
      </c>
      <c r="G216" s="102">
        <v>1.04249</v>
      </c>
      <c r="H216" s="102">
        <v>4.821518</v>
      </c>
      <c r="I216" s="102">
        <v>0.304787</v>
      </c>
      <c r="J216" s="102">
        <v>4.023182</v>
      </c>
    </row>
    <row r="217">
      <c r="A217" s="102">
        <v>244.0</v>
      </c>
      <c r="B217" s="102">
        <v>2016.0</v>
      </c>
      <c r="C217" s="102">
        <v>0.234419</v>
      </c>
      <c r="D217" s="102">
        <v>0.394459</v>
      </c>
      <c r="E217" s="102">
        <v>0.625</v>
      </c>
      <c r="F217" s="102">
        <v>0.61728</v>
      </c>
      <c r="G217" s="102">
        <v>1.054112</v>
      </c>
      <c r="H217" s="102">
        <v>4.87527</v>
      </c>
      <c r="I217" s="102">
        <v>0.308184</v>
      </c>
      <c r="J217" s="102">
        <v>4.068034</v>
      </c>
    </row>
    <row r="218">
      <c r="A218" s="102">
        <v>245.0</v>
      </c>
      <c r="B218" s="102">
        <v>2017.0</v>
      </c>
      <c r="C218" s="102">
        <v>0.223721</v>
      </c>
      <c r="D218" s="102">
        <v>0.382441</v>
      </c>
      <c r="E218" s="102">
        <v>0.635</v>
      </c>
      <c r="F218" s="102">
        <v>0.59872</v>
      </c>
      <c r="G218" s="102">
        <v>1.065629</v>
      </c>
      <c r="H218" s="102">
        <v>4.928534</v>
      </c>
      <c r="I218" s="102">
        <v>0.311551</v>
      </c>
      <c r="J218" s="102">
        <v>4.112479</v>
      </c>
    </row>
    <row r="219">
      <c r="A219" s="102">
        <v>246.0</v>
      </c>
      <c r="B219" s="102">
        <v>2018.0</v>
      </c>
      <c r="C219" s="102">
        <v>0.248837</v>
      </c>
      <c r="D219" s="102">
        <v>0.395683</v>
      </c>
      <c r="E219" s="102">
        <v>0.638</v>
      </c>
      <c r="F219" s="102">
        <v>0.63584</v>
      </c>
      <c r="G219" s="102">
        <v>1.077039</v>
      </c>
      <c r="H219" s="102">
        <v>4.981303</v>
      </c>
      <c r="I219" s="102">
        <v>0.314887</v>
      </c>
      <c r="J219" s="102">
        <v>4.15651</v>
      </c>
    </row>
    <row r="220">
      <c r="A220" s="102">
        <v>247.0</v>
      </c>
      <c r="B220" s="102">
        <v>2019.0</v>
      </c>
      <c r="C220" s="102">
        <v>0.22186</v>
      </c>
      <c r="D220" s="102">
        <v>0.397463</v>
      </c>
      <c r="E220" s="102">
        <v>0.641</v>
      </c>
      <c r="F220" s="102">
        <v>0.64</v>
      </c>
      <c r="G220" s="102">
        <v>1.08834</v>
      </c>
      <c r="H220" s="102">
        <v>5.033571</v>
      </c>
      <c r="I220" s="102">
        <v>0.318191</v>
      </c>
      <c r="J220" s="102">
        <v>4.200124</v>
      </c>
    </row>
    <row r="221">
      <c r="A221" s="102">
        <v>248.0</v>
      </c>
      <c r="B221" s="102">
        <v>2020.0</v>
      </c>
      <c r="C221" s="102">
        <v>0.255814</v>
      </c>
      <c r="D221" s="102">
        <v>0.40336</v>
      </c>
      <c r="E221" s="102">
        <v>0.647</v>
      </c>
      <c r="F221" s="102">
        <v>0.61472</v>
      </c>
      <c r="G221" s="102">
        <v>1.099531</v>
      </c>
      <c r="H221" s="102">
        <v>5.08533</v>
      </c>
      <c r="I221" s="102">
        <v>0.321463</v>
      </c>
      <c r="J221" s="102">
        <v>4.243313</v>
      </c>
    </row>
    <row r="222">
      <c r="A222" s="102">
        <v>249.0</v>
      </c>
      <c r="B222" s="102">
        <v>2021.0</v>
      </c>
      <c r="C222" s="102">
        <v>0.229767</v>
      </c>
      <c r="D222" s="102">
        <v>0.405252</v>
      </c>
      <c r="E222" s="102">
        <v>0.653</v>
      </c>
      <c r="F222" s="102">
        <v>0.57472</v>
      </c>
      <c r="G222" s="102">
        <v>1.110611</v>
      </c>
      <c r="H222" s="102">
        <v>5.136577</v>
      </c>
      <c r="I222" s="102">
        <v>0.324703</v>
      </c>
      <c r="J222" s="102">
        <v>4.286074</v>
      </c>
    </row>
    <row r="223">
      <c r="A223" s="102">
        <v>252.0</v>
      </c>
      <c r="B223" s="102">
        <v>2015.0</v>
      </c>
      <c r="C223" s="102">
        <v>0.020465</v>
      </c>
      <c r="D223" s="102">
        <v>0.27473</v>
      </c>
      <c r="E223" s="102">
        <v>0.72</v>
      </c>
      <c r="F223" s="102">
        <v>0.58272</v>
      </c>
      <c r="G223" s="102">
        <v>0.003877</v>
      </c>
      <c r="H223" s="102">
        <v>0.017932</v>
      </c>
      <c r="I223" s="102">
        <v>0.001466</v>
      </c>
      <c r="J223" s="102">
        <v>0.019357</v>
      </c>
    </row>
    <row r="224">
      <c r="A224" s="102">
        <v>253.0</v>
      </c>
      <c r="B224" s="102">
        <v>2016.0</v>
      </c>
      <c r="C224" s="102">
        <v>0.027442</v>
      </c>
      <c r="D224" s="102">
        <v>0.260154</v>
      </c>
      <c r="E224" s="102">
        <v>0.724</v>
      </c>
      <c r="F224" s="102">
        <v>0.57984</v>
      </c>
      <c r="G224" s="102">
        <v>0.003897</v>
      </c>
      <c r="H224" s="102">
        <v>0.018025</v>
      </c>
      <c r="I224" s="102">
        <v>0.001474</v>
      </c>
      <c r="J224" s="102">
        <v>0.019457</v>
      </c>
    </row>
    <row r="225">
      <c r="A225" s="102">
        <v>254.0</v>
      </c>
      <c r="B225" s="102">
        <v>2017.0</v>
      </c>
      <c r="C225" s="102">
        <v>0.017209</v>
      </c>
      <c r="D225" s="102">
        <v>0.302659</v>
      </c>
      <c r="E225" s="102">
        <v>0.735</v>
      </c>
      <c r="F225" s="102">
        <v>0.57056</v>
      </c>
      <c r="G225" s="102">
        <v>0.003917</v>
      </c>
      <c r="H225" s="102">
        <v>0.018117</v>
      </c>
      <c r="I225" s="102">
        <v>0.001482</v>
      </c>
      <c r="J225" s="102">
        <v>0.019556</v>
      </c>
    </row>
    <row r="226">
      <c r="A226" s="102">
        <v>255.0</v>
      </c>
      <c r="B226" s="102">
        <v>2018.0</v>
      </c>
      <c r="C226" s="102">
        <v>0.024186</v>
      </c>
      <c r="D226" s="102">
        <v>0.366529</v>
      </c>
      <c r="E226" s="102">
        <v>0.738</v>
      </c>
      <c r="F226" s="102">
        <v>0.58144</v>
      </c>
      <c r="G226" s="102">
        <v>0.003937</v>
      </c>
      <c r="H226" s="102">
        <v>0.018208</v>
      </c>
      <c r="I226" s="102">
        <v>0.001489</v>
      </c>
      <c r="J226" s="102">
        <v>0.019654</v>
      </c>
    </row>
    <row r="227">
      <c r="A227" s="102">
        <v>256.0</v>
      </c>
      <c r="B227" s="102">
        <v>2019.0</v>
      </c>
      <c r="C227" s="102">
        <v>0.024651</v>
      </c>
      <c r="D227" s="102">
        <v>0.301435</v>
      </c>
      <c r="E227" s="102">
        <v>0.741</v>
      </c>
      <c r="F227" s="102">
        <v>0.57184</v>
      </c>
      <c r="G227" s="102">
        <v>0.003956</v>
      </c>
      <c r="H227" s="102">
        <v>0.018297</v>
      </c>
      <c r="I227" s="102">
        <v>0.001496</v>
      </c>
      <c r="J227" s="102">
        <v>0.01975</v>
      </c>
    </row>
    <row r="228">
      <c r="A228" s="102">
        <v>257.0</v>
      </c>
      <c r="B228" s="102">
        <v>2020.0</v>
      </c>
      <c r="C228" s="102">
        <v>0.023721</v>
      </c>
      <c r="D228" s="102">
        <v>0.410816</v>
      </c>
      <c r="E228" s="102">
        <v>0.746</v>
      </c>
      <c r="F228" s="102">
        <v>0.54272</v>
      </c>
      <c r="G228" s="102">
        <v>0.003975</v>
      </c>
      <c r="H228" s="102">
        <v>0.018384</v>
      </c>
      <c r="I228" s="102">
        <v>0.001503</v>
      </c>
      <c r="J228" s="102">
        <v>0.019845</v>
      </c>
    </row>
    <row r="229">
      <c r="A229" s="102">
        <v>258.0</v>
      </c>
      <c r="B229" s="102">
        <v>2021.0</v>
      </c>
      <c r="C229" s="102">
        <v>0.024186</v>
      </c>
      <c r="D229" s="102">
        <v>0.333259</v>
      </c>
      <c r="E229" s="102">
        <v>0.752</v>
      </c>
      <c r="F229" s="102">
        <v>0.53728</v>
      </c>
      <c r="G229" s="102">
        <v>0.003994</v>
      </c>
      <c r="H229" s="102">
        <v>0.018471</v>
      </c>
      <c r="I229" s="102">
        <v>0.00151</v>
      </c>
      <c r="J229" s="102">
        <v>0.019938</v>
      </c>
    </row>
    <row r="230">
      <c r="A230" s="102">
        <v>261.0</v>
      </c>
      <c r="B230" s="102">
        <v>2015.0</v>
      </c>
      <c r="C230" s="102">
        <v>0.186047</v>
      </c>
      <c r="D230" s="102">
        <v>0.395571</v>
      </c>
      <c r="E230" s="102">
        <v>0.732</v>
      </c>
      <c r="F230" s="102">
        <v>0.456</v>
      </c>
      <c r="G230" s="102">
        <v>4.85E-4</v>
      </c>
      <c r="H230" s="102">
        <v>0.002243</v>
      </c>
      <c r="I230" s="102">
        <v>0.01072</v>
      </c>
      <c r="J230" s="102">
        <v>0.14151</v>
      </c>
    </row>
    <row r="231">
      <c r="A231" s="102">
        <v>262.0</v>
      </c>
      <c r="B231" s="102">
        <v>2016.0</v>
      </c>
      <c r="C231" s="102">
        <v>0.213023</v>
      </c>
      <c r="D231" s="102">
        <v>0.492712</v>
      </c>
      <c r="E231" s="102">
        <v>0.758</v>
      </c>
      <c r="F231" s="102">
        <v>0.44256</v>
      </c>
      <c r="G231" s="102">
        <v>4.9E-4</v>
      </c>
      <c r="H231" s="102">
        <v>0.002267</v>
      </c>
      <c r="I231" s="102">
        <v>0.010832</v>
      </c>
      <c r="J231" s="102">
        <v>0.14298</v>
      </c>
    </row>
    <row r="232">
      <c r="A232" s="102">
        <v>263.0</v>
      </c>
      <c r="B232" s="102">
        <v>2017.0</v>
      </c>
      <c r="C232" s="102">
        <v>0.188372</v>
      </c>
      <c r="D232" s="102">
        <v>0.497719</v>
      </c>
      <c r="E232" s="102">
        <v>0.77</v>
      </c>
      <c r="F232" s="102">
        <v>0.44544</v>
      </c>
      <c r="G232" s="102">
        <v>4.95E-4</v>
      </c>
      <c r="H232" s="102">
        <v>0.00229</v>
      </c>
      <c r="I232" s="102">
        <v>0.010942</v>
      </c>
      <c r="J232" s="102">
        <v>0.144436</v>
      </c>
    </row>
    <row r="233">
      <c r="A233" s="102">
        <v>264.0</v>
      </c>
      <c r="B233" s="102">
        <v>2018.0</v>
      </c>
      <c r="C233" s="102">
        <v>0.200465</v>
      </c>
      <c r="D233" s="102">
        <v>0.468232</v>
      </c>
      <c r="E233" s="102">
        <v>0.772</v>
      </c>
      <c r="F233" s="102">
        <v>0.45344</v>
      </c>
      <c r="G233" s="102">
        <v>5.0E-4</v>
      </c>
      <c r="H233" s="102">
        <v>0.002313</v>
      </c>
      <c r="I233" s="102">
        <v>0.011051</v>
      </c>
      <c r="J233" s="102">
        <v>0.145877</v>
      </c>
    </row>
    <row r="234">
      <c r="A234" s="102">
        <v>265.0</v>
      </c>
      <c r="B234" s="102">
        <v>2019.0</v>
      </c>
      <c r="C234" s="102">
        <v>0.178605</v>
      </c>
      <c r="D234" s="102">
        <v>0.562813</v>
      </c>
      <c r="E234" s="102">
        <v>0.776</v>
      </c>
      <c r="F234" s="102">
        <v>0.41856</v>
      </c>
      <c r="G234" s="102">
        <v>5.05E-4</v>
      </c>
      <c r="H234" s="102">
        <v>0.002335</v>
      </c>
      <c r="I234" s="102">
        <v>0.011159</v>
      </c>
      <c r="J234" s="102">
        <v>0.147304</v>
      </c>
    </row>
    <row r="235">
      <c r="A235" s="102">
        <v>266.0</v>
      </c>
      <c r="B235" s="102">
        <v>2020.0</v>
      </c>
      <c r="C235" s="102">
        <v>0.183256</v>
      </c>
      <c r="D235" s="102">
        <v>0.442083</v>
      </c>
      <c r="E235" s="102">
        <v>0.787</v>
      </c>
      <c r="F235" s="102">
        <v>0.49184</v>
      </c>
      <c r="G235" s="102">
        <v>5.1E-4</v>
      </c>
      <c r="H235" s="102">
        <v>0.002358</v>
      </c>
      <c r="I235" s="102">
        <v>0.011266</v>
      </c>
      <c r="J235" s="102">
        <v>0.148715</v>
      </c>
    </row>
    <row r="236">
      <c r="A236" s="102">
        <v>267.0</v>
      </c>
      <c r="B236" s="102">
        <v>2021.0</v>
      </c>
      <c r="C236" s="102">
        <v>0.187442</v>
      </c>
      <c r="D236" s="102">
        <v>0.321353</v>
      </c>
      <c r="E236" s="102">
        <v>0.794</v>
      </c>
      <c r="F236" s="102">
        <v>0.49984</v>
      </c>
      <c r="G236" s="102">
        <v>5.15E-4</v>
      </c>
      <c r="H236" s="102">
        <v>0.00238</v>
      </c>
      <c r="I236" s="102">
        <v>0.011372</v>
      </c>
      <c r="J236" s="102">
        <v>0.150112</v>
      </c>
    </row>
    <row r="237">
      <c r="A237" s="102">
        <v>268.0</v>
      </c>
      <c r="B237" s="102">
        <v>2022.0</v>
      </c>
      <c r="C237" s="102">
        <v>0.544186</v>
      </c>
      <c r="D237" s="102">
        <v>0.200623</v>
      </c>
      <c r="E237" s="102">
        <v>0.8</v>
      </c>
      <c r="F237" s="102">
        <v>0.5072</v>
      </c>
      <c r="G237" s="102">
        <v>5.37E-4</v>
      </c>
      <c r="H237" s="102">
        <v>0.002483</v>
      </c>
      <c r="I237" s="102">
        <v>0.011865</v>
      </c>
      <c r="J237" s="102">
        <v>0.156611</v>
      </c>
    </row>
    <row r="238">
      <c r="A238" s="102">
        <v>270.0</v>
      </c>
      <c r="B238" s="102">
        <v>2015.0</v>
      </c>
      <c r="C238" s="102">
        <v>0.093023</v>
      </c>
      <c r="D238" s="102">
        <v>0.251586</v>
      </c>
      <c r="E238" s="102">
        <v>0.661</v>
      </c>
      <c r="F238" s="102">
        <v>0.60384</v>
      </c>
      <c r="G238" s="102">
        <v>0.004433</v>
      </c>
      <c r="H238" s="102">
        <v>0.020533</v>
      </c>
      <c r="I238" s="102">
        <v>0.003907</v>
      </c>
      <c r="J238" s="102">
        <v>0.051578</v>
      </c>
    </row>
    <row r="239">
      <c r="A239" s="102">
        <v>271.0</v>
      </c>
      <c r="B239" s="102">
        <v>2016.0</v>
      </c>
      <c r="C239" s="102">
        <v>0.087907</v>
      </c>
      <c r="D239" s="102">
        <v>0.422054</v>
      </c>
      <c r="E239" s="102">
        <v>0.647</v>
      </c>
      <c r="F239" s="102">
        <v>0.58656</v>
      </c>
      <c r="G239" s="102">
        <v>0.004571</v>
      </c>
      <c r="H239" s="102">
        <v>0.021173</v>
      </c>
      <c r="I239" s="102">
        <v>0.004029</v>
      </c>
      <c r="J239" s="102">
        <v>0.053186</v>
      </c>
    </row>
    <row r="240">
      <c r="A240" s="102">
        <v>272.0</v>
      </c>
      <c r="B240" s="102">
        <v>2017.0</v>
      </c>
      <c r="C240" s="102">
        <v>0.111628</v>
      </c>
      <c r="D240" s="102">
        <v>0.647713</v>
      </c>
      <c r="E240" s="102">
        <v>0.658</v>
      </c>
      <c r="F240" s="102">
        <v>0.61184</v>
      </c>
      <c r="G240" s="102">
        <v>0.004711</v>
      </c>
      <c r="H240" s="102">
        <v>0.021819</v>
      </c>
      <c r="I240" s="102">
        <v>0.004152</v>
      </c>
      <c r="J240" s="102">
        <v>0.05481</v>
      </c>
    </row>
    <row r="241">
      <c r="A241" s="102">
        <v>273.0</v>
      </c>
      <c r="B241" s="102">
        <v>2018.0</v>
      </c>
      <c r="C241" s="102">
        <v>0.109302</v>
      </c>
      <c r="D241" s="102">
        <v>0.667854</v>
      </c>
      <c r="E241" s="102">
        <v>0.66</v>
      </c>
      <c r="F241" s="102">
        <v>0.61472</v>
      </c>
      <c r="G241" s="102">
        <v>0.004852</v>
      </c>
      <c r="H241" s="102">
        <v>0.022472</v>
      </c>
      <c r="I241" s="102">
        <v>0.004277</v>
      </c>
      <c r="J241" s="102">
        <v>0.056451</v>
      </c>
    </row>
    <row r="242">
      <c r="A242" s="102">
        <v>274.0</v>
      </c>
      <c r="B242" s="102">
        <v>2019.0</v>
      </c>
      <c r="C242" s="102">
        <v>0.10093</v>
      </c>
      <c r="D242" s="102">
        <v>0.522087</v>
      </c>
      <c r="E242" s="102">
        <v>0.663</v>
      </c>
      <c r="F242" s="102">
        <v>0.58272</v>
      </c>
      <c r="G242" s="102">
        <v>0.004994</v>
      </c>
      <c r="H242" s="102">
        <v>0.023132</v>
      </c>
      <c r="I242" s="102">
        <v>0.004402</v>
      </c>
      <c r="J242" s="102">
        <v>0.058107</v>
      </c>
    </row>
    <row r="243">
      <c r="A243" s="102">
        <v>275.0</v>
      </c>
      <c r="B243" s="102">
        <v>2020.0</v>
      </c>
      <c r="C243" s="102">
        <v>0.100465</v>
      </c>
      <c r="D243" s="102">
        <v>0.48292</v>
      </c>
      <c r="E243" s="102">
        <v>0.664</v>
      </c>
      <c r="F243" s="102">
        <v>0.55744</v>
      </c>
      <c r="G243" s="102">
        <v>0.005138</v>
      </c>
      <c r="H243" s="102">
        <v>0.023797</v>
      </c>
      <c r="I243" s="102">
        <v>0.004529</v>
      </c>
      <c r="J243" s="102">
        <v>0.059778</v>
      </c>
    </row>
    <row r="244">
      <c r="A244" s="102">
        <v>276.0</v>
      </c>
      <c r="B244" s="102">
        <v>2021.0</v>
      </c>
      <c r="C244" s="102">
        <v>0.10093</v>
      </c>
      <c r="D244" s="102">
        <v>0.443752</v>
      </c>
      <c r="E244" s="102">
        <v>0.668</v>
      </c>
      <c r="F244" s="102">
        <v>0.58528</v>
      </c>
      <c r="G244" s="102">
        <v>0.005283</v>
      </c>
      <c r="H244" s="102">
        <v>0.024467</v>
      </c>
      <c r="I244" s="102">
        <v>0.004656</v>
      </c>
      <c r="J244" s="102">
        <v>0.061462</v>
      </c>
    </row>
    <row r="245">
      <c r="A245" s="102">
        <v>277.0</v>
      </c>
      <c r="B245" s="102">
        <v>2022.0</v>
      </c>
      <c r="C245" s="102">
        <v>0.32093</v>
      </c>
      <c r="D245" s="102">
        <v>0.404584</v>
      </c>
      <c r="E245" s="102">
        <v>0.67</v>
      </c>
      <c r="F245" s="102">
        <v>0.58208</v>
      </c>
      <c r="G245" s="102">
        <v>0.005817</v>
      </c>
      <c r="H245" s="102">
        <v>0.026943</v>
      </c>
      <c r="I245" s="102">
        <v>0.005199</v>
      </c>
      <c r="J245" s="102">
        <v>0.068629</v>
      </c>
    </row>
    <row r="246">
      <c r="A246" s="102">
        <v>279.0</v>
      </c>
      <c r="B246" s="102">
        <v>2015.0</v>
      </c>
      <c r="C246" s="102">
        <v>0.024651</v>
      </c>
      <c r="D246" s="102">
        <v>0.341827</v>
      </c>
      <c r="E246" s="102">
        <v>0.672</v>
      </c>
      <c r="F246" s="102">
        <v>0.45344</v>
      </c>
      <c r="G246" s="102">
        <v>0.158208</v>
      </c>
      <c r="H246" s="102">
        <v>0.731711</v>
      </c>
      <c r="I246" s="102">
        <v>0.037281</v>
      </c>
      <c r="J246" s="102">
        <v>0.492107</v>
      </c>
    </row>
    <row r="247">
      <c r="A247" s="102">
        <v>280.0</v>
      </c>
      <c r="B247" s="102">
        <v>2016.0</v>
      </c>
      <c r="C247" s="102">
        <v>0.047442</v>
      </c>
      <c r="D247" s="102">
        <v>0.417826</v>
      </c>
      <c r="E247" s="102">
        <v>0.672</v>
      </c>
      <c r="F247" s="102">
        <v>0.45184</v>
      </c>
      <c r="G247" s="102">
        <v>0.161331</v>
      </c>
      <c r="H247" s="102">
        <v>0.746156</v>
      </c>
      <c r="I247" s="102">
        <v>0.038017</v>
      </c>
      <c r="J247" s="102">
        <v>0.501821</v>
      </c>
    </row>
    <row r="248">
      <c r="A248" s="102">
        <v>281.0</v>
      </c>
      <c r="B248" s="102">
        <v>2017.0</v>
      </c>
      <c r="C248" s="102">
        <v>0.030233</v>
      </c>
      <c r="D248" s="102">
        <v>0.440303</v>
      </c>
      <c r="E248" s="102">
        <v>0.682</v>
      </c>
      <c r="F248" s="102">
        <v>0.45984</v>
      </c>
      <c r="G248" s="102">
        <v>0.164452</v>
      </c>
      <c r="H248" s="102">
        <v>0.760591</v>
      </c>
      <c r="I248" s="102">
        <v>0.038752</v>
      </c>
      <c r="J248" s="102">
        <v>0.51153</v>
      </c>
    </row>
    <row r="249">
      <c r="A249" s="102">
        <v>282.0</v>
      </c>
      <c r="B249" s="102">
        <v>2018.0</v>
      </c>
      <c r="C249" s="102">
        <v>0.032093</v>
      </c>
      <c r="D249" s="102">
        <v>0.163013</v>
      </c>
      <c r="E249" s="102">
        <v>0.685</v>
      </c>
      <c r="F249" s="102">
        <v>0.46944</v>
      </c>
      <c r="G249" s="102">
        <v>0.16757</v>
      </c>
      <c r="H249" s="102">
        <v>0.775011</v>
      </c>
      <c r="I249" s="102">
        <v>0.039487</v>
      </c>
      <c r="J249" s="102">
        <v>0.521228</v>
      </c>
    </row>
    <row r="250">
      <c r="A250" s="102">
        <v>283.0</v>
      </c>
      <c r="B250" s="102">
        <v>2019.0</v>
      </c>
      <c r="C250" s="102">
        <v>0.02</v>
      </c>
      <c r="D250" s="102">
        <v>0.269167</v>
      </c>
      <c r="E250" s="102">
        <v>0.688</v>
      </c>
      <c r="F250" s="102">
        <v>0.41472</v>
      </c>
      <c r="G250" s="102">
        <v>0.170683</v>
      </c>
      <c r="H250" s="102">
        <v>0.789411</v>
      </c>
      <c r="I250" s="102">
        <v>0.040221</v>
      </c>
      <c r="J250" s="102">
        <v>0.530912</v>
      </c>
    </row>
    <row r="251">
      <c r="A251" s="102">
        <v>284.0</v>
      </c>
      <c r="B251" s="102">
        <v>2020.0</v>
      </c>
      <c r="C251" s="102">
        <v>0.020465</v>
      </c>
      <c r="D251" s="102">
        <v>0.384778</v>
      </c>
      <c r="E251" s="102">
        <v>0.692</v>
      </c>
      <c r="F251" s="102">
        <v>0.52544</v>
      </c>
      <c r="G251" s="102">
        <v>0.173791</v>
      </c>
      <c r="H251" s="102">
        <v>0.803785</v>
      </c>
      <c r="I251" s="102">
        <v>0.040953</v>
      </c>
      <c r="J251" s="102">
        <v>0.540579</v>
      </c>
    </row>
    <row r="252">
      <c r="A252" s="102">
        <v>285.0</v>
      </c>
      <c r="B252" s="102">
        <v>2021.0</v>
      </c>
      <c r="C252" s="102">
        <v>0.027442</v>
      </c>
      <c r="D252" s="102">
        <v>0.500389</v>
      </c>
      <c r="E252" s="102">
        <v>0.697</v>
      </c>
      <c r="F252" s="102">
        <v>0.47584</v>
      </c>
      <c r="G252" s="102">
        <v>0.176892</v>
      </c>
      <c r="H252" s="102">
        <v>0.818128</v>
      </c>
      <c r="I252" s="102">
        <v>0.041684</v>
      </c>
      <c r="J252" s="102">
        <v>0.550225</v>
      </c>
    </row>
    <row r="253">
      <c r="A253" s="102">
        <v>286.0</v>
      </c>
      <c r="B253" s="102">
        <v>2022.0</v>
      </c>
      <c r="C253" s="102">
        <v>0.013953</v>
      </c>
      <c r="D253" s="102">
        <v>0.616001</v>
      </c>
      <c r="E253" s="102">
        <v>0.701</v>
      </c>
      <c r="F253" s="102">
        <v>0.47968</v>
      </c>
      <c r="G253" s="102">
        <v>0.178703</v>
      </c>
      <c r="H253" s="102">
        <v>0.826503</v>
      </c>
      <c r="I253" s="102">
        <v>0.04211</v>
      </c>
      <c r="J253" s="102">
        <v>0.555858</v>
      </c>
    </row>
    <row r="254">
      <c r="A254" s="102">
        <v>288.0</v>
      </c>
      <c r="B254" s="102">
        <v>2015.0</v>
      </c>
      <c r="C254" s="102">
        <v>0.067442</v>
      </c>
      <c r="D254" s="102">
        <v>0.294425</v>
      </c>
      <c r="E254" s="102">
        <v>0.729</v>
      </c>
      <c r="F254" s="102">
        <v>0.592</v>
      </c>
      <c r="G254" s="102">
        <v>0.007195</v>
      </c>
      <c r="H254" s="102">
        <v>0.033276</v>
      </c>
      <c r="I254" s="102">
        <v>0.009702</v>
      </c>
      <c r="J254" s="102">
        <v>0.128067</v>
      </c>
    </row>
    <row r="255">
      <c r="A255" s="102">
        <v>289.0</v>
      </c>
      <c r="B255" s="102">
        <v>2016.0</v>
      </c>
      <c r="C255" s="102">
        <v>0.091628</v>
      </c>
      <c r="D255" s="102">
        <v>0.311895</v>
      </c>
      <c r="E255" s="102">
        <v>0.722</v>
      </c>
      <c r="F255" s="102">
        <v>0.59328</v>
      </c>
      <c r="G255" s="102">
        <v>0.007419</v>
      </c>
      <c r="H255" s="102">
        <v>0.034313</v>
      </c>
      <c r="I255" s="102">
        <v>0.010004</v>
      </c>
      <c r="J255" s="102">
        <v>0.132058</v>
      </c>
    </row>
    <row r="256">
      <c r="A256" s="102">
        <v>290.0</v>
      </c>
      <c r="B256" s="102">
        <v>2017.0</v>
      </c>
      <c r="C256" s="102">
        <v>0.088837</v>
      </c>
      <c r="D256" s="102">
        <v>0.149104</v>
      </c>
      <c r="E256" s="102">
        <v>0.734</v>
      </c>
      <c r="F256" s="102">
        <v>0.59872</v>
      </c>
      <c r="G256" s="102">
        <v>0.007646</v>
      </c>
      <c r="H256" s="102">
        <v>0.035361</v>
      </c>
      <c r="I256" s="102">
        <v>0.01031</v>
      </c>
      <c r="J256" s="102">
        <v>0.136092</v>
      </c>
    </row>
    <row r="257">
      <c r="A257" s="102">
        <v>291.0</v>
      </c>
      <c r="B257" s="102">
        <v>2018.0</v>
      </c>
      <c r="C257" s="102">
        <v>0.087442</v>
      </c>
      <c r="D257" s="102">
        <v>0.294425</v>
      </c>
      <c r="E257" s="102">
        <v>0.736</v>
      </c>
      <c r="F257" s="102">
        <v>0.592</v>
      </c>
      <c r="G257" s="102">
        <v>0.007875</v>
      </c>
      <c r="H257" s="102">
        <v>0.03642</v>
      </c>
      <c r="I257" s="102">
        <v>0.010619</v>
      </c>
      <c r="J257" s="102">
        <v>0.140166</v>
      </c>
    </row>
    <row r="258">
      <c r="A258" s="102">
        <v>292.0</v>
      </c>
      <c r="B258" s="102">
        <v>2019.0</v>
      </c>
      <c r="C258" s="102">
        <v>0.076744</v>
      </c>
      <c r="D258" s="102">
        <v>0.264159</v>
      </c>
      <c r="E258" s="102">
        <v>0.74</v>
      </c>
      <c r="F258" s="102">
        <v>0.58528</v>
      </c>
      <c r="G258" s="102">
        <v>0.008106</v>
      </c>
      <c r="H258" s="102">
        <v>0.037488</v>
      </c>
      <c r="I258" s="102">
        <v>0.01093</v>
      </c>
      <c r="J258" s="102">
        <v>0.144278</v>
      </c>
    </row>
    <row r="259">
      <c r="A259" s="102">
        <v>293.0</v>
      </c>
      <c r="B259" s="102">
        <v>2020.0</v>
      </c>
      <c r="C259" s="102">
        <v>0.070233</v>
      </c>
      <c r="D259" s="102">
        <v>0.274619</v>
      </c>
      <c r="E259" s="102">
        <v>0.743</v>
      </c>
      <c r="F259" s="102">
        <v>0.56928</v>
      </c>
      <c r="G259" s="102">
        <v>0.008339</v>
      </c>
      <c r="H259" s="102">
        <v>0.038566</v>
      </c>
      <c r="I259" s="102">
        <v>0.011244</v>
      </c>
      <c r="J259" s="102">
        <v>0.148426</v>
      </c>
    </row>
    <row r="260">
      <c r="A260" s="102">
        <v>294.0</v>
      </c>
      <c r="B260" s="102">
        <v>2021.0</v>
      </c>
      <c r="C260" s="102">
        <v>0.082326</v>
      </c>
      <c r="D260" s="102">
        <v>0.244353</v>
      </c>
      <c r="E260" s="102">
        <v>0.748</v>
      </c>
      <c r="F260" s="102">
        <v>0.56256</v>
      </c>
      <c r="G260" s="102">
        <v>0.008574</v>
      </c>
      <c r="H260" s="102">
        <v>0.039653</v>
      </c>
      <c r="I260" s="102">
        <v>0.011561</v>
      </c>
      <c r="J260" s="102">
        <v>0.152608</v>
      </c>
    </row>
    <row r="261">
      <c r="A261" s="102">
        <v>295.0</v>
      </c>
      <c r="B261" s="102">
        <v>2022.0</v>
      </c>
      <c r="C261" s="102">
        <v>0.12093</v>
      </c>
      <c r="D261" s="102">
        <v>0.214087</v>
      </c>
      <c r="E261" s="102">
        <v>0.751</v>
      </c>
      <c r="F261" s="102">
        <v>0.55776</v>
      </c>
      <c r="G261" s="102">
        <v>0.008614</v>
      </c>
      <c r="H261" s="102">
        <v>0.039841</v>
      </c>
      <c r="I261" s="102">
        <v>0.011616</v>
      </c>
      <c r="J261" s="102">
        <v>0.153333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4" max="4" width="16.25"/>
    <col customWidth="1" min="5" max="5" width="15.25"/>
    <col customWidth="1" min="6" max="6" width="14.0"/>
    <col customWidth="1" min="7" max="8" width="18.75"/>
  </cols>
  <sheetData>
    <row r="1">
      <c r="A1" s="101" t="s">
        <v>61</v>
      </c>
      <c r="B1" s="101" t="s">
        <v>4</v>
      </c>
      <c r="C1" s="101" t="s">
        <v>8</v>
      </c>
      <c r="D1" s="101" t="s">
        <v>9</v>
      </c>
      <c r="E1" s="101" t="s">
        <v>10</v>
      </c>
      <c r="F1" s="101" t="s">
        <v>62</v>
      </c>
      <c r="G1" s="101" t="s">
        <v>63</v>
      </c>
      <c r="H1" s="101" t="s">
        <v>64</v>
      </c>
    </row>
    <row r="2">
      <c r="A2" s="102">
        <v>0.0</v>
      </c>
      <c r="B2" s="102">
        <v>2015.0</v>
      </c>
      <c r="C2" s="102">
        <v>0.08186</v>
      </c>
      <c r="D2" s="102">
        <v>0.388895</v>
      </c>
      <c r="E2" s="102">
        <v>0.627</v>
      </c>
      <c r="F2" s="102">
        <v>0.52512</v>
      </c>
      <c r="G2" s="102">
        <v>0.541267</v>
      </c>
      <c r="H2" s="102">
        <v>2.503358</v>
      </c>
    </row>
    <row r="3">
      <c r="A3" s="102">
        <v>1.0</v>
      </c>
      <c r="B3" s="102">
        <v>2016.0</v>
      </c>
      <c r="C3" s="102">
        <v>0.083256</v>
      </c>
      <c r="D3" s="102">
        <v>0.415712</v>
      </c>
      <c r="E3" s="102">
        <v>0.633</v>
      </c>
      <c r="F3" s="102">
        <v>0.52672</v>
      </c>
      <c r="G3" s="102">
        <v>0.546154</v>
      </c>
      <c r="H3" s="102">
        <v>2.52596</v>
      </c>
    </row>
    <row r="4">
      <c r="A4" s="102">
        <v>2.0</v>
      </c>
      <c r="B4" s="102">
        <v>2017.0</v>
      </c>
      <c r="C4" s="102">
        <v>0.097209</v>
      </c>
      <c r="D4" s="102">
        <v>0.471014</v>
      </c>
      <c r="E4" s="102">
        <v>0.644</v>
      </c>
      <c r="F4" s="102">
        <v>0.544</v>
      </c>
      <c r="G4" s="102">
        <v>0.550986</v>
      </c>
      <c r="H4" s="102">
        <v>2.548311</v>
      </c>
    </row>
    <row r="5">
      <c r="A5" s="102">
        <v>3.0</v>
      </c>
      <c r="B5" s="102">
        <v>2018.0</v>
      </c>
      <c r="C5" s="102">
        <v>0.096744</v>
      </c>
      <c r="D5" s="102">
        <v>0.460332</v>
      </c>
      <c r="E5" s="102">
        <v>0.646</v>
      </c>
      <c r="F5" s="102">
        <v>0.65024</v>
      </c>
      <c r="G5" s="102">
        <v>0.555764</v>
      </c>
      <c r="H5" s="102">
        <v>2.570408</v>
      </c>
    </row>
    <row r="6">
      <c r="A6" s="102">
        <v>4.0</v>
      </c>
      <c r="B6" s="102">
        <v>2019.0</v>
      </c>
      <c r="C6" s="102">
        <v>0.083721</v>
      </c>
      <c r="D6" s="102">
        <v>0.512741</v>
      </c>
      <c r="E6" s="102">
        <v>0.649</v>
      </c>
      <c r="F6" s="102">
        <v>0.56928</v>
      </c>
      <c r="G6" s="102">
        <v>0.560487</v>
      </c>
      <c r="H6" s="102">
        <v>2.592251</v>
      </c>
    </row>
    <row r="7">
      <c r="A7" s="102">
        <v>5.0</v>
      </c>
      <c r="B7" s="102">
        <v>2020.0</v>
      </c>
      <c r="C7" s="102">
        <v>0.085581</v>
      </c>
      <c r="D7" s="102">
        <v>0.524647</v>
      </c>
      <c r="E7" s="102">
        <v>0.655</v>
      </c>
      <c r="F7" s="102">
        <v>0.50656</v>
      </c>
      <c r="G7" s="102">
        <v>0.565154</v>
      </c>
      <c r="H7" s="102">
        <v>2.613839</v>
      </c>
    </row>
    <row r="8">
      <c r="A8" s="102">
        <v>6.0</v>
      </c>
      <c r="B8" s="102">
        <v>2021.0</v>
      </c>
      <c r="C8" s="102">
        <v>0.084651</v>
      </c>
      <c r="D8" s="102">
        <v>0.536553</v>
      </c>
      <c r="E8" s="102">
        <v>0.66</v>
      </c>
      <c r="F8" s="102">
        <v>0.536</v>
      </c>
      <c r="G8" s="102">
        <v>0.569767</v>
      </c>
      <c r="H8" s="102">
        <v>2.635171</v>
      </c>
    </row>
    <row r="9">
      <c r="A9" s="102">
        <v>9.0</v>
      </c>
      <c r="B9" s="102">
        <v>2015.0</v>
      </c>
      <c r="C9" s="102">
        <v>0.006512</v>
      </c>
      <c r="D9" s="102">
        <v>0.309336</v>
      </c>
      <c r="E9" s="102">
        <v>0.66</v>
      </c>
      <c r="F9" s="102">
        <v>0.41984</v>
      </c>
      <c r="G9" s="102">
        <v>0.018842</v>
      </c>
      <c r="H9" s="102">
        <v>0.087146</v>
      </c>
    </row>
    <row r="10">
      <c r="A10" s="102">
        <v>10.0</v>
      </c>
      <c r="B10" s="102">
        <v>2016.0</v>
      </c>
      <c r="C10" s="102">
        <v>0.009302</v>
      </c>
      <c r="D10" s="102">
        <v>0.297207</v>
      </c>
      <c r="E10" s="102">
        <v>0.644</v>
      </c>
      <c r="F10" s="102">
        <v>0.44544</v>
      </c>
      <c r="G10" s="102">
        <v>0.019293</v>
      </c>
      <c r="H10" s="102">
        <v>0.089228</v>
      </c>
    </row>
    <row r="11">
      <c r="A11" s="102">
        <v>11.0</v>
      </c>
      <c r="B11" s="102">
        <v>2017.0</v>
      </c>
      <c r="C11" s="102">
        <v>0.008837</v>
      </c>
      <c r="D11" s="102">
        <v>0.25893</v>
      </c>
      <c r="E11" s="102">
        <v>0.655</v>
      </c>
      <c r="F11" s="102">
        <v>0.48928</v>
      </c>
      <c r="G11" s="102">
        <v>0.019744</v>
      </c>
      <c r="H11" s="102">
        <v>0.091318</v>
      </c>
    </row>
    <row r="12">
      <c r="A12" s="102">
        <v>12.0</v>
      </c>
      <c r="B12" s="102">
        <v>2018.0</v>
      </c>
      <c r="C12" s="102">
        <v>0.011628</v>
      </c>
      <c r="D12" s="102">
        <v>0.227996</v>
      </c>
      <c r="E12" s="102">
        <v>0.657</v>
      </c>
      <c r="F12" s="102">
        <v>0.46656</v>
      </c>
      <c r="G12" s="102">
        <v>0.020198</v>
      </c>
      <c r="H12" s="102">
        <v>0.093413</v>
      </c>
    </row>
    <row r="13">
      <c r="A13" s="102">
        <v>13.0</v>
      </c>
      <c r="B13" s="102">
        <v>2019.0</v>
      </c>
      <c r="C13" s="102">
        <v>0.011628</v>
      </c>
      <c r="D13" s="102">
        <v>0.197953</v>
      </c>
      <c r="E13" s="102">
        <v>0.661</v>
      </c>
      <c r="F13" s="102">
        <v>0.552</v>
      </c>
      <c r="G13" s="102">
        <v>0.020652</v>
      </c>
      <c r="H13" s="102">
        <v>0.095515</v>
      </c>
    </row>
    <row r="14">
      <c r="A14" s="102">
        <v>14.0</v>
      </c>
      <c r="B14" s="102">
        <v>2020.0</v>
      </c>
      <c r="C14" s="102">
        <v>0.006047</v>
      </c>
      <c r="D14" s="102">
        <v>0.123734</v>
      </c>
      <c r="E14" s="102">
        <v>0.661</v>
      </c>
      <c r="F14" s="102">
        <v>0.472</v>
      </c>
      <c r="G14" s="102">
        <v>0.021107</v>
      </c>
      <c r="H14" s="102">
        <v>0.09762</v>
      </c>
    </row>
    <row r="15">
      <c r="A15" s="102">
        <v>15.0</v>
      </c>
      <c r="B15" s="102">
        <v>2021.0</v>
      </c>
      <c r="C15" s="102">
        <v>0.009302</v>
      </c>
      <c r="D15" s="102">
        <v>0.10671</v>
      </c>
      <c r="E15" s="102">
        <v>0.662</v>
      </c>
      <c r="F15" s="102">
        <v>0.47744</v>
      </c>
      <c r="G15" s="102">
        <v>0.021563</v>
      </c>
      <c r="H15" s="102">
        <v>0.099728</v>
      </c>
    </row>
    <row r="16">
      <c r="A16" s="102">
        <v>18.0</v>
      </c>
      <c r="B16" s="102">
        <v>2015.0</v>
      </c>
      <c r="C16" s="102">
        <v>0.086047</v>
      </c>
      <c r="D16" s="102">
        <v>0.230667</v>
      </c>
      <c r="E16" s="102">
        <v>0.595</v>
      </c>
      <c r="F16" s="102">
        <v>0.43328</v>
      </c>
      <c r="G16" s="102">
        <v>0.458624</v>
      </c>
      <c r="H16" s="102">
        <v>2.121136</v>
      </c>
    </row>
    <row r="17">
      <c r="A17" s="102">
        <v>19.0</v>
      </c>
      <c r="B17" s="102">
        <v>2016.0</v>
      </c>
      <c r="C17" s="102">
        <v>0.085581</v>
      </c>
      <c r="D17" s="102">
        <v>0.237343</v>
      </c>
      <c r="E17" s="102">
        <v>0.598</v>
      </c>
      <c r="F17" s="102">
        <v>0.45344</v>
      </c>
      <c r="G17" s="102">
        <v>0.465991</v>
      </c>
      <c r="H17" s="102">
        <v>2.155208</v>
      </c>
    </row>
    <row r="18">
      <c r="A18" s="102">
        <v>20.0</v>
      </c>
      <c r="B18" s="102">
        <v>2017.0</v>
      </c>
      <c r="C18" s="102">
        <v>0.092558</v>
      </c>
      <c r="D18" s="102">
        <v>0.289863</v>
      </c>
      <c r="E18" s="102">
        <v>0.608</v>
      </c>
      <c r="F18" s="102">
        <v>0.46528</v>
      </c>
      <c r="G18" s="102">
        <v>0.473326</v>
      </c>
      <c r="H18" s="102">
        <v>2.189134</v>
      </c>
    </row>
    <row r="19">
      <c r="A19" s="102">
        <v>21.0</v>
      </c>
      <c r="B19" s="102">
        <v>2018.0</v>
      </c>
      <c r="C19" s="102">
        <v>0.111628</v>
      </c>
      <c r="D19" s="102">
        <v>0.312785</v>
      </c>
      <c r="E19" s="102">
        <v>0.61</v>
      </c>
      <c r="F19" s="102">
        <v>0.47872</v>
      </c>
      <c r="G19" s="102">
        <v>0.480628</v>
      </c>
      <c r="H19" s="102">
        <v>2.222905</v>
      </c>
    </row>
    <row r="20">
      <c r="A20" s="102">
        <v>22.0</v>
      </c>
      <c r="B20" s="102">
        <v>2019.0</v>
      </c>
      <c r="C20" s="102">
        <v>0.097674</v>
      </c>
      <c r="D20" s="102">
        <v>0.330366</v>
      </c>
      <c r="E20" s="102">
        <v>0.613</v>
      </c>
      <c r="F20" s="102">
        <v>0.496</v>
      </c>
      <c r="G20" s="102">
        <v>0.487894</v>
      </c>
      <c r="H20" s="102">
        <v>2.256511</v>
      </c>
    </row>
    <row r="21">
      <c r="A21" s="102">
        <v>23.0</v>
      </c>
      <c r="B21" s="102">
        <v>2020.0</v>
      </c>
      <c r="C21" s="102">
        <v>0.099535</v>
      </c>
      <c r="D21" s="102">
        <v>0.277512</v>
      </c>
      <c r="E21" s="102">
        <v>0.618</v>
      </c>
      <c r="F21" s="102">
        <v>0.50656</v>
      </c>
      <c r="G21" s="102">
        <v>0.495123</v>
      </c>
      <c r="H21" s="102">
        <v>2.289943</v>
      </c>
    </row>
    <row r="22">
      <c r="A22" s="102">
        <v>24.0</v>
      </c>
      <c r="B22" s="102">
        <v>2021.0</v>
      </c>
      <c r="C22" s="102">
        <v>0.095349</v>
      </c>
      <c r="D22" s="102">
        <v>0.325915</v>
      </c>
      <c r="E22" s="102">
        <v>0.622</v>
      </c>
      <c r="F22" s="102">
        <v>0.49984</v>
      </c>
      <c r="G22" s="102">
        <v>0.502312</v>
      </c>
      <c r="H22" s="102">
        <v>2.323192</v>
      </c>
    </row>
    <row r="23">
      <c r="A23" s="102">
        <v>27.0</v>
      </c>
      <c r="B23" s="102">
        <v>2015.0</v>
      </c>
      <c r="C23" s="102">
        <v>0.312558</v>
      </c>
      <c r="D23" s="102">
        <v>0.132413</v>
      </c>
      <c r="E23" s="102">
        <v>0.554</v>
      </c>
      <c r="F23" s="102">
        <v>0.60672</v>
      </c>
      <c r="G23" s="102">
        <v>1.629884</v>
      </c>
      <c r="H23" s="102">
        <v>7.538212</v>
      </c>
    </row>
    <row r="24">
      <c r="A24" s="102">
        <v>28.0</v>
      </c>
      <c r="B24" s="102">
        <v>2016.0</v>
      </c>
      <c r="C24" s="102">
        <v>0.338605</v>
      </c>
      <c r="D24" s="102">
        <v>0.174252</v>
      </c>
      <c r="E24" s="102">
        <v>0.559</v>
      </c>
      <c r="F24" s="102">
        <v>0.608</v>
      </c>
      <c r="G24" s="102">
        <v>1.668359</v>
      </c>
      <c r="H24" s="102">
        <v>7.716158</v>
      </c>
    </row>
    <row r="25">
      <c r="A25" s="102">
        <v>29.0</v>
      </c>
      <c r="B25" s="102">
        <v>2017.0</v>
      </c>
      <c r="C25" s="102">
        <v>0.308372</v>
      </c>
      <c r="D25" s="102">
        <v>0.103594</v>
      </c>
      <c r="E25" s="102">
        <v>0.569</v>
      </c>
      <c r="F25" s="102">
        <v>0.592</v>
      </c>
      <c r="G25" s="102">
        <v>1.706954</v>
      </c>
      <c r="H25" s="102">
        <v>7.894662</v>
      </c>
    </row>
    <row r="26">
      <c r="A26" s="102">
        <v>30.0</v>
      </c>
      <c r="B26" s="102">
        <v>2018.0</v>
      </c>
      <c r="C26" s="102">
        <v>0.333953</v>
      </c>
      <c r="D26" s="102">
        <v>0.129966</v>
      </c>
      <c r="E26" s="102">
        <v>0.571</v>
      </c>
      <c r="F26" s="102">
        <v>0.62144</v>
      </c>
      <c r="G26" s="102">
        <v>1.745652</v>
      </c>
      <c r="H26" s="102">
        <v>8.073642</v>
      </c>
    </row>
    <row r="27">
      <c r="A27" s="102">
        <v>31.0</v>
      </c>
      <c r="B27" s="102">
        <v>2019.0</v>
      </c>
      <c r="C27" s="102">
        <v>0.325581</v>
      </c>
      <c r="D27" s="102">
        <v>0.151218</v>
      </c>
      <c r="E27" s="102">
        <v>0.574</v>
      </c>
      <c r="F27" s="102">
        <v>0.61184</v>
      </c>
      <c r="G27" s="102">
        <v>1.784437</v>
      </c>
      <c r="H27" s="102">
        <v>8.253019</v>
      </c>
    </row>
    <row r="28">
      <c r="A28" s="102">
        <v>32.0</v>
      </c>
      <c r="B28" s="102">
        <v>2020.0</v>
      </c>
      <c r="C28" s="102">
        <v>0.339535</v>
      </c>
      <c r="D28" s="102">
        <v>0.082786</v>
      </c>
      <c r="E28" s="102">
        <v>0.579</v>
      </c>
      <c r="F28" s="102">
        <v>0.61184</v>
      </c>
      <c r="G28" s="102">
        <v>1.82329</v>
      </c>
      <c r="H28" s="102">
        <v>8.432714</v>
      </c>
    </row>
    <row r="29">
      <c r="A29" s="102">
        <v>33.0</v>
      </c>
      <c r="B29" s="102">
        <v>2021.0</v>
      </c>
      <c r="C29" s="102">
        <v>0.329767</v>
      </c>
      <c r="D29" s="102">
        <v>0.091243</v>
      </c>
      <c r="E29" s="102">
        <v>0.584</v>
      </c>
      <c r="F29" s="102">
        <v>0.57056</v>
      </c>
      <c r="G29" s="102">
        <v>1.862195</v>
      </c>
      <c r="H29" s="102">
        <v>8.61265</v>
      </c>
    </row>
    <row r="30">
      <c r="A30" s="102">
        <v>36.0</v>
      </c>
      <c r="B30" s="102">
        <v>2015.0</v>
      </c>
      <c r="C30" s="102">
        <v>0.182791</v>
      </c>
      <c r="D30" s="102">
        <v>0.287415</v>
      </c>
      <c r="E30" s="102">
        <v>0.59</v>
      </c>
      <c r="F30" s="102">
        <v>0.59072</v>
      </c>
      <c r="G30" s="102">
        <v>0.349461</v>
      </c>
      <c r="H30" s="102">
        <v>1.616259</v>
      </c>
    </row>
    <row r="31">
      <c r="A31" s="102">
        <v>37.0</v>
      </c>
      <c r="B31" s="102">
        <v>2016.0</v>
      </c>
      <c r="C31" s="102">
        <v>0.177674</v>
      </c>
      <c r="D31" s="102">
        <v>0.325136</v>
      </c>
      <c r="E31" s="102">
        <v>0.596</v>
      </c>
      <c r="F31" s="102">
        <v>0.58528</v>
      </c>
      <c r="G31" s="102">
        <v>0.358539</v>
      </c>
      <c r="H31" s="102">
        <v>1.658241</v>
      </c>
    </row>
    <row r="32">
      <c r="A32" s="102">
        <v>38.0</v>
      </c>
      <c r="B32" s="102">
        <v>2017.0</v>
      </c>
      <c r="C32" s="102">
        <v>0.176279</v>
      </c>
      <c r="D32" s="102">
        <v>0.370424</v>
      </c>
      <c r="E32" s="102">
        <v>0.606</v>
      </c>
      <c r="F32" s="102">
        <v>0.59872</v>
      </c>
      <c r="G32" s="102">
        <v>0.367665</v>
      </c>
      <c r="H32" s="102">
        <v>1.700452</v>
      </c>
    </row>
    <row r="33">
      <c r="A33" s="102">
        <v>39.0</v>
      </c>
      <c r="B33" s="102">
        <v>2018.0</v>
      </c>
      <c r="C33" s="102">
        <v>0.178605</v>
      </c>
      <c r="D33" s="102">
        <v>0.33771</v>
      </c>
      <c r="E33" s="102">
        <v>0.608</v>
      </c>
      <c r="F33" s="102">
        <v>0.61184</v>
      </c>
      <c r="G33" s="102">
        <v>0.376837</v>
      </c>
      <c r="H33" s="102">
        <v>1.742872</v>
      </c>
    </row>
    <row r="34">
      <c r="A34" s="102">
        <v>40.0</v>
      </c>
      <c r="B34" s="102">
        <v>2019.0</v>
      </c>
      <c r="C34" s="102">
        <v>0.18186</v>
      </c>
      <c r="D34" s="102">
        <v>0.31145</v>
      </c>
      <c r="E34" s="102">
        <v>0.611</v>
      </c>
      <c r="F34" s="102">
        <v>0.608</v>
      </c>
      <c r="G34" s="102">
        <v>0.38605</v>
      </c>
      <c r="H34" s="102">
        <v>1.78548</v>
      </c>
    </row>
    <row r="35">
      <c r="A35" s="102">
        <v>41.0</v>
      </c>
      <c r="B35" s="102">
        <v>2020.0</v>
      </c>
      <c r="C35" s="102">
        <v>0.194884</v>
      </c>
      <c r="D35" s="102">
        <v>0.310448</v>
      </c>
      <c r="E35" s="102">
        <v>0.616</v>
      </c>
      <c r="F35" s="102">
        <v>0.592</v>
      </c>
      <c r="G35" s="102">
        <v>0.395299</v>
      </c>
      <c r="H35" s="102">
        <v>1.828257</v>
      </c>
    </row>
    <row r="36">
      <c r="A36" s="102">
        <v>42.0</v>
      </c>
      <c r="B36" s="102">
        <v>2021.0</v>
      </c>
      <c r="C36" s="102">
        <v>0.180465</v>
      </c>
      <c r="D36" s="102">
        <v>0.309447</v>
      </c>
      <c r="E36" s="102">
        <v>0.622</v>
      </c>
      <c r="F36" s="102">
        <v>0.56672</v>
      </c>
      <c r="G36" s="102">
        <v>0.40458</v>
      </c>
      <c r="H36" s="102">
        <v>1.871183</v>
      </c>
    </row>
    <row r="37">
      <c r="A37" s="102">
        <v>45.0</v>
      </c>
      <c r="B37" s="102">
        <v>2015.0</v>
      </c>
      <c r="C37" s="102">
        <v>0.08093</v>
      </c>
      <c r="D37" s="102">
        <v>0.337487</v>
      </c>
      <c r="E37" s="102">
        <v>0.753</v>
      </c>
      <c r="F37" s="102">
        <v>0.57472</v>
      </c>
      <c r="G37" s="102">
        <v>0.009005</v>
      </c>
      <c r="H37" s="102">
        <v>0.038346</v>
      </c>
    </row>
    <row r="38">
      <c r="A38" s="102">
        <v>46.0</v>
      </c>
      <c r="B38" s="102">
        <v>2016.0</v>
      </c>
      <c r="C38" s="102">
        <v>0.082326</v>
      </c>
      <c r="D38" s="102">
        <v>0.323801</v>
      </c>
      <c r="E38" s="102">
        <v>0.745</v>
      </c>
      <c r="F38" s="102">
        <v>0.55328</v>
      </c>
      <c r="G38" s="102">
        <v>0.009048</v>
      </c>
      <c r="H38" s="102">
        <v>0.038528</v>
      </c>
    </row>
    <row r="39">
      <c r="A39" s="102">
        <v>47.0</v>
      </c>
      <c r="B39" s="102">
        <v>2017.0</v>
      </c>
      <c r="C39" s="102">
        <v>0.091628</v>
      </c>
      <c r="D39" s="102">
        <v>0.445866</v>
      </c>
      <c r="E39" s="102">
        <v>0.756</v>
      </c>
      <c r="F39" s="102">
        <v>0.56256</v>
      </c>
      <c r="G39" s="102">
        <v>0.00909</v>
      </c>
      <c r="H39" s="102">
        <v>0.038706</v>
      </c>
    </row>
    <row r="40">
      <c r="A40" s="102">
        <v>48.0</v>
      </c>
      <c r="B40" s="102">
        <v>2018.0</v>
      </c>
      <c r="C40" s="102">
        <v>0.095349</v>
      </c>
      <c r="D40" s="102">
        <v>0.515077</v>
      </c>
      <c r="E40" s="102">
        <v>0.759</v>
      </c>
      <c r="F40" s="102">
        <v>0.59744</v>
      </c>
      <c r="G40" s="102">
        <v>0.009131</v>
      </c>
      <c r="H40" s="102">
        <v>0.038882</v>
      </c>
    </row>
    <row r="41">
      <c r="A41" s="102">
        <v>49.0</v>
      </c>
      <c r="B41" s="102">
        <v>2019.0</v>
      </c>
      <c r="C41" s="102">
        <v>0.075814</v>
      </c>
      <c r="D41" s="102">
        <v>0.4847</v>
      </c>
      <c r="E41" s="102">
        <v>0.763</v>
      </c>
      <c r="F41" s="102">
        <v>0.57856</v>
      </c>
      <c r="G41" s="102">
        <v>0.009172</v>
      </c>
      <c r="H41" s="102">
        <v>0.039055</v>
      </c>
    </row>
    <row r="42">
      <c r="A42" s="102">
        <v>50.0</v>
      </c>
      <c r="B42" s="102">
        <v>2020.0</v>
      </c>
      <c r="C42" s="102">
        <v>0.091163</v>
      </c>
      <c r="D42" s="102">
        <v>0.343607</v>
      </c>
      <c r="E42" s="102">
        <v>0.766</v>
      </c>
      <c r="F42" s="102">
        <v>0.52128</v>
      </c>
      <c r="G42" s="102">
        <v>0.009212</v>
      </c>
      <c r="H42" s="102">
        <v>0.039225</v>
      </c>
    </row>
    <row r="43">
      <c r="A43" s="102">
        <v>51.0</v>
      </c>
      <c r="B43" s="102">
        <v>2021.0</v>
      </c>
      <c r="C43" s="102">
        <v>0.086977</v>
      </c>
      <c r="D43" s="102">
        <v>0.202515</v>
      </c>
      <c r="E43" s="102">
        <v>0.768</v>
      </c>
      <c r="F43" s="102">
        <v>0.53728</v>
      </c>
      <c r="G43" s="102">
        <v>0.009251</v>
      </c>
      <c r="H43" s="102">
        <v>0.039393</v>
      </c>
    </row>
    <row r="44">
      <c r="A44" s="102">
        <v>54.0</v>
      </c>
      <c r="B44" s="102">
        <v>2015.0</v>
      </c>
      <c r="C44" s="102">
        <v>0.154884</v>
      </c>
      <c r="D44" s="102">
        <v>0.450428</v>
      </c>
      <c r="E44" s="102">
        <v>0.649</v>
      </c>
      <c r="F44" s="102">
        <v>0.608</v>
      </c>
      <c r="G44" s="102">
        <v>0.59622</v>
      </c>
      <c r="H44" s="102">
        <v>2.757518</v>
      </c>
    </row>
    <row r="45">
      <c r="A45" s="102">
        <v>55.0</v>
      </c>
      <c r="B45" s="102">
        <v>2016.0</v>
      </c>
      <c r="C45" s="102">
        <v>0.14093</v>
      </c>
      <c r="D45" s="102">
        <v>0.447202</v>
      </c>
      <c r="E45" s="102">
        <v>0.656</v>
      </c>
      <c r="F45" s="102">
        <v>0.60384</v>
      </c>
      <c r="G45" s="102">
        <v>0.606441</v>
      </c>
      <c r="H45" s="102">
        <v>2.804791</v>
      </c>
    </row>
    <row r="46">
      <c r="A46" s="102">
        <v>56.0</v>
      </c>
      <c r="B46" s="102">
        <v>2017.0</v>
      </c>
      <c r="C46" s="102">
        <v>0.16186</v>
      </c>
      <c r="D46" s="102">
        <v>0.436074</v>
      </c>
      <c r="E46" s="102">
        <v>0.667</v>
      </c>
      <c r="F46" s="102">
        <v>0.62272</v>
      </c>
      <c r="G46" s="102">
        <v>0.61663</v>
      </c>
      <c r="H46" s="102">
        <v>2.851912</v>
      </c>
    </row>
    <row r="47">
      <c r="A47" s="102">
        <v>57.0</v>
      </c>
      <c r="B47" s="102">
        <v>2018.0</v>
      </c>
      <c r="C47" s="102">
        <v>0.166047</v>
      </c>
      <c r="D47" s="102">
        <v>0.453099</v>
      </c>
      <c r="E47" s="102">
        <v>0.669</v>
      </c>
      <c r="F47" s="102">
        <v>0.61472</v>
      </c>
      <c r="G47" s="102">
        <v>0.626782</v>
      </c>
      <c r="H47" s="102">
        <v>2.898868</v>
      </c>
    </row>
    <row r="48">
      <c r="A48" s="102">
        <v>58.0</v>
      </c>
      <c r="B48" s="102">
        <v>2019.0</v>
      </c>
      <c r="C48" s="102">
        <v>0.166977</v>
      </c>
      <c r="D48" s="102">
        <v>0.467342</v>
      </c>
      <c r="E48" s="102">
        <v>0.672</v>
      </c>
      <c r="F48" s="102">
        <v>0.56</v>
      </c>
      <c r="G48" s="102">
        <v>0.636895</v>
      </c>
      <c r="H48" s="102">
        <v>2.945641</v>
      </c>
    </row>
    <row r="49">
      <c r="A49" s="102">
        <v>59.0</v>
      </c>
      <c r="B49" s="102">
        <v>2020.0</v>
      </c>
      <c r="C49" s="102">
        <v>0.160465</v>
      </c>
      <c r="D49" s="102">
        <v>0.441304</v>
      </c>
      <c r="E49" s="102">
        <v>0.678</v>
      </c>
      <c r="F49" s="102">
        <v>1.0</v>
      </c>
      <c r="G49" s="102">
        <v>0.646966</v>
      </c>
      <c r="H49" s="102">
        <v>2.992219</v>
      </c>
    </row>
    <row r="50">
      <c r="A50" s="102">
        <v>60.0</v>
      </c>
      <c r="B50" s="102">
        <v>2021.0</v>
      </c>
      <c r="C50" s="102">
        <v>0.161395</v>
      </c>
      <c r="D50" s="102">
        <v>0.435184</v>
      </c>
      <c r="E50" s="102">
        <v>0.684</v>
      </c>
      <c r="F50" s="102">
        <v>0.60256</v>
      </c>
      <c r="G50" s="102">
        <v>0.656992</v>
      </c>
      <c r="H50" s="102">
        <v>3.038587</v>
      </c>
    </row>
    <row r="51">
      <c r="A51" s="102">
        <v>63.0</v>
      </c>
      <c r="B51" s="102">
        <v>2015.0</v>
      </c>
      <c r="C51" s="102">
        <v>0.340465</v>
      </c>
      <c r="D51" s="102">
        <v>0.301213</v>
      </c>
      <c r="E51" s="102">
        <v>0.684</v>
      </c>
      <c r="F51" s="102">
        <v>0.56</v>
      </c>
      <c r="G51" s="102">
        <v>0.280686</v>
      </c>
      <c r="H51" s="102">
        <v>1.298172</v>
      </c>
    </row>
    <row r="52">
      <c r="A52" s="102">
        <v>64.0</v>
      </c>
      <c r="B52" s="102">
        <v>2016.0</v>
      </c>
      <c r="C52" s="102">
        <v>0.361395</v>
      </c>
      <c r="D52" s="102">
        <v>0.268944</v>
      </c>
      <c r="E52" s="102">
        <v>0.691</v>
      </c>
      <c r="F52" s="102">
        <v>0.56256</v>
      </c>
      <c r="G52" s="102">
        <v>0.284769</v>
      </c>
      <c r="H52" s="102">
        <v>1.317055</v>
      </c>
    </row>
    <row r="53">
      <c r="A53" s="102">
        <v>65.0</v>
      </c>
      <c r="B53" s="102">
        <v>2017.0</v>
      </c>
      <c r="C53" s="102">
        <v>0.347442</v>
      </c>
      <c r="D53" s="102">
        <v>0.341716</v>
      </c>
      <c r="E53" s="102">
        <v>0.702</v>
      </c>
      <c r="F53" s="102">
        <v>0.56384</v>
      </c>
      <c r="G53" s="102">
        <v>0.288828</v>
      </c>
      <c r="H53" s="102">
        <v>1.335829</v>
      </c>
    </row>
    <row r="54">
      <c r="A54" s="102">
        <v>66.0</v>
      </c>
      <c r="B54" s="102">
        <v>2018.0</v>
      </c>
      <c r="C54" s="102">
        <v>0.363256</v>
      </c>
      <c r="D54" s="102">
        <v>0.260265</v>
      </c>
      <c r="E54" s="102">
        <v>0.705</v>
      </c>
      <c r="F54" s="102">
        <v>0.59328</v>
      </c>
      <c r="G54" s="102">
        <v>0.292863</v>
      </c>
      <c r="H54" s="102">
        <v>1.354491</v>
      </c>
    </row>
    <row r="55">
      <c r="A55" s="102">
        <v>67.0</v>
      </c>
      <c r="B55" s="102">
        <v>2019.0</v>
      </c>
      <c r="C55" s="102">
        <v>0.354884</v>
      </c>
      <c r="D55" s="102">
        <v>0.262602</v>
      </c>
      <c r="E55" s="102">
        <v>0.708</v>
      </c>
      <c r="F55" s="102">
        <v>0.51744</v>
      </c>
      <c r="G55" s="102">
        <v>0.296872</v>
      </c>
      <c r="H55" s="102">
        <v>1.373034</v>
      </c>
    </row>
    <row r="56">
      <c r="A56" s="102">
        <v>68.0</v>
      </c>
      <c r="B56" s="102">
        <v>2020.0</v>
      </c>
      <c r="C56" s="102">
        <v>0.336744</v>
      </c>
      <c r="D56" s="102">
        <v>0.294425</v>
      </c>
      <c r="E56" s="102">
        <v>0.714</v>
      </c>
      <c r="F56" s="102">
        <v>0.56384</v>
      </c>
      <c r="G56" s="102">
        <v>0.300855</v>
      </c>
      <c r="H56" s="102">
        <v>1.391456</v>
      </c>
    </row>
    <row r="57">
      <c r="A57" s="102">
        <v>69.0</v>
      </c>
      <c r="B57" s="102">
        <v>2021.0</v>
      </c>
      <c r="C57" s="102">
        <v>0.351163</v>
      </c>
      <c r="D57" s="102">
        <v>0.288305</v>
      </c>
      <c r="E57" s="102">
        <v>0.72</v>
      </c>
      <c r="F57" s="102">
        <v>0.55328</v>
      </c>
      <c r="G57" s="102">
        <v>0.304811</v>
      </c>
      <c r="H57" s="102">
        <v>1.409751</v>
      </c>
    </row>
    <row r="58">
      <c r="A58" s="102">
        <v>72.0</v>
      </c>
      <c r="B58" s="102">
        <v>2015.0</v>
      </c>
      <c r="C58" s="102">
        <v>0.075814</v>
      </c>
      <c r="D58" s="102">
        <v>0.437521</v>
      </c>
      <c r="E58" s="102">
        <v>0.702</v>
      </c>
      <c r="F58" s="102">
        <v>0.19744</v>
      </c>
      <c r="G58" s="102">
        <v>0.103009</v>
      </c>
      <c r="H58" s="102">
        <v>0.476415</v>
      </c>
    </row>
    <row r="59">
      <c r="A59" s="102">
        <v>73.0</v>
      </c>
      <c r="B59" s="102">
        <v>2016.0</v>
      </c>
      <c r="C59" s="102">
        <v>0.09814</v>
      </c>
      <c r="D59" s="102">
        <v>0.427284</v>
      </c>
      <c r="E59" s="102">
        <v>0.708</v>
      </c>
      <c r="F59" s="102">
        <v>0.2</v>
      </c>
      <c r="G59" s="102">
        <v>0.104031</v>
      </c>
      <c r="H59" s="102">
        <v>0.481142</v>
      </c>
    </row>
    <row r="60">
      <c r="A60" s="102">
        <v>74.0</v>
      </c>
      <c r="B60" s="102">
        <v>2017.0</v>
      </c>
      <c r="C60" s="102">
        <v>0.078605</v>
      </c>
      <c r="D60" s="102">
        <v>0.508067</v>
      </c>
      <c r="E60" s="102">
        <v>0.719</v>
      </c>
      <c r="F60" s="102">
        <v>0.21856</v>
      </c>
      <c r="G60" s="102">
        <v>0.105042</v>
      </c>
      <c r="H60" s="102">
        <v>0.48582</v>
      </c>
    </row>
    <row r="61">
      <c r="A61" s="102">
        <v>75.0</v>
      </c>
      <c r="B61" s="102">
        <v>2018.0</v>
      </c>
      <c r="C61" s="102">
        <v>0.085116</v>
      </c>
      <c r="D61" s="102">
        <v>0.474574</v>
      </c>
      <c r="E61" s="102">
        <v>0.721</v>
      </c>
      <c r="F61" s="102">
        <v>0.22784</v>
      </c>
      <c r="G61" s="102">
        <v>0.106043</v>
      </c>
      <c r="H61" s="102">
        <v>0.49045</v>
      </c>
    </row>
    <row r="62">
      <c r="A62" s="102">
        <v>76.0</v>
      </c>
      <c r="B62" s="102">
        <v>2019.0</v>
      </c>
      <c r="C62" s="102">
        <v>0.065581</v>
      </c>
      <c r="D62" s="102">
        <v>0.449872</v>
      </c>
      <c r="E62" s="102">
        <v>0.725</v>
      </c>
      <c r="F62" s="102">
        <v>0.20928</v>
      </c>
      <c r="G62" s="102">
        <v>0.107034</v>
      </c>
      <c r="H62" s="102">
        <v>0.49503</v>
      </c>
    </row>
    <row r="63">
      <c r="A63" s="102">
        <v>77.0</v>
      </c>
      <c r="B63" s="102">
        <v>2020.0</v>
      </c>
      <c r="C63" s="102">
        <v>0.070233</v>
      </c>
      <c r="D63" s="102">
        <v>0.449204</v>
      </c>
      <c r="E63" s="102">
        <v>0.731</v>
      </c>
      <c r="F63" s="102">
        <v>0.24928</v>
      </c>
      <c r="G63" s="102">
        <v>0.108013</v>
      </c>
      <c r="H63" s="102">
        <v>0.499561</v>
      </c>
    </row>
    <row r="64">
      <c r="A64" s="102">
        <v>78.0</v>
      </c>
      <c r="B64" s="102">
        <v>2021.0</v>
      </c>
      <c r="C64" s="102">
        <v>0.077209</v>
      </c>
      <c r="D64" s="102">
        <v>0.448537</v>
      </c>
      <c r="E64" s="102">
        <v>0.737</v>
      </c>
      <c r="F64" s="102">
        <v>0.23072</v>
      </c>
      <c r="G64" s="102">
        <v>0.108982</v>
      </c>
      <c r="H64" s="102">
        <v>0.504041</v>
      </c>
    </row>
    <row r="65">
      <c r="A65" s="102">
        <v>81.0</v>
      </c>
      <c r="B65" s="102">
        <v>2015.0</v>
      </c>
      <c r="C65" s="102">
        <v>0.210698</v>
      </c>
      <c r="D65" s="102">
        <v>0.174252</v>
      </c>
      <c r="E65" s="102">
        <v>0.58</v>
      </c>
      <c r="F65" s="102">
        <v>0.49344</v>
      </c>
      <c r="G65" s="102">
        <v>0.438966</v>
      </c>
      <c r="H65" s="102">
        <v>2.03022</v>
      </c>
    </row>
    <row r="66">
      <c r="A66" s="102">
        <v>82.0</v>
      </c>
      <c r="B66" s="102">
        <v>2016.0</v>
      </c>
      <c r="C66" s="102">
        <v>0.222326</v>
      </c>
      <c r="D66" s="102">
        <v>0.250695</v>
      </c>
      <c r="E66" s="102">
        <v>0.582</v>
      </c>
      <c r="F66" s="102">
        <v>0.49728</v>
      </c>
      <c r="G66" s="102">
        <v>0.448544</v>
      </c>
      <c r="H66" s="102">
        <v>2.074517</v>
      </c>
    </row>
    <row r="67">
      <c r="A67" s="102">
        <v>83.0</v>
      </c>
      <c r="B67" s="102">
        <v>2017.0</v>
      </c>
      <c r="C67" s="102">
        <v>0.202791</v>
      </c>
      <c r="D67" s="102">
        <v>0.317459</v>
      </c>
      <c r="E67" s="102">
        <v>0.592</v>
      </c>
      <c r="F67" s="102">
        <v>0.50528</v>
      </c>
      <c r="G67" s="102">
        <v>0.458135</v>
      </c>
      <c r="H67" s="102">
        <v>2.118875</v>
      </c>
    </row>
    <row r="68">
      <c r="A68" s="102">
        <v>84.0</v>
      </c>
      <c r="B68" s="102">
        <v>2018.0</v>
      </c>
      <c r="C68" s="102">
        <v>0.200465</v>
      </c>
      <c r="D68" s="102">
        <v>0.193502</v>
      </c>
      <c r="E68" s="102">
        <v>0.595</v>
      </c>
      <c r="F68" s="102">
        <v>0.51072</v>
      </c>
      <c r="G68" s="102">
        <v>0.467735</v>
      </c>
      <c r="H68" s="102">
        <v>2.163275</v>
      </c>
    </row>
    <row r="69">
      <c r="A69" s="102">
        <v>85.0</v>
      </c>
      <c r="B69" s="102">
        <v>2019.0</v>
      </c>
      <c r="C69" s="102">
        <v>0.22186</v>
      </c>
      <c r="D69" s="102">
        <v>0.237677</v>
      </c>
      <c r="E69" s="102">
        <v>0.598</v>
      </c>
      <c r="F69" s="102">
        <v>0.536</v>
      </c>
      <c r="G69" s="102">
        <v>0.47734</v>
      </c>
      <c r="H69" s="102">
        <v>2.207699</v>
      </c>
    </row>
    <row r="70">
      <c r="A70" s="102">
        <v>86.0</v>
      </c>
      <c r="B70" s="102">
        <v>2020.0</v>
      </c>
      <c r="C70" s="102">
        <v>0.230698</v>
      </c>
      <c r="D70" s="102">
        <v>0.275398</v>
      </c>
      <c r="E70" s="102">
        <v>0.603</v>
      </c>
      <c r="F70" s="102">
        <v>0.49344</v>
      </c>
      <c r="G70" s="102">
        <v>0.486947</v>
      </c>
      <c r="H70" s="102">
        <v>2.252129</v>
      </c>
    </row>
    <row r="71">
      <c r="A71" s="102">
        <v>87.0</v>
      </c>
      <c r="B71" s="102">
        <v>2021.0</v>
      </c>
      <c r="C71" s="102">
        <v>0.216279</v>
      </c>
      <c r="D71" s="102">
        <v>0.313119</v>
      </c>
      <c r="E71" s="102">
        <v>0.607</v>
      </c>
      <c r="F71" s="102">
        <v>0.47328</v>
      </c>
      <c r="G71" s="102">
        <v>0.496551</v>
      </c>
      <c r="H71" s="102">
        <v>2.296547</v>
      </c>
    </row>
    <row r="72">
      <c r="A72" s="102">
        <v>90.0</v>
      </c>
      <c r="B72" s="102">
        <v>2015.0</v>
      </c>
      <c r="C72" s="102">
        <v>0.074884</v>
      </c>
      <c r="D72" s="102">
        <v>0.399466</v>
      </c>
      <c r="E72" s="102">
        <v>0.657</v>
      </c>
      <c r="F72" s="102">
        <v>0.44256</v>
      </c>
      <c r="G72" s="102">
        <v>0.637065</v>
      </c>
      <c r="H72" s="102">
        <v>2.944985</v>
      </c>
    </row>
    <row r="73">
      <c r="A73" s="102">
        <v>91.0</v>
      </c>
      <c r="B73" s="102">
        <v>2016.0</v>
      </c>
      <c r="C73" s="102">
        <v>0.072558</v>
      </c>
      <c r="D73" s="102">
        <v>0.426616</v>
      </c>
      <c r="E73" s="102">
        <v>0.667</v>
      </c>
      <c r="F73" s="102">
        <v>0.45728</v>
      </c>
      <c r="G73" s="102">
        <v>0.646332</v>
      </c>
      <c r="H73" s="102">
        <v>2.987822</v>
      </c>
    </row>
    <row r="74">
      <c r="A74" s="102">
        <v>92.0</v>
      </c>
      <c r="B74" s="102">
        <v>2017.0</v>
      </c>
      <c r="C74" s="102">
        <v>0.086977</v>
      </c>
      <c r="D74" s="102">
        <v>0.418048</v>
      </c>
      <c r="E74" s="102">
        <v>0.677</v>
      </c>
      <c r="F74" s="102">
        <v>0.46144</v>
      </c>
      <c r="G74" s="102">
        <v>0.655545</v>
      </c>
      <c r="H74" s="102">
        <v>3.030413</v>
      </c>
    </row>
    <row r="75">
      <c r="A75" s="102">
        <v>93.0</v>
      </c>
      <c r="B75" s="102">
        <v>2018.0</v>
      </c>
      <c r="C75" s="102">
        <v>0.085116</v>
      </c>
      <c r="D75" s="102">
        <v>0.392233</v>
      </c>
      <c r="E75" s="102">
        <v>0.68</v>
      </c>
      <c r="F75" s="102">
        <v>0.48</v>
      </c>
      <c r="G75" s="102">
        <v>0.664703</v>
      </c>
      <c r="H75" s="102">
        <v>3.072748</v>
      </c>
    </row>
    <row r="76">
      <c r="A76" s="102">
        <v>94.0</v>
      </c>
      <c r="B76" s="102">
        <v>2019.0</v>
      </c>
      <c r="C76" s="102">
        <v>0.069302</v>
      </c>
      <c r="D76" s="102">
        <v>0.406142</v>
      </c>
      <c r="E76" s="102">
        <v>0.683</v>
      </c>
      <c r="F76" s="102">
        <v>0.48544</v>
      </c>
      <c r="G76" s="102">
        <v>0.673803</v>
      </c>
      <c r="H76" s="102">
        <v>3.114815</v>
      </c>
    </row>
    <row r="77">
      <c r="A77" s="102">
        <v>95.0</v>
      </c>
      <c r="B77" s="102">
        <v>2020.0</v>
      </c>
      <c r="C77" s="102">
        <v>0.080465</v>
      </c>
      <c r="D77" s="102">
        <v>0.390898</v>
      </c>
      <c r="E77" s="102">
        <v>0.69</v>
      </c>
      <c r="F77" s="102">
        <v>0.45856</v>
      </c>
      <c r="G77" s="102">
        <v>0.682843</v>
      </c>
      <c r="H77" s="102">
        <v>3.156605</v>
      </c>
    </row>
    <row r="78">
      <c r="A78" s="102">
        <v>96.0</v>
      </c>
      <c r="B78" s="102">
        <v>2021.0</v>
      </c>
      <c r="C78" s="102">
        <v>0.077674</v>
      </c>
      <c r="D78" s="102">
        <v>0.375654</v>
      </c>
      <c r="E78" s="102">
        <v>0.696</v>
      </c>
      <c r="F78" s="102">
        <v>0.42144</v>
      </c>
      <c r="G78" s="102">
        <v>0.691821</v>
      </c>
      <c r="H78" s="102">
        <v>3.198109</v>
      </c>
    </row>
    <row r="79">
      <c r="A79" s="102">
        <v>99.0</v>
      </c>
      <c r="B79" s="102">
        <v>2015.0</v>
      </c>
      <c r="C79" s="102">
        <v>0.025116</v>
      </c>
      <c r="D79" s="102">
        <v>0.636475</v>
      </c>
      <c r="E79" s="102">
        <v>0.757</v>
      </c>
      <c r="F79" s="102">
        <v>0.57184</v>
      </c>
      <c r="G79" s="102">
        <v>0.284463</v>
      </c>
      <c r="H79" s="102">
        <v>1.315642</v>
      </c>
    </row>
    <row r="80">
      <c r="A80" s="102">
        <v>100.0</v>
      </c>
      <c r="B80" s="102">
        <v>2016.0</v>
      </c>
      <c r="C80" s="102">
        <v>0.034884</v>
      </c>
      <c r="D80" s="102">
        <v>0.598086</v>
      </c>
      <c r="E80" s="102">
        <v>0.763</v>
      </c>
      <c r="F80" s="102">
        <v>0.56544</v>
      </c>
      <c r="G80" s="102">
        <v>0.285645</v>
      </c>
      <c r="H80" s="102">
        <v>1.32111</v>
      </c>
    </row>
    <row r="81">
      <c r="A81" s="102">
        <v>101.0</v>
      </c>
      <c r="B81" s="102">
        <v>2017.0</v>
      </c>
      <c r="C81" s="102">
        <v>0.032093</v>
      </c>
      <c r="D81" s="102">
        <v>0.569823</v>
      </c>
      <c r="E81" s="102">
        <v>0.775</v>
      </c>
      <c r="F81" s="102">
        <v>0.58944</v>
      </c>
      <c r="G81" s="102">
        <v>0.286809</v>
      </c>
      <c r="H81" s="102">
        <v>1.32649</v>
      </c>
    </row>
    <row r="82">
      <c r="A82" s="102">
        <v>102.0</v>
      </c>
      <c r="B82" s="102">
        <v>2018.0</v>
      </c>
      <c r="C82" s="102">
        <v>0.041395</v>
      </c>
      <c r="D82" s="102">
        <v>0.596195</v>
      </c>
      <c r="E82" s="102">
        <v>0.778</v>
      </c>
      <c r="F82" s="102">
        <v>0.59072</v>
      </c>
      <c r="G82" s="102">
        <v>0.287953</v>
      </c>
      <c r="H82" s="102">
        <v>1.331785</v>
      </c>
    </row>
    <row r="83">
      <c r="A83" s="102">
        <v>103.0</v>
      </c>
      <c r="B83" s="102">
        <v>2019.0</v>
      </c>
      <c r="C83" s="102">
        <v>0.02186</v>
      </c>
      <c r="D83" s="102">
        <v>0.630244</v>
      </c>
      <c r="E83" s="102">
        <v>0.782</v>
      </c>
      <c r="F83" s="102">
        <v>0.608</v>
      </c>
      <c r="G83" s="102">
        <v>0.28908</v>
      </c>
      <c r="H83" s="102">
        <v>1.336994</v>
      </c>
    </row>
    <row r="84">
      <c r="A84" s="102">
        <v>104.0</v>
      </c>
      <c r="B84" s="102">
        <v>2020.0</v>
      </c>
      <c r="C84" s="102">
        <v>0.028372</v>
      </c>
      <c r="D84" s="102">
        <v>0.654278</v>
      </c>
      <c r="E84" s="102">
        <v>0.788</v>
      </c>
      <c r="F84" s="102">
        <v>0.56</v>
      </c>
      <c r="G84" s="102">
        <v>0.290188</v>
      </c>
      <c r="H84" s="102">
        <v>1.342119</v>
      </c>
    </row>
    <row r="85">
      <c r="A85" s="102">
        <v>105.0</v>
      </c>
      <c r="B85" s="102">
        <v>2021.0</v>
      </c>
      <c r="C85" s="102">
        <v>0.030233</v>
      </c>
      <c r="D85" s="102">
        <v>0.660955</v>
      </c>
      <c r="E85" s="102">
        <v>0.795</v>
      </c>
      <c r="F85" s="102">
        <v>0.52928</v>
      </c>
      <c r="G85" s="102">
        <v>0.291278</v>
      </c>
      <c r="H85" s="102">
        <v>1.347161</v>
      </c>
    </row>
    <row r="86">
      <c r="A86" s="102">
        <v>108.0</v>
      </c>
      <c r="B86" s="102">
        <v>2015.0</v>
      </c>
      <c r="C86" s="102">
        <v>0.18186</v>
      </c>
      <c r="D86" s="102">
        <v>0.180149</v>
      </c>
      <c r="E86" s="102">
        <v>0.581</v>
      </c>
      <c r="F86" s="102">
        <v>0.55072</v>
      </c>
      <c r="G86" s="102">
        <v>0.905272</v>
      </c>
      <c r="H86" s="102">
        <v>4.186882</v>
      </c>
    </row>
    <row r="87">
      <c r="A87" s="102">
        <v>109.0</v>
      </c>
      <c r="B87" s="102">
        <v>2016.0</v>
      </c>
      <c r="C87" s="102">
        <v>0.179535</v>
      </c>
      <c r="D87" s="102">
        <v>0.186937</v>
      </c>
      <c r="E87" s="102">
        <v>0.588</v>
      </c>
      <c r="F87" s="102">
        <v>0.54144</v>
      </c>
      <c r="G87" s="102">
        <v>0.921271</v>
      </c>
      <c r="H87" s="102">
        <v>4.260877</v>
      </c>
    </row>
    <row r="88">
      <c r="A88" s="102">
        <v>110.0</v>
      </c>
      <c r="B88" s="102">
        <v>2017.0</v>
      </c>
      <c r="C88" s="102">
        <v>0.188372</v>
      </c>
      <c r="D88" s="102">
        <v>0.192389</v>
      </c>
      <c r="E88" s="102">
        <v>0.598</v>
      </c>
      <c r="F88" s="102">
        <v>0.56384</v>
      </c>
      <c r="G88" s="102">
        <v>0.937227</v>
      </c>
      <c r="H88" s="102">
        <v>4.334675</v>
      </c>
    </row>
    <row r="89">
      <c r="A89" s="102">
        <v>111.0</v>
      </c>
      <c r="B89" s="102">
        <v>2018.0</v>
      </c>
      <c r="C89" s="102">
        <v>0.186977</v>
      </c>
      <c r="D89" s="102">
        <v>0.173473</v>
      </c>
      <c r="E89" s="102">
        <v>0.6</v>
      </c>
      <c r="F89" s="102">
        <v>0.56128</v>
      </c>
      <c r="G89" s="102">
        <v>0.953135</v>
      </c>
      <c r="H89" s="102">
        <v>4.408249</v>
      </c>
    </row>
    <row r="90">
      <c r="A90" s="102">
        <v>112.0</v>
      </c>
      <c r="B90" s="102">
        <v>2019.0</v>
      </c>
      <c r="C90" s="102">
        <v>0.203721</v>
      </c>
      <c r="D90" s="102">
        <v>0.117614</v>
      </c>
      <c r="E90" s="102">
        <v>0.603</v>
      </c>
      <c r="F90" s="102">
        <v>0.51744</v>
      </c>
      <c r="G90" s="102">
        <v>0.968989</v>
      </c>
      <c r="H90" s="102">
        <v>4.481575</v>
      </c>
    </row>
    <row r="91">
      <c r="A91" s="102">
        <v>113.0</v>
      </c>
      <c r="B91" s="102">
        <v>2020.0</v>
      </c>
      <c r="C91" s="102">
        <v>0.196279</v>
      </c>
      <c r="D91" s="102">
        <v>0.15489</v>
      </c>
      <c r="E91" s="102">
        <v>0.609</v>
      </c>
      <c r="F91" s="102">
        <v>0.552</v>
      </c>
      <c r="G91" s="102">
        <v>0.984785</v>
      </c>
      <c r="H91" s="102">
        <v>4.55463</v>
      </c>
    </row>
    <row r="92">
      <c r="A92" s="102">
        <v>114.0</v>
      </c>
      <c r="B92" s="102">
        <v>2021.0</v>
      </c>
      <c r="C92" s="102">
        <v>0.187907</v>
      </c>
      <c r="D92" s="102">
        <v>0.192166</v>
      </c>
      <c r="E92" s="102">
        <v>0.614</v>
      </c>
      <c r="F92" s="102">
        <v>0.53728</v>
      </c>
      <c r="G92" s="102">
        <v>1.000517</v>
      </c>
      <c r="H92" s="102">
        <v>4.627391</v>
      </c>
    </row>
    <row r="93">
      <c r="A93" s="102">
        <v>117.0</v>
      </c>
      <c r="B93" s="102">
        <v>2015.0</v>
      </c>
      <c r="C93" s="102">
        <v>0.131628</v>
      </c>
      <c r="D93" s="102">
        <v>0.414933</v>
      </c>
      <c r="E93" s="102">
        <v>0.678</v>
      </c>
      <c r="F93" s="102">
        <v>0.60128</v>
      </c>
      <c r="G93" s="102">
        <v>1.0346</v>
      </c>
      <c r="H93" s="102">
        <v>4.785027</v>
      </c>
    </row>
    <row r="94">
      <c r="A94" s="102">
        <v>118.0</v>
      </c>
      <c r="B94" s="102">
        <v>2016.0</v>
      </c>
      <c r="C94" s="102">
        <v>0.129767</v>
      </c>
      <c r="D94" s="102">
        <v>0.425837</v>
      </c>
      <c r="E94" s="102">
        <v>0.68</v>
      </c>
      <c r="F94" s="102">
        <v>0.576</v>
      </c>
      <c r="G94" s="102">
        <v>1.046769</v>
      </c>
      <c r="H94" s="102">
        <v>4.841306</v>
      </c>
    </row>
    <row r="95">
      <c r="A95" s="102">
        <v>119.0</v>
      </c>
      <c r="B95" s="102">
        <v>2017.0</v>
      </c>
      <c r="C95" s="102">
        <v>0.142326</v>
      </c>
      <c r="D95" s="102">
        <v>0.458329</v>
      </c>
      <c r="E95" s="102">
        <v>0.691</v>
      </c>
      <c r="F95" s="102">
        <v>0.608</v>
      </c>
      <c r="G95" s="102">
        <v>1.058834</v>
      </c>
      <c r="H95" s="102">
        <v>4.897107</v>
      </c>
    </row>
    <row r="96">
      <c r="A96" s="102">
        <v>120.0</v>
      </c>
      <c r="B96" s="102">
        <v>2018.0</v>
      </c>
      <c r="C96" s="102">
        <v>0.14093</v>
      </c>
      <c r="D96" s="102">
        <v>0.509736</v>
      </c>
      <c r="E96" s="102">
        <v>0.694</v>
      </c>
      <c r="F96" s="102">
        <v>0.616</v>
      </c>
      <c r="G96" s="102">
        <v>1.070794</v>
      </c>
      <c r="H96" s="102">
        <v>4.952423</v>
      </c>
    </row>
    <row r="97">
      <c r="A97" s="102">
        <v>121.0</v>
      </c>
      <c r="B97" s="102">
        <v>2019.0</v>
      </c>
      <c r="C97" s="102">
        <v>0.138605</v>
      </c>
      <c r="D97" s="102">
        <v>0.464337</v>
      </c>
      <c r="E97" s="102">
        <v>0.697</v>
      </c>
      <c r="F97" s="102">
        <v>0.58944</v>
      </c>
      <c r="G97" s="102">
        <v>1.082648</v>
      </c>
      <c r="H97" s="102">
        <v>5.007245</v>
      </c>
    </row>
    <row r="98">
      <c r="A98" s="102">
        <v>122.0</v>
      </c>
      <c r="B98" s="102">
        <v>2020.0</v>
      </c>
      <c r="C98" s="102">
        <v>0.144186</v>
      </c>
      <c r="D98" s="102">
        <v>0.475576</v>
      </c>
      <c r="E98" s="102">
        <v>0.702</v>
      </c>
      <c r="F98" s="102">
        <v>0.536</v>
      </c>
      <c r="G98" s="102">
        <v>1.094392</v>
      </c>
      <c r="H98" s="102">
        <v>5.061565</v>
      </c>
    </row>
    <row r="99">
      <c r="A99" s="102">
        <v>123.0</v>
      </c>
      <c r="B99" s="102">
        <v>2021.0</v>
      </c>
      <c r="C99" s="102">
        <v>0.164651</v>
      </c>
      <c r="D99" s="102">
        <v>0.515634</v>
      </c>
      <c r="E99" s="102">
        <v>0.707</v>
      </c>
      <c r="F99" s="102">
        <v>0.55584</v>
      </c>
      <c r="G99" s="102">
        <v>1.106027</v>
      </c>
      <c r="H99" s="102">
        <v>5.115376</v>
      </c>
    </row>
    <row r="100">
      <c r="A100" s="102">
        <v>126.0</v>
      </c>
      <c r="B100" s="102">
        <v>2015.0</v>
      </c>
      <c r="C100" s="102">
        <v>0.089767</v>
      </c>
      <c r="D100" s="102">
        <v>0.389229</v>
      </c>
      <c r="E100" s="102">
        <v>0.692</v>
      </c>
      <c r="F100" s="102">
        <v>0.32384</v>
      </c>
      <c r="G100" s="102">
        <v>0.035269</v>
      </c>
      <c r="H100" s="102">
        <v>0.163048</v>
      </c>
    </row>
    <row r="101">
      <c r="A101" s="102">
        <v>127.0</v>
      </c>
      <c r="B101" s="102">
        <v>2016.0</v>
      </c>
      <c r="C101" s="102">
        <v>0.08093</v>
      </c>
      <c r="D101" s="102">
        <v>0.420496</v>
      </c>
      <c r="E101" s="102">
        <v>0.68</v>
      </c>
      <c r="F101" s="102">
        <v>0.34784</v>
      </c>
      <c r="G101" s="102">
        <v>0.036001</v>
      </c>
      <c r="H101" s="102">
        <v>0.166436</v>
      </c>
    </row>
    <row r="102">
      <c r="A102" s="102">
        <v>128.0</v>
      </c>
      <c r="B102" s="102">
        <v>2017.0</v>
      </c>
      <c r="C102" s="102">
        <v>0.07907</v>
      </c>
      <c r="D102" s="102">
        <v>0.321242</v>
      </c>
      <c r="E102" s="102">
        <v>0.691</v>
      </c>
      <c r="F102" s="102">
        <v>0.36672</v>
      </c>
      <c r="G102" s="102">
        <v>0.036735</v>
      </c>
      <c r="H102" s="102">
        <v>0.169825</v>
      </c>
    </row>
    <row r="103">
      <c r="A103" s="102">
        <v>129.0</v>
      </c>
      <c r="B103" s="102">
        <v>2018.0</v>
      </c>
      <c r="C103" s="102">
        <v>0.101395</v>
      </c>
      <c r="D103" s="102">
        <v>0.254145</v>
      </c>
      <c r="E103" s="102">
        <v>0.694</v>
      </c>
      <c r="F103" s="102">
        <v>0.376</v>
      </c>
      <c r="G103" s="102">
        <v>0.037468</v>
      </c>
      <c r="H103" s="102">
        <v>0.173214</v>
      </c>
    </row>
    <row r="104">
      <c r="A104" s="102">
        <v>130.0</v>
      </c>
      <c r="B104" s="102">
        <v>2019.0</v>
      </c>
      <c r="C104" s="102">
        <v>0.084651</v>
      </c>
      <c r="D104" s="102">
        <v>0.191276</v>
      </c>
      <c r="E104" s="102">
        <v>0.697</v>
      </c>
      <c r="F104" s="102">
        <v>0.37472</v>
      </c>
      <c r="G104" s="102">
        <v>0.0382</v>
      </c>
      <c r="H104" s="102">
        <v>0.176602</v>
      </c>
    </row>
    <row r="105">
      <c r="A105" s="102">
        <v>131.0</v>
      </c>
      <c r="B105" s="102">
        <v>2020.0</v>
      </c>
      <c r="C105" s="102">
        <v>0.084651</v>
      </c>
      <c r="D105" s="102">
        <v>0.127518</v>
      </c>
      <c r="E105" s="102">
        <v>0.698</v>
      </c>
      <c r="F105" s="102">
        <v>0.376</v>
      </c>
      <c r="G105" s="102">
        <v>0.038933</v>
      </c>
      <c r="H105" s="102">
        <v>0.179987</v>
      </c>
    </row>
    <row r="106">
      <c r="A106" s="102">
        <v>132.0</v>
      </c>
      <c r="B106" s="102">
        <v>2021.0</v>
      </c>
      <c r="C106" s="102">
        <v>0.084651</v>
      </c>
      <c r="D106" s="102">
        <v>0.063759</v>
      </c>
      <c r="E106" s="102">
        <v>0.7</v>
      </c>
      <c r="F106" s="102">
        <v>0.36384</v>
      </c>
      <c r="G106" s="102">
        <v>0.039664</v>
      </c>
      <c r="H106" s="102">
        <v>0.183368</v>
      </c>
    </row>
    <row r="107">
      <c r="A107" s="102">
        <v>135.0</v>
      </c>
      <c r="B107" s="102">
        <v>2015.0</v>
      </c>
      <c r="C107" s="102">
        <v>0.105116</v>
      </c>
      <c r="D107" s="102">
        <v>0.318237</v>
      </c>
      <c r="E107" s="102">
        <v>0.646</v>
      </c>
      <c r="F107" s="102">
        <v>0.20928</v>
      </c>
      <c r="G107" s="102">
        <v>0.042444</v>
      </c>
      <c r="H107" s="102">
        <v>0.196376</v>
      </c>
    </row>
    <row r="108">
      <c r="A108" s="102">
        <v>136.0</v>
      </c>
      <c r="B108" s="102">
        <v>2016.0</v>
      </c>
      <c r="C108" s="102">
        <v>0.106512</v>
      </c>
      <c r="D108" s="102">
        <v>0.378658</v>
      </c>
      <c r="E108" s="102">
        <v>0.64</v>
      </c>
      <c r="F108" s="102">
        <v>0.24</v>
      </c>
      <c r="G108" s="102">
        <v>0.04359</v>
      </c>
      <c r="H108" s="102">
        <v>0.201681</v>
      </c>
    </row>
    <row r="109">
      <c r="A109" s="102">
        <v>137.0</v>
      </c>
      <c r="B109" s="102">
        <v>2017.0</v>
      </c>
      <c r="C109" s="102">
        <v>0.107907</v>
      </c>
      <c r="D109" s="102">
        <v>0.368866</v>
      </c>
      <c r="E109" s="102">
        <v>0.65</v>
      </c>
      <c r="F109" s="102">
        <v>0.25344</v>
      </c>
      <c r="G109" s="102">
        <v>0.044744</v>
      </c>
      <c r="H109" s="102">
        <v>0.20702</v>
      </c>
    </row>
    <row r="110">
      <c r="A110" s="102">
        <v>138.0</v>
      </c>
      <c r="B110" s="102">
        <v>2018.0</v>
      </c>
      <c r="C110" s="102">
        <v>0.137209</v>
      </c>
      <c r="D110" s="102">
        <v>0.338266</v>
      </c>
      <c r="E110" s="102">
        <v>0.652</v>
      </c>
      <c r="F110" s="102">
        <v>0.25984</v>
      </c>
      <c r="G110" s="102">
        <v>0.045905</v>
      </c>
      <c r="H110" s="102">
        <v>0.212391</v>
      </c>
    </row>
    <row r="111">
      <c r="A111" s="102">
        <v>139.0</v>
      </c>
      <c r="B111" s="102">
        <v>2019.0</v>
      </c>
      <c r="C111" s="102">
        <v>0.120465</v>
      </c>
      <c r="D111" s="102">
        <v>0.250473</v>
      </c>
      <c r="E111" s="102">
        <v>0.656</v>
      </c>
      <c r="F111" s="102">
        <v>0.296</v>
      </c>
      <c r="G111" s="102">
        <v>0.047072</v>
      </c>
      <c r="H111" s="102">
        <v>0.217791</v>
      </c>
    </row>
    <row r="112">
      <c r="A112" s="102">
        <v>140.0</v>
      </c>
      <c r="B112" s="102">
        <v>2020.0</v>
      </c>
      <c r="C112" s="102">
        <v>0.120465</v>
      </c>
      <c r="D112" s="102">
        <v>0.028374</v>
      </c>
      <c r="E112" s="102">
        <v>0.659</v>
      </c>
      <c r="F112" s="102">
        <v>0.21984</v>
      </c>
      <c r="G112" s="102">
        <v>0.048245</v>
      </c>
      <c r="H112" s="102">
        <v>0.223217</v>
      </c>
    </row>
    <row r="113">
      <c r="A113" s="102">
        <v>141.0</v>
      </c>
      <c r="B113" s="102">
        <v>2021.0</v>
      </c>
      <c r="C113" s="102">
        <v>0.114419</v>
      </c>
      <c r="D113" s="102">
        <v>0.225325</v>
      </c>
      <c r="E113" s="102">
        <v>0.661</v>
      </c>
      <c r="F113" s="102">
        <v>0.25856</v>
      </c>
      <c r="G113" s="102">
        <v>0.049423</v>
      </c>
      <c r="H113" s="102">
        <v>0.228668</v>
      </c>
    </row>
    <row r="114">
      <c r="A114" s="102">
        <v>144.0</v>
      </c>
      <c r="B114" s="102">
        <v>2015.0</v>
      </c>
      <c r="C114" s="102">
        <v>0.126977</v>
      </c>
      <c r="D114" s="102">
        <v>0.539335</v>
      </c>
      <c r="E114" s="102">
        <v>0.695</v>
      </c>
      <c r="F114" s="102">
        <v>0.25856</v>
      </c>
      <c r="G114" s="102">
        <v>0.009128</v>
      </c>
      <c r="H114" s="102">
        <v>0.042216</v>
      </c>
    </row>
    <row r="115">
      <c r="A115" s="102">
        <v>145.0</v>
      </c>
      <c r="B115" s="102">
        <v>2016.0</v>
      </c>
      <c r="C115" s="102">
        <v>0.130698</v>
      </c>
      <c r="D115" s="102">
        <v>0.566374</v>
      </c>
      <c r="E115" s="102">
        <v>0.688</v>
      </c>
      <c r="F115" s="102">
        <v>0.296</v>
      </c>
      <c r="G115" s="102">
        <v>0.009308</v>
      </c>
      <c r="H115" s="102">
        <v>0.043049</v>
      </c>
    </row>
    <row r="116">
      <c r="A116" s="102">
        <v>146.0</v>
      </c>
      <c r="B116" s="102">
        <v>2017.0</v>
      </c>
      <c r="C116" s="102">
        <v>0.108372</v>
      </c>
      <c r="D116" s="102">
        <v>0.532213</v>
      </c>
      <c r="E116" s="102">
        <v>0.699</v>
      </c>
      <c r="F116" s="102">
        <v>0.312</v>
      </c>
      <c r="G116" s="102">
        <v>0.009488</v>
      </c>
      <c r="H116" s="102">
        <v>0.043882</v>
      </c>
    </row>
    <row r="117">
      <c r="A117" s="102">
        <v>147.0</v>
      </c>
      <c r="B117" s="102">
        <v>2018.0</v>
      </c>
      <c r="C117" s="102">
        <v>0.140465</v>
      </c>
      <c r="D117" s="102">
        <v>0.458551</v>
      </c>
      <c r="E117" s="102">
        <v>0.701</v>
      </c>
      <c r="F117" s="102">
        <v>0.304</v>
      </c>
      <c r="G117" s="102">
        <v>0.009668</v>
      </c>
      <c r="H117" s="102">
        <v>0.044714</v>
      </c>
    </row>
    <row r="118">
      <c r="A118" s="102">
        <v>148.0</v>
      </c>
      <c r="B118" s="102">
        <v>2019.0</v>
      </c>
      <c r="C118" s="102">
        <v>0.119535</v>
      </c>
      <c r="D118" s="102">
        <v>0.38411</v>
      </c>
      <c r="E118" s="102">
        <v>0.704</v>
      </c>
      <c r="F118" s="102">
        <v>0.31584</v>
      </c>
      <c r="G118" s="102">
        <v>0.009847</v>
      </c>
      <c r="H118" s="102">
        <v>0.045545</v>
      </c>
    </row>
    <row r="119">
      <c r="A119" s="102">
        <v>149.0</v>
      </c>
      <c r="B119" s="102">
        <v>2020.0</v>
      </c>
      <c r="C119" s="102">
        <v>0.132558</v>
      </c>
      <c r="D119" s="102">
        <v>0.589407</v>
      </c>
      <c r="E119" s="102">
        <v>0.706</v>
      </c>
      <c r="F119" s="102">
        <v>0.25984</v>
      </c>
      <c r="G119" s="102">
        <v>0.010027</v>
      </c>
      <c r="H119" s="102">
        <v>0.046374</v>
      </c>
    </row>
    <row r="120">
      <c r="A120" s="102">
        <v>150.0</v>
      </c>
      <c r="B120" s="102">
        <v>2021.0</v>
      </c>
      <c r="C120" s="102">
        <v>0.128837</v>
      </c>
      <c r="D120" s="102">
        <v>0.794703</v>
      </c>
      <c r="E120" s="102">
        <v>0.709</v>
      </c>
      <c r="F120" s="102">
        <v>0.296</v>
      </c>
      <c r="G120" s="102">
        <v>0.010206</v>
      </c>
      <c r="H120" s="102">
        <v>0.047201</v>
      </c>
    </row>
    <row r="121">
      <c r="A121" s="102">
        <v>153.0</v>
      </c>
      <c r="B121" s="102">
        <v>2015.0</v>
      </c>
      <c r="C121" s="102">
        <v>0.072093</v>
      </c>
      <c r="D121" s="102">
        <v>0.249917</v>
      </c>
      <c r="E121" s="102">
        <v>0.677</v>
      </c>
      <c r="F121" s="102">
        <v>0.25472</v>
      </c>
      <c r="G121" s="102">
        <v>0.023016</v>
      </c>
      <c r="H121" s="102">
        <v>0.106451</v>
      </c>
    </row>
    <row r="122">
      <c r="A122" s="102">
        <v>154.0</v>
      </c>
      <c r="B122" s="102">
        <v>2016.0</v>
      </c>
      <c r="C122" s="102">
        <v>0.063256</v>
      </c>
      <c r="D122" s="102">
        <v>0.162234</v>
      </c>
      <c r="E122" s="102">
        <v>0.663</v>
      </c>
      <c r="F122" s="102">
        <v>0.26784</v>
      </c>
      <c r="G122" s="102">
        <v>0.023136</v>
      </c>
      <c r="H122" s="102">
        <v>0.107004</v>
      </c>
    </row>
    <row r="123">
      <c r="A123" s="102">
        <v>155.0</v>
      </c>
      <c r="B123" s="102">
        <v>2017.0</v>
      </c>
      <c r="C123" s="102">
        <v>0.065581</v>
      </c>
      <c r="D123" s="102">
        <v>0.164571</v>
      </c>
      <c r="E123" s="102">
        <v>0.673</v>
      </c>
      <c r="F123" s="102">
        <v>0.27872</v>
      </c>
      <c r="G123" s="102">
        <v>0.023254</v>
      </c>
      <c r="H123" s="102">
        <v>0.107549</v>
      </c>
    </row>
    <row r="124">
      <c r="A124" s="102">
        <v>156.0</v>
      </c>
      <c r="B124" s="102">
        <v>2018.0</v>
      </c>
      <c r="C124" s="102">
        <v>0.076744</v>
      </c>
      <c r="D124" s="102">
        <v>0.174808</v>
      </c>
      <c r="E124" s="102">
        <v>0.676</v>
      </c>
      <c r="F124" s="102">
        <v>0.28128</v>
      </c>
      <c r="G124" s="102">
        <v>0.02337</v>
      </c>
      <c r="H124" s="102">
        <v>0.108086</v>
      </c>
    </row>
    <row r="125">
      <c r="A125" s="102">
        <v>157.0</v>
      </c>
      <c r="B125" s="102">
        <v>2019.0</v>
      </c>
      <c r="C125" s="102">
        <v>0.071628</v>
      </c>
      <c r="D125" s="102">
        <v>0.008123</v>
      </c>
      <c r="E125" s="102">
        <v>0.679</v>
      </c>
      <c r="F125" s="102">
        <v>0.29984</v>
      </c>
      <c r="G125" s="102">
        <v>0.023484</v>
      </c>
      <c r="H125" s="102">
        <v>0.108614</v>
      </c>
    </row>
    <row r="126">
      <c r="A126" s="102">
        <v>158.0</v>
      </c>
      <c r="B126" s="102">
        <v>2020.0</v>
      </c>
      <c r="C126" s="102">
        <v>0.068837</v>
      </c>
      <c r="D126" s="102">
        <v>0.046734</v>
      </c>
      <c r="E126" s="102">
        <v>0.68</v>
      </c>
      <c r="F126" s="102">
        <v>0.29184</v>
      </c>
      <c r="G126" s="102">
        <v>0.023597</v>
      </c>
      <c r="H126" s="102">
        <v>0.109134</v>
      </c>
    </row>
    <row r="127">
      <c r="A127" s="102">
        <v>159.0</v>
      </c>
      <c r="B127" s="102">
        <v>2021.0</v>
      </c>
      <c r="C127" s="102">
        <v>0.070233</v>
      </c>
      <c r="D127" s="102">
        <v>0.0849</v>
      </c>
      <c r="E127" s="102">
        <v>0.684</v>
      </c>
      <c r="F127" s="102">
        <v>0.28672</v>
      </c>
      <c r="G127" s="102">
        <v>0.023707</v>
      </c>
      <c r="H127" s="102">
        <v>0.109647</v>
      </c>
    </row>
    <row r="128">
      <c r="A128" s="102">
        <v>162.0</v>
      </c>
      <c r="B128" s="102">
        <v>2015.0</v>
      </c>
      <c r="C128" s="102">
        <v>0.154884</v>
      </c>
      <c r="D128" s="102">
        <v>0.185045</v>
      </c>
      <c r="E128" s="102">
        <v>0.582</v>
      </c>
      <c r="F128" s="102">
        <v>0.61056</v>
      </c>
      <c r="G128" s="102">
        <v>0.590405</v>
      </c>
      <c r="H128" s="102">
        <v>2.730625</v>
      </c>
    </row>
    <row r="129">
      <c r="A129" s="102">
        <v>163.0</v>
      </c>
      <c r="B129" s="102">
        <v>2016.0</v>
      </c>
      <c r="C129" s="102">
        <v>0.148837</v>
      </c>
      <c r="D129" s="102">
        <v>0.146545</v>
      </c>
      <c r="E129" s="102">
        <v>0.589</v>
      </c>
      <c r="F129" s="102">
        <v>0.60384</v>
      </c>
      <c r="G129" s="102">
        <v>0.598</v>
      </c>
      <c r="H129" s="102">
        <v>2.765748</v>
      </c>
    </row>
    <row r="130">
      <c r="A130" s="102">
        <v>164.0</v>
      </c>
      <c r="B130" s="102">
        <v>2017.0</v>
      </c>
      <c r="C130" s="102">
        <v>0.146977</v>
      </c>
      <c r="D130" s="102">
        <v>0.219317</v>
      </c>
      <c r="E130" s="102">
        <v>0.599</v>
      </c>
      <c r="F130" s="102">
        <v>0.58656</v>
      </c>
      <c r="G130" s="102">
        <v>0.605538</v>
      </c>
      <c r="H130" s="102">
        <v>2.800612</v>
      </c>
    </row>
    <row r="131">
      <c r="A131" s="102">
        <v>165.0</v>
      </c>
      <c r="B131" s="102">
        <v>2018.0</v>
      </c>
      <c r="C131" s="102">
        <v>0.150233</v>
      </c>
      <c r="D131" s="102">
        <v>0.260154</v>
      </c>
      <c r="E131" s="102">
        <v>0.602</v>
      </c>
      <c r="F131" s="102">
        <v>0.60544</v>
      </c>
      <c r="G131" s="102">
        <v>0.613018</v>
      </c>
      <c r="H131" s="102">
        <v>2.835209</v>
      </c>
    </row>
    <row r="132">
      <c r="A132" s="102">
        <v>166.0</v>
      </c>
      <c r="B132" s="102">
        <v>2019.0</v>
      </c>
      <c r="C132" s="102">
        <v>0.151163</v>
      </c>
      <c r="D132" s="102">
        <v>0.237899</v>
      </c>
      <c r="E132" s="102">
        <v>0.605</v>
      </c>
      <c r="F132" s="102">
        <v>0.624</v>
      </c>
      <c r="G132" s="102">
        <v>0.620439</v>
      </c>
      <c r="H132" s="102">
        <v>2.869532</v>
      </c>
    </row>
    <row r="133">
      <c r="A133" s="102">
        <v>167.0</v>
      </c>
      <c r="B133" s="102">
        <v>2020.0</v>
      </c>
      <c r="C133" s="102">
        <v>0.15907</v>
      </c>
      <c r="D133" s="102">
        <v>0.239346</v>
      </c>
      <c r="E133" s="102">
        <v>0.611</v>
      </c>
      <c r="F133" s="102">
        <v>0.57472</v>
      </c>
      <c r="G133" s="102">
        <v>0.6278</v>
      </c>
      <c r="H133" s="102">
        <v>2.903577</v>
      </c>
    </row>
    <row r="134">
      <c r="A134" s="102">
        <v>168.0</v>
      </c>
      <c r="B134" s="102">
        <v>2021.0</v>
      </c>
      <c r="C134" s="102">
        <v>0.150698</v>
      </c>
      <c r="D134" s="102">
        <v>0.240792</v>
      </c>
      <c r="E134" s="102">
        <v>0.616</v>
      </c>
      <c r="F134" s="102">
        <v>0.568</v>
      </c>
      <c r="G134" s="102">
        <v>0.6351</v>
      </c>
      <c r="H134" s="102">
        <v>2.937336</v>
      </c>
    </row>
    <row r="135">
      <c r="A135" s="102">
        <v>171.0</v>
      </c>
      <c r="B135" s="102">
        <v>2015.0</v>
      </c>
      <c r="C135" s="102">
        <v>0.292093</v>
      </c>
      <c r="D135" s="102">
        <v>0.436408</v>
      </c>
      <c r="E135" s="102">
        <v>0.701</v>
      </c>
      <c r="F135" s="102">
        <v>0.55328</v>
      </c>
      <c r="G135" s="102">
        <v>0.303766</v>
      </c>
      <c r="H135" s="102">
        <v>1.404915</v>
      </c>
    </row>
    <row r="136">
      <c r="A136" s="102">
        <v>172.0</v>
      </c>
      <c r="B136" s="102">
        <v>2016.0</v>
      </c>
      <c r="C136" s="102">
        <v>0.325581</v>
      </c>
      <c r="D136" s="102">
        <v>0.469901</v>
      </c>
      <c r="E136" s="102">
        <v>0.707</v>
      </c>
      <c r="F136" s="102">
        <v>0.57856</v>
      </c>
      <c r="G136" s="102">
        <v>0.306922</v>
      </c>
      <c r="H136" s="102">
        <v>1.419512</v>
      </c>
    </row>
    <row r="137">
      <c r="A137" s="102">
        <v>173.0</v>
      </c>
      <c r="B137" s="102">
        <v>2017.0</v>
      </c>
      <c r="C137" s="102">
        <v>0.281395</v>
      </c>
      <c r="D137" s="102">
        <v>0.447424</v>
      </c>
      <c r="E137" s="102">
        <v>0.718</v>
      </c>
      <c r="F137" s="102">
        <v>0.57856</v>
      </c>
      <c r="G137" s="102">
        <v>0.310047</v>
      </c>
      <c r="H137" s="102">
        <v>1.433966</v>
      </c>
    </row>
    <row r="138">
      <c r="A138" s="102">
        <v>174.0</v>
      </c>
      <c r="B138" s="102">
        <v>2018.0</v>
      </c>
      <c r="C138" s="102">
        <v>0.302326</v>
      </c>
      <c r="D138" s="102">
        <v>0.406365</v>
      </c>
      <c r="E138" s="102">
        <v>0.72</v>
      </c>
      <c r="F138" s="102">
        <v>0.58944</v>
      </c>
      <c r="G138" s="102">
        <v>0.31314</v>
      </c>
      <c r="H138" s="102">
        <v>1.448275</v>
      </c>
    </row>
    <row r="139">
      <c r="A139" s="102">
        <v>175.0</v>
      </c>
      <c r="B139" s="102">
        <v>2019.0</v>
      </c>
      <c r="C139" s="102">
        <v>0.269302</v>
      </c>
      <c r="D139" s="102">
        <v>0.411817</v>
      </c>
      <c r="E139" s="102">
        <v>0.724</v>
      </c>
      <c r="F139" s="102">
        <v>0.53056</v>
      </c>
      <c r="G139" s="102">
        <v>0.316203</v>
      </c>
      <c r="H139" s="102">
        <v>1.462437</v>
      </c>
    </row>
    <row r="140">
      <c r="A140" s="102">
        <v>176.0</v>
      </c>
      <c r="B140" s="102">
        <v>2020.0</v>
      </c>
      <c r="C140" s="102">
        <v>0.27907</v>
      </c>
      <c r="D140" s="102">
        <v>0.392567</v>
      </c>
      <c r="E140" s="102">
        <v>0.73</v>
      </c>
      <c r="F140" s="102">
        <v>0.58656</v>
      </c>
      <c r="G140" s="102">
        <v>0.319233</v>
      </c>
      <c r="H140" s="102">
        <v>1.476452</v>
      </c>
    </row>
    <row r="141">
      <c r="A141" s="102">
        <v>177.0</v>
      </c>
      <c r="B141" s="102">
        <v>2021.0</v>
      </c>
      <c r="C141" s="102">
        <v>0.286977</v>
      </c>
      <c r="D141" s="102">
        <v>0.41204</v>
      </c>
      <c r="E141" s="102">
        <v>0.735</v>
      </c>
      <c r="F141" s="102">
        <v>0.52928</v>
      </c>
      <c r="G141" s="102">
        <v>0.322231</v>
      </c>
      <c r="H141" s="102">
        <v>1.490319</v>
      </c>
    </row>
    <row r="142">
      <c r="A142" s="102">
        <v>180.0</v>
      </c>
      <c r="B142" s="102">
        <v>2015.0</v>
      </c>
      <c r="C142" s="102">
        <v>0.253488</v>
      </c>
      <c r="D142" s="102">
        <v>0.155669</v>
      </c>
      <c r="E142" s="102">
        <v>0.602</v>
      </c>
      <c r="F142" s="102">
        <v>0.568</v>
      </c>
      <c r="G142" s="102">
        <v>0.883183</v>
      </c>
      <c r="H142" s="102">
        <v>4.084719</v>
      </c>
    </row>
    <row r="143">
      <c r="A143" s="102">
        <v>181.0</v>
      </c>
      <c r="B143" s="102">
        <v>2016.0</v>
      </c>
      <c r="C143" s="102">
        <v>0.232093</v>
      </c>
      <c r="D143" s="102">
        <v>0.225882</v>
      </c>
      <c r="E143" s="102">
        <v>0.613</v>
      </c>
      <c r="F143" s="102">
        <v>0.54656</v>
      </c>
      <c r="G143" s="102">
        <v>0.897864</v>
      </c>
      <c r="H143" s="102">
        <v>4.152623</v>
      </c>
    </row>
    <row r="144">
      <c r="A144" s="102">
        <v>182.0</v>
      </c>
      <c r="B144" s="102">
        <v>2017.0</v>
      </c>
      <c r="C144" s="102">
        <v>0.227442</v>
      </c>
      <c r="D144" s="102">
        <v>0.28263</v>
      </c>
      <c r="E144" s="102">
        <v>0.623</v>
      </c>
      <c r="F144" s="102">
        <v>0.57184</v>
      </c>
      <c r="G144" s="102">
        <v>0.912492</v>
      </c>
      <c r="H144" s="102">
        <v>4.220275</v>
      </c>
    </row>
    <row r="145">
      <c r="A145" s="102">
        <v>183.0</v>
      </c>
      <c r="B145" s="102">
        <v>2018.0</v>
      </c>
      <c r="C145" s="102">
        <v>0.242326</v>
      </c>
      <c r="D145" s="102">
        <v>0.277178</v>
      </c>
      <c r="E145" s="102">
        <v>0.625</v>
      </c>
      <c r="F145" s="102">
        <v>0.56256</v>
      </c>
      <c r="G145" s="102">
        <v>0.92706</v>
      </c>
      <c r="H145" s="102">
        <v>4.287654</v>
      </c>
    </row>
    <row r="146">
      <c r="A146" s="102">
        <v>184.0</v>
      </c>
      <c r="B146" s="102">
        <v>2019.0</v>
      </c>
      <c r="C146" s="102">
        <v>0.24186</v>
      </c>
      <c r="D146" s="102">
        <v>0.208857</v>
      </c>
      <c r="E146" s="102">
        <v>0.628</v>
      </c>
      <c r="F146" s="102">
        <v>0.53184</v>
      </c>
      <c r="G146" s="102">
        <v>0.941565</v>
      </c>
      <c r="H146" s="102">
        <v>4.354739</v>
      </c>
    </row>
    <row r="147">
      <c r="A147" s="102">
        <v>185.0</v>
      </c>
      <c r="B147" s="102">
        <v>2020.0</v>
      </c>
      <c r="C147" s="102">
        <v>0.233488</v>
      </c>
      <c r="D147" s="102">
        <v>0.206187</v>
      </c>
      <c r="E147" s="102">
        <v>0.635</v>
      </c>
      <c r="F147" s="102">
        <v>0.56928</v>
      </c>
      <c r="G147" s="102">
        <v>0.956003</v>
      </c>
      <c r="H147" s="102">
        <v>4.421512</v>
      </c>
    </row>
    <row r="148">
      <c r="A148" s="102">
        <v>186.0</v>
      </c>
      <c r="B148" s="102">
        <v>2021.0</v>
      </c>
      <c r="C148" s="102">
        <v>0.237674</v>
      </c>
      <c r="D148" s="102">
        <v>0.203516</v>
      </c>
      <c r="E148" s="102">
        <v>0.64</v>
      </c>
      <c r="F148" s="102">
        <v>0.568</v>
      </c>
      <c r="G148" s="102">
        <v>0.970368</v>
      </c>
      <c r="H148" s="102">
        <v>4.487952</v>
      </c>
    </row>
    <row r="149">
      <c r="A149" s="102">
        <v>189.0</v>
      </c>
      <c r="B149" s="102">
        <v>2015.0</v>
      </c>
      <c r="C149" s="102">
        <v>0.108372</v>
      </c>
      <c r="D149" s="102">
        <v>0.340381</v>
      </c>
      <c r="E149" s="102">
        <v>0.69</v>
      </c>
      <c r="F149" s="102">
        <v>0.08544</v>
      </c>
      <c r="G149" s="102">
        <v>0.007571</v>
      </c>
      <c r="H149" s="102">
        <v>0.035018</v>
      </c>
    </row>
    <row r="150">
      <c r="A150" s="102">
        <v>190.0</v>
      </c>
      <c r="B150" s="102">
        <v>2016.0</v>
      </c>
      <c r="C150" s="102">
        <v>0.093488</v>
      </c>
      <c r="D150" s="102">
        <v>0.338266</v>
      </c>
      <c r="E150" s="102">
        <v>0.7</v>
      </c>
      <c r="F150" s="102">
        <v>0.12384</v>
      </c>
      <c r="G150" s="102">
        <v>0.007634</v>
      </c>
      <c r="H150" s="102">
        <v>0.035309</v>
      </c>
    </row>
    <row r="151">
      <c r="A151" s="102">
        <v>191.0</v>
      </c>
      <c r="B151" s="102">
        <v>2017.0</v>
      </c>
      <c r="C151" s="102">
        <v>0.087907</v>
      </c>
      <c r="D151" s="102">
        <v>0.308223</v>
      </c>
      <c r="E151" s="102">
        <v>0.711</v>
      </c>
      <c r="F151" s="102">
        <v>0.09984</v>
      </c>
      <c r="G151" s="102">
        <v>0.007697</v>
      </c>
      <c r="H151" s="102">
        <v>0.035597</v>
      </c>
    </row>
    <row r="152">
      <c r="A152" s="102">
        <v>192.0</v>
      </c>
      <c r="B152" s="102">
        <v>2018.0</v>
      </c>
      <c r="C152" s="102">
        <v>0.102791</v>
      </c>
      <c r="D152" s="102">
        <v>0.450762</v>
      </c>
      <c r="E152" s="102">
        <v>0.713</v>
      </c>
      <c r="F152" s="102">
        <v>0.08384</v>
      </c>
      <c r="G152" s="102">
        <v>0.007758</v>
      </c>
      <c r="H152" s="102">
        <v>0.035881</v>
      </c>
    </row>
    <row r="153">
      <c r="A153" s="102">
        <v>193.0</v>
      </c>
      <c r="B153" s="102">
        <v>2019.0</v>
      </c>
      <c r="C153" s="102">
        <v>0.083256</v>
      </c>
      <c r="D153" s="102">
        <v>0.371759</v>
      </c>
      <c r="E153" s="102">
        <v>0.717</v>
      </c>
      <c r="F153" s="102">
        <v>0.08256</v>
      </c>
      <c r="G153" s="102">
        <v>0.007819</v>
      </c>
      <c r="H153" s="102">
        <v>0.036161</v>
      </c>
    </row>
    <row r="154">
      <c r="A154" s="102">
        <v>194.0</v>
      </c>
      <c r="B154" s="102">
        <v>2020.0</v>
      </c>
      <c r="C154" s="102">
        <v>0.095814</v>
      </c>
      <c r="D154" s="102">
        <v>0.364193</v>
      </c>
      <c r="E154" s="102">
        <v>0.724</v>
      </c>
      <c r="F154" s="102">
        <v>0.0</v>
      </c>
      <c r="G154" s="102">
        <v>0.007879</v>
      </c>
      <c r="H154" s="102">
        <v>0.036439</v>
      </c>
    </row>
    <row r="155">
      <c r="A155" s="102">
        <v>195.0</v>
      </c>
      <c r="B155" s="102">
        <v>2021.0</v>
      </c>
      <c r="C155" s="102">
        <v>0.094884</v>
      </c>
      <c r="D155" s="102">
        <v>0.356181</v>
      </c>
      <c r="E155" s="102">
        <v>0.73</v>
      </c>
      <c r="F155" s="102">
        <v>0.02272</v>
      </c>
      <c r="G155" s="102">
        <v>0.007938</v>
      </c>
      <c r="H155" s="102">
        <v>0.036712</v>
      </c>
    </row>
    <row r="156">
      <c r="A156" s="102">
        <v>198.0</v>
      </c>
      <c r="B156" s="102">
        <v>2015.0</v>
      </c>
      <c r="C156" s="102">
        <v>0.06</v>
      </c>
      <c r="D156" s="102">
        <v>0.450428</v>
      </c>
      <c r="E156" s="102">
        <v>0.688</v>
      </c>
      <c r="F156" s="102">
        <v>0.58944</v>
      </c>
      <c r="G156" s="102">
        <v>0.638422</v>
      </c>
      <c r="H156" s="102">
        <v>2.952701</v>
      </c>
    </row>
    <row r="157">
      <c r="A157" s="102">
        <v>199.0</v>
      </c>
      <c r="B157" s="102">
        <v>2016.0</v>
      </c>
      <c r="C157" s="102">
        <v>0.077674</v>
      </c>
      <c r="D157" s="102">
        <v>0.451541</v>
      </c>
      <c r="E157" s="102">
        <v>0.692</v>
      </c>
      <c r="F157" s="102">
        <v>0.59744</v>
      </c>
      <c r="G157" s="102">
        <v>0.649035</v>
      </c>
      <c r="H157" s="102">
        <v>3.001786</v>
      </c>
    </row>
    <row r="158">
      <c r="A158" s="102">
        <v>200.0</v>
      </c>
      <c r="B158" s="102">
        <v>2017.0</v>
      </c>
      <c r="C158" s="102">
        <v>0.08093</v>
      </c>
      <c r="D158" s="102">
        <v>0.418493</v>
      </c>
      <c r="E158" s="102">
        <v>0.703</v>
      </c>
      <c r="F158" s="102">
        <v>0.592</v>
      </c>
      <c r="G158" s="102">
        <v>0.659608</v>
      </c>
      <c r="H158" s="102">
        <v>3.050689</v>
      </c>
    </row>
    <row r="159">
      <c r="A159" s="102">
        <v>201.0</v>
      </c>
      <c r="B159" s="102">
        <v>2018.0</v>
      </c>
      <c r="C159" s="102">
        <v>0.086512</v>
      </c>
      <c r="D159" s="102">
        <v>0.45143</v>
      </c>
      <c r="E159" s="102">
        <v>0.705</v>
      </c>
      <c r="F159" s="102">
        <v>0.58656</v>
      </c>
      <c r="G159" s="102">
        <v>0.670139</v>
      </c>
      <c r="H159" s="102">
        <v>3.099395</v>
      </c>
    </row>
    <row r="160">
      <c r="A160" s="102">
        <v>202.0</v>
      </c>
      <c r="B160" s="102">
        <v>2019.0</v>
      </c>
      <c r="C160" s="102">
        <v>0.068372</v>
      </c>
      <c r="D160" s="102">
        <v>0.496717</v>
      </c>
      <c r="E160" s="102">
        <v>0.709</v>
      </c>
      <c r="F160" s="102">
        <v>0.592</v>
      </c>
      <c r="G160" s="102">
        <v>0.680625</v>
      </c>
      <c r="H160" s="102">
        <v>3.147889</v>
      </c>
    </row>
    <row r="161">
      <c r="A161" s="102">
        <v>203.0</v>
      </c>
      <c r="B161" s="102">
        <v>2020.0</v>
      </c>
      <c r="C161" s="102">
        <v>0.067442</v>
      </c>
      <c r="D161" s="102">
        <v>0.552131</v>
      </c>
      <c r="E161" s="102">
        <v>0.714</v>
      </c>
      <c r="F161" s="102">
        <v>0.576</v>
      </c>
      <c r="G161" s="102">
        <v>0.691061</v>
      </c>
      <c r="H161" s="102">
        <v>3.196156</v>
      </c>
    </row>
    <row r="162">
      <c r="A162" s="102">
        <v>204.0</v>
      </c>
      <c r="B162" s="102">
        <v>2021.0</v>
      </c>
      <c r="C162" s="102">
        <v>0.073023</v>
      </c>
      <c r="D162" s="102">
        <v>0.570268</v>
      </c>
      <c r="E162" s="102">
        <v>0.72</v>
      </c>
      <c r="F162" s="102">
        <v>0.568</v>
      </c>
      <c r="G162" s="102">
        <v>0.701445</v>
      </c>
      <c r="H162" s="102">
        <v>3.244184</v>
      </c>
    </row>
    <row r="163">
      <c r="A163" s="102">
        <v>207.0</v>
      </c>
      <c r="B163" s="102">
        <v>2015.0</v>
      </c>
      <c r="C163" s="102">
        <v>0.097209</v>
      </c>
      <c r="D163" s="102">
        <v>0.357628</v>
      </c>
      <c r="E163" s="102">
        <v>0.649</v>
      </c>
      <c r="F163" s="102">
        <v>0.57984</v>
      </c>
      <c r="G163" s="102">
        <v>0.391952</v>
      </c>
      <c r="H163" s="102">
        <v>1.812776</v>
      </c>
    </row>
    <row r="164">
      <c r="A164" s="102">
        <v>208.0</v>
      </c>
      <c r="B164" s="102">
        <v>2016.0</v>
      </c>
      <c r="C164" s="102">
        <v>0.10093</v>
      </c>
      <c r="D164" s="102">
        <v>0.362635</v>
      </c>
      <c r="E164" s="102">
        <v>0.652</v>
      </c>
      <c r="F164" s="102">
        <v>0.59072</v>
      </c>
      <c r="G164" s="102">
        <v>0.395491</v>
      </c>
      <c r="H164" s="102">
        <v>1.829144</v>
      </c>
    </row>
    <row r="165">
      <c r="A165" s="102">
        <v>209.0</v>
      </c>
      <c r="B165" s="102">
        <v>2017.0</v>
      </c>
      <c r="C165" s="102">
        <v>0.108837</v>
      </c>
      <c r="D165" s="102">
        <v>0.402804</v>
      </c>
      <c r="E165" s="102">
        <v>0.663</v>
      </c>
      <c r="F165" s="102">
        <v>0.58656</v>
      </c>
      <c r="G165" s="102">
        <v>0.39899</v>
      </c>
      <c r="H165" s="102">
        <v>1.845328</v>
      </c>
    </row>
    <row r="166">
      <c r="A166" s="102">
        <v>210.0</v>
      </c>
      <c r="B166" s="102">
        <v>2018.0</v>
      </c>
      <c r="C166" s="102">
        <v>0.110233</v>
      </c>
      <c r="D166" s="102">
        <v>0.352064</v>
      </c>
      <c r="E166" s="102">
        <v>0.665</v>
      </c>
      <c r="F166" s="102">
        <v>0.59072</v>
      </c>
      <c r="G166" s="102">
        <v>0.40245</v>
      </c>
      <c r="H166" s="102">
        <v>1.86133</v>
      </c>
    </row>
    <row r="167">
      <c r="A167" s="102">
        <v>211.0</v>
      </c>
      <c r="B167" s="102">
        <v>2019.0</v>
      </c>
      <c r="C167" s="102">
        <v>0.103256</v>
      </c>
      <c r="D167" s="102">
        <v>0.395126</v>
      </c>
      <c r="E167" s="102">
        <v>0.669</v>
      </c>
      <c r="F167" s="102">
        <v>0.592</v>
      </c>
      <c r="G167" s="102">
        <v>0.40587</v>
      </c>
      <c r="H167" s="102">
        <v>1.877147</v>
      </c>
    </row>
    <row r="168">
      <c r="A168" s="102">
        <v>212.0</v>
      </c>
      <c r="B168" s="102">
        <v>2020.0</v>
      </c>
      <c r="C168" s="102">
        <v>0.107442</v>
      </c>
      <c r="D168" s="102">
        <v>0.477801</v>
      </c>
      <c r="E168" s="102">
        <v>0.674</v>
      </c>
      <c r="F168" s="102">
        <v>0.57184</v>
      </c>
      <c r="G168" s="102">
        <v>0.40925</v>
      </c>
      <c r="H168" s="102">
        <v>1.89278</v>
      </c>
    </row>
    <row r="169">
      <c r="A169" s="102">
        <v>213.0</v>
      </c>
      <c r="B169" s="102">
        <v>2021.0</v>
      </c>
      <c r="C169" s="102">
        <v>0.105581</v>
      </c>
      <c r="D169" s="102">
        <v>0.524758</v>
      </c>
      <c r="E169" s="102">
        <v>0.68</v>
      </c>
      <c r="F169" s="102">
        <v>0.568</v>
      </c>
      <c r="G169" s="102">
        <v>0.41259</v>
      </c>
      <c r="H169" s="102">
        <v>1.908227</v>
      </c>
    </row>
    <row r="170">
      <c r="A170" s="102">
        <v>216.0</v>
      </c>
      <c r="B170" s="102">
        <v>2015.0</v>
      </c>
      <c r="C170" s="102">
        <v>0.227907</v>
      </c>
      <c r="D170" s="102">
        <v>0.257706</v>
      </c>
      <c r="E170" s="102">
        <v>0.641</v>
      </c>
      <c r="F170" s="102">
        <v>0.52672</v>
      </c>
      <c r="G170" s="102">
        <v>0.046117</v>
      </c>
      <c r="H170" s="102">
        <v>0.213293</v>
      </c>
    </row>
    <row r="171">
      <c r="A171" s="102">
        <v>217.0</v>
      </c>
      <c r="B171" s="102">
        <v>2016.0</v>
      </c>
      <c r="C171" s="102">
        <v>0.251628</v>
      </c>
      <c r="D171" s="102">
        <v>0.262379</v>
      </c>
      <c r="E171" s="102">
        <v>0.642</v>
      </c>
      <c r="F171" s="102">
        <v>0.54528</v>
      </c>
      <c r="G171" s="102">
        <v>0.046788</v>
      </c>
      <c r="H171" s="102">
        <v>0.216396</v>
      </c>
    </row>
    <row r="172">
      <c r="A172" s="102">
        <v>218.0</v>
      </c>
      <c r="B172" s="102">
        <v>2017.0</v>
      </c>
      <c r="C172" s="102">
        <v>0.205116</v>
      </c>
      <c r="D172" s="102">
        <v>0.2843</v>
      </c>
      <c r="E172" s="102">
        <v>0.652</v>
      </c>
      <c r="F172" s="102">
        <v>0.528</v>
      </c>
      <c r="G172" s="102">
        <v>0.047455</v>
      </c>
      <c r="H172" s="102">
        <v>0.21948</v>
      </c>
    </row>
    <row r="173">
      <c r="A173" s="102">
        <v>219.0</v>
      </c>
      <c r="B173" s="102">
        <v>2018.0</v>
      </c>
      <c r="C173" s="102">
        <v>0.290233</v>
      </c>
      <c r="D173" s="102">
        <v>0.230444</v>
      </c>
      <c r="E173" s="102">
        <v>0.655</v>
      </c>
      <c r="F173" s="102">
        <v>0.55872</v>
      </c>
      <c r="G173" s="102">
        <v>0.048118</v>
      </c>
      <c r="H173" s="102">
        <v>0.222547</v>
      </c>
    </row>
    <row r="174">
      <c r="A174" s="102">
        <v>220.0</v>
      </c>
      <c r="B174" s="102">
        <v>2019.0</v>
      </c>
      <c r="C174" s="102">
        <v>0.234419</v>
      </c>
      <c r="D174" s="102">
        <v>0.524758</v>
      </c>
      <c r="E174" s="102">
        <v>0.658</v>
      </c>
      <c r="F174" s="102">
        <v>0.55872</v>
      </c>
      <c r="G174" s="102">
        <v>0.048777</v>
      </c>
      <c r="H174" s="102">
        <v>0.225593</v>
      </c>
    </row>
    <row r="175">
      <c r="A175" s="102">
        <v>221.0</v>
      </c>
      <c r="B175" s="102">
        <v>2020.0</v>
      </c>
      <c r="C175" s="102">
        <v>0.255349</v>
      </c>
      <c r="D175" s="102">
        <v>0.526983</v>
      </c>
      <c r="E175" s="102">
        <v>0.662</v>
      </c>
      <c r="F175" s="102">
        <v>0.55072</v>
      </c>
      <c r="G175" s="102">
        <v>0.049431</v>
      </c>
      <c r="H175" s="102">
        <v>0.22862</v>
      </c>
    </row>
    <row r="176">
      <c r="A176" s="102">
        <v>222.0</v>
      </c>
      <c r="B176" s="102">
        <v>2021.0</v>
      </c>
      <c r="C176" s="102">
        <v>0.243256</v>
      </c>
      <c r="D176" s="102">
        <v>0.529209</v>
      </c>
      <c r="E176" s="102">
        <v>0.667</v>
      </c>
      <c r="F176" s="102">
        <v>0.53728</v>
      </c>
      <c r="G176" s="102">
        <v>0.050081</v>
      </c>
      <c r="H176" s="102">
        <v>0.231626</v>
      </c>
    </row>
    <row r="177">
      <c r="A177" s="102">
        <v>225.0</v>
      </c>
      <c r="B177" s="102">
        <v>2015.0</v>
      </c>
      <c r="C177" s="102">
        <v>0.111628</v>
      </c>
      <c r="D177" s="102">
        <v>0.250584</v>
      </c>
      <c r="E177" s="102">
        <v>0.661</v>
      </c>
      <c r="F177" s="102">
        <v>0.34528</v>
      </c>
      <c r="G177" s="102">
        <v>0.120681</v>
      </c>
      <c r="H177" s="102">
        <v>0.558151</v>
      </c>
    </row>
    <row r="178">
      <c r="A178" s="102">
        <v>226.0</v>
      </c>
      <c r="B178" s="102">
        <v>2016.0</v>
      </c>
      <c r="C178" s="102">
        <v>0.12186</v>
      </c>
      <c r="D178" s="102">
        <v>0.249471</v>
      </c>
      <c r="E178" s="102">
        <v>0.667</v>
      </c>
      <c r="F178" s="102">
        <v>0.33472</v>
      </c>
      <c r="G178" s="102">
        <v>0.122687</v>
      </c>
      <c r="H178" s="102">
        <v>0.567429</v>
      </c>
    </row>
    <row r="179">
      <c r="A179" s="102">
        <v>227.0</v>
      </c>
      <c r="B179" s="102">
        <v>2017.0</v>
      </c>
      <c r="C179" s="102">
        <v>0.106512</v>
      </c>
      <c r="D179" s="102">
        <v>0.193613</v>
      </c>
      <c r="E179" s="102">
        <v>0.677</v>
      </c>
      <c r="F179" s="102">
        <v>0.35744</v>
      </c>
      <c r="G179" s="102">
        <v>0.124686</v>
      </c>
      <c r="H179" s="102">
        <v>0.576674</v>
      </c>
    </row>
    <row r="180">
      <c r="A180" s="102">
        <v>228.0</v>
      </c>
      <c r="B180" s="102">
        <v>2018.0</v>
      </c>
      <c r="C180" s="102">
        <v>0.114884</v>
      </c>
      <c r="D180" s="102">
        <v>0.234338</v>
      </c>
      <c r="E180" s="102">
        <v>0.68</v>
      </c>
      <c r="F180" s="102">
        <v>0.36128</v>
      </c>
      <c r="G180" s="102">
        <v>0.126677</v>
      </c>
      <c r="H180" s="102">
        <v>0.58588</v>
      </c>
    </row>
    <row r="181">
      <c r="A181" s="102">
        <v>229.0</v>
      </c>
      <c r="B181" s="102">
        <v>2019.0</v>
      </c>
      <c r="C181" s="102">
        <v>0.093953</v>
      </c>
      <c r="D181" s="102">
        <v>0.231668</v>
      </c>
      <c r="E181" s="102">
        <v>0.683</v>
      </c>
      <c r="F181" s="102">
        <v>0.35456</v>
      </c>
      <c r="G181" s="102">
        <v>0.128659</v>
      </c>
      <c r="H181" s="102">
        <v>0.595047</v>
      </c>
    </row>
    <row r="182">
      <c r="A182" s="102">
        <v>230.0</v>
      </c>
      <c r="B182" s="102">
        <v>2020.0</v>
      </c>
      <c r="C182" s="102">
        <v>0.093023</v>
      </c>
      <c r="D182" s="102">
        <v>0.238233</v>
      </c>
      <c r="E182" s="102">
        <v>0.689</v>
      </c>
      <c r="F182" s="102">
        <v>0.41184</v>
      </c>
      <c r="G182" s="102">
        <v>0.130632</v>
      </c>
      <c r="H182" s="102">
        <v>0.604171</v>
      </c>
    </row>
    <row r="183">
      <c r="A183" s="102">
        <v>231.0</v>
      </c>
      <c r="B183" s="102">
        <v>2021.0</v>
      </c>
      <c r="C183" s="102">
        <v>0.109302</v>
      </c>
      <c r="D183" s="102">
        <v>0.244798</v>
      </c>
      <c r="E183" s="102">
        <v>0.694</v>
      </c>
      <c r="F183" s="102">
        <v>0.38144</v>
      </c>
      <c r="G183" s="102">
        <v>0.132595</v>
      </c>
      <c r="H183" s="102">
        <v>0.61325</v>
      </c>
    </row>
    <row r="184">
      <c r="A184" s="102">
        <v>234.0</v>
      </c>
      <c r="B184" s="102">
        <v>2015.0</v>
      </c>
      <c r="C184" s="102">
        <v>0.346047</v>
      </c>
      <c r="D184" s="102">
        <v>0.059419</v>
      </c>
      <c r="E184" s="102">
        <v>0.572</v>
      </c>
      <c r="F184" s="102">
        <v>0.60544</v>
      </c>
      <c r="G184" s="102">
        <v>2.661885</v>
      </c>
      <c r="H184" s="102">
        <v>12.31597</v>
      </c>
    </row>
    <row r="185">
      <c r="A185" s="102">
        <v>235.0</v>
      </c>
      <c r="B185" s="102">
        <v>2016.0</v>
      </c>
      <c r="C185" s="102">
        <v>0.385581</v>
      </c>
      <c r="D185" s="102">
        <v>0.121175</v>
      </c>
      <c r="E185" s="102">
        <v>0.579</v>
      </c>
      <c r="F185" s="102">
        <v>0.59456</v>
      </c>
      <c r="G185" s="102">
        <v>2.705748</v>
      </c>
      <c r="H185" s="102">
        <v>12.51892</v>
      </c>
    </row>
    <row r="186">
      <c r="A186" s="102">
        <v>236.0</v>
      </c>
      <c r="B186" s="102">
        <v>2017.0</v>
      </c>
      <c r="C186" s="102">
        <v>0.363721</v>
      </c>
      <c r="D186" s="102">
        <v>0.064649</v>
      </c>
      <c r="E186" s="102">
        <v>0.589</v>
      </c>
      <c r="F186" s="102">
        <v>0.61728</v>
      </c>
      <c r="G186" s="102">
        <v>2.749443</v>
      </c>
      <c r="H186" s="102">
        <v>12.72108</v>
      </c>
    </row>
    <row r="187">
      <c r="A187" s="102">
        <v>237.0</v>
      </c>
      <c r="B187" s="102">
        <v>2018.0</v>
      </c>
      <c r="C187" s="102">
        <v>0.362791</v>
      </c>
      <c r="D187" s="102">
        <v>0.008679</v>
      </c>
      <c r="E187" s="102">
        <v>0.591</v>
      </c>
      <c r="F187" s="102">
        <v>0.59456</v>
      </c>
      <c r="G187" s="102">
        <v>2.792955</v>
      </c>
      <c r="H187" s="102">
        <v>12.9224</v>
      </c>
    </row>
    <row r="188">
      <c r="A188" s="102">
        <v>238.0</v>
      </c>
      <c r="B188" s="102">
        <v>2019.0</v>
      </c>
      <c r="C188" s="102">
        <v>0.372558</v>
      </c>
      <c r="D188" s="102">
        <v>0.021475</v>
      </c>
      <c r="E188" s="102">
        <v>0.594</v>
      </c>
      <c r="F188" s="102">
        <v>0.58528</v>
      </c>
      <c r="G188" s="102">
        <v>2.836272</v>
      </c>
      <c r="H188" s="102">
        <v>13.12282</v>
      </c>
    </row>
    <row r="189">
      <c r="A189" s="102">
        <v>239.0</v>
      </c>
      <c r="B189" s="102">
        <v>2020.0</v>
      </c>
      <c r="C189" s="102">
        <v>0.359535</v>
      </c>
      <c r="D189" s="102">
        <v>0.086458</v>
      </c>
      <c r="E189" s="102">
        <v>0.6</v>
      </c>
      <c r="F189" s="102">
        <v>0.60096</v>
      </c>
      <c r="G189" s="102">
        <v>2.879381</v>
      </c>
      <c r="H189" s="102">
        <v>13.32228</v>
      </c>
    </row>
    <row r="190">
      <c r="A190" s="102">
        <v>240.0</v>
      </c>
      <c r="B190" s="102">
        <v>2021.0</v>
      </c>
      <c r="C190" s="102">
        <v>0.363256</v>
      </c>
      <c r="D190" s="102">
        <v>0.025147</v>
      </c>
      <c r="E190" s="102">
        <v>0.605</v>
      </c>
      <c r="F190" s="102">
        <v>0.57984</v>
      </c>
      <c r="G190" s="102">
        <v>2.922269</v>
      </c>
      <c r="H190" s="102">
        <v>13.52071</v>
      </c>
    </row>
    <row r="191">
      <c r="A191" s="102">
        <v>243.0</v>
      </c>
      <c r="B191" s="102">
        <v>2015.0</v>
      </c>
      <c r="C191" s="102">
        <v>0.225116</v>
      </c>
      <c r="D191" s="102">
        <v>0.39023</v>
      </c>
      <c r="E191" s="102">
        <v>0.617</v>
      </c>
      <c r="F191" s="102">
        <v>0.608</v>
      </c>
      <c r="G191" s="102">
        <v>1.04249</v>
      </c>
      <c r="H191" s="102">
        <v>4.821518</v>
      </c>
    </row>
    <row r="192">
      <c r="A192" s="102">
        <v>244.0</v>
      </c>
      <c r="B192" s="102">
        <v>2016.0</v>
      </c>
      <c r="C192" s="102">
        <v>0.234419</v>
      </c>
      <c r="D192" s="102">
        <v>0.394459</v>
      </c>
      <c r="E192" s="102">
        <v>0.625</v>
      </c>
      <c r="F192" s="102">
        <v>0.61728</v>
      </c>
      <c r="G192" s="102">
        <v>1.054112</v>
      </c>
      <c r="H192" s="102">
        <v>4.87527</v>
      </c>
    </row>
    <row r="193">
      <c r="A193" s="102">
        <v>245.0</v>
      </c>
      <c r="B193" s="102">
        <v>2017.0</v>
      </c>
      <c r="C193" s="102">
        <v>0.223721</v>
      </c>
      <c r="D193" s="102">
        <v>0.382441</v>
      </c>
      <c r="E193" s="102">
        <v>0.635</v>
      </c>
      <c r="F193" s="102">
        <v>0.59872</v>
      </c>
      <c r="G193" s="102">
        <v>1.065629</v>
      </c>
      <c r="H193" s="102">
        <v>4.928534</v>
      </c>
    </row>
    <row r="194">
      <c r="A194" s="102">
        <v>246.0</v>
      </c>
      <c r="B194" s="102">
        <v>2018.0</v>
      </c>
      <c r="C194" s="102">
        <v>0.248837</v>
      </c>
      <c r="D194" s="102">
        <v>0.395683</v>
      </c>
      <c r="E194" s="102">
        <v>0.638</v>
      </c>
      <c r="F194" s="102">
        <v>0.63584</v>
      </c>
      <c r="G194" s="102">
        <v>1.077039</v>
      </c>
      <c r="H194" s="102">
        <v>4.981303</v>
      </c>
    </row>
    <row r="195">
      <c r="A195" s="102">
        <v>247.0</v>
      </c>
      <c r="B195" s="102">
        <v>2019.0</v>
      </c>
      <c r="C195" s="102">
        <v>0.22186</v>
      </c>
      <c r="D195" s="102">
        <v>0.397463</v>
      </c>
      <c r="E195" s="102">
        <v>0.641</v>
      </c>
      <c r="F195" s="102">
        <v>0.64</v>
      </c>
      <c r="G195" s="102">
        <v>1.08834</v>
      </c>
      <c r="H195" s="102">
        <v>5.033571</v>
      </c>
    </row>
    <row r="196">
      <c r="A196" s="102">
        <v>248.0</v>
      </c>
      <c r="B196" s="102">
        <v>2020.0</v>
      </c>
      <c r="C196" s="102">
        <v>0.255814</v>
      </c>
      <c r="D196" s="102">
        <v>0.40336</v>
      </c>
      <c r="E196" s="102">
        <v>0.647</v>
      </c>
      <c r="F196" s="102">
        <v>0.61472</v>
      </c>
      <c r="G196" s="102">
        <v>1.099531</v>
      </c>
      <c r="H196" s="102">
        <v>5.08533</v>
      </c>
    </row>
    <row r="197">
      <c r="A197" s="102">
        <v>249.0</v>
      </c>
      <c r="B197" s="102">
        <v>2021.0</v>
      </c>
      <c r="C197" s="102">
        <v>0.229767</v>
      </c>
      <c r="D197" s="102">
        <v>0.405252</v>
      </c>
      <c r="E197" s="102">
        <v>0.653</v>
      </c>
      <c r="F197" s="102">
        <v>0.57472</v>
      </c>
      <c r="G197" s="102">
        <v>1.110611</v>
      </c>
      <c r="H197" s="102">
        <v>5.136577</v>
      </c>
    </row>
    <row r="198">
      <c r="A198" s="102">
        <v>252.0</v>
      </c>
      <c r="B198" s="102">
        <v>2015.0</v>
      </c>
      <c r="C198" s="102">
        <v>0.020465</v>
      </c>
      <c r="D198" s="102">
        <v>0.27473</v>
      </c>
      <c r="E198" s="102">
        <v>0.72</v>
      </c>
      <c r="F198" s="102">
        <v>0.58272</v>
      </c>
      <c r="G198" s="102">
        <v>0.003877</v>
      </c>
      <c r="H198" s="102">
        <v>0.017932</v>
      </c>
    </row>
    <row r="199">
      <c r="A199" s="102">
        <v>253.0</v>
      </c>
      <c r="B199" s="102">
        <v>2016.0</v>
      </c>
      <c r="C199" s="102">
        <v>0.027442</v>
      </c>
      <c r="D199" s="102">
        <v>0.260154</v>
      </c>
      <c r="E199" s="102">
        <v>0.724</v>
      </c>
      <c r="F199" s="102">
        <v>0.57984</v>
      </c>
      <c r="G199" s="102">
        <v>0.003897</v>
      </c>
      <c r="H199" s="102">
        <v>0.018025</v>
      </c>
    </row>
    <row r="200">
      <c r="A200" s="102">
        <v>254.0</v>
      </c>
      <c r="B200" s="102">
        <v>2017.0</v>
      </c>
      <c r="C200" s="102">
        <v>0.017209</v>
      </c>
      <c r="D200" s="102">
        <v>0.302659</v>
      </c>
      <c r="E200" s="102">
        <v>0.735</v>
      </c>
      <c r="F200" s="102">
        <v>0.57056</v>
      </c>
      <c r="G200" s="102">
        <v>0.003917</v>
      </c>
      <c r="H200" s="102">
        <v>0.018117</v>
      </c>
    </row>
    <row r="201">
      <c r="A201" s="102">
        <v>255.0</v>
      </c>
      <c r="B201" s="102">
        <v>2018.0</v>
      </c>
      <c r="C201" s="102">
        <v>0.024186</v>
      </c>
      <c r="D201" s="102">
        <v>0.366529</v>
      </c>
      <c r="E201" s="102">
        <v>0.738</v>
      </c>
      <c r="F201" s="102">
        <v>0.58144</v>
      </c>
      <c r="G201" s="102">
        <v>0.003937</v>
      </c>
      <c r="H201" s="102">
        <v>0.018208</v>
      </c>
    </row>
    <row r="202">
      <c r="A202" s="102">
        <v>256.0</v>
      </c>
      <c r="B202" s="102">
        <v>2019.0</v>
      </c>
      <c r="C202" s="102">
        <v>0.024651</v>
      </c>
      <c r="D202" s="102">
        <v>0.301435</v>
      </c>
      <c r="E202" s="102">
        <v>0.741</v>
      </c>
      <c r="F202" s="102">
        <v>0.57184</v>
      </c>
      <c r="G202" s="102">
        <v>0.003956</v>
      </c>
      <c r="H202" s="102">
        <v>0.018297</v>
      </c>
    </row>
    <row r="203">
      <c r="A203" s="102">
        <v>257.0</v>
      </c>
      <c r="B203" s="102">
        <v>2020.0</v>
      </c>
      <c r="C203" s="102">
        <v>0.023721</v>
      </c>
      <c r="D203" s="102">
        <v>0.410816</v>
      </c>
      <c r="E203" s="102">
        <v>0.746</v>
      </c>
      <c r="F203" s="102">
        <v>0.54272</v>
      </c>
      <c r="G203" s="102">
        <v>0.003975</v>
      </c>
      <c r="H203" s="102">
        <v>0.018384</v>
      </c>
    </row>
    <row r="204">
      <c r="A204" s="102">
        <v>258.0</v>
      </c>
      <c r="B204" s="102">
        <v>2021.0</v>
      </c>
      <c r="C204" s="102">
        <v>0.024186</v>
      </c>
      <c r="D204" s="102">
        <v>0.333259</v>
      </c>
      <c r="E204" s="102">
        <v>0.752</v>
      </c>
      <c r="F204" s="102">
        <v>0.53728</v>
      </c>
      <c r="G204" s="102">
        <v>0.003994</v>
      </c>
      <c r="H204" s="102">
        <v>0.018471</v>
      </c>
    </row>
    <row r="205">
      <c r="A205" s="102">
        <v>261.0</v>
      </c>
      <c r="B205" s="102">
        <v>2015.0</v>
      </c>
      <c r="C205" s="102">
        <v>0.186047</v>
      </c>
      <c r="D205" s="102">
        <v>0.395571</v>
      </c>
      <c r="E205" s="102">
        <v>0.732</v>
      </c>
      <c r="F205" s="102">
        <v>0.456</v>
      </c>
      <c r="G205" s="102">
        <v>4.85E-4</v>
      </c>
      <c r="H205" s="102">
        <v>0.002243</v>
      </c>
    </row>
    <row r="206">
      <c r="A206" s="102">
        <v>262.0</v>
      </c>
      <c r="B206" s="102">
        <v>2016.0</v>
      </c>
      <c r="C206" s="102">
        <v>0.213023</v>
      </c>
      <c r="D206" s="102">
        <v>0.492712</v>
      </c>
      <c r="E206" s="102">
        <v>0.758</v>
      </c>
      <c r="F206" s="102">
        <v>0.44256</v>
      </c>
      <c r="G206" s="102">
        <v>4.9E-4</v>
      </c>
      <c r="H206" s="102">
        <v>0.002267</v>
      </c>
    </row>
    <row r="207">
      <c r="A207" s="102">
        <v>263.0</v>
      </c>
      <c r="B207" s="102">
        <v>2017.0</v>
      </c>
      <c r="C207" s="102">
        <v>0.188372</v>
      </c>
      <c r="D207" s="102">
        <v>0.497719</v>
      </c>
      <c r="E207" s="102">
        <v>0.77</v>
      </c>
      <c r="F207" s="102">
        <v>0.44544</v>
      </c>
      <c r="G207" s="102">
        <v>4.95E-4</v>
      </c>
      <c r="H207" s="102">
        <v>0.00229</v>
      </c>
    </row>
    <row r="208">
      <c r="A208" s="102">
        <v>264.0</v>
      </c>
      <c r="B208" s="102">
        <v>2018.0</v>
      </c>
      <c r="C208" s="102">
        <v>0.200465</v>
      </c>
      <c r="D208" s="102">
        <v>0.468232</v>
      </c>
      <c r="E208" s="102">
        <v>0.772</v>
      </c>
      <c r="F208" s="102">
        <v>0.45344</v>
      </c>
      <c r="G208" s="102">
        <v>5.0E-4</v>
      </c>
      <c r="H208" s="102">
        <v>0.002313</v>
      </c>
    </row>
    <row r="209">
      <c r="A209" s="102">
        <v>265.0</v>
      </c>
      <c r="B209" s="102">
        <v>2019.0</v>
      </c>
      <c r="C209" s="102">
        <v>0.178605</v>
      </c>
      <c r="D209" s="102">
        <v>0.562813</v>
      </c>
      <c r="E209" s="102">
        <v>0.776</v>
      </c>
      <c r="F209" s="102">
        <v>0.41856</v>
      </c>
      <c r="G209" s="102">
        <v>5.05E-4</v>
      </c>
      <c r="H209" s="102">
        <v>0.002335</v>
      </c>
    </row>
    <row r="210">
      <c r="A210" s="102">
        <v>266.0</v>
      </c>
      <c r="B210" s="102">
        <v>2020.0</v>
      </c>
      <c r="C210" s="102">
        <v>0.183256</v>
      </c>
      <c r="D210" s="102">
        <v>0.442083</v>
      </c>
      <c r="E210" s="102">
        <v>0.787</v>
      </c>
      <c r="F210" s="102">
        <v>0.49184</v>
      </c>
      <c r="G210" s="102">
        <v>5.1E-4</v>
      </c>
      <c r="H210" s="102">
        <v>0.002358</v>
      </c>
    </row>
    <row r="211">
      <c r="A211" s="102">
        <v>267.0</v>
      </c>
      <c r="B211" s="102">
        <v>2021.0</v>
      </c>
      <c r="C211" s="102">
        <v>0.187442</v>
      </c>
      <c r="D211" s="102">
        <v>0.321353</v>
      </c>
      <c r="E211" s="102">
        <v>0.794</v>
      </c>
      <c r="F211" s="102">
        <v>0.49984</v>
      </c>
      <c r="G211" s="102">
        <v>5.15E-4</v>
      </c>
      <c r="H211" s="102">
        <v>0.00238</v>
      </c>
    </row>
    <row r="212">
      <c r="A212" s="102">
        <v>270.0</v>
      </c>
      <c r="B212" s="102">
        <v>2015.0</v>
      </c>
      <c r="C212" s="102">
        <v>0.093023</v>
      </c>
      <c r="D212" s="102">
        <v>0.251586</v>
      </c>
      <c r="E212" s="102">
        <v>0.661</v>
      </c>
      <c r="F212" s="102">
        <v>0.60384</v>
      </c>
      <c r="G212" s="102">
        <v>0.004433</v>
      </c>
      <c r="H212" s="102">
        <v>0.020533</v>
      </c>
    </row>
    <row r="213">
      <c r="A213" s="102">
        <v>271.0</v>
      </c>
      <c r="B213" s="102">
        <v>2016.0</v>
      </c>
      <c r="C213" s="102">
        <v>0.087907</v>
      </c>
      <c r="D213" s="102">
        <v>0.422054</v>
      </c>
      <c r="E213" s="102">
        <v>0.647</v>
      </c>
      <c r="F213" s="102">
        <v>0.58656</v>
      </c>
      <c r="G213" s="102">
        <v>0.004571</v>
      </c>
      <c r="H213" s="102">
        <v>0.021173</v>
      </c>
    </row>
    <row r="214">
      <c r="A214" s="102">
        <v>272.0</v>
      </c>
      <c r="B214" s="102">
        <v>2017.0</v>
      </c>
      <c r="C214" s="102">
        <v>0.111628</v>
      </c>
      <c r="D214" s="102">
        <v>0.647713</v>
      </c>
      <c r="E214" s="102">
        <v>0.658</v>
      </c>
      <c r="F214" s="102">
        <v>0.61184</v>
      </c>
      <c r="G214" s="102">
        <v>0.004711</v>
      </c>
      <c r="H214" s="102">
        <v>0.021819</v>
      </c>
    </row>
    <row r="215">
      <c r="A215" s="102">
        <v>273.0</v>
      </c>
      <c r="B215" s="102">
        <v>2018.0</v>
      </c>
      <c r="C215" s="102">
        <v>0.109302</v>
      </c>
      <c r="D215" s="102">
        <v>0.667854</v>
      </c>
      <c r="E215" s="102">
        <v>0.66</v>
      </c>
      <c r="F215" s="102">
        <v>0.61472</v>
      </c>
      <c r="G215" s="102">
        <v>0.004852</v>
      </c>
      <c r="H215" s="102">
        <v>0.022472</v>
      </c>
    </row>
    <row r="216">
      <c r="A216" s="102">
        <v>274.0</v>
      </c>
      <c r="B216" s="102">
        <v>2019.0</v>
      </c>
      <c r="C216" s="102">
        <v>0.10093</v>
      </c>
      <c r="D216" s="102">
        <v>0.522087</v>
      </c>
      <c r="E216" s="102">
        <v>0.663</v>
      </c>
      <c r="F216" s="102">
        <v>0.58272</v>
      </c>
      <c r="G216" s="102">
        <v>0.004994</v>
      </c>
      <c r="H216" s="102">
        <v>0.023132</v>
      </c>
    </row>
    <row r="217">
      <c r="A217" s="102">
        <v>275.0</v>
      </c>
      <c r="B217" s="102">
        <v>2020.0</v>
      </c>
      <c r="C217" s="102">
        <v>0.100465</v>
      </c>
      <c r="D217" s="102">
        <v>0.48292</v>
      </c>
      <c r="E217" s="102">
        <v>0.664</v>
      </c>
      <c r="F217" s="102">
        <v>0.55744</v>
      </c>
      <c r="G217" s="102">
        <v>0.005138</v>
      </c>
      <c r="H217" s="102">
        <v>0.023797</v>
      </c>
    </row>
    <row r="218">
      <c r="A218" s="102">
        <v>276.0</v>
      </c>
      <c r="B218" s="102">
        <v>2021.0</v>
      </c>
      <c r="C218" s="102">
        <v>0.10093</v>
      </c>
      <c r="D218" s="102">
        <v>0.443752</v>
      </c>
      <c r="E218" s="102">
        <v>0.668</v>
      </c>
      <c r="F218" s="102">
        <v>0.58528</v>
      </c>
      <c r="G218" s="102">
        <v>0.005283</v>
      </c>
      <c r="H218" s="102">
        <v>0.024467</v>
      </c>
    </row>
    <row r="219">
      <c r="A219" s="102">
        <v>279.0</v>
      </c>
      <c r="B219" s="102">
        <v>2015.0</v>
      </c>
      <c r="C219" s="102">
        <v>0.024651</v>
      </c>
      <c r="D219" s="102">
        <v>0.341827</v>
      </c>
      <c r="E219" s="102">
        <v>0.672</v>
      </c>
      <c r="F219" s="102">
        <v>0.45344</v>
      </c>
      <c r="G219" s="102">
        <v>0.158208</v>
      </c>
      <c r="H219" s="102">
        <v>0.731711</v>
      </c>
    </row>
    <row r="220">
      <c r="A220" s="102">
        <v>280.0</v>
      </c>
      <c r="B220" s="102">
        <v>2016.0</v>
      </c>
      <c r="C220" s="102">
        <v>0.047442</v>
      </c>
      <c r="D220" s="102">
        <v>0.417826</v>
      </c>
      <c r="E220" s="102">
        <v>0.672</v>
      </c>
      <c r="F220" s="102">
        <v>0.45184</v>
      </c>
      <c r="G220" s="102">
        <v>0.161331</v>
      </c>
      <c r="H220" s="102">
        <v>0.746156</v>
      </c>
    </row>
    <row r="221">
      <c r="A221" s="102">
        <v>281.0</v>
      </c>
      <c r="B221" s="102">
        <v>2017.0</v>
      </c>
      <c r="C221" s="102">
        <v>0.030233</v>
      </c>
      <c r="D221" s="102">
        <v>0.440303</v>
      </c>
      <c r="E221" s="102">
        <v>0.682</v>
      </c>
      <c r="F221" s="102">
        <v>0.45984</v>
      </c>
      <c r="G221" s="102">
        <v>0.164452</v>
      </c>
      <c r="H221" s="102">
        <v>0.760591</v>
      </c>
    </row>
    <row r="222">
      <c r="A222" s="102">
        <v>282.0</v>
      </c>
      <c r="B222" s="102">
        <v>2018.0</v>
      </c>
      <c r="C222" s="102">
        <v>0.032093</v>
      </c>
      <c r="D222" s="102">
        <v>0.163013</v>
      </c>
      <c r="E222" s="102">
        <v>0.685</v>
      </c>
      <c r="F222" s="102">
        <v>0.46944</v>
      </c>
      <c r="G222" s="102">
        <v>0.16757</v>
      </c>
      <c r="H222" s="102">
        <v>0.775011</v>
      </c>
    </row>
    <row r="223">
      <c r="A223" s="102">
        <v>283.0</v>
      </c>
      <c r="B223" s="102">
        <v>2019.0</v>
      </c>
      <c r="C223" s="102">
        <v>0.02</v>
      </c>
      <c r="D223" s="102">
        <v>0.269167</v>
      </c>
      <c r="E223" s="102">
        <v>0.688</v>
      </c>
      <c r="F223" s="102">
        <v>0.41472</v>
      </c>
      <c r="G223" s="102">
        <v>0.170683</v>
      </c>
      <c r="H223" s="102">
        <v>0.789411</v>
      </c>
    </row>
    <row r="224">
      <c r="A224" s="102">
        <v>284.0</v>
      </c>
      <c r="B224" s="102">
        <v>2020.0</v>
      </c>
      <c r="C224" s="102">
        <v>0.020465</v>
      </c>
      <c r="D224" s="102">
        <v>0.384778</v>
      </c>
      <c r="E224" s="102">
        <v>0.692</v>
      </c>
      <c r="F224" s="102">
        <v>0.52544</v>
      </c>
      <c r="G224" s="102">
        <v>0.173791</v>
      </c>
      <c r="H224" s="102">
        <v>0.803785</v>
      </c>
    </row>
    <row r="225">
      <c r="A225" s="102">
        <v>285.0</v>
      </c>
      <c r="B225" s="102">
        <v>2021.0</v>
      </c>
      <c r="C225" s="102">
        <v>0.027442</v>
      </c>
      <c r="D225" s="102">
        <v>0.500389</v>
      </c>
      <c r="E225" s="102">
        <v>0.697</v>
      </c>
      <c r="F225" s="102">
        <v>0.47584</v>
      </c>
      <c r="G225" s="102">
        <v>0.176892</v>
      </c>
      <c r="H225" s="102">
        <v>0.818128</v>
      </c>
    </row>
    <row r="226">
      <c r="A226" s="102">
        <v>288.0</v>
      </c>
      <c r="B226" s="102">
        <v>2015.0</v>
      </c>
      <c r="C226" s="102">
        <v>0.067442</v>
      </c>
      <c r="D226" s="102">
        <v>0.294425</v>
      </c>
      <c r="E226" s="102">
        <v>0.729</v>
      </c>
      <c r="F226" s="102">
        <v>0.592</v>
      </c>
      <c r="G226" s="102">
        <v>0.007195</v>
      </c>
      <c r="H226" s="102">
        <v>0.033276</v>
      </c>
    </row>
    <row r="227">
      <c r="A227" s="102">
        <v>289.0</v>
      </c>
      <c r="B227" s="102">
        <v>2016.0</v>
      </c>
      <c r="C227" s="102">
        <v>0.091628</v>
      </c>
      <c r="D227" s="102">
        <v>0.311895</v>
      </c>
      <c r="E227" s="102">
        <v>0.722</v>
      </c>
      <c r="F227" s="102">
        <v>0.59328</v>
      </c>
      <c r="G227" s="102">
        <v>0.007419</v>
      </c>
      <c r="H227" s="102">
        <v>0.034313</v>
      </c>
    </row>
    <row r="228">
      <c r="A228" s="102">
        <v>290.0</v>
      </c>
      <c r="B228" s="102">
        <v>2017.0</v>
      </c>
      <c r="C228" s="102">
        <v>0.088837</v>
      </c>
      <c r="D228" s="102">
        <v>0.149104</v>
      </c>
      <c r="E228" s="102">
        <v>0.734</v>
      </c>
      <c r="F228" s="102">
        <v>0.59872</v>
      </c>
      <c r="G228" s="102">
        <v>0.007646</v>
      </c>
      <c r="H228" s="102">
        <v>0.035361</v>
      </c>
    </row>
    <row r="229">
      <c r="A229" s="102">
        <v>291.0</v>
      </c>
      <c r="B229" s="102">
        <v>2018.0</v>
      </c>
      <c r="C229" s="102">
        <v>0.087442</v>
      </c>
      <c r="D229" s="102">
        <v>0.294425</v>
      </c>
      <c r="E229" s="102">
        <v>0.736</v>
      </c>
      <c r="F229" s="102">
        <v>0.592</v>
      </c>
      <c r="G229" s="102">
        <v>0.007875</v>
      </c>
      <c r="H229" s="102">
        <v>0.03642</v>
      </c>
    </row>
    <row r="230">
      <c r="A230" s="102">
        <v>292.0</v>
      </c>
      <c r="B230" s="102">
        <v>2019.0</v>
      </c>
      <c r="C230" s="102">
        <v>0.076744</v>
      </c>
      <c r="D230" s="102">
        <v>0.264159</v>
      </c>
      <c r="E230" s="102">
        <v>0.74</v>
      </c>
      <c r="F230" s="102">
        <v>0.58528</v>
      </c>
      <c r="G230" s="102">
        <v>0.008106</v>
      </c>
      <c r="H230" s="102">
        <v>0.037488</v>
      </c>
    </row>
    <row r="231">
      <c r="A231" s="102">
        <v>293.0</v>
      </c>
      <c r="B231" s="102">
        <v>2020.0</v>
      </c>
      <c r="C231" s="102">
        <v>0.070233</v>
      </c>
      <c r="D231" s="102">
        <v>0.274619</v>
      </c>
      <c r="E231" s="102">
        <v>0.743</v>
      </c>
      <c r="F231" s="102">
        <v>0.56928</v>
      </c>
      <c r="G231" s="102">
        <v>0.008339</v>
      </c>
      <c r="H231" s="102">
        <v>0.038566</v>
      </c>
    </row>
    <row r="232">
      <c r="A232" s="102">
        <v>294.0</v>
      </c>
      <c r="B232" s="102">
        <v>2021.0</v>
      </c>
      <c r="C232" s="102">
        <v>0.082326</v>
      </c>
      <c r="D232" s="102">
        <v>0.244353</v>
      </c>
      <c r="E232" s="102">
        <v>0.748</v>
      </c>
      <c r="F232" s="102">
        <v>0.56256</v>
      </c>
      <c r="G232" s="102">
        <v>0.008574</v>
      </c>
      <c r="H232" s="102">
        <v>0.039653</v>
      </c>
    </row>
    <row r="233">
      <c r="A233" s="102"/>
      <c r="B233" s="102"/>
      <c r="C233" s="102"/>
      <c r="D233" s="102"/>
      <c r="E233" s="102"/>
      <c r="F233" s="102"/>
      <c r="G233" s="102"/>
      <c r="H233" s="102"/>
    </row>
  </sheetData>
  <conditionalFormatting sqref="B1:H234 A2:A234">
    <cfRule type="cellIs" dxfId="0" priority="1" operator="equal">
      <formula>2022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4" max="4" width="17.5"/>
    <col customWidth="1" min="7" max="7" width="16.63"/>
    <col customWidth="1" min="8" max="8" width="19.5"/>
  </cols>
  <sheetData>
    <row r="1">
      <c r="A1" s="101" t="s">
        <v>61</v>
      </c>
      <c r="B1" s="101" t="s">
        <v>4</v>
      </c>
      <c r="C1" s="101" t="s">
        <v>8</v>
      </c>
      <c r="D1" s="101" t="s">
        <v>9</v>
      </c>
      <c r="E1" s="101" t="s">
        <v>10</v>
      </c>
      <c r="F1" s="101" t="s">
        <v>62</v>
      </c>
      <c r="G1" s="101" t="s">
        <v>65</v>
      </c>
      <c r="H1" s="101" t="s">
        <v>66</v>
      </c>
    </row>
    <row r="2">
      <c r="A2" s="102">
        <v>0.0</v>
      </c>
      <c r="B2" s="102">
        <v>2015.0</v>
      </c>
      <c r="C2" s="102">
        <v>0.081860465</v>
      </c>
      <c r="D2" s="102">
        <v>0.388895071</v>
      </c>
      <c r="E2" s="102">
        <v>0.627</v>
      </c>
      <c r="F2" s="102">
        <v>0.52512</v>
      </c>
      <c r="G2" s="102">
        <v>0.169961</v>
      </c>
      <c r="H2" s="102">
        <v>2.243485</v>
      </c>
    </row>
    <row r="3">
      <c r="A3" s="102">
        <v>1.0</v>
      </c>
      <c r="B3" s="102">
        <v>2016.0</v>
      </c>
      <c r="C3" s="102">
        <v>0.083255814</v>
      </c>
      <c r="D3" s="102">
        <v>0.415711583</v>
      </c>
      <c r="E3" s="102">
        <v>0.633</v>
      </c>
      <c r="F3" s="102">
        <v>0.52672</v>
      </c>
      <c r="G3" s="102">
        <v>0.171496</v>
      </c>
      <c r="H3" s="102">
        <v>2.263741</v>
      </c>
    </row>
    <row r="4">
      <c r="A4" s="102">
        <v>2.0</v>
      </c>
      <c r="B4" s="102">
        <v>2017.0</v>
      </c>
      <c r="C4" s="102">
        <v>0.097209302</v>
      </c>
      <c r="D4" s="102">
        <v>0.471013686</v>
      </c>
      <c r="E4" s="102">
        <v>0.644</v>
      </c>
      <c r="F4" s="102">
        <v>0.544</v>
      </c>
      <c r="G4" s="102">
        <v>0.173013</v>
      </c>
      <c r="H4" s="102">
        <v>2.283771</v>
      </c>
    </row>
    <row r="5">
      <c r="A5" s="102">
        <v>3.0</v>
      </c>
      <c r="B5" s="102">
        <v>2018.0</v>
      </c>
      <c r="C5" s="102">
        <v>0.096744186</v>
      </c>
      <c r="D5" s="102">
        <v>0.46033159</v>
      </c>
      <c r="E5" s="102">
        <v>0.646</v>
      </c>
      <c r="F5" s="102">
        <v>0.65024</v>
      </c>
      <c r="G5" s="102">
        <v>0.174513</v>
      </c>
      <c r="H5" s="102">
        <v>2.303574</v>
      </c>
    </row>
    <row r="6">
      <c r="A6" s="102">
        <v>4.0</v>
      </c>
      <c r="B6" s="102">
        <v>2019.0</v>
      </c>
      <c r="C6" s="102">
        <v>0.08372093</v>
      </c>
      <c r="D6" s="102">
        <v>0.512740625</v>
      </c>
      <c r="E6" s="102">
        <v>0.649</v>
      </c>
      <c r="F6" s="102">
        <v>0.56928</v>
      </c>
      <c r="G6" s="102">
        <v>0.175996</v>
      </c>
      <c r="H6" s="102">
        <v>2.32315</v>
      </c>
    </row>
    <row r="7">
      <c r="A7" s="102">
        <v>5.0</v>
      </c>
      <c r="B7" s="102">
        <v>2020.0</v>
      </c>
      <c r="C7" s="102">
        <v>0.085581395</v>
      </c>
      <c r="D7" s="102">
        <v>0.524646712</v>
      </c>
      <c r="E7" s="102">
        <v>0.655</v>
      </c>
      <c r="F7" s="102">
        <v>0.50656</v>
      </c>
      <c r="G7" s="102">
        <v>0.177462</v>
      </c>
      <c r="H7" s="102">
        <v>2.342496</v>
      </c>
    </row>
    <row r="8">
      <c r="A8" s="102">
        <v>6.0</v>
      </c>
      <c r="B8" s="102">
        <v>2021.0</v>
      </c>
      <c r="C8" s="102">
        <v>0.084651163</v>
      </c>
      <c r="D8" s="102">
        <v>0.536552798</v>
      </c>
      <c r="E8" s="102">
        <v>0.66</v>
      </c>
      <c r="F8" s="102">
        <v>0.536</v>
      </c>
      <c r="G8" s="102">
        <v>0.17891</v>
      </c>
      <c r="H8" s="102">
        <v>2.361614</v>
      </c>
    </row>
    <row r="9">
      <c r="A9" s="102">
        <v>9.0</v>
      </c>
      <c r="B9" s="102">
        <v>2015.0</v>
      </c>
      <c r="C9" s="102">
        <v>0.006511628</v>
      </c>
      <c r="D9" s="102">
        <v>0.309335707</v>
      </c>
      <c r="E9" s="102">
        <v>0.66</v>
      </c>
      <c r="F9" s="102">
        <v>0.41984</v>
      </c>
      <c r="G9" s="102">
        <v>0.003506</v>
      </c>
      <c r="H9" s="102">
        <v>0.046276</v>
      </c>
    </row>
    <row r="10">
      <c r="A10" s="102">
        <v>10.0</v>
      </c>
      <c r="B10" s="102">
        <v>2016.0</v>
      </c>
      <c r="C10" s="102">
        <v>0.009302326</v>
      </c>
      <c r="D10" s="102">
        <v>0.297207077</v>
      </c>
      <c r="E10" s="102">
        <v>0.644</v>
      </c>
      <c r="F10" s="102">
        <v>0.44544</v>
      </c>
      <c r="G10" s="102">
        <v>0.00359</v>
      </c>
      <c r="H10" s="102">
        <v>0.047381</v>
      </c>
    </row>
    <row r="11">
      <c r="A11" s="102">
        <v>11.0</v>
      </c>
      <c r="B11" s="102">
        <v>2017.0</v>
      </c>
      <c r="C11" s="102">
        <v>0.008837209</v>
      </c>
      <c r="D11" s="102">
        <v>0.258929565</v>
      </c>
      <c r="E11" s="102">
        <v>0.655</v>
      </c>
      <c r="F11" s="102">
        <v>0.48928</v>
      </c>
      <c r="G11" s="102">
        <v>0.003674</v>
      </c>
      <c r="H11" s="102">
        <v>0.048491</v>
      </c>
    </row>
    <row r="12">
      <c r="A12" s="102">
        <v>12.0</v>
      </c>
      <c r="B12" s="102">
        <v>2018.0</v>
      </c>
      <c r="C12" s="102">
        <v>0.011627907</v>
      </c>
      <c r="D12" s="102">
        <v>0.227995994</v>
      </c>
      <c r="E12" s="102">
        <v>0.657</v>
      </c>
      <c r="F12" s="102">
        <v>0.46656</v>
      </c>
      <c r="G12" s="102">
        <v>0.003758</v>
      </c>
      <c r="H12" s="102">
        <v>0.049604</v>
      </c>
    </row>
    <row r="13">
      <c r="A13" s="102">
        <v>13.0</v>
      </c>
      <c r="B13" s="102">
        <v>2019.0</v>
      </c>
      <c r="C13" s="102">
        <v>0.011627907</v>
      </c>
      <c r="D13" s="102">
        <v>0.197952598</v>
      </c>
      <c r="E13" s="102">
        <v>0.661</v>
      </c>
      <c r="F13" s="102">
        <v>0.552</v>
      </c>
      <c r="G13" s="102">
        <v>0.003842</v>
      </c>
      <c r="H13" s="102">
        <v>0.05072</v>
      </c>
    </row>
    <row r="14">
      <c r="A14" s="102">
        <v>14.0</v>
      </c>
      <c r="B14" s="102">
        <v>2020.0</v>
      </c>
      <c r="C14" s="102">
        <v>0.006046512</v>
      </c>
      <c r="D14" s="102">
        <v>0.123734283</v>
      </c>
      <c r="E14" s="102">
        <v>0.661</v>
      </c>
      <c r="F14" s="102">
        <v>0.472</v>
      </c>
      <c r="G14" s="102">
        <v>0.003927</v>
      </c>
      <c r="H14" s="102">
        <v>0.051838</v>
      </c>
    </row>
    <row r="15">
      <c r="A15" s="102">
        <v>15.0</v>
      </c>
      <c r="B15" s="102">
        <v>2021.0</v>
      </c>
      <c r="C15" s="102">
        <v>0.009302326</v>
      </c>
      <c r="D15" s="102">
        <v>0.106709692</v>
      </c>
      <c r="E15" s="102">
        <v>0.662</v>
      </c>
      <c r="F15" s="102">
        <v>0.47744</v>
      </c>
      <c r="G15" s="102">
        <v>0.004012</v>
      </c>
      <c r="H15" s="102">
        <v>0.052957</v>
      </c>
    </row>
    <row r="16">
      <c r="A16" s="102">
        <v>18.0</v>
      </c>
      <c r="B16" s="102">
        <v>2015.0</v>
      </c>
      <c r="C16" s="102">
        <v>0.086046512</v>
      </c>
      <c r="D16" s="102">
        <v>0.230666518</v>
      </c>
      <c r="E16" s="102">
        <v>0.595</v>
      </c>
      <c r="F16" s="102">
        <v>0.43328</v>
      </c>
      <c r="G16" s="102">
        <v>0.04972</v>
      </c>
      <c r="H16" s="102">
        <v>0.062106</v>
      </c>
    </row>
    <row r="17">
      <c r="A17" s="102">
        <v>19.0</v>
      </c>
      <c r="B17" s="102">
        <v>2016.0</v>
      </c>
      <c r="C17" s="102">
        <v>0.085581395</v>
      </c>
      <c r="D17" s="102">
        <v>0.237342829</v>
      </c>
      <c r="E17" s="102">
        <v>0.598</v>
      </c>
      <c r="F17" s="102">
        <v>0.45344</v>
      </c>
      <c r="G17" s="102">
        <v>0.050519</v>
      </c>
      <c r="H17" s="102">
        <v>0.063104</v>
      </c>
    </row>
    <row r="18">
      <c r="A18" s="102">
        <v>20.0</v>
      </c>
      <c r="B18" s="102">
        <v>2017.0</v>
      </c>
      <c r="C18" s="102">
        <v>0.09255814</v>
      </c>
      <c r="D18" s="102">
        <v>0.289863136</v>
      </c>
      <c r="E18" s="102">
        <v>0.608</v>
      </c>
      <c r="F18" s="102">
        <v>0.46528</v>
      </c>
      <c r="G18" s="102">
        <v>0.051314</v>
      </c>
      <c r="H18" s="102">
        <v>0.064097</v>
      </c>
    </row>
    <row r="19">
      <c r="A19" s="102">
        <v>21.0</v>
      </c>
      <c r="B19" s="102">
        <v>2018.0</v>
      </c>
      <c r="C19" s="102">
        <v>0.111627907</v>
      </c>
      <c r="D19" s="102">
        <v>0.312785134</v>
      </c>
      <c r="E19" s="102">
        <v>0.61</v>
      </c>
      <c r="F19" s="102">
        <v>0.47872</v>
      </c>
      <c r="G19" s="102">
        <v>0.052105</v>
      </c>
      <c r="H19" s="102">
        <v>0.065086</v>
      </c>
    </row>
    <row r="20">
      <c r="A20" s="102">
        <v>22.0</v>
      </c>
      <c r="B20" s="102">
        <v>2019.0</v>
      </c>
      <c r="C20" s="102">
        <v>0.097674419</v>
      </c>
      <c r="D20" s="102">
        <v>0.330366084</v>
      </c>
      <c r="E20" s="102">
        <v>0.613</v>
      </c>
      <c r="F20" s="102">
        <v>0.496</v>
      </c>
      <c r="G20" s="102">
        <v>0.052893</v>
      </c>
      <c r="H20" s="102">
        <v>0.06607</v>
      </c>
    </row>
    <row r="21">
      <c r="A21" s="102">
        <v>23.0</v>
      </c>
      <c r="B21" s="102">
        <v>2020.0</v>
      </c>
      <c r="C21" s="102">
        <v>0.099534884</v>
      </c>
      <c r="D21" s="102">
        <v>0.277511962</v>
      </c>
      <c r="E21" s="102">
        <v>0.618</v>
      </c>
      <c r="F21" s="102">
        <v>0.50656</v>
      </c>
      <c r="G21" s="102">
        <v>0.053677</v>
      </c>
      <c r="H21" s="102">
        <v>0.067049</v>
      </c>
    </row>
    <row r="22">
      <c r="A22" s="102">
        <v>24.0</v>
      </c>
      <c r="B22" s="102">
        <v>2021.0</v>
      </c>
      <c r="C22" s="102">
        <v>0.095348837</v>
      </c>
      <c r="D22" s="102">
        <v>0.325915211</v>
      </c>
      <c r="E22" s="102">
        <v>0.622</v>
      </c>
      <c r="F22" s="102">
        <v>0.49984</v>
      </c>
      <c r="G22" s="102">
        <v>0.054456</v>
      </c>
      <c r="H22" s="102">
        <v>0.068023</v>
      </c>
    </row>
    <row r="23">
      <c r="A23" s="102">
        <v>27.0</v>
      </c>
      <c r="B23" s="102">
        <v>2015.0</v>
      </c>
      <c r="C23" s="102">
        <v>0.31255814</v>
      </c>
      <c r="D23" s="102">
        <v>0.132413486</v>
      </c>
      <c r="E23" s="102">
        <v>0.554</v>
      </c>
      <c r="F23" s="102">
        <v>0.60672</v>
      </c>
      <c r="G23" s="102">
        <v>0.129646</v>
      </c>
      <c r="H23" s="102">
        <v>1.711323</v>
      </c>
    </row>
    <row r="24">
      <c r="A24" s="102">
        <v>28.0</v>
      </c>
      <c r="B24" s="102">
        <v>2016.0</v>
      </c>
      <c r="C24" s="102">
        <v>0.338604651</v>
      </c>
      <c r="D24" s="102">
        <v>0.174251697</v>
      </c>
      <c r="E24" s="102">
        <v>0.559</v>
      </c>
      <c r="F24" s="102">
        <v>0.608</v>
      </c>
      <c r="G24" s="102">
        <v>0.132706</v>
      </c>
      <c r="H24" s="102">
        <v>1.75172</v>
      </c>
    </row>
    <row r="25">
      <c r="A25" s="102">
        <v>29.0</v>
      </c>
      <c r="B25" s="102">
        <v>2017.0</v>
      </c>
      <c r="C25" s="102">
        <v>0.308372093</v>
      </c>
      <c r="D25" s="102">
        <v>0.10359408</v>
      </c>
      <c r="E25" s="102">
        <v>0.569</v>
      </c>
      <c r="F25" s="102">
        <v>0.592</v>
      </c>
      <c r="G25" s="102">
        <v>0.135776</v>
      </c>
      <c r="H25" s="102">
        <v>1.792244</v>
      </c>
    </row>
    <row r="26">
      <c r="A26" s="102">
        <v>30.0</v>
      </c>
      <c r="B26" s="102">
        <v>2018.0</v>
      </c>
      <c r="C26" s="102">
        <v>0.333953488</v>
      </c>
      <c r="D26" s="102">
        <v>0.129965506</v>
      </c>
      <c r="E26" s="102">
        <v>0.571</v>
      </c>
      <c r="F26" s="102">
        <v>0.62144</v>
      </c>
      <c r="G26" s="102">
        <v>0.138854</v>
      </c>
      <c r="H26" s="102">
        <v>1.832876</v>
      </c>
    </row>
    <row r="27">
      <c r="A27" s="102">
        <v>31.0</v>
      </c>
      <c r="B27" s="102">
        <v>2019.0</v>
      </c>
      <c r="C27" s="102">
        <v>0.325581395</v>
      </c>
      <c r="D27" s="102">
        <v>0.151218427</v>
      </c>
      <c r="E27" s="102">
        <v>0.574</v>
      </c>
      <c r="F27" s="102">
        <v>0.61184</v>
      </c>
      <c r="G27" s="102">
        <v>0.141939</v>
      </c>
      <c r="H27" s="102">
        <v>1.873598</v>
      </c>
    </row>
    <row r="28">
      <c r="A28" s="102">
        <v>32.0</v>
      </c>
      <c r="B28" s="102">
        <v>2020.0</v>
      </c>
      <c r="C28" s="102">
        <v>0.339534884</v>
      </c>
      <c r="D28" s="102">
        <v>0.082786247</v>
      </c>
      <c r="E28" s="102">
        <v>0.579</v>
      </c>
      <c r="F28" s="102">
        <v>0.61184</v>
      </c>
      <c r="G28" s="102">
        <v>0.14503</v>
      </c>
      <c r="H28" s="102">
        <v>1.914392</v>
      </c>
    </row>
    <row r="29">
      <c r="A29" s="102">
        <v>33.0</v>
      </c>
      <c r="B29" s="102">
        <v>2021.0</v>
      </c>
      <c r="C29" s="102">
        <v>0.329767442</v>
      </c>
      <c r="D29" s="102">
        <v>0.091242906</v>
      </c>
      <c r="E29" s="102">
        <v>0.584</v>
      </c>
      <c r="F29" s="102">
        <v>0.57056</v>
      </c>
      <c r="G29" s="102">
        <v>0.148124</v>
      </c>
      <c r="H29" s="102">
        <v>1.955241</v>
      </c>
    </row>
    <row r="30">
      <c r="A30" s="102">
        <v>36.0</v>
      </c>
      <c r="B30" s="102">
        <v>2015.0</v>
      </c>
      <c r="C30" s="102">
        <v>0.182790698</v>
      </c>
      <c r="D30" s="102">
        <v>0.287415155</v>
      </c>
      <c r="E30" s="102">
        <v>0.59</v>
      </c>
      <c r="F30" s="102">
        <v>0.59072</v>
      </c>
      <c r="G30" s="102">
        <v>0.066127</v>
      </c>
      <c r="H30" s="102">
        <v>0.87288</v>
      </c>
    </row>
    <row r="31">
      <c r="A31" s="102">
        <v>37.0</v>
      </c>
      <c r="B31" s="102">
        <v>2016.0</v>
      </c>
      <c r="C31" s="102">
        <v>0.177674419</v>
      </c>
      <c r="D31" s="102">
        <v>0.325136308</v>
      </c>
      <c r="E31" s="102">
        <v>0.596</v>
      </c>
      <c r="F31" s="102">
        <v>0.58528</v>
      </c>
      <c r="G31" s="102">
        <v>0.067845</v>
      </c>
      <c r="H31" s="102">
        <v>0.895552</v>
      </c>
    </row>
    <row r="32">
      <c r="A32" s="102">
        <v>38.0</v>
      </c>
      <c r="B32" s="102">
        <v>2017.0</v>
      </c>
      <c r="C32" s="102">
        <v>0.17627907</v>
      </c>
      <c r="D32" s="102">
        <v>0.370423946</v>
      </c>
      <c r="E32" s="102">
        <v>0.606</v>
      </c>
      <c r="F32" s="102">
        <v>0.59872</v>
      </c>
      <c r="G32" s="102">
        <v>0.069572</v>
      </c>
      <c r="H32" s="102">
        <v>0.918349</v>
      </c>
    </row>
    <row r="33">
      <c r="A33" s="102">
        <v>39.0</v>
      </c>
      <c r="B33" s="102">
        <v>2018.0</v>
      </c>
      <c r="C33" s="102">
        <v>0.178604651</v>
      </c>
      <c r="D33" s="102">
        <v>0.337710026</v>
      </c>
      <c r="E33" s="102">
        <v>0.608</v>
      </c>
      <c r="F33" s="102">
        <v>0.61184</v>
      </c>
      <c r="G33" s="102">
        <v>0.071307</v>
      </c>
      <c r="H33" s="102">
        <v>0.941258</v>
      </c>
    </row>
    <row r="34">
      <c r="A34" s="102">
        <v>40.0</v>
      </c>
      <c r="B34" s="102">
        <v>2019.0</v>
      </c>
      <c r="C34" s="102">
        <v>0.181860465</v>
      </c>
      <c r="D34" s="102">
        <v>0.311449872</v>
      </c>
      <c r="E34" s="102">
        <v>0.611</v>
      </c>
      <c r="F34" s="102">
        <v>0.608</v>
      </c>
      <c r="G34" s="102">
        <v>0.073051</v>
      </c>
      <c r="H34" s="102">
        <v>0.964269</v>
      </c>
    </row>
    <row r="35">
      <c r="A35" s="102">
        <v>41.0</v>
      </c>
      <c r="B35" s="102">
        <v>2020.0</v>
      </c>
      <c r="C35" s="102">
        <v>0.194883721</v>
      </c>
      <c r="D35" s="102">
        <v>0.310448426</v>
      </c>
      <c r="E35" s="102">
        <v>0.616</v>
      </c>
      <c r="F35" s="102">
        <v>0.592</v>
      </c>
      <c r="G35" s="102">
        <v>0.074801</v>
      </c>
      <c r="H35" s="102">
        <v>0.987372</v>
      </c>
    </row>
    <row r="36">
      <c r="A36" s="102">
        <v>42.0</v>
      </c>
      <c r="B36" s="102">
        <v>2021.0</v>
      </c>
      <c r="C36" s="102">
        <v>0.180465116</v>
      </c>
      <c r="D36" s="102">
        <v>0.309446979</v>
      </c>
      <c r="E36" s="102">
        <v>0.622</v>
      </c>
      <c r="F36" s="102">
        <v>0.56672</v>
      </c>
      <c r="G36" s="102">
        <v>0.076557</v>
      </c>
      <c r="H36" s="102">
        <v>1.010554</v>
      </c>
    </row>
    <row r="37">
      <c r="A37" s="102">
        <v>45.0</v>
      </c>
      <c r="B37" s="102">
        <v>2015.0</v>
      </c>
      <c r="C37" s="102">
        <v>0.080930233</v>
      </c>
      <c r="D37" s="102">
        <v>0.337487482</v>
      </c>
      <c r="E37" s="102">
        <v>0.753</v>
      </c>
      <c r="F37" s="102">
        <v>0.57472</v>
      </c>
      <c r="G37" s="102">
        <v>0.00925</v>
      </c>
      <c r="H37" s="102">
        <v>0.122094</v>
      </c>
    </row>
    <row r="38">
      <c r="A38" s="102">
        <v>46.0</v>
      </c>
      <c r="B38" s="102">
        <v>2016.0</v>
      </c>
      <c r="C38" s="102">
        <v>0.082325581</v>
      </c>
      <c r="D38" s="102">
        <v>0.323801046</v>
      </c>
      <c r="E38" s="102">
        <v>0.745</v>
      </c>
      <c r="F38" s="102">
        <v>0.55328</v>
      </c>
      <c r="G38" s="102">
        <v>0.009293</v>
      </c>
      <c r="H38" s="102">
        <v>0.122671</v>
      </c>
    </row>
    <row r="39">
      <c r="A39" s="102">
        <v>47.0</v>
      </c>
      <c r="B39" s="102">
        <v>2017.0</v>
      </c>
      <c r="C39" s="102">
        <v>0.091627907</v>
      </c>
      <c r="D39" s="102">
        <v>0.445866251</v>
      </c>
      <c r="E39" s="102">
        <v>0.756</v>
      </c>
      <c r="F39" s="102">
        <v>0.56256</v>
      </c>
      <c r="G39" s="102">
        <v>0.009336</v>
      </c>
      <c r="H39" s="102">
        <v>0.123239</v>
      </c>
    </row>
    <row r="40">
      <c r="A40" s="102">
        <v>48.0</v>
      </c>
      <c r="B40" s="102">
        <v>2018.0</v>
      </c>
      <c r="C40" s="102">
        <v>0.095348837</v>
      </c>
      <c r="D40" s="102">
        <v>0.515077334</v>
      </c>
      <c r="E40" s="102">
        <v>0.759</v>
      </c>
      <c r="F40" s="102">
        <v>0.59744</v>
      </c>
      <c r="G40" s="102">
        <v>0.009379</v>
      </c>
      <c r="H40" s="102">
        <v>0.123799</v>
      </c>
    </row>
    <row r="41">
      <c r="A41" s="102">
        <v>49.0</v>
      </c>
      <c r="B41" s="102">
        <v>2019.0</v>
      </c>
      <c r="C41" s="102">
        <v>0.075813953</v>
      </c>
      <c r="D41" s="102">
        <v>0.484700122</v>
      </c>
      <c r="E41" s="102">
        <v>0.763</v>
      </c>
      <c r="F41" s="102">
        <v>0.57856</v>
      </c>
      <c r="G41" s="102">
        <v>0.00942</v>
      </c>
      <c r="H41" s="102">
        <v>0.12435</v>
      </c>
    </row>
    <row r="42">
      <c r="A42" s="102">
        <v>50.0</v>
      </c>
      <c r="B42" s="102">
        <v>2020.0</v>
      </c>
      <c r="C42" s="102">
        <v>0.091162791</v>
      </c>
      <c r="D42" s="102">
        <v>0.343607433</v>
      </c>
      <c r="E42" s="102">
        <v>0.766</v>
      </c>
      <c r="F42" s="102">
        <v>0.52128</v>
      </c>
      <c r="G42" s="102">
        <v>0.009461</v>
      </c>
      <c r="H42" s="102">
        <v>0.124892</v>
      </c>
    </row>
    <row r="43">
      <c r="A43" s="102">
        <v>51.0</v>
      </c>
      <c r="B43" s="102">
        <v>2021.0</v>
      </c>
      <c r="C43" s="102">
        <v>0.086976744</v>
      </c>
      <c r="D43" s="102">
        <v>0.202514744</v>
      </c>
      <c r="E43" s="102">
        <v>0.768</v>
      </c>
      <c r="F43" s="102">
        <v>0.53728</v>
      </c>
      <c r="G43" s="102">
        <v>0.009502</v>
      </c>
      <c r="H43" s="102">
        <v>0.125425</v>
      </c>
    </row>
    <row r="44">
      <c r="A44" s="102">
        <v>54.0</v>
      </c>
      <c r="B44" s="102">
        <v>2015.0</v>
      </c>
      <c r="C44" s="102">
        <v>0.154883721</v>
      </c>
      <c r="D44" s="102">
        <v>0.450428397</v>
      </c>
      <c r="E44" s="102">
        <v>0.649</v>
      </c>
      <c r="F44" s="102">
        <v>0.608</v>
      </c>
      <c r="G44" s="102">
        <v>0.276557</v>
      </c>
      <c r="H44" s="102">
        <v>3.650549</v>
      </c>
    </row>
    <row r="45">
      <c r="A45" s="102">
        <v>55.0</v>
      </c>
      <c r="B45" s="102">
        <v>2016.0</v>
      </c>
      <c r="C45" s="102">
        <v>0.140930233</v>
      </c>
      <c r="D45" s="102">
        <v>0.447201513</v>
      </c>
      <c r="E45" s="102">
        <v>0.656</v>
      </c>
      <c r="F45" s="102">
        <v>0.60384</v>
      </c>
      <c r="G45" s="102">
        <v>0.281298</v>
      </c>
      <c r="H45" s="102">
        <v>3.713132</v>
      </c>
    </row>
    <row r="46">
      <c r="A46" s="102">
        <v>56.0</v>
      </c>
      <c r="B46" s="102">
        <v>2017.0</v>
      </c>
      <c r="C46" s="102">
        <v>0.161860465</v>
      </c>
      <c r="D46" s="102">
        <v>0.43607433</v>
      </c>
      <c r="E46" s="102">
        <v>0.667</v>
      </c>
      <c r="F46" s="102">
        <v>0.62272</v>
      </c>
      <c r="G46" s="102">
        <v>0.286024</v>
      </c>
      <c r="H46" s="102">
        <v>3.775514</v>
      </c>
    </row>
    <row r="47">
      <c r="A47" s="102">
        <v>57.0</v>
      </c>
      <c r="B47" s="102">
        <v>2018.0</v>
      </c>
      <c r="C47" s="102">
        <v>0.166046512</v>
      </c>
      <c r="D47" s="102">
        <v>0.453098921</v>
      </c>
      <c r="E47" s="102">
        <v>0.669</v>
      </c>
      <c r="F47" s="102">
        <v>0.61472</v>
      </c>
      <c r="G47" s="102">
        <v>0.290733</v>
      </c>
      <c r="H47" s="102">
        <v>3.837676</v>
      </c>
    </row>
    <row r="48">
      <c r="A48" s="102">
        <v>58.0</v>
      </c>
      <c r="B48" s="102">
        <v>2019.0</v>
      </c>
      <c r="C48" s="102">
        <v>0.166976744</v>
      </c>
      <c r="D48" s="102">
        <v>0.467341716</v>
      </c>
      <c r="E48" s="102">
        <v>0.672</v>
      </c>
      <c r="F48" s="102">
        <v>0.56</v>
      </c>
      <c r="G48" s="102">
        <v>0.295424</v>
      </c>
      <c r="H48" s="102">
        <v>3.899597</v>
      </c>
    </row>
    <row r="49">
      <c r="A49" s="102">
        <v>59.0</v>
      </c>
      <c r="B49" s="102">
        <v>2020.0</v>
      </c>
      <c r="C49" s="102">
        <v>0.160465116</v>
      </c>
      <c r="D49" s="102">
        <v>0.441304106</v>
      </c>
      <c r="E49" s="102">
        <v>0.678</v>
      </c>
      <c r="F49" s="102">
        <v>1.0</v>
      </c>
      <c r="G49" s="102">
        <v>0.300095</v>
      </c>
      <c r="H49" s="102">
        <v>3.96126</v>
      </c>
    </row>
    <row r="50">
      <c r="A50" s="102">
        <v>60.0</v>
      </c>
      <c r="B50" s="102">
        <v>2021.0</v>
      </c>
      <c r="C50" s="102">
        <v>0.161395349</v>
      </c>
      <c r="D50" s="102">
        <v>0.435184155</v>
      </c>
      <c r="E50" s="102">
        <v>0.684</v>
      </c>
      <c r="F50" s="102">
        <v>0.60256</v>
      </c>
      <c r="G50" s="102">
        <v>0.304746</v>
      </c>
      <c r="H50" s="102">
        <v>4.022644</v>
      </c>
    </row>
    <row r="51">
      <c r="A51" s="102">
        <v>63.0</v>
      </c>
      <c r="B51" s="102">
        <v>2015.0</v>
      </c>
      <c r="C51" s="102">
        <v>0.340465116</v>
      </c>
      <c r="D51" s="102">
        <v>0.301212863</v>
      </c>
      <c r="E51" s="102">
        <v>0.684</v>
      </c>
      <c r="F51" s="102">
        <v>0.56</v>
      </c>
      <c r="G51" s="102">
        <v>0.093964</v>
      </c>
      <c r="H51" s="102">
        <v>1.240328</v>
      </c>
    </row>
    <row r="52">
      <c r="A52" s="102">
        <v>64.0</v>
      </c>
      <c r="B52" s="102">
        <v>2016.0</v>
      </c>
      <c r="C52" s="102">
        <v>0.361395349</v>
      </c>
      <c r="D52" s="102">
        <v>0.26894403</v>
      </c>
      <c r="E52" s="102">
        <v>0.691</v>
      </c>
      <c r="F52" s="102">
        <v>0.56256</v>
      </c>
      <c r="G52" s="102">
        <v>0.095331</v>
      </c>
      <c r="H52" s="102">
        <v>1.258369</v>
      </c>
    </row>
    <row r="53">
      <c r="A53" s="102">
        <v>65.0</v>
      </c>
      <c r="B53" s="102">
        <v>2017.0</v>
      </c>
      <c r="C53" s="102">
        <v>0.34744186</v>
      </c>
      <c r="D53" s="102">
        <v>0.341715812</v>
      </c>
      <c r="E53" s="102">
        <v>0.702</v>
      </c>
      <c r="F53" s="102">
        <v>0.56384</v>
      </c>
      <c r="G53" s="102">
        <v>0.09669</v>
      </c>
      <c r="H53" s="102">
        <v>1.276307</v>
      </c>
    </row>
    <row r="54">
      <c r="A54" s="102">
        <v>66.0</v>
      </c>
      <c r="B54" s="102">
        <v>2018.0</v>
      </c>
      <c r="C54" s="102">
        <v>0.363255814</v>
      </c>
      <c r="D54" s="102">
        <v>0.260264827</v>
      </c>
      <c r="E54" s="102">
        <v>0.705</v>
      </c>
      <c r="F54" s="102">
        <v>0.59328</v>
      </c>
      <c r="G54" s="102">
        <v>0.098041</v>
      </c>
      <c r="H54" s="102">
        <v>1.294137</v>
      </c>
    </row>
    <row r="55">
      <c r="A55" s="102">
        <v>67.0</v>
      </c>
      <c r="B55" s="102">
        <v>2019.0</v>
      </c>
      <c r="C55" s="102">
        <v>0.354883721</v>
      </c>
      <c r="D55" s="102">
        <v>0.262601536</v>
      </c>
      <c r="E55" s="102">
        <v>0.708</v>
      </c>
      <c r="F55" s="102">
        <v>0.51744</v>
      </c>
      <c r="G55" s="102">
        <v>0.099383</v>
      </c>
      <c r="H55" s="102">
        <v>1.311855</v>
      </c>
    </row>
    <row r="56">
      <c r="A56" s="102">
        <v>68.0</v>
      </c>
      <c r="B56" s="102">
        <v>2020.0</v>
      </c>
      <c r="C56" s="102">
        <v>0.336744186</v>
      </c>
      <c r="D56" s="102">
        <v>0.294425281</v>
      </c>
      <c r="E56" s="102">
        <v>0.714</v>
      </c>
      <c r="F56" s="102">
        <v>0.56384</v>
      </c>
      <c r="G56" s="102">
        <v>0.100716</v>
      </c>
      <c r="H56" s="102">
        <v>1.329455</v>
      </c>
    </row>
    <row r="57">
      <c r="A57" s="102">
        <v>69.0</v>
      </c>
      <c r="B57" s="102">
        <v>2021.0</v>
      </c>
      <c r="C57" s="102">
        <v>0.351162791</v>
      </c>
      <c r="D57" s="102">
        <v>0.28830533</v>
      </c>
      <c r="E57" s="102">
        <v>0.72</v>
      </c>
      <c r="F57" s="102">
        <v>0.55328</v>
      </c>
      <c r="G57" s="102">
        <v>0.102041</v>
      </c>
      <c r="H57" s="102">
        <v>1.346935</v>
      </c>
    </row>
    <row r="58">
      <c r="A58" s="102">
        <v>72.0</v>
      </c>
      <c r="B58" s="102">
        <v>2015.0</v>
      </c>
      <c r="C58" s="102">
        <v>0.075813953</v>
      </c>
      <c r="D58" s="102">
        <v>0.437520863</v>
      </c>
      <c r="E58" s="102">
        <v>0.702</v>
      </c>
      <c r="F58" s="102">
        <v>0.19744</v>
      </c>
      <c r="G58" s="102">
        <v>0.007177</v>
      </c>
      <c r="H58" s="102">
        <v>0.094739</v>
      </c>
    </row>
    <row r="59">
      <c r="A59" s="102">
        <v>73.0</v>
      </c>
      <c r="B59" s="102">
        <v>2016.0</v>
      </c>
      <c r="C59" s="102">
        <v>0.098139535</v>
      </c>
      <c r="D59" s="102">
        <v>0.427283854</v>
      </c>
      <c r="E59" s="102">
        <v>0.708</v>
      </c>
      <c r="F59" s="102">
        <v>0.2</v>
      </c>
      <c r="G59" s="102">
        <v>0.007248</v>
      </c>
      <c r="H59" s="102">
        <v>0.095679</v>
      </c>
    </row>
    <row r="60">
      <c r="A60" s="102">
        <v>74.0</v>
      </c>
      <c r="B60" s="102">
        <v>2017.0</v>
      </c>
      <c r="C60" s="102">
        <v>0.078604651</v>
      </c>
      <c r="D60" s="102">
        <v>0.508067208</v>
      </c>
      <c r="E60" s="102">
        <v>0.719</v>
      </c>
      <c r="F60" s="102">
        <v>0.21856</v>
      </c>
      <c r="G60" s="102">
        <v>0.007319</v>
      </c>
      <c r="H60" s="102">
        <v>0.09661</v>
      </c>
    </row>
    <row r="61">
      <c r="A61" s="102">
        <v>75.0</v>
      </c>
      <c r="B61" s="102">
        <v>2018.0</v>
      </c>
      <c r="C61" s="102">
        <v>0.085116279</v>
      </c>
      <c r="D61" s="102">
        <v>0.474574385</v>
      </c>
      <c r="E61" s="102">
        <v>0.721</v>
      </c>
      <c r="F61" s="102">
        <v>0.22784</v>
      </c>
      <c r="G61" s="102">
        <v>0.007389</v>
      </c>
      <c r="H61" s="102">
        <v>0.09753</v>
      </c>
    </row>
    <row r="62">
      <c r="A62" s="102">
        <v>76.0</v>
      </c>
      <c r="B62" s="102">
        <v>2019.0</v>
      </c>
      <c r="C62" s="102">
        <v>0.065581395</v>
      </c>
      <c r="D62" s="102">
        <v>0.449872037</v>
      </c>
      <c r="E62" s="102">
        <v>0.725</v>
      </c>
      <c r="F62" s="102">
        <v>0.20928</v>
      </c>
      <c r="G62" s="102">
        <v>0.007458</v>
      </c>
      <c r="H62" s="102">
        <v>0.098441</v>
      </c>
    </row>
    <row r="63">
      <c r="A63" s="102">
        <v>77.0</v>
      </c>
      <c r="B63" s="102">
        <v>2020.0</v>
      </c>
      <c r="C63" s="102">
        <v>0.070232558</v>
      </c>
      <c r="D63" s="102">
        <v>0.449204406</v>
      </c>
      <c r="E63" s="102">
        <v>0.731</v>
      </c>
      <c r="F63" s="102">
        <v>0.24928</v>
      </c>
      <c r="G63" s="102">
        <v>0.007526</v>
      </c>
      <c r="H63" s="102">
        <v>0.099342</v>
      </c>
    </row>
    <row r="64">
      <c r="A64" s="102">
        <v>78.0</v>
      </c>
      <c r="B64" s="102">
        <v>2021.0</v>
      </c>
      <c r="C64" s="102">
        <v>0.077209302</v>
      </c>
      <c r="D64" s="102">
        <v>0.448536775</v>
      </c>
      <c r="E64" s="102">
        <v>0.737</v>
      </c>
      <c r="F64" s="102">
        <v>0.23072</v>
      </c>
      <c r="G64" s="102">
        <v>0.007593</v>
      </c>
      <c r="H64" s="102">
        <v>0.100233</v>
      </c>
    </row>
    <row r="65">
      <c r="A65" s="102">
        <v>81.0</v>
      </c>
      <c r="B65" s="102">
        <v>2015.0</v>
      </c>
      <c r="C65" s="102">
        <v>0.210697674</v>
      </c>
      <c r="D65" s="102">
        <v>0.174251697</v>
      </c>
      <c r="E65" s="102">
        <v>0.58</v>
      </c>
      <c r="F65" s="102">
        <v>0.49344</v>
      </c>
      <c r="G65" s="102">
        <v>0.086876</v>
      </c>
      <c r="H65" s="102">
        <v>1.180138</v>
      </c>
    </row>
    <row r="66">
      <c r="A66" s="102">
        <v>82.0</v>
      </c>
      <c r="B66" s="102">
        <v>2016.0</v>
      </c>
      <c r="C66" s="102">
        <v>0.222325581</v>
      </c>
      <c r="D66" s="102">
        <v>0.250695449</v>
      </c>
      <c r="E66" s="102">
        <v>0.582</v>
      </c>
      <c r="F66" s="102">
        <v>0.49728</v>
      </c>
      <c r="G66" s="102">
        <v>0.088771</v>
      </c>
      <c r="H66" s="102">
        <v>1.205887</v>
      </c>
    </row>
    <row r="67">
      <c r="A67" s="102">
        <v>83.0</v>
      </c>
      <c r="B67" s="102">
        <v>2017.0</v>
      </c>
      <c r="C67" s="102">
        <v>0.202790698</v>
      </c>
      <c r="D67" s="102">
        <v>0.317458551</v>
      </c>
      <c r="E67" s="102">
        <v>0.592</v>
      </c>
      <c r="F67" s="102">
        <v>0.50528</v>
      </c>
      <c r="G67" s="102">
        <v>0.090669</v>
      </c>
      <c r="H67" s="102">
        <v>1.231672</v>
      </c>
    </row>
    <row r="68">
      <c r="A68" s="102">
        <v>84.0</v>
      </c>
      <c r="B68" s="102">
        <v>2018.0</v>
      </c>
      <c r="C68" s="102">
        <v>0.200465116</v>
      </c>
      <c r="D68" s="102">
        <v>0.193501725</v>
      </c>
      <c r="E68" s="102">
        <v>0.595</v>
      </c>
      <c r="F68" s="102">
        <v>0.51072</v>
      </c>
      <c r="G68" s="102">
        <v>0.092569</v>
      </c>
      <c r="H68" s="102">
        <v>1.257481</v>
      </c>
    </row>
    <row r="69">
      <c r="A69" s="102">
        <v>85.0</v>
      </c>
      <c r="B69" s="102">
        <v>2019.0</v>
      </c>
      <c r="C69" s="102">
        <v>0.221860465</v>
      </c>
      <c r="D69" s="102">
        <v>0.237676644</v>
      </c>
      <c r="E69" s="102">
        <v>0.598</v>
      </c>
      <c r="F69" s="102">
        <v>0.536</v>
      </c>
      <c r="G69" s="102">
        <v>0.09447</v>
      </c>
      <c r="H69" s="102">
        <v>1.283304</v>
      </c>
    </row>
    <row r="70">
      <c r="A70" s="102">
        <v>86.0</v>
      </c>
      <c r="B70" s="102">
        <v>2020.0</v>
      </c>
      <c r="C70" s="102">
        <v>0.230697674</v>
      </c>
      <c r="D70" s="102">
        <v>0.275397797</v>
      </c>
      <c r="E70" s="102">
        <v>0.603</v>
      </c>
      <c r="F70" s="102">
        <v>0.49344</v>
      </c>
      <c r="G70" s="102">
        <v>0.096372</v>
      </c>
      <c r="H70" s="102">
        <v>1.309131</v>
      </c>
    </row>
    <row r="71">
      <c r="A71" s="102">
        <v>87.0</v>
      </c>
      <c r="B71" s="102">
        <v>2021.0</v>
      </c>
      <c r="C71" s="102">
        <v>0.21627907</v>
      </c>
      <c r="D71" s="102">
        <v>0.31311895</v>
      </c>
      <c r="E71" s="102">
        <v>0.607</v>
      </c>
      <c r="F71" s="102">
        <v>0.47328</v>
      </c>
      <c r="G71" s="102">
        <v>0.098272</v>
      </c>
      <c r="H71" s="102">
        <v>1.33495</v>
      </c>
    </row>
    <row r="72">
      <c r="A72" s="102">
        <v>90.0</v>
      </c>
      <c r="B72" s="102">
        <v>2015.0</v>
      </c>
      <c r="C72" s="102">
        <v>0.074883721</v>
      </c>
      <c r="D72" s="102">
        <v>0.399465895</v>
      </c>
      <c r="E72" s="102">
        <v>0.657</v>
      </c>
      <c r="F72" s="102">
        <v>0.44256</v>
      </c>
      <c r="G72" s="102">
        <v>0.251053</v>
      </c>
      <c r="H72" s="102">
        <v>3.313897</v>
      </c>
    </row>
    <row r="73">
      <c r="A73" s="102">
        <v>91.0</v>
      </c>
      <c r="B73" s="102">
        <v>2016.0</v>
      </c>
      <c r="C73" s="102">
        <v>0.07255814</v>
      </c>
      <c r="D73" s="102">
        <v>0.426616223</v>
      </c>
      <c r="E73" s="102">
        <v>0.667</v>
      </c>
      <c r="F73" s="102">
        <v>0.45728</v>
      </c>
      <c r="G73" s="102">
        <v>0.254705</v>
      </c>
      <c r="H73" s="102">
        <v>3.3621</v>
      </c>
    </row>
    <row r="74">
      <c r="A74" s="102">
        <v>92.0</v>
      </c>
      <c r="B74" s="102">
        <v>2017.0</v>
      </c>
      <c r="C74" s="102">
        <v>0.086976744</v>
      </c>
      <c r="D74" s="102">
        <v>0.418048292</v>
      </c>
      <c r="E74" s="102">
        <v>0.677</v>
      </c>
      <c r="F74" s="102">
        <v>0.46144</v>
      </c>
      <c r="G74" s="102">
        <v>0.258335</v>
      </c>
      <c r="H74" s="102">
        <v>3.410027</v>
      </c>
    </row>
    <row r="75">
      <c r="A75" s="102">
        <v>93.0</v>
      </c>
      <c r="B75" s="102">
        <v>2018.0</v>
      </c>
      <c r="C75" s="102">
        <v>0.085116279</v>
      </c>
      <c r="D75" s="102">
        <v>0.392233226</v>
      </c>
      <c r="E75" s="102">
        <v>0.68</v>
      </c>
      <c r="F75" s="102">
        <v>0.48</v>
      </c>
      <c r="G75" s="102">
        <v>0.261944</v>
      </c>
      <c r="H75" s="102">
        <v>3.457664</v>
      </c>
    </row>
    <row r="76">
      <c r="A76" s="102">
        <v>94.0</v>
      </c>
      <c r="B76" s="102">
        <v>2019.0</v>
      </c>
      <c r="C76" s="102">
        <v>0.069302326</v>
      </c>
      <c r="D76" s="102">
        <v>0.406142205</v>
      </c>
      <c r="E76" s="102">
        <v>0.683</v>
      </c>
      <c r="F76" s="102">
        <v>0.48544</v>
      </c>
      <c r="G76" s="102">
        <v>0.26553</v>
      </c>
      <c r="H76" s="102">
        <v>3.505001</v>
      </c>
    </row>
    <row r="77">
      <c r="A77" s="102">
        <v>95.0</v>
      </c>
      <c r="B77" s="102">
        <v>2020.0</v>
      </c>
      <c r="C77" s="102">
        <v>0.080465116</v>
      </c>
      <c r="D77" s="102">
        <v>0.390897964</v>
      </c>
      <c r="E77" s="102">
        <v>0.69</v>
      </c>
      <c r="F77" s="102">
        <v>0.45856</v>
      </c>
      <c r="G77" s="102">
        <v>0.269093</v>
      </c>
      <c r="H77" s="102">
        <v>3.552026</v>
      </c>
    </row>
    <row r="78">
      <c r="A78" s="102">
        <v>96.0</v>
      </c>
      <c r="B78" s="102">
        <v>2021.0</v>
      </c>
      <c r="C78" s="102">
        <v>0.077674419</v>
      </c>
      <c r="D78" s="102">
        <v>0.375653722</v>
      </c>
      <c r="E78" s="102">
        <v>0.696</v>
      </c>
      <c r="F78" s="102">
        <v>0.42144</v>
      </c>
      <c r="G78" s="102">
        <v>0.272631</v>
      </c>
      <c r="H78" s="102">
        <v>3.598729</v>
      </c>
    </row>
    <row r="79">
      <c r="A79" s="102">
        <v>99.0</v>
      </c>
      <c r="B79" s="102">
        <v>2015.0</v>
      </c>
      <c r="C79" s="102">
        <v>0.025116279</v>
      </c>
      <c r="D79" s="102">
        <v>0.636474908</v>
      </c>
      <c r="E79" s="102">
        <v>0.757</v>
      </c>
      <c r="F79" s="102">
        <v>0.57184</v>
      </c>
      <c r="G79" s="102">
        <v>0.162152</v>
      </c>
      <c r="H79" s="102">
        <v>2.140408</v>
      </c>
    </row>
    <row r="80">
      <c r="A80" s="102">
        <v>100.0</v>
      </c>
      <c r="B80" s="102">
        <v>2016.0</v>
      </c>
      <c r="C80" s="102">
        <v>0.034883721</v>
      </c>
      <c r="D80" s="102">
        <v>0.598086124</v>
      </c>
      <c r="E80" s="102">
        <v>0.763</v>
      </c>
      <c r="F80" s="102">
        <v>0.56544</v>
      </c>
      <c r="G80" s="102">
        <v>0.162826</v>
      </c>
      <c r="H80" s="102">
        <v>2.149304</v>
      </c>
    </row>
    <row r="81">
      <c r="A81" s="102">
        <v>101.0</v>
      </c>
      <c r="B81" s="102">
        <v>2017.0</v>
      </c>
      <c r="C81" s="102">
        <v>0.032093023</v>
      </c>
      <c r="D81" s="102">
        <v>0.569823078</v>
      </c>
      <c r="E81" s="102">
        <v>0.775</v>
      </c>
      <c r="F81" s="102">
        <v>0.58944</v>
      </c>
      <c r="G81" s="102">
        <v>0.163489</v>
      </c>
      <c r="H81" s="102">
        <v>2.158057</v>
      </c>
    </row>
    <row r="82">
      <c r="A82" s="102">
        <v>102.0</v>
      </c>
      <c r="B82" s="102">
        <v>2018.0</v>
      </c>
      <c r="C82" s="102">
        <v>0.041395349</v>
      </c>
      <c r="D82" s="102">
        <v>0.596194503</v>
      </c>
      <c r="E82" s="102">
        <v>0.778</v>
      </c>
      <c r="F82" s="102">
        <v>0.59072</v>
      </c>
      <c r="G82" s="102">
        <v>0.164142</v>
      </c>
      <c r="H82" s="102">
        <v>2.166671</v>
      </c>
    </row>
    <row r="83">
      <c r="A83" s="102">
        <v>103.0</v>
      </c>
      <c r="B83" s="102">
        <v>2019.0</v>
      </c>
      <c r="C83" s="102">
        <v>0.021860465</v>
      </c>
      <c r="D83" s="102">
        <v>0.630243685</v>
      </c>
      <c r="E83" s="102">
        <v>0.782</v>
      </c>
      <c r="F83" s="102">
        <v>0.608</v>
      </c>
      <c r="G83" s="102">
        <v>0.164784</v>
      </c>
      <c r="H83" s="102">
        <v>2.175146</v>
      </c>
    </row>
    <row r="84">
      <c r="A84" s="102">
        <v>104.0</v>
      </c>
      <c r="B84" s="102">
        <v>2020.0</v>
      </c>
      <c r="C84" s="102">
        <v>0.028372093</v>
      </c>
      <c r="D84" s="102">
        <v>0.654278402</v>
      </c>
      <c r="E84" s="102">
        <v>0.788</v>
      </c>
      <c r="F84" s="102">
        <v>0.56</v>
      </c>
      <c r="G84" s="102">
        <v>0.165415</v>
      </c>
      <c r="H84" s="102">
        <v>2.183484</v>
      </c>
    </row>
    <row r="85">
      <c r="A85" s="102">
        <v>105.0</v>
      </c>
      <c r="B85" s="102">
        <v>2021.0</v>
      </c>
      <c r="C85" s="102">
        <v>0.030232558</v>
      </c>
      <c r="D85" s="102">
        <v>0.660954712</v>
      </c>
      <c r="E85" s="102">
        <v>0.795</v>
      </c>
      <c r="F85" s="102">
        <v>0.52928</v>
      </c>
      <c r="G85" s="102">
        <v>0.166037</v>
      </c>
      <c r="H85" s="102">
        <v>2.191687</v>
      </c>
    </row>
    <row r="86">
      <c r="A86" s="102">
        <v>108.0</v>
      </c>
      <c r="B86" s="102">
        <v>2015.0</v>
      </c>
      <c r="C86" s="102">
        <v>0.181860465</v>
      </c>
      <c r="D86" s="102">
        <v>0.180149104</v>
      </c>
      <c r="E86" s="102">
        <v>0.581</v>
      </c>
      <c r="F86" s="102">
        <v>0.55072</v>
      </c>
      <c r="G86" s="102">
        <v>0.216014</v>
      </c>
      <c r="H86" s="102">
        <v>2.851381</v>
      </c>
    </row>
    <row r="87">
      <c r="A87" s="102">
        <v>109.0</v>
      </c>
      <c r="B87" s="102">
        <v>2016.0</v>
      </c>
      <c r="C87" s="102">
        <v>0.179534884</v>
      </c>
      <c r="D87" s="102">
        <v>0.186936686</v>
      </c>
      <c r="E87" s="102">
        <v>0.588</v>
      </c>
      <c r="F87" s="102">
        <v>0.54144</v>
      </c>
      <c r="G87" s="102">
        <v>0.219831</v>
      </c>
      <c r="H87" s="102">
        <v>2.901774</v>
      </c>
    </row>
    <row r="88">
      <c r="A88" s="102">
        <v>110.0</v>
      </c>
      <c r="B88" s="102">
        <v>2017.0</v>
      </c>
      <c r="C88" s="102">
        <v>0.188372093</v>
      </c>
      <c r="D88" s="102">
        <v>0.192389006</v>
      </c>
      <c r="E88" s="102">
        <v>0.598</v>
      </c>
      <c r="F88" s="102">
        <v>0.56384</v>
      </c>
      <c r="G88" s="102">
        <v>0.223639</v>
      </c>
      <c r="H88" s="102">
        <v>2.952032</v>
      </c>
    </row>
    <row r="89">
      <c r="A89" s="102">
        <v>111.0</v>
      </c>
      <c r="B89" s="102">
        <v>2018.0</v>
      </c>
      <c r="C89" s="102">
        <v>0.186976744</v>
      </c>
      <c r="D89" s="102">
        <v>0.173472794</v>
      </c>
      <c r="E89" s="102">
        <v>0.6</v>
      </c>
      <c r="F89" s="102">
        <v>0.56128</v>
      </c>
      <c r="G89" s="102">
        <v>0.227435</v>
      </c>
      <c r="H89" s="102">
        <v>3.002138</v>
      </c>
    </row>
    <row r="90">
      <c r="A90" s="102">
        <v>112.0</v>
      </c>
      <c r="B90" s="102">
        <v>2019.0</v>
      </c>
      <c r="C90" s="102">
        <v>0.20372093</v>
      </c>
      <c r="D90" s="102">
        <v>0.117614332</v>
      </c>
      <c r="E90" s="102">
        <v>0.603</v>
      </c>
      <c r="F90" s="102">
        <v>0.51744</v>
      </c>
      <c r="G90" s="102">
        <v>0.231218</v>
      </c>
      <c r="H90" s="102">
        <v>3.052075</v>
      </c>
    </row>
    <row r="91">
      <c r="A91" s="102">
        <v>113.0</v>
      </c>
      <c r="B91" s="102">
        <v>2020.0</v>
      </c>
      <c r="C91" s="102">
        <v>0.19627907</v>
      </c>
      <c r="D91" s="102">
        <v>0.154890397</v>
      </c>
      <c r="E91" s="102">
        <v>0.609</v>
      </c>
      <c r="F91" s="102">
        <v>0.552</v>
      </c>
      <c r="G91" s="102">
        <v>0.234987</v>
      </c>
      <c r="H91" s="102">
        <v>3.101827</v>
      </c>
    </row>
    <row r="92">
      <c r="A92" s="102">
        <v>114.0</v>
      </c>
      <c r="B92" s="102">
        <v>2021.0</v>
      </c>
      <c r="C92" s="102">
        <v>0.187906977</v>
      </c>
      <c r="D92" s="102">
        <v>0.192166463</v>
      </c>
      <c r="E92" s="102">
        <v>0.614</v>
      </c>
      <c r="F92" s="102">
        <v>0.53728</v>
      </c>
      <c r="G92" s="102">
        <v>0.238741</v>
      </c>
      <c r="H92" s="102">
        <v>3.15138</v>
      </c>
    </row>
    <row r="93">
      <c r="A93" s="102">
        <v>117.0</v>
      </c>
      <c r="B93" s="102">
        <v>2015.0</v>
      </c>
      <c r="C93" s="102">
        <v>0.131627907</v>
      </c>
      <c r="D93" s="102">
        <v>0.414932681</v>
      </c>
      <c r="E93" s="102">
        <v>0.678</v>
      </c>
      <c r="F93" s="102">
        <v>0.60128</v>
      </c>
      <c r="G93" s="102">
        <v>0.533779</v>
      </c>
      <c r="H93" s="102">
        <v>7.045878</v>
      </c>
    </row>
    <row r="94">
      <c r="A94" s="102">
        <v>118.0</v>
      </c>
      <c r="B94" s="102">
        <v>2016.0</v>
      </c>
      <c r="C94" s="102">
        <v>0.129767442</v>
      </c>
      <c r="D94" s="102">
        <v>0.425837321</v>
      </c>
      <c r="E94" s="102">
        <v>0.68</v>
      </c>
      <c r="F94" s="102">
        <v>0.576</v>
      </c>
      <c r="G94" s="102">
        <v>0.540057</v>
      </c>
      <c r="H94" s="102">
        <v>7.128747</v>
      </c>
    </row>
    <row r="95">
      <c r="A95" s="102">
        <v>119.0</v>
      </c>
      <c r="B95" s="102">
        <v>2017.0</v>
      </c>
      <c r="C95" s="102">
        <v>0.142325581</v>
      </c>
      <c r="D95" s="102">
        <v>0.458328697</v>
      </c>
      <c r="E95" s="102">
        <v>0.691</v>
      </c>
      <c r="F95" s="102">
        <v>0.608</v>
      </c>
      <c r="G95" s="102">
        <v>0.546281</v>
      </c>
      <c r="H95" s="102">
        <v>7.210914</v>
      </c>
    </row>
    <row r="96">
      <c r="A96" s="102">
        <v>120.0</v>
      </c>
      <c r="B96" s="102">
        <v>2018.0</v>
      </c>
      <c r="C96" s="102">
        <v>0.140930233</v>
      </c>
      <c r="D96" s="102">
        <v>0.509736286</v>
      </c>
      <c r="E96" s="102">
        <v>0.694</v>
      </c>
      <c r="F96" s="102">
        <v>0.616</v>
      </c>
      <c r="G96" s="102">
        <v>0.552452</v>
      </c>
      <c r="H96" s="102">
        <v>7.292366</v>
      </c>
    </row>
    <row r="97">
      <c r="A97" s="102">
        <v>121.0</v>
      </c>
      <c r="B97" s="102">
        <v>2019.0</v>
      </c>
      <c r="C97" s="102">
        <v>0.138604651</v>
      </c>
      <c r="D97" s="102">
        <v>0.464337376</v>
      </c>
      <c r="E97" s="102">
        <v>0.697</v>
      </c>
      <c r="F97" s="102">
        <v>0.58944</v>
      </c>
      <c r="G97" s="102">
        <v>0.558567</v>
      </c>
      <c r="H97" s="102">
        <v>7.37309</v>
      </c>
    </row>
    <row r="98">
      <c r="A98" s="102">
        <v>122.0</v>
      </c>
      <c r="B98" s="102">
        <v>2020.0</v>
      </c>
      <c r="C98" s="102">
        <v>0.144186047</v>
      </c>
      <c r="D98" s="102">
        <v>0.475575832</v>
      </c>
      <c r="E98" s="102">
        <v>0.702</v>
      </c>
      <c r="F98" s="102">
        <v>0.536</v>
      </c>
      <c r="G98" s="102">
        <v>0.564627</v>
      </c>
      <c r="H98" s="102">
        <v>7.453076</v>
      </c>
    </row>
    <row r="99">
      <c r="A99" s="102">
        <v>123.0</v>
      </c>
      <c r="B99" s="102">
        <v>2021.0</v>
      </c>
      <c r="C99" s="102">
        <v>0.164651163</v>
      </c>
      <c r="D99" s="102">
        <v>0.515633693</v>
      </c>
      <c r="E99" s="102">
        <v>0.707</v>
      </c>
      <c r="F99" s="102">
        <v>0.55584</v>
      </c>
      <c r="G99" s="102">
        <v>0.57063</v>
      </c>
      <c r="H99" s="102">
        <v>7.532312</v>
      </c>
    </row>
    <row r="100">
      <c r="A100" s="102">
        <v>126.0</v>
      </c>
      <c r="B100" s="102">
        <v>2015.0</v>
      </c>
      <c r="C100" s="102">
        <v>0.089767442</v>
      </c>
      <c r="D100" s="102">
        <v>0.389228886</v>
      </c>
      <c r="E100" s="102">
        <v>0.692</v>
      </c>
      <c r="F100" s="102">
        <v>0.32384</v>
      </c>
      <c r="G100" s="102">
        <v>0.009096</v>
      </c>
      <c r="H100" s="102">
        <v>0.120307</v>
      </c>
    </row>
    <row r="101">
      <c r="A101" s="102">
        <v>127.0</v>
      </c>
      <c r="B101" s="102">
        <v>2016.0</v>
      </c>
      <c r="C101" s="102">
        <v>0.080930233</v>
      </c>
      <c r="D101" s="102">
        <v>0.420496272</v>
      </c>
      <c r="E101" s="102">
        <v>0.68</v>
      </c>
      <c r="F101" s="102">
        <v>0.34784</v>
      </c>
      <c r="G101" s="102">
        <v>0.009285</v>
      </c>
      <c r="H101" s="102">
        <v>0.122807</v>
      </c>
    </row>
    <row r="102">
      <c r="A102" s="102">
        <v>128.0</v>
      </c>
      <c r="B102" s="102">
        <v>2017.0</v>
      </c>
      <c r="C102" s="102">
        <v>0.079069767</v>
      </c>
      <c r="D102" s="102">
        <v>0.321241794</v>
      </c>
      <c r="E102" s="102">
        <v>0.691</v>
      </c>
      <c r="F102" s="102">
        <v>0.36672</v>
      </c>
      <c r="G102" s="102">
        <v>0.009474</v>
      </c>
      <c r="H102" s="102">
        <v>0.125308</v>
      </c>
    </row>
    <row r="103">
      <c r="A103" s="102">
        <v>129.0</v>
      </c>
      <c r="B103" s="102">
        <v>2018.0</v>
      </c>
      <c r="C103" s="102">
        <v>0.101395349</v>
      </c>
      <c r="D103" s="102">
        <v>0.254144876</v>
      </c>
      <c r="E103" s="102">
        <v>0.694</v>
      </c>
      <c r="F103" s="102">
        <v>0.376</v>
      </c>
      <c r="G103" s="102">
        <v>0.009663</v>
      </c>
      <c r="H103" s="102">
        <v>0.127809</v>
      </c>
    </row>
    <row r="104">
      <c r="A104" s="102">
        <v>130.0</v>
      </c>
      <c r="B104" s="102">
        <v>2019.0</v>
      </c>
      <c r="C104" s="102">
        <v>0.084651163</v>
      </c>
      <c r="D104" s="102">
        <v>0.191276288</v>
      </c>
      <c r="E104" s="102">
        <v>0.697</v>
      </c>
      <c r="F104" s="102">
        <v>0.37472</v>
      </c>
      <c r="G104" s="102">
        <v>0.009852</v>
      </c>
      <c r="H104" s="102">
        <v>0.130309</v>
      </c>
    </row>
    <row r="105">
      <c r="A105" s="102">
        <v>131.0</v>
      </c>
      <c r="B105" s="102">
        <v>2020.0</v>
      </c>
      <c r="C105" s="102">
        <v>0.084651163</v>
      </c>
      <c r="D105" s="102">
        <v>0.127517525</v>
      </c>
      <c r="E105" s="102">
        <v>0.698</v>
      </c>
      <c r="F105" s="102">
        <v>0.376</v>
      </c>
      <c r="G105" s="102">
        <v>0.01004</v>
      </c>
      <c r="H105" s="102">
        <v>0.132806</v>
      </c>
    </row>
    <row r="106">
      <c r="A106" s="102">
        <v>132.0</v>
      </c>
      <c r="B106" s="102">
        <v>2021.0</v>
      </c>
      <c r="C106" s="102">
        <v>0.084651163</v>
      </c>
      <c r="D106" s="102">
        <v>0.063758763</v>
      </c>
      <c r="E106" s="102">
        <v>0.7</v>
      </c>
      <c r="F106" s="102">
        <v>0.36384</v>
      </c>
      <c r="G106" s="102">
        <v>0.010229</v>
      </c>
      <c r="H106" s="102">
        <v>0.135301</v>
      </c>
    </row>
    <row r="107">
      <c r="A107" s="102">
        <v>135.0</v>
      </c>
      <c r="B107" s="102">
        <v>2015.0</v>
      </c>
      <c r="C107" s="102">
        <v>0.105116279</v>
      </c>
      <c r="D107" s="102">
        <v>0.318237454</v>
      </c>
      <c r="E107" s="102">
        <v>0.646</v>
      </c>
      <c r="F107" s="102">
        <v>0.20928</v>
      </c>
      <c r="G107" s="102">
        <v>0.006661</v>
      </c>
      <c r="H107" s="102">
        <v>0.087924</v>
      </c>
    </row>
    <row r="108">
      <c r="A108" s="102">
        <v>136.0</v>
      </c>
      <c r="B108" s="102">
        <v>2016.0</v>
      </c>
      <c r="C108" s="102">
        <v>0.106511628</v>
      </c>
      <c r="D108" s="102">
        <v>0.378658062</v>
      </c>
      <c r="E108" s="102">
        <v>0.64</v>
      </c>
      <c r="F108" s="102">
        <v>0.24</v>
      </c>
      <c r="G108" s="102">
        <v>0.006841</v>
      </c>
      <c r="H108" s="102">
        <v>0.090299</v>
      </c>
    </row>
    <row r="109">
      <c r="A109" s="102">
        <v>137.0</v>
      </c>
      <c r="B109" s="102">
        <v>2017.0</v>
      </c>
      <c r="C109" s="102">
        <v>0.107906977</v>
      </c>
      <c r="D109" s="102">
        <v>0.36886614</v>
      </c>
      <c r="E109" s="102">
        <v>0.65</v>
      </c>
      <c r="F109" s="102">
        <v>0.25344</v>
      </c>
      <c r="G109" s="102">
        <v>0.007022</v>
      </c>
      <c r="H109" s="102">
        <v>0.092689</v>
      </c>
    </row>
    <row r="110">
      <c r="A110" s="102">
        <v>138.0</v>
      </c>
      <c r="B110" s="102">
        <v>2018.0</v>
      </c>
      <c r="C110" s="102">
        <v>0.137209302</v>
      </c>
      <c r="D110" s="102">
        <v>0.338266385</v>
      </c>
      <c r="E110" s="102">
        <v>0.652</v>
      </c>
      <c r="F110" s="102">
        <v>0.25984</v>
      </c>
      <c r="G110" s="102">
        <v>0.007204</v>
      </c>
      <c r="H110" s="102">
        <v>0.095094</v>
      </c>
    </row>
    <row r="111">
      <c r="A111" s="102">
        <v>139.0</v>
      </c>
      <c r="B111" s="102">
        <v>2019.0</v>
      </c>
      <c r="C111" s="102">
        <v>0.120465116</v>
      </c>
      <c r="D111" s="102">
        <v>0.250472905</v>
      </c>
      <c r="E111" s="102">
        <v>0.656</v>
      </c>
      <c r="F111" s="102">
        <v>0.296</v>
      </c>
      <c r="G111" s="102">
        <v>0.007387</v>
      </c>
      <c r="H111" s="102">
        <v>0.097512</v>
      </c>
    </row>
    <row r="112">
      <c r="A112" s="102">
        <v>140.0</v>
      </c>
      <c r="B112" s="102">
        <v>2020.0</v>
      </c>
      <c r="C112" s="102">
        <v>0.120465116</v>
      </c>
      <c r="D112" s="102">
        <v>0.028374318</v>
      </c>
      <c r="E112" s="102">
        <v>0.659</v>
      </c>
      <c r="F112" s="102">
        <v>0.21984</v>
      </c>
      <c r="G112" s="102">
        <v>0.007571</v>
      </c>
      <c r="H112" s="102">
        <v>0.099941</v>
      </c>
    </row>
    <row r="113">
      <c r="A113" s="102">
        <v>141.0</v>
      </c>
      <c r="B113" s="102">
        <v>2021.0</v>
      </c>
      <c r="C113" s="102">
        <v>0.114418605</v>
      </c>
      <c r="D113" s="102">
        <v>0.22532547</v>
      </c>
      <c r="E113" s="102">
        <v>0.661</v>
      </c>
      <c r="F113" s="102">
        <v>0.25856</v>
      </c>
      <c r="G113" s="102">
        <v>0.007756</v>
      </c>
      <c r="H113" s="102">
        <v>0.102382</v>
      </c>
    </row>
    <row r="114">
      <c r="A114" s="102">
        <v>144.0</v>
      </c>
      <c r="B114" s="102">
        <v>2015.0</v>
      </c>
      <c r="C114" s="102">
        <v>0.126976744</v>
      </c>
      <c r="D114" s="102">
        <v>0.539334594</v>
      </c>
      <c r="E114" s="102">
        <v>0.695</v>
      </c>
      <c r="F114" s="102">
        <v>0.25856</v>
      </c>
      <c r="G114" s="102">
        <v>0.006208</v>
      </c>
      <c r="H114" s="102">
        <v>0.081939</v>
      </c>
    </row>
    <row r="115">
      <c r="A115" s="102">
        <v>145.0</v>
      </c>
      <c r="B115" s="102">
        <v>2016.0</v>
      </c>
      <c r="C115" s="102">
        <v>0.130697674</v>
      </c>
      <c r="D115" s="102">
        <v>0.566373651</v>
      </c>
      <c r="E115" s="102">
        <v>0.688</v>
      </c>
      <c r="F115" s="102">
        <v>0.296</v>
      </c>
      <c r="G115" s="102">
        <v>0.00633</v>
      </c>
      <c r="H115" s="102">
        <v>0.083557</v>
      </c>
    </row>
    <row r="116">
      <c r="A116" s="102">
        <v>146.0</v>
      </c>
      <c r="B116" s="102">
        <v>2017.0</v>
      </c>
      <c r="C116" s="102">
        <v>0.108372093</v>
      </c>
      <c r="D116" s="102">
        <v>0.532213197</v>
      </c>
      <c r="E116" s="102">
        <v>0.699</v>
      </c>
      <c r="F116" s="102">
        <v>0.312</v>
      </c>
      <c r="G116" s="102">
        <v>0.006453</v>
      </c>
      <c r="H116" s="102">
        <v>0.085173</v>
      </c>
    </row>
    <row r="117">
      <c r="A117" s="102">
        <v>147.0</v>
      </c>
      <c r="B117" s="102">
        <v>2018.0</v>
      </c>
      <c r="C117" s="102">
        <v>0.140465116</v>
      </c>
      <c r="D117" s="102">
        <v>0.458551241</v>
      </c>
      <c r="E117" s="102">
        <v>0.701</v>
      </c>
      <c r="F117" s="102">
        <v>0.304</v>
      </c>
      <c r="G117" s="102">
        <v>0.006575</v>
      </c>
      <c r="H117" s="102">
        <v>0.086788</v>
      </c>
    </row>
    <row r="118">
      <c r="A118" s="102">
        <v>148.0</v>
      </c>
      <c r="B118" s="102">
        <v>2019.0</v>
      </c>
      <c r="C118" s="102">
        <v>0.119534884</v>
      </c>
      <c r="D118" s="102">
        <v>0.384110382</v>
      </c>
      <c r="E118" s="102">
        <v>0.704</v>
      </c>
      <c r="F118" s="102">
        <v>0.31584</v>
      </c>
      <c r="G118" s="102">
        <v>0.006697</v>
      </c>
      <c r="H118" s="102">
        <v>0.088401</v>
      </c>
    </row>
    <row r="119">
      <c r="A119" s="102">
        <v>149.0</v>
      </c>
      <c r="B119" s="102">
        <v>2020.0</v>
      </c>
      <c r="C119" s="102">
        <v>0.13255814</v>
      </c>
      <c r="D119" s="102">
        <v>0.589406921</v>
      </c>
      <c r="E119" s="102">
        <v>0.706</v>
      </c>
      <c r="F119" s="102">
        <v>0.25984</v>
      </c>
      <c r="G119" s="102">
        <v>0.006819</v>
      </c>
      <c r="H119" s="102">
        <v>0.09001</v>
      </c>
    </row>
    <row r="120">
      <c r="A120" s="102">
        <v>150.0</v>
      </c>
      <c r="B120" s="102">
        <v>2021.0</v>
      </c>
      <c r="C120" s="102">
        <v>0.128837209</v>
      </c>
      <c r="D120" s="102">
        <v>0.794703461</v>
      </c>
      <c r="E120" s="102">
        <v>0.709</v>
      </c>
      <c r="F120" s="102">
        <v>0.296</v>
      </c>
      <c r="G120" s="102">
        <v>0.006941</v>
      </c>
      <c r="H120" s="102">
        <v>0.091616</v>
      </c>
    </row>
    <row r="121">
      <c r="A121" s="102">
        <v>153.0</v>
      </c>
      <c r="B121" s="102">
        <v>2015.0</v>
      </c>
      <c r="C121" s="102">
        <v>0.072093023</v>
      </c>
      <c r="D121" s="102">
        <v>0.249916546</v>
      </c>
      <c r="E121" s="102">
        <v>0.677</v>
      </c>
      <c r="F121" s="102">
        <v>0.25472</v>
      </c>
      <c r="G121" s="102">
        <v>0.005836</v>
      </c>
      <c r="H121" s="102">
        <v>0.077033</v>
      </c>
    </row>
    <row r="122">
      <c r="A122" s="102">
        <v>154.0</v>
      </c>
      <c r="B122" s="102">
        <v>2016.0</v>
      </c>
      <c r="C122" s="102">
        <v>0.063255814</v>
      </c>
      <c r="D122" s="102">
        <v>0.162234338</v>
      </c>
      <c r="E122" s="102">
        <v>0.663</v>
      </c>
      <c r="F122" s="102">
        <v>0.26784</v>
      </c>
      <c r="G122" s="102">
        <v>0.005866</v>
      </c>
      <c r="H122" s="102">
        <v>0.077433</v>
      </c>
    </row>
    <row r="123">
      <c r="A123" s="102">
        <v>155.0</v>
      </c>
      <c r="B123" s="102">
        <v>2017.0</v>
      </c>
      <c r="C123" s="102">
        <v>0.065581395</v>
      </c>
      <c r="D123" s="102">
        <v>0.164571047</v>
      </c>
      <c r="E123" s="102">
        <v>0.673</v>
      </c>
      <c r="F123" s="102">
        <v>0.27872</v>
      </c>
      <c r="G123" s="102">
        <v>0.005896</v>
      </c>
      <c r="H123" s="102">
        <v>0.077827</v>
      </c>
    </row>
    <row r="124">
      <c r="A124" s="102">
        <v>156.0</v>
      </c>
      <c r="B124" s="102">
        <v>2018.0</v>
      </c>
      <c r="C124" s="102">
        <v>0.076744186</v>
      </c>
      <c r="D124" s="102">
        <v>0.174808056</v>
      </c>
      <c r="E124" s="102">
        <v>0.676</v>
      </c>
      <c r="F124" s="102">
        <v>0.28128</v>
      </c>
      <c r="G124" s="102">
        <v>0.005925</v>
      </c>
      <c r="H124" s="102">
        <v>0.078215</v>
      </c>
    </row>
    <row r="125">
      <c r="A125" s="102">
        <v>157.0</v>
      </c>
      <c r="B125" s="102">
        <v>2019.0</v>
      </c>
      <c r="C125" s="102">
        <v>0.071627907</v>
      </c>
      <c r="D125" s="102">
        <v>0.008122844</v>
      </c>
      <c r="E125" s="102">
        <v>0.679</v>
      </c>
      <c r="F125" s="102">
        <v>0.29984</v>
      </c>
      <c r="G125" s="102">
        <v>0.005954</v>
      </c>
      <c r="H125" s="102">
        <v>0.078598</v>
      </c>
    </row>
    <row r="126">
      <c r="A126" s="102">
        <v>158.0</v>
      </c>
      <c r="B126" s="102">
        <v>2020.0</v>
      </c>
      <c r="C126" s="102">
        <v>0.068837209</v>
      </c>
      <c r="D126" s="102">
        <v>0.046734172</v>
      </c>
      <c r="E126" s="102">
        <v>0.68</v>
      </c>
      <c r="F126" s="102">
        <v>0.29184</v>
      </c>
      <c r="G126" s="102">
        <v>0.005983</v>
      </c>
      <c r="H126" s="102">
        <v>0.078974</v>
      </c>
    </row>
    <row r="127">
      <c r="A127" s="102">
        <v>159.0</v>
      </c>
      <c r="B127" s="102">
        <v>2021.0</v>
      </c>
      <c r="C127" s="102">
        <v>0.070232558</v>
      </c>
      <c r="D127" s="102">
        <v>0.084900412</v>
      </c>
      <c r="E127" s="102">
        <v>0.684</v>
      </c>
      <c r="F127" s="102">
        <v>0.28672</v>
      </c>
      <c r="G127" s="102">
        <v>0.006011</v>
      </c>
      <c r="H127" s="102">
        <v>0.079345</v>
      </c>
    </row>
    <row r="128">
      <c r="A128" s="102">
        <v>162.0</v>
      </c>
      <c r="B128" s="102">
        <v>2015.0</v>
      </c>
      <c r="C128" s="102">
        <v>0.154883721</v>
      </c>
      <c r="D128" s="102">
        <v>0.185045065</v>
      </c>
      <c r="E128" s="102">
        <v>0.582</v>
      </c>
      <c r="F128" s="102">
        <v>0.61056</v>
      </c>
      <c r="G128" s="102">
        <v>0.073925</v>
      </c>
      <c r="H128" s="102">
        <v>0.975806</v>
      </c>
    </row>
    <row r="129">
      <c r="A129" s="102">
        <v>163.0</v>
      </c>
      <c r="B129" s="102">
        <v>2016.0</v>
      </c>
      <c r="C129" s="102">
        <v>0.148837209</v>
      </c>
      <c r="D129" s="102">
        <v>0.146545009</v>
      </c>
      <c r="E129" s="102">
        <v>0.589</v>
      </c>
      <c r="F129" s="102">
        <v>0.60384</v>
      </c>
      <c r="G129" s="102">
        <v>0.074876</v>
      </c>
      <c r="H129" s="102">
        <v>0.988357</v>
      </c>
    </row>
    <row r="130">
      <c r="A130" s="102">
        <v>164.0</v>
      </c>
      <c r="B130" s="102">
        <v>2017.0</v>
      </c>
      <c r="C130" s="102">
        <v>0.146976744</v>
      </c>
      <c r="D130" s="102">
        <v>0.219316791</v>
      </c>
      <c r="E130" s="102">
        <v>0.599</v>
      </c>
      <c r="F130" s="102">
        <v>0.58656</v>
      </c>
      <c r="G130" s="102">
        <v>0.075819</v>
      </c>
      <c r="H130" s="102">
        <v>1.000816</v>
      </c>
    </row>
    <row r="131">
      <c r="A131" s="102">
        <v>165.0</v>
      </c>
      <c r="B131" s="102">
        <v>2018.0</v>
      </c>
      <c r="C131" s="102">
        <v>0.150232558</v>
      </c>
      <c r="D131" s="102">
        <v>0.260153555</v>
      </c>
      <c r="E131" s="102">
        <v>0.602</v>
      </c>
      <c r="F131" s="102">
        <v>0.60544</v>
      </c>
      <c r="G131" s="102">
        <v>0.076756</v>
      </c>
      <c r="H131" s="102">
        <v>1.01318</v>
      </c>
    </row>
    <row r="132">
      <c r="A132" s="102">
        <v>166.0</v>
      </c>
      <c r="B132" s="102">
        <v>2019.0</v>
      </c>
      <c r="C132" s="102">
        <v>0.151162791</v>
      </c>
      <c r="D132" s="102">
        <v>0.237899188</v>
      </c>
      <c r="E132" s="102">
        <v>0.605</v>
      </c>
      <c r="F132" s="102">
        <v>0.624</v>
      </c>
      <c r="G132" s="102">
        <v>0.077685</v>
      </c>
      <c r="H132" s="102">
        <v>1.025445</v>
      </c>
    </row>
    <row r="133">
      <c r="A133" s="102">
        <v>167.0</v>
      </c>
      <c r="B133" s="102">
        <v>2020.0</v>
      </c>
      <c r="C133" s="102">
        <v>0.159069767</v>
      </c>
      <c r="D133" s="102">
        <v>0.239345722</v>
      </c>
      <c r="E133" s="102">
        <v>0.611</v>
      </c>
      <c r="F133" s="102">
        <v>0.57472</v>
      </c>
      <c r="G133" s="102">
        <v>0.078607</v>
      </c>
      <c r="H133" s="102">
        <v>1.037611</v>
      </c>
    </row>
    <row r="134">
      <c r="A134" s="102">
        <v>168.0</v>
      </c>
      <c r="B134" s="102">
        <v>2021.0</v>
      </c>
      <c r="C134" s="102">
        <v>0.150697674</v>
      </c>
      <c r="D134" s="102">
        <v>0.240792255</v>
      </c>
      <c r="E134" s="102">
        <v>0.616</v>
      </c>
      <c r="F134" s="102">
        <v>0.568</v>
      </c>
      <c r="G134" s="102">
        <v>0.079521</v>
      </c>
      <c r="H134" s="102">
        <v>1.049676</v>
      </c>
    </row>
    <row r="135">
      <c r="A135" s="102">
        <v>171.0</v>
      </c>
      <c r="B135" s="102">
        <v>2015.0</v>
      </c>
      <c r="C135" s="102">
        <v>0.292093023</v>
      </c>
      <c r="D135" s="102">
        <v>0.436408145</v>
      </c>
      <c r="E135" s="102">
        <v>0.701</v>
      </c>
      <c r="F135" s="102">
        <v>0.55328</v>
      </c>
      <c r="G135" s="102">
        <v>0.108604</v>
      </c>
      <c r="H135" s="102">
        <v>1.433567</v>
      </c>
    </row>
    <row r="136">
      <c r="A136" s="102">
        <v>172.0</v>
      </c>
      <c r="B136" s="102">
        <v>2016.0</v>
      </c>
      <c r="C136" s="102">
        <v>0.325581395</v>
      </c>
      <c r="D136" s="102">
        <v>0.469900968</v>
      </c>
      <c r="E136" s="102">
        <v>0.707</v>
      </c>
      <c r="F136" s="102">
        <v>0.57856</v>
      </c>
      <c r="G136" s="102">
        <v>0.109732</v>
      </c>
      <c r="H136" s="102">
        <v>1.448462</v>
      </c>
    </row>
    <row r="137">
      <c r="A137" s="102">
        <v>173.0</v>
      </c>
      <c r="B137" s="102">
        <v>2017.0</v>
      </c>
      <c r="C137" s="102">
        <v>0.281395349</v>
      </c>
      <c r="D137" s="102">
        <v>0.447424057</v>
      </c>
      <c r="E137" s="102">
        <v>0.718</v>
      </c>
      <c r="F137" s="102">
        <v>0.57856</v>
      </c>
      <c r="G137" s="102">
        <v>0.110849</v>
      </c>
      <c r="H137" s="102">
        <v>1.46321</v>
      </c>
    </row>
    <row r="138">
      <c r="A138" s="102">
        <v>174.0</v>
      </c>
      <c r="B138" s="102">
        <v>2018.0</v>
      </c>
      <c r="C138" s="102">
        <v>0.302325581</v>
      </c>
      <c r="D138" s="102">
        <v>0.406364749</v>
      </c>
      <c r="E138" s="102">
        <v>0.72</v>
      </c>
      <c r="F138" s="102">
        <v>0.58944</v>
      </c>
      <c r="G138" s="102">
        <v>0.111955</v>
      </c>
      <c r="H138" s="102">
        <v>1.477811</v>
      </c>
    </row>
    <row r="139">
      <c r="A139" s="102">
        <v>175.0</v>
      </c>
      <c r="B139" s="102">
        <v>2019.0</v>
      </c>
      <c r="C139" s="102">
        <v>0.269302326</v>
      </c>
      <c r="D139" s="102">
        <v>0.411817069</v>
      </c>
      <c r="E139" s="102">
        <v>0.724</v>
      </c>
      <c r="F139" s="102">
        <v>0.53056</v>
      </c>
      <c r="G139" s="102">
        <v>0.11305</v>
      </c>
      <c r="H139" s="102">
        <v>1.492262</v>
      </c>
    </row>
    <row r="140">
      <c r="A140" s="102">
        <v>176.0</v>
      </c>
      <c r="B140" s="102">
        <v>2020.0</v>
      </c>
      <c r="C140" s="102">
        <v>0.279069767</v>
      </c>
      <c r="D140" s="102">
        <v>0.392567041</v>
      </c>
      <c r="E140" s="102">
        <v>0.73</v>
      </c>
      <c r="F140" s="102">
        <v>0.58656</v>
      </c>
      <c r="G140" s="102">
        <v>0.114134</v>
      </c>
      <c r="H140" s="102">
        <v>1.506563</v>
      </c>
    </row>
    <row r="141">
      <c r="A141" s="102">
        <v>177.0</v>
      </c>
      <c r="B141" s="102">
        <v>2021.0</v>
      </c>
      <c r="C141" s="102">
        <v>0.286976744</v>
      </c>
      <c r="D141" s="102">
        <v>0.412039613</v>
      </c>
      <c r="E141" s="102">
        <v>0.735</v>
      </c>
      <c r="F141" s="102">
        <v>0.52928</v>
      </c>
      <c r="G141" s="102">
        <v>0.115205</v>
      </c>
      <c r="H141" s="102">
        <v>1.520712</v>
      </c>
    </row>
    <row r="142">
      <c r="A142" s="102">
        <v>180.0</v>
      </c>
      <c r="B142" s="102">
        <v>2015.0</v>
      </c>
      <c r="C142" s="102">
        <v>0.253488372</v>
      </c>
      <c r="D142" s="102">
        <v>0.1556693</v>
      </c>
      <c r="E142" s="102">
        <v>0.602</v>
      </c>
      <c r="F142" s="102">
        <v>0.568</v>
      </c>
      <c r="G142" s="102">
        <v>0.182723</v>
      </c>
      <c r="H142" s="102">
        <v>2.411942</v>
      </c>
    </row>
    <row r="143">
      <c r="A143" s="102">
        <v>181.0</v>
      </c>
      <c r="B143" s="102">
        <v>2016.0</v>
      </c>
      <c r="C143" s="102">
        <v>0.232093023</v>
      </c>
      <c r="D143" s="102">
        <v>0.225881829</v>
      </c>
      <c r="E143" s="102">
        <v>0.613</v>
      </c>
      <c r="F143" s="102">
        <v>0.54656</v>
      </c>
      <c r="G143" s="102">
        <v>0.18576</v>
      </c>
      <c r="H143" s="102">
        <v>2.452038</v>
      </c>
    </row>
    <row r="144">
      <c r="A144" s="102">
        <v>182.0</v>
      </c>
      <c r="B144" s="102">
        <v>2017.0</v>
      </c>
      <c r="C144" s="102">
        <v>0.22744186</v>
      </c>
      <c r="D144" s="102">
        <v>0.282630466</v>
      </c>
      <c r="E144" s="102">
        <v>0.623</v>
      </c>
      <c r="F144" s="102">
        <v>0.57184</v>
      </c>
      <c r="G144" s="102">
        <v>0.188787</v>
      </c>
      <c r="H144" s="102">
        <v>2.491985</v>
      </c>
    </row>
    <row r="145">
      <c r="A145" s="102">
        <v>183.0</v>
      </c>
      <c r="B145" s="102">
        <v>2018.0</v>
      </c>
      <c r="C145" s="102">
        <v>0.242325581</v>
      </c>
      <c r="D145" s="102">
        <v>0.277178146</v>
      </c>
      <c r="E145" s="102">
        <v>0.625</v>
      </c>
      <c r="F145" s="102">
        <v>0.56256</v>
      </c>
      <c r="G145" s="102">
        <v>0.191801</v>
      </c>
      <c r="H145" s="102">
        <v>2.53177</v>
      </c>
    </row>
    <row r="146">
      <c r="A146" s="102">
        <v>184.0</v>
      </c>
      <c r="B146" s="102">
        <v>2019.0</v>
      </c>
      <c r="C146" s="102">
        <v>0.241860465</v>
      </c>
      <c r="D146" s="102">
        <v>0.208857238</v>
      </c>
      <c r="E146" s="102">
        <v>0.628</v>
      </c>
      <c r="F146" s="102">
        <v>0.53184</v>
      </c>
      <c r="G146" s="102">
        <v>0.194802</v>
      </c>
      <c r="H146" s="102">
        <v>2.571383</v>
      </c>
    </row>
    <row r="147">
      <c r="A147" s="102">
        <v>185.0</v>
      </c>
      <c r="B147" s="102">
        <v>2020.0</v>
      </c>
      <c r="C147" s="102">
        <v>0.233488372</v>
      </c>
      <c r="D147" s="102">
        <v>0.206186714</v>
      </c>
      <c r="E147" s="102">
        <v>0.635</v>
      </c>
      <c r="F147" s="102">
        <v>0.56928</v>
      </c>
      <c r="G147" s="102">
        <v>0.197789</v>
      </c>
      <c r="H147" s="102">
        <v>2.610811</v>
      </c>
    </row>
    <row r="148">
      <c r="A148" s="102">
        <v>186.0</v>
      </c>
      <c r="B148" s="102">
        <v>2021.0</v>
      </c>
      <c r="C148" s="102">
        <v>0.237674419</v>
      </c>
      <c r="D148" s="102">
        <v>0.20351619</v>
      </c>
      <c r="E148" s="102">
        <v>0.64</v>
      </c>
      <c r="F148" s="102">
        <v>0.568</v>
      </c>
      <c r="G148" s="102">
        <v>0.200761</v>
      </c>
      <c r="H148" s="102">
        <v>2.650043</v>
      </c>
    </row>
    <row r="149">
      <c r="A149" s="102">
        <v>189.0</v>
      </c>
      <c r="B149" s="102">
        <v>2015.0</v>
      </c>
      <c r="C149" s="102">
        <v>0.108372093</v>
      </c>
      <c r="D149" s="102">
        <v>0.34038055</v>
      </c>
      <c r="E149" s="102">
        <v>0.69</v>
      </c>
      <c r="F149" s="102">
        <v>0.08544</v>
      </c>
      <c r="G149" s="102">
        <v>0.00159</v>
      </c>
      <c r="H149" s="102">
        <v>0.020988</v>
      </c>
    </row>
    <row r="150">
      <c r="A150" s="102">
        <v>190.0</v>
      </c>
      <c r="B150" s="102">
        <v>2016.0</v>
      </c>
      <c r="C150" s="102">
        <v>0.093488372</v>
      </c>
      <c r="D150" s="102">
        <v>0.338266385</v>
      </c>
      <c r="E150" s="102">
        <v>0.7</v>
      </c>
      <c r="F150" s="102">
        <v>0.12384</v>
      </c>
      <c r="G150" s="102">
        <v>0.001603</v>
      </c>
      <c r="H150" s="102">
        <v>0.021163</v>
      </c>
    </row>
    <row r="151">
      <c r="A151" s="102">
        <v>191.0</v>
      </c>
      <c r="B151" s="102">
        <v>2017.0</v>
      </c>
      <c r="C151" s="102">
        <v>0.087906977</v>
      </c>
      <c r="D151" s="102">
        <v>0.308222989</v>
      </c>
      <c r="E151" s="102">
        <v>0.711</v>
      </c>
      <c r="F151" s="102">
        <v>0.09984</v>
      </c>
      <c r="G151" s="102">
        <v>0.001616</v>
      </c>
      <c r="H151" s="102">
        <v>0.021335</v>
      </c>
    </row>
    <row r="152">
      <c r="A152" s="102">
        <v>192.0</v>
      </c>
      <c r="B152" s="102">
        <v>2018.0</v>
      </c>
      <c r="C152" s="102">
        <v>0.102790698</v>
      </c>
      <c r="D152" s="102">
        <v>0.450762212</v>
      </c>
      <c r="E152" s="102">
        <v>0.713</v>
      </c>
      <c r="F152" s="102">
        <v>0.08384</v>
      </c>
      <c r="G152" s="102">
        <v>0.001629</v>
      </c>
      <c r="H152" s="102">
        <v>0.021505</v>
      </c>
    </row>
    <row r="153">
      <c r="A153" s="102">
        <v>193.0</v>
      </c>
      <c r="B153" s="102">
        <v>2019.0</v>
      </c>
      <c r="C153" s="102">
        <v>0.083255814</v>
      </c>
      <c r="D153" s="102">
        <v>0.371759208</v>
      </c>
      <c r="E153" s="102">
        <v>0.717</v>
      </c>
      <c r="F153" s="102">
        <v>0.08256</v>
      </c>
      <c r="G153" s="102">
        <v>0.001642</v>
      </c>
      <c r="H153" s="102">
        <v>0.021674</v>
      </c>
    </row>
    <row r="154">
      <c r="A154" s="102">
        <v>194.0</v>
      </c>
      <c r="B154" s="102">
        <v>2020.0</v>
      </c>
      <c r="C154" s="102">
        <v>0.095813953</v>
      </c>
      <c r="D154" s="102">
        <v>0.364192723</v>
      </c>
      <c r="E154" s="102">
        <v>0.724</v>
      </c>
      <c r="F154" s="102">
        <v>0.0</v>
      </c>
      <c r="G154" s="102">
        <v>0.001655</v>
      </c>
      <c r="H154" s="102">
        <v>0.02184</v>
      </c>
    </row>
    <row r="155">
      <c r="A155" s="102">
        <v>195.0</v>
      </c>
      <c r="B155" s="102">
        <v>2021.0</v>
      </c>
      <c r="C155" s="102">
        <v>0.094883721</v>
      </c>
      <c r="D155" s="102">
        <v>0.356181151</v>
      </c>
      <c r="E155" s="102">
        <v>0.73</v>
      </c>
      <c r="F155" s="102">
        <v>0.02272</v>
      </c>
      <c r="G155" s="102">
        <v>0.001667</v>
      </c>
      <c r="H155" s="102">
        <v>0.022004</v>
      </c>
    </row>
    <row r="156">
      <c r="A156" s="102">
        <v>198.0</v>
      </c>
      <c r="B156" s="102">
        <v>2015.0</v>
      </c>
      <c r="C156" s="102">
        <v>0.06</v>
      </c>
      <c r="D156" s="102">
        <v>0.450428397</v>
      </c>
      <c r="E156" s="102">
        <v>0.688</v>
      </c>
      <c r="F156" s="102">
        <v>0.58944</v>
      </c>
      <c r="G156" s="102">
        <v>0.374269</v>
      </c>
      <c r="H156" s="102">
        <v>4.940345</v>
      </c>
    </row>
    <row r="157">
      <c r="A157" s="102">
        <v>199.0</v>
      </c>
      <c r="B157" s="102">
        <v>2016.0</v>
      </c>
      <c r="C157" s="102">
        <v>0.077674419</v>
      </c>
      <c r="D157" s="102">
        <v>0.451541115</v>
      </c>
      <c r="E157" s="102">
        <v>0.692</v>
      </c>
      <c r="F157" s="102">
        <v>0.59744</v>
      </c>
      <c r="G157" s="102">
        <v>0.38049</v>
      </c>
      <c r="H157" s="102">
        <v>5.022473</v>
      </c>
    </row>
    <row r="158">
      <c r="A158" s="102">
        <v>200.0</v>
      </c>
      <c r="B158" s="102">
        <v>2017.0</v>
      </c>
      <c r="C158" s="102">
        <v>0.080930233</v>
      </c>
      <c r="D158" s="102">
        <v>0.418493379</v>
      </c>
      <c r="E158" s="102">
        <v>0.703</v>
      </c>
      <c r="F158" s="102">
        <v>0.592</v>
      </c>
      <c r="G158" s="102">
        <v>0.386689</v>
      </c>
      <c r="H158" s="102">
        <v>5.104296</v>
      </c>
    </row>
    <row r="159">
      <c r="A159" s="102">
        <v>201.0</v>
      </c>
      <c r="B159" s="102">
        <v>2018.0</v>
      </c>
      <c r="C159" s="102">
        <v>0.086511628</v>
      </c>
      <c r="D159" s="102">
        <v>0.451429843</v>
      </c>
      <c r="E159" s="102">
        <v>0.705</v>
      </c>
      <c r="F159" s="102">
        <v>0.58656</v>
      </c>
      <c r="G159" s="102">
        <v>0.392863</v>
      </c>
      <c r="H159" s="102">
        <v>5.185789</v>
      </c>
    </row>
    <row r="160">
      <c r="A160" s="102">
        <v>202.0</v>
      </c>
      <c r="B160" s="102">
        <v>2019.0</v>
      </c>
      <c r="C160" s="102">
        <v>0.068372093</v>
      </c>
      <c r="D160" s="102">
        <v>0.496717481</v>
      </c>
      <c r="E160" s="102">
        <v>0.709</v>
      </c>
      <c r="F160" s="102">
        <v>0.592</v>
      </c>
      <c r="G160" s="102">
        <v>0.39901</v>
      </c>
      <c r="H160" s="102">
        <v>5.266927</v>
      </c>
    </row>
    <row r="161">
      <c r="A161" s="102">
        <v>203.0</v>
      </c>
      <c r="B161" s="102">
        <v>2020.0</v>
      </c>
      <c r="C161" s="102">
        <v>0.06744186</v>
      </c>
      <c r="D161" s="102">
        <v>0.552130856</v>
      </c>
      <c r="E161" s="102">
        <v>0.714</v>
      </c>
      <c r="F161" s="102">
        <v>0.576</v>
      </c>
      <c r="G161" s="102">
        <v>0.405128</v>
      </c>
      <c r="H161" s="102">
        <v>5.347686</v>
      </c>
    </row>
    <row r="162">
      <c r="A162" s="102">
        <v>204.0</v>
      </c>
      <c r="B162" s="102">
        <v>2021.0</v>
      </c>
      <c r="C162" s="102">
        <v>0.073023256</v>
      </c>
      <c r="D162" s="102">
        <v>0.570268165</v>
      </c>
      <c r="E162" s="102">
        <v>0.72</v>
      </c>
      <c r="F162" s="102">
        <v>0.568</v>
      </c>
      <c r="G162" s="102">
        <v>0.411215</v>
      </c>
      <c r="H162" s="102">
        <v>5.428044</v>
      </c>
    </row>
    <row r="163">
      <c r="A163" s="102">
        <v>207.0</v>
      </c>
      <c r="B163" s="102">
        <v>2015.0</v>
      </c>
      <c r="C163" s="102">
        <v>0.097209302</v>
      </c>
      <c r="D163" s="102">
        <v>0.357627684</v>
      </c>
      <c r="E163" s="102">
        <v>0.649</v>
      </c>
      <c r="F163" s="102">
        <v>0.57984</v>
      </c>
      <c r="G163" s="102">
        <v>0.123075</v>
      </c>
      <c r="H163" s="102">
        <v>1.624592</v>
      </c>
    </row>
    <row r="164">
      <c r="A164" s="102">
        <v>208.0</v>
      </c>
      <c r="B164" s="102">
        <v>2016.0</v>
      </c>
      <c r="C164" s="102">
        <v>0.100930233</v>
      </c>
      <c r="D164" s="102">
        <v>0.362634917</v>
      </c>
      <c r="E164" s="102">
        <v>0.652</v>
      </c>
      <c r="F164" s="102">
        <v>0.59072</v>
      </c>
      <c r="G164" s="102">
        <v>0.124186</v>
      </c>
      <c r="H164" s="102">
        <v>1.639261</v>
      </c>
    </row>
    <row r="165">
      <c r="A165" s="102">
        <v>209.0</v>
      </c>
      <c r="B165" s="102">
        <v>2017.0</v>
      </c>
      <c r="C165" s="102">
        <v>0.108837209</v>
      </c>
      <c r="D165" s="102">
        <v>0.40280405</v>
      </c>
      <c r="E165" s="102">
        <v>0.663</v>
      </c>
      <c r="F165" s="102">
        <v>0.58656</v>
      </c>
      <c r="G165" s="102">
        <v>0.125285</v>
      </c>
      <c r="H165" s="102">
        <v>1.653765</v>
      </c>
    </row>
    <row r="166">
      <c r="A166" s="102">
        <v>210.0</v>
      </c>
      <c r="B166" s="102">
        <v>2018.0</v>
      </c>
      <c r="C166" s="102">
        <v>0.110232558</v>
      </c>
      <c r="D166" s="102">
        <v>0.352064093</v>
      </c>
      <c r="E166" s="102">
        <v>0.665</v>
      </c>
      <c r="F166" s="102">
        <v>0.59072</v>
      </c>
      <c r="G166" s="102">
        <v>0.126372</v>
      </c>
      <c r="H166" s="102">
        <v>1.668105</v>
      </c>
    </row>
    <row r="167">
      <c r="A167" s="102">
        <v>211.0</v>
      </c>
      <c r="B167" s="102">
        <v>2019.0</v>
      </c>
      <c r="C167" s="102">
        <v>0.103255814</v>
      </c>
      <c r="D167" s="102">
        <v>0.395126294</v>
      </c>
      <c r="E167" s="102">
        <v>0.669</v>
      </c>
      <c r="F167" s="102">
        <v>0.592</v>
      </c>
      <c r="G167" s="102">
        <v>0.127446</v>
      </c>
      <c r="H167" s="102">
        <v>1.682281</v>
      </c>
    </row>
    <row r="168">
      <c r="A168" s="102">
        <v>212.0</v>
      </c>
      <c r="B168" s="102">
        <v>2020.0</v>
      </c>
      <c r="C168" s="102">
        <v>0.10744186</v>
      </c>
      <c r="D168" s="102">
        <v>0.477801268</v>
      </c>
      <c r="E168" s="102">
        <v>0.674</v>
      </c>
      <c r="F168" s="102">
        <v>0.57184</v>
      </c>
      <c r="G168" s="102">
        <v>0.128507</v>
      </c>
      <c r="H168" s="102">
        <v>1.696291</v>
      </c>
    </row>
    <row r="169">
      <c r="A169" s="102">
        <v>213.0</v>
      </c>
      <c r="B169" s="102">
        <v>2021.0</v>
      </c>
      <c r="C169" s="102">
        <v>0.105581395</v>
      </c>
      <c r="D169" s="102">
        <v>0.524757984</v>
      </c>
      <c r="E169" s="102">
        <v>0.68</v>
      </c>
      <c r="F169" s="102">
        <v>0.568</v>
      </c>
      <c r="G169" s="102">
        <v>0.129556</v>
      </c>
      <c r="H169" s="102">
        <v>1.710135</v>
      </c>
    </row>
    <row r="170">
      <c r="A170" s="102">
        <v>216.0</v>
      </c>
      <c r="B170" s="102">
        <v>2015.0</v>
      </c>
      <c r="C170" s="102">
        <v>0.227906977</v>
      </c>
      <c r="D170" s="102">
        <v>0.257705575</v>
      </c>
      <c r="E170" s="102">
        <v>0.641</v>
      </c>
      <c r="F170" s="102">
        <v>0.52672</v>
      </c>
      <c r="G170" s="102">
        <v>0.010217</v>
      </c>
      <c r="H170" s="102">
        <v>0.134862</v>
      </c>
    </row>
    <row r="171">
      <c r="A171" s="102">
        <v>217.0</v>
      </c>
      <c r="B171" s="102">
        <v>2016.0</v>
      </c>
      <c r="C171" s="102">
        <v>0.251627907</v>
      </c>
      <c r="D171" s="102">
        <v>0.262378992</v>
      </c>
      <c r="E171" s="102">
        <v>0.642</v>
      </c>
      <c r="F171" s="102">
        <v>0.54528</v>
      </c>
      <c r="G171" s="102">
        <v>0.010365</v>
      </c>
      <c r="H171" s="102">
        <v>0.136824</v>
      </c>
    </row>
    <row r="172">
      <c r="A172" s="102">
        <v>218.0</v>
      </c>
      <c r="B172" s="102">
        <v>2017.0</v>
      </c>
      <c r="C172" s="102">
        <v>0.205116279</v>
      </c>
      <c r="D172" s="102">
        <v>0.284299544</v>
      </c>
      <c r="E172" s="102">
        <v>0.652</v>
      </c>
      <c r="F172" s="102">
        <v>0.528</v>
      </c>
      <c r="G172" s="102">
        <v>0.010513</v>
      </c>
      <c r="H172" s="102">
        <v>0.138774</v>
      </c>
    </row>
    <row r="173">
      <c r="A173" s="102">
        <v>219.0</v>
      </c>
      <c r="B173" s="102">
        <v>2018.0</v>
      </c>
      <c r="C173" s="102">
        <v>0.290232558</v>
      </c>
      <c r="D173" s="102">
        <v>0.230443975</v>
      </c>
      <c r="E173" s="102">
        <v>0.655</v>
      </c>
      <c r="F173" s="102">
        <v>0.55872</v>
      </c>
      <c r="G173" s="102">
        <v>0.01066</v>
      </c>
      <c r="H173" s="102">
        <v>0.140713</v>
      </c>
    </row>
    <row r="174">
      <c r="A174" s="102">
        <v>220.0</v>
      </c>
      <c r="B174" s="102">
        <v>2019.0</v>
      </c>
      <c r="C174" s="102">
        <v>0.234418605</v>
      </c>
      <c r="D174" s="102">
        <v>0.524757984</v>
      </c>
      <c r="E174" s="102">
        <v>0.658</v>
      </c>
      <c r="F174" s="102">
        <v>0.55872</v>
      </c>
      <c r="G174" s="102">
        <v>0.010806</v>
      </c>
      <c r="H174" s="102">
        <v>0.142639</v>
      </c>
    </row>
    <row r="175">
      <c r="A175" s="102">
        <v>221.0</v>
      </c>
      <c r="B175" s="102">
        <v>2020.0</v>
      </c>
      <c r="C175" s="102">
        <v>0.255348837</v>
      </c>
      <c r="D175" s="102">
        <v>0.52698342</v>
      </c>
      <c r="E175" s="102">
        <v>0.662</v>
      </c>
      <c r="F175" s="102">
        <v>0.55072</v>
      </c>
      <c r="G175" s="102">
        <v>0.010951</v>
      </c>
      <c r="H175" s="102">
        <v>0.144553</v>
      </c>
    </row>
    <row r="176">
      <c r="A176" s="102">
        <v>222.0</v>
      </c>
      <c r="B176" s="102">
        <v>2021.0</v>
      </c>
      <c r="C176" s="102">
        <v>0.243255814</v>
      </c>
      <c r="D176" s="102">
        <v>0.529208857</v>
      </c>
      <c r="E176" s="102">
        <v>0.667</v>
      </c>
      <c r="F176" s="102">
        <v>0.53728</v>
      </c>
      <c r="G176" s="102">
        <v>0.011095</v>
      </c>
      <c r="H176" s="102">
        <v>0.146454</v>
      </c>
    </row>
    <row r="177">
      <c r="A177" s="102">
        <v>225.0</v>
      </c>
      <c r="B177" s="102">
        <v>2015.0</v>
      </c>
      <c r="C177" s="102">
        <v>0.111627907</v>
      </c>
      <c r="D177" s="102">
        <v>0.250584177</v>
      </c>
      <c r="E177" s="102">
        <v>0.661</v>
      </c>
      <c r="F177" s="102">
        <v>0.34528</v>
      </c>
      <c r="G177" s="102">
        <v>0.032681</v>
      </c>
      <c r="H177" s="102">
        <v>0.431383</v>
      </c>
    </row>
    <row r="178">
      <c r="A178" s="102">
        <v>226.0</v>
      </c>
      <c r="B178" s="102">
        <v>2016.0</v>
      </c>
      <c r="C178" s="102">
        <v>0.121860465</v>
      </c>
      <c r="D178" s="102">
        <v>0.249471459</v>
      </c>
      <c r="E178" s="102">
        <v>0.667</v>
      </c>
      <c r="F178" s="102">
        <v>0.33472</v>
      </c>
      <c r="G178" s="102">
        <v>0.033224</v>
      </c>
      <c r="H178" s="102">
        <v>0.438554</v>
      </c>
    </row>
    <row r="179">
      <c r="A179" s="102">
        <v>227.0</v>
      </c>
      <c r="B179" s="102">
        <v>2017.0</v>
      </c>
      <c r="C179" s="102">
        <v>0.106511628</v>
      </c>
      <c r="D179" s="102">
        <v>0.193612997</v>
      </c>
      <c r="E179" s="102">
        <v>0.677</v>
      </c>
      <c r="F179" s="102">
        <v>0.35744</v>
      </c>
      <c r="G179" s="102">
        <v>0.033765</v>
      </c>
      <c r="H179" s="102">
        <v>0.445699</v>
      </c>
    </row>
    <row r="180">
      <c r="A180" s="102">
        <v>228.0</v>
      </c>
      <c r="B180" s="102">
        <v>2018.0</v>
      </c>
      <c r="C180" s="102">
        <v>0.114883721</v>
      </c>
      <c r="D180" s="102">
        <v>0.234338489</v>
      </c>
      <c r="E180" s="102">
        <v>0.68</v>
      </c>
      <c r="F180" s="102">
        <v>0.36128</v>
      </c>
      <c r="G180" s="102">
        <v>0.034304</v>
      </c>
      <c r="H180" s="102">
        <v>0.452815</v>
      </c>
    </row>
    <row r="181">
      <c r="A181" s="102">
        <v>229.0</v>
      </c>
      <c r="B181" s="102">
        <v>2019.0</v>
      </c>
      <c r="C181" s="102">
        <v>0.093953488</v>
      </c>
      <c r="D181" s="102">
        <v>0.231667965</v>
      </c>
      <c r="E181" s="102">
        <v>0.683</v>
      </c>
      <c r="F181" s="102">
        <v>0.35456</v>
      </c>
      <c r="G181" s="102">
        <v>0.034841</v>
      </c>
      <c r="H181" s="102">
        <v>0.4599</v>
      </c>
    </row>
    <row r="182">
      <c r="A182" s="102">
        <v>230.0</v>
      </c>
      <c r="B182" s="102">
        <v>2020.0</v>
      </c>
      <c r="C182" s="102">
        <v>0.093023256</v>
      </c>
      <c r="D182" s="102">
        <v>0.238233003</v>
      </c>
      <c r="E182" s="102">
        <v>0.689</v>
      </c>
      <c r="F182" s="102">
        <v>0.41184</v>
      </c>
      <c r="G182" s="102">
        <v>0.035375</v>
      </c>
      <c r="H182" s="102">
        <v>0.466951</v>
      </c>
    </row>
    <row r="183">
      <c r="A183" s="102">
        <v>231.0</v>
      </c>
      <c r="B183" s="102">
        <v>2021.0</v>
      </c>
      <c r="C183" s="102">
        <v>0.109302326</v>
      </c>
      <c r="D183" s="102">
        <v>0.244798042</v>
      </c>
      <c r="E183" s="102">
        <v>0.694</v>
      </c>
      <c r="F183" s="102">
        <v>0.38144</v>
      </c>
      <c r="G183" s="102">
        <v>0.035907</v>
      </c>
      <c r="H183" s="102">
        <v>0.473968</v>
      </c>
    </row>
    <row r="184">
      <c r="A184" s="102">
        <v>234.0</v>
      </c>
      <c r="B184" s="102">
        <v>2015.0</v>
      </c>
      <c r="C184" s="102">
        <v>0.346046512</v>
      </c>
      <c r="D184" s="102">
        <v>0.059419161</v>
      </c>
      <c r="E184" s="102">
        <v>0.572</v>
      </c>
      <c r="F184" s="102">
        <v>0.60544</v>
      </c>
      <c r="G184" s="102">
        <v>0.476651</v>
      </c>
      <c r="H184" s="102">
        <v>6.291797</v>
      </c>
    </row>
    <row r="185">
      <c r="A185" s="102">
        <v>235.0</v>
      </c>
      <c r="B185" s="102">
        <v>2016.0</v>
      </c>
      <c r="C185" s="102">
        <v>0.385581395</v>
      </c>
      <c r="D185" s="102">
        <v>0.121175031</v>
      </c>
      <c r="E185" s="102">
        <v>0.579</v>
      </c>
      <c r="F185" s="102">
        <v>0.59456</v>
      </c>
      <c r="G185" s="102">
        <v>0.484506</v>
      </c>
      <c r="H185" s="102">
        <v>6.395476</v>
      </c>
    </row>
    <row r="186">
      <c r="A186" s="102">
        <v>236.0</v>
      </c>
      <c r="B186" s="102">
        <v>2017.0</v>
      </c>
      <c r="C186" s="102">
        <v>0.36372093</v>
      </c>
      <c r="D186" s="102">
        <v>0.064648937</v>
      </c>
      <c r="E186" s="102">
        <v>0.589</v>
      </c>
      <c r="F186" s="102">
        <v>0.61728</v>
      </c>
      <c r="G186" s="102">
        <v>0.49233</v>
      </c>
      <c r="H186" s="102">
        <v>6.498755</v>
      </c>
    </row>
    <row r="187">
      <c r="A187" s="102">
        <v>237.0</v>
      </c>
      <c r="B187" s="102">
        <v>2018.0</v>
      </c>
      <c r="C187" s="102">
        <v>0.362790698</v>
      </c>
      <c r="D187" s="102">
        <v>0.008679203</v>
      </c>
      <c r="E187" s="102">
        <v>0.591</v>
      </c>
      <c r="F187" s="102">
        <v>0.59456</v>
      </c>
      <c r="G187" s="102">
        <v>0.500121</v>
      </c>
      <c r="H187" s="102">
        <v>6.601603</v>
      </c>
    </row>
    <row r="188">
      <c r="A188" s="102">
        <v>238.0</v>
      </c>
      <c r="B188" s="102">
        <v>2019.0</v>
      </c>
      <c r="C188" s="102">
        <v>0.37255814</v>
      </c>
      <c r="D188" s="102">
        <v>0.021475465</v>
      </c>
      <c r="E188" s="102">
        <v>0.594</v>
      </c>
      <c r="F188" s="102">
        <v>0.58528</v>
      </c>
      <c r="G188" s="102">
        <v>0.507878</v>
      </c>
      <c r="H188" s="102">
        <v>6.70399</v>
      </c>
    </row>
    <row r="189">
      <c r="A189" s="102">
        <v>239.0</v>
      </c>
      <c r="B189" s="102">
        <v>2020.0</v>
      </c>
      <c r="C189" s="102">
        <v>0.359534884</v>
      </c>
      <c r="D189" s="102">
        <v>0.086458217</v>
      </c>
      <c r="E189" s="102">
        <v>0.6</v>
      </c>
      <c r="F189" s="102">
        <v>0.60096</v>
      </c>
      <c r="G189" s="102">
        <v>0.515597</v>
      </c>
      <c r="H189" s="102">
        <v>6.805885</v>
      </c>
    </row>
    <row r="190">
      <c r="A190" s="102">
        <v>240.0</v>
      </c>
      <c r="B190" s="102">
        <v>2021.0</v>
      </c>
      <c r="C190" s="102">
        <v>0.363255814</v>
      </c>
      <c r="D190" s="102">
        <v>0.025147435</v>
      </c>
      <c r="E190" s="102">
        <v>0.605</v>
      </c>
      <c r="F190" s="102">
        <v>0.57984</v>
      </c>
      <c r="G190" s="102">
        <v>0.523277</v>
      </c>
      <c r="H190" s="102">
        <v>6.907259</v>
      </c>
    </row>
    <row r="191">
      <c r="A191" s="102">
        <v>243.0</v>
      </c>
      <c r="B191" s="102">
        <v>2015.0</v>
      </c>
      <c r="C191" s="102">
        <v>0.225116279</v>
      </c>
      <c r="D191" s="102">
        <v>0.390230333</v>
      </c>
      <c r="E191" s="102">
        <v>0.617</v>
      </c>
      <c r="F191" s="102">
        <v>0.608</v>
      </c>
      <c r="G191" s="102">
        <v>0.304787</v>
      </c>
      <c r="H191" s="102">
        <v>4.023182</v>
      </c>
    </row>
    <row r="192">
      <c r="A192" s="102">
        <v>244.0</v>
      </c>
      <c r="B192" s="102">
        <v>2016.0</v>
      </c>
      <c r="C192" s="102">
        <v>0.234418605</v>
      </c>
      <c r="D192" s="102">
        <v>0.394458663</v>
      </c>
      <c r="E192" s="102">
        <v>0.625</v>
      </c>
      <c r="F192" s="102">
        <v>0.61728</v>
      </c>
      <c r="G192" s="102">
        <v>0.308184</v>
      </c>
      <c r="H192" s="102">
        <v>4.068034</v>
      </c>
    </row>
    <row r="193">
      <c r="A193" s="102">
        <v>245.0</v>
      </c>
      <c r="B193" s="102">
        <v>2017.0</v>
      </c>
      <c r="C193" s="102">
        <v>0.22372093</v>
      </c>
      <c r="D193" s="102">
        <v>0.382441304</v>
      </c>
      <c r="E193" s="102">
        <v>0.635</v>
      </c>
      <c r="F193" s="102">
        <v>0.59872</v>
      </c>
      <c r="G193" s="102">
        <v>0.311551</v>
      </c>
      <c r="H193" s="102">
        <v>4.112479</v>
      </c>
    </row>
    <row r="194">
      <c r="A194" s="102">
        <v>246.0</v>
      </c>
      <c r="B194" s="102">
        <v>2018.0</v>
      </c>
      <c r="C194" s="102">
        <v>0.248837209</v>
      </c>
      <c r="D194" s="102">
        <v>0.395682653</v>
      </c>
      <c r="E194" s="102">
        <v>0.638</v>
      </c>
      <c r="F194" s="102">
        <v>0.63584</v>
      </c>
      <c r="G194" s="102">
        <v>0.314887</v>
      </c>
      <c r="H194" s="102">
        <v>4.15651</v>
      </c>
    </row>
    <row r="195">
      <c r="A195" s="102">
        <v>247.0</v>
      </c>
      <c r="B195" s="102">
        <v>2019.0</v>
      </c>
      <c r="C195" s="102">
        <v>0.221860465</v>
      </c>
      <c r="D195" s="102">
        <v>0.397463002</v>
      </c>
      <c r="E195" s="102">
        <v>0.641</v>
      </c>
      <c r="F195" s="102">
        <v>0.64</v>
      </c>
      <c r="G195" s="102">
        <v>0.318191</v>
      </c>
      <c r="H195" s="102">
        <v>4.200124</v>
      </c>
    </row>
    <row r="196">
      <c r="A196" s="102">
        <v>248.0</v>
      </c>
      <c r="B196" s="102">
        <v>2020.0</v>
      </c>
      <c r="C196" s="102">
        <v>0.255813953</v>
      </c>
      <c r="D196" s="102">
        <v>0.403360409</v>
      </c>
      <c r="E196" s="102">
        <v>0.647</v>
      </c>
      <c r="F196" s="102">
        <v>0.61472</v>
      </c>
      <c r="G196" s="102">
        <v>0.321463</v>
      </c>
      <c r="H196" s="102">
        <v>4.243313</v>
      </c>
    </row>
    <row r="197">
      <c r="A197" s="102">
        <v>249.0</v>
      </c>
      <c r="B197" s="102">
        <v>2021.0</v>
      </c>
      <c r="C197" s="102">
        <v>0.229767442</v>
      </c>
      <c r="D197" s="102">
        <v>0.405252031</v>
      </c>
      <c r="E197" s="102">
        <v>0.653</v>
      </c>
      <c r="F197" s="102">
        <v>0.57472</v>
      </c>
      <c r="G197" s="102">
        <v>0.324703</v>
      </c>
      <c r="H197" s="102">
        <v>4.286074</v>
      </c>
    </row>
    <row r="198">
      <c r="A198" s="102">
        <v>252.0</v>
      </c>
      <c r="B198" s="102">
        <v>2015.0</v>
      </c>
      <c r="C198" s="102">
        <v>0.020465116</v>
      </c>
      <c r="D198" s="102">
        <v>0.274730166</v>
      </c>
      <c r="E198" s="102">
        <v>0.72</v>
      </c>
      <c r="F198" s="102">
        <v>0.58272</v>
      </c>
      <c r="G198" s="102">
        <v>0.001466</v>
      </c>
      <c r="H198" s="102">
        <v>0.019357</v>
      </c>
    </row>
    <row r="199">
      <c r="A199" s="102">
        <v>253.0</v>
      </c>
      <c r="B199" s="102">
        <v>2016.0</v>
      </c>
      <c r="C199" s="102">
        <v>0.02744186</v>
      </c>
      <c r="D199" s="102">
        <v>0.260153555</v>
      </c>
      <c r="E199" s="102">
        <v>0.724</v>
      </c>
      <c r="F199" s="102">
        <v>0.57984</v>
      </c>
      <c r="G199" s="102">
        <v>0.001474</v>
      </c>
      <c r="H199" s="102">
        <v>0.019457</v>
      </c>
    </row>
    <row r="200">
      <c r="A200" s="102">
        <v>254.0</v>
      </c>
      <c r="B200" s="102">
        <v>2017.0</v>
      </c>
      <c r="C200" s="102">
        <v>0.017209302</v>
      </c>
      <c r="D200" s="102">
        <v>0.302659397</v>
      </c>
      <c r="E200" s="102">
        <v>0.735</v>
      </c>
      <c r="F200" s="102">
        <v>0.57056</v>
      </c>
      <c r="G200" s="102">
        <v>0.001482</v>
      </c>
      <c r="H200" s="102">
        <v>0.019556</v>
      </c>
    </row>
    <row r="201">
      <c r="A201" s="102">
        <v>255.0</v>
      </c>
      <c r="B201" s="102">
        <v>2018.0</v>
      </c>
      <c r="C201" s="102">
        <v>0.024186047</v>
      </c>
      <c r="D201" s="102">
        <v>0.366529431</v>
      </c>
      <c r="E201" s="102">
        <v>0.738</v>
      </c>
      <c r="F201" s="102">
        <v>0.58144</v>
      </c>
      <c r="G201" s="102">
        <v>0.001489</v>
      </c>
      <c r="H201" s="102">
        <v>0.019654</v>
      </c>
    </row>
    <row r="202">
      <c r="A202" s="102">
        <v>256.0</v>
      </c>
      <c r="B202" s="102">
        <v>2019.0</v>
      </c>
      <c r="C202" s="102">
        <v>0.024651163</v>
      </c>
      <c r="D202" s="102">
        <v>0.301435407</v>
      </c>
      <c r="E202" s="102">
        <v>0.741</v>
      </c>
      <c r="F202" s="102">
        <v>0.57184</v>
      </c>
      <c r="G202" s="102">
        <v>0.001496</v>
      </c>
      <c r="H202" s="102">
        <v>0.01975</v>
      </c>
    </row>
    <row r="203">
      <c r="A203" s="102">
        <v>257.0</v>
      </c>
      <c r="B203" s="102">
        <v>2020.0</v>
      </c>
      <c r="C203" s="102">
        <v>0.02372093</v>
      </c>
      <c r="D203" s="102">
        <v>0.410815623</v>
      </c>
      <c r="E203" s="102">
        <v>0.746</v>
      </c>
      <c r="F203" s="102">
        <v>0.54272</v>
      </c>
      <c r="G203" s="102">
        <v>0.001503</v>
      </c>
      <c r="H203" s="102">
        <v>0.019845</v>
      </c>
    </row>
    <row r="204">
      <c r="A204" s="102">
        <v>258.0</v>
      </c>
      <c r="B204" s="102">
        <v>2021.0</v>
      </c>
      <c r="C204" s="102">
        <v>0.024186047</v>
      </c>
      <c r="D204" s="102">
        <v>0.333259152</v>
      </c>
      <c r="E204" s="102">
        <v>0.752</v>
      </c>
      <c r="F204" s="102">
        <v>0.53728</v>
      </c>
      <c r="G204" s="102">
        <v>0.00151</v>
      </c>
      <c r="H204" s="102">
        <v>0.019938</v>
      </c>
    </row>
    <row r="205">
      <c r="A205" s="102">
        <v>261.0</v>
      </c>
      <c r="B205" s="102">
        <v>2015.0</v>
      </c>
      <c r="C205" s="102">
        <v>0.186046512</v>
      </c>
      <c r="D205" s="102">
        <v>0.395571381</v>
      </c>
      <c r="E205" s="102">
        <v>0.732</v>
      </c>
      <c r="F205" s="102">
        <v>0.456</v>
      </c>
      <c r="G205" s="102">
        <v>0.01072</v>
      </c>
      <c r="H205" s="102">
        <v>0.14151</v>
      </c>
    </row>
    <row r="206">
      <c r="A206" s="102">
        <v>262.0</v>
      </c>
      <c r="B206" s="102">
        <v>2016.0</v>
      </c>
      <c r="C206" s="102">
        <v>0.213023256</v>
      </c>
      <c r="D206" s="102">
        <v>0.492711695</v>
      </c>
      <c r="E206" s="102">
        <v>0.758</v>
      </c>
      <c r="F206" s="102">
        <v>0.44256</v>
      </c>
      <c r="G206" s="102">
        <v>0.010832</v>
      </c>
      <c r="H206" s="102">
        <v>0.14298</v>
      </c>
    </row>
    <row r="207">
      <c r="A207" s="102">
        <v>263.0</v>
      </c>
      <c r="B207" s="102">
        <v>2017.0</v>
      </c>
      <c r="C207" s="102">
        <v>0.188372093</v>
      </c>
      <c r="D207" s="102">
        <v>0.497718927</v>
      </c>
      <c r="E207" s="102">
        <v>0.77</v>
      </c>
      <c r="F207" s="102">
        <v>0.44544</v>
      </c>
      <c r="G207" s="102">
        <v>0.010942</v>
      </c>
      <c r="H207" s="102">
        <v>0.144436</v>
      </c>
    </row>
    <row r="208">
      <c r="A208" s="102">
        <v>264.0</v>
      </c>
      <c r="B208" s="102">
        <v>2018.0</v>
      </c>
      <c r="C208" s="102">
        <v>0.200465116</v>
      </c>
      <c r="D208" s="102">
        <v>0.468231891</v>
      </c>
      <c r="E208" s="102">
        <v>0.772</v>
      </c>
      <c r="F208" s="102">
        <v>0.45344</v>
      </c>
      <c r="G208" s="102">
        <v>0.011051</v>
      </c>
      <c r="H208" s="102">
        <v>0.145877</v>
      </c>
    </row>
    <row r="209">
      <c r="A209" s="102">
        <v>265.0</v>
      </c>
      <c r="B209" s="102">
        <v>2019.0</v>
      </c>
      <c r="C209" s="102">
        <v>0.178604651</v>
      </c>
      <c r="D209" s="102">
        <v>0.562812952</v>
      </c>
      <c r="E209" s="102">
        <v>0.776</v>
      </c>
      <c r="F209" s="102">
        <v>0.41856</v>
      </c>
      <c r="G209" s="102">
        <v>0.011159</v>
      </c>
      <c r="H209" s="102">
        <v>0.147304</v>
      </c>
    </row>
    <row r="210">
      <c r="A210" s="102">
        <v>266.0</v>
      </c>
      <c r="B210" s="102">
        <v>2020.0</v>
      </c>
      <c r="C210" s="102">
        <v>0.183255814</v>
      </c>
      <c r="D210" s="102">
        <v>0.442083009</v>
      </c>
      <c r="E210" s="102">
        <v>0.787</v>
      </c>
      <c r="F210" s="102">
        <v>0.49184</v>
      </c>
      <c r="G210" s="102">
        <v>0.011266</v>
      </c>
      <c r="H210" s="102">
        <v>0.148715</v>
      </c>
    </row>
    <row r="211">
      <c r="A211" s="102">
        <v>267.0</v>
      </c>
      <c r="B211" s="102">
        <v>2021.0</v>
      </c>
      <c r="C211" s="102">
        <v>0.18744186</v>
      </c>
      <c r="D211" s="102">
        <v>0.321353066</v>
      </c>
      <c r="E211" s="102">
        <v>0.794</v>
      </c>
      <c r="F211" s="102">
        <v>0.49984</v>
      </c>
      <c r="G211" s="102">
        <v>0.011372</v>
      </c>
      <c r="H211" s="102">
        <v>0.150112</v>
      </c>
    </row>
    <row r="212">
      <c r="A212" s="102">
        <v>270.0</v>
      </c>
      <c r="B212" s="102">
        <v>2015.0</v>
      </c>
      <c r="C212" s="102">
        <v>0.093023256</v>
      </c>
      <c r="D212" s="102">
        <v>0.251585624</v>
      </c>
      <c r="E212" s="102">
        <v>0.661</v>
      </c>
      <c r="F212" s="102">
        <v>0.60384</v>
      </c>
      <c r="G212" s="102">
        <v>0.003907</v>
      </c>
      <c r="H212" s="102">
        <v>0.051578</v>
      </c>
    </row>
    <row r="213">
      <c r="A213" s="102">
        <v>271.0</v>
      </c>
      <c r="B213" s="102">
        <v>2016.0</v>
      </c>
      <c r="C213" s="102">
        <v>0.087906977</v>
      </c>
      <c r="D213" s="102">
        <v>0.422054078</v>
      </c>
      <c r="E213" s="102">
        <v>0.647</v>
      </c>
      <c r="F213" s="102">
        <v>0.58656</v>
      </c>
      <c r="G213" s="102">
        <v>0.004029</v>
      </c>
      <c r="H213" s="102">
        <v>0.053186</v>
      </c>
    </row>
    <row r="214">
      <c r="A214" s="102">
        <v>272.0</v>
      </c>
      <c r="B214" s="102">
        <v>2017.0</v>
      </c>
      <c r="C214" s="102">
        <v>0.111627907</v>
      </c>
      <c r="D214" s="102">
        <v>0.647713364</v>
      </c>
      <c r="E214" s="102">
        <v>0.658</v>
      </c>
      <c r="F214" s="102">
        <v>0.61184</v>
      </c>
      <c r="G214" s="102">
        <v>0.004152</v>
      </c>
      <c r="H214" s="102">
        <v>0.05481</v>
      </c>
    </row>
    <row r="215">
      <c r="A215" s="102">
        <v>273.0</v>
      </c>
      <c r="B215" s="102">
        <v>2018.0</v>
      </c>
      <c r="C215" s="102">
        <v>0.109302326</v>
      </c>
      <c r="D215" s="102">
        <v>0.667853566</v>
      </c>
      <c r="E215" s="102">
        <v>0.66</v>
      </c>
      <c r="F215" s="102">
        <v>0.61472</v>
      </c>
      <c r="G215" s="102">
        <v>0.004277</v>
      </c>
      <c r="H215" s="102">
        <v>0.056451</v>
      </c>
    </row>
    <row r="216">
      <c r="A216" s="102">
        <v>274.0</v>
      </c>
      <c r="B216" s="102">
        <v>2019.0</v>
      </c>
      <c r="C216" s="102">
        <v>0.100930233</v>
      </c>
      <c r="D216" s="102">
        <v>0.52208746</v>
      </c>
      <c r="E216" s="102">
        <v>0.663</v>
      </c>
      <c r="F216" s="102">
        <v>0.58272</v>
      </c>
      <c r="G216" s="102">
        <v>0.004402</v>
      </c>
      <c r="H216" s="102">
        <v>0.058107</v>
      </c>
    </row>
    <row r="217">
      <c r="A217" s="102">
        <v>275.0</v>
      </c>
      <c r="B217" s="102">
        <v>2020.0</v>
      </c>
      <c r="C217" s="102">
        <v>0.100465116</v>
      </c>
      <c r="D217" s="102">
        <v>0.482919773</v>
      </c>
      <c r="E217" s="102">
        <v>0.664</v>
      </c>
      <c r="F217" s="102">
        <v>0.55744</v>
      </c>
      <c r="G217" s="102">
        <v>0.004529</v>
      </c>
      <c r="H217" s="102">
        <v>0.059778</v>
      </c>
    </row>
    <row r="218">
      <c r="A218" s="102">
        <v>276.0</v>
      </c>
      <c r="B218" s="102">
        <v>2021.0</v>
      </c>
      <c r="C218" s="102">
        <v>0.100930233</v>
      </c>
      <c r="D218" s="102">
        <v>0.443752086</v>
      </c>
      <c r="E218" s="102">
        <v>0.668</v>
      </c>
      <c r="F218" s="102">
        <v>0.58528</v>
      </c>
      <c r="G218" s="102">
        <v>0.004656</v>
      </c>
      <c r="H218" s="102">
        <v>0.061462</v>
      </c>
    </row>
    <row r="219">
      <c r="A219" s="102">
        <v>279.0</v>
      </c>
      <c r="B219" s="102">
        <v>2015.0</v>
      </c>
      <c r="C219" s="102">
        <v>0.024651163</v>
      </c>
      <c r="D219" s="102">
        <v>0.341827084</v>
      </c>
      <c r="E219" s="102">
        <v>0.672</v>
      </c>
      <c r="F219" s="102">
        <v>0.45344</v>
      </c>
      <c r="G219" s="102">
        <v>0.037281</v>
      </c>
      <c r="H219" s="102">
        <v>0.492107</v>
      </c>
    </row>
    <row r="220">
      <c r="A220" s="102">
        <v>280.0</v>
      </c>
      <c r="B220" s="102">
        <v>2016.0</v>
      </c>
      <c r="C220" s="102">
        <v>0.04744186</v>
      </c>
      <c r="D220" s="102">
        <v>0.417825748</v>
      </c>
      <c r="E220" s="102">
        <v>0.672</v>
      </c>
      <c r="F220" s="102">
        <v>0.45184</v>
      </c>
      <c r="G220" s="102">
        <v>0.038017</v>
      </c>
      <c r="H220" s="102">
        <v>0.501821</v>
      </c>
    </row>
    <row r="221">
      <c r="A221" s="102">
        <v>281.0</v>
      </c>
      <c r="B221" s="102">
        <v>2017.0</v>
      </c>
      <c r="C221" s="102">
        <v>0.030232558</v>
      </c>
      <c r="D221" s="102">
        <v>0.440302659</v>
      </c>
      <c r="E221" s="102">
        <v>0.682</v>
      </c>
      <c r="F221" s="102">
        <v>0.45984</v>
      </c>
      <c r="G221" s="102">
        <v>0.038752</v>
      </c>
      <c r="H221" s="102">
        <v>0.51153</v>
      </c>
    </row>
    <row r="222">
      <c r="A222" s="102">
        <v>282.0</v>
      </c>
      <c r="B222" s="102">
        <v>2018.0</v>
      </c>
      <c r="C222" s="102">
        <v>0.032093023</v>
      </c>
      <c r="D222" s="102">
        <v>0.163013241</v>
      </c>
      <c r="E222" s="102">
        <v>0.685</v>
      </c>
      <c r="F222" s="102">
        <v>0.46944</v>
      </c>
      <c r="G222" s="102">
        <v>0.039487</v>
      </c>
      <c r="H222" s="102">
        <v>0.521228</v>
      </c>
    </row>
    <row r="223">
      <c r="A223" s="102">
        <v>283.0</v>
      </c>
      <c r="B223" s="102">
        <v>2019.0</v>
      </c>
      <c r="C223" s="102">
        <v>0.02</v>
      </c>
      <c r="D223" s="102">
        <v>0.269166574</v>
      </c>
      <c r="E223" s="102">
        <v>0.688</v>
      </c>
      <c r="F223" s="102">
        <v>0.41472</v>
      </c>
      <c r="G223" s="102">
        <v>0.040221</v>
      </c>
      <c r="H223" s="102">
        <v>0.530912</v>
      </c>
    </row>
    <row r="224">
      <c r="A224" s="102">
        <v>284.0</v>
      </c>
      <c r="B224" s="102">
        <v>2020.0</v>
      </c>
      <c r="C224" s="102">
        <v>0.020465116</v>
      </c>
      <c r="D224" s="102">
        <v>0.384778013</v>
      </c>
      <c r="E224" s="102">
        <v>0.692</v>
      </c>
      <c r="F224" s="102">
        <v>0.52544</v>
      </c>
      <c r="G224" s="102">
        <v>0.040953</v>
      </c>
      <c r="H224" s="102">
        <v>0.540579</v>
      </c>
    </row>
    <row r="225">
      <c r="A225" s="102">
        <v>285.0</v>
      </c>
      <c r="B225" s="102">
        <v>2021.0</v>
      </c>
      <c r="C225" s="102">
        <v>0.02744186</v>
      </c>
      <c r="D225" s="102">
        <v>0.500389451</v>
      </c>
      <c r="E225" s="102">
        <v>0.697</v>
      </c>
      <c r="F225" s="102">
        <v>0.47584</v>
      </c>
      <c r="G225" s="102">
        <v>0.041684</v>
      </c>
      <c r="H225" s="102">
        <v>0.550225</v>
      </c>
    </row>
    <row r="226">
      <c r="A226" s="102">
        <v>288.0</v>
      </c>
      <c r="B226" s="102">
        <v>2015.0</v>
      </c>
      <c r="C226" s="102">
        <v>0.06744186</v>
      </c>
      <c r="D226" s="102">
        <v>0.294425281</v>
      </c>
      <c r="E226" s="102">
        <v>0.729</v>
      </c>
      <c r="F226" s="102">
        <v>0.592</v>
      </c>
      <c r="G226" s="102">
        <v>0.009702</v>
      </c>
      <c r="H226" s="102">
        <v>0.128067</v>
      </c>
    </row>
    <row r="227">
      <c r="A227" s="102">
        <v>289.0</v>
      </c>
      <c r="B227" s="102">
        <v>2016.0</v>
      </c>
      <c r="C227" s="102">
        <v>0.091627907</v>
      </c>
      <c r="D227" s="102">
        <v>0.311894959</v>
      </c>
      <c r="E227" s="102">
        <v>0.722</v>
      </c>
      <c r="F227" s="102">
        <v>0.59328</v>
      </c>
      <c r="G227" s="102">
        <v>0.010004</v>
      </c>
      <c r="H227" s="102">
        <v>0.132058</v>
      </c>
    </row>
    <row r="228">
      <c r="A228" s="102">
        <v>290.0</v>
      </c>
      <c r="B228" s="102">
        <v>2017.0</v>
      </c>
      <c r="C228" s="102">
        <v>0.088837209</v>
      </c>
      <c r="D228" s="102">
        <v>0.149104262</v>
      </c>
      <c r="E228" s="102">
        <v>0.734</v>
      </c>
      <c r="F228" s="102">
        <v>0.59872</v>
      </c>
      <c r="G228" s="102">
        <v>0.01031</v>
      </c>
      <c r="H228" s="102">
        <v>0.136092</v>
      </c>
    </row>
    <row r="229">
      <c r="A229" s="102">
        <v>291.0</v>
      </c>
      <c r="B229" s="102">
        <v>2018.0</v>
      </c>
      <c r="C229" s="102">
        <v>0.08744186</v>
      </c>
      <c r="D229" s="102">
        <v>0.294425281</v>
      </c>
      <c r="E229" s="102">
        <v>0.736</v>
      </c>
      <c r="F229" s="102">
        <v>0.592</v>
      </c>
      <c r="G229" s="102">
        <v>0.010619</v>
      </c>
      <c r="H229" s="102">
        <v>0.140166</v>
      </c>
    </row>
    <row r="230">
      <c r="A230" s="102">
        <v>292.0</v>
      </c>
      <c r="B230" s="102">
        <v>2019.0</v>
      </c>
      <c r="C230" s="102">
        <v>0.076744186</v>
      </c>
      <c r="D230" s="102">
        <v>0.264159341</v>
      </c>
      <c r="E230" s="102">
        <v>0.74</v>
      </c>
      <c r="F230" s="102">
        <v>0.58528</v>
      </c>
      <c r="G230" s="102">
        <v>0.01093</v>
      </c>
      <c r="H230" s="102">
        <v>0.144278</v>
      </c>
    </row>
    <row r="231">
      <c r="A231" s="102">
        <v>293.0</v>
      </c>
      <c r="B231" s="102">
        <v>2020.0</v>
      </c>
      <c r="C231" s="102">
        <v>0.070232558</v>
      </c>
      <c r="D231" s="102">
        <v>0.274618894</v>
      </c>
      <c r="E231" s="102">
        <v>0.743</v>
      </c>
      <c r="F231" s="102">
        <v>0.56928</v>
      </c>
      <c r="G231" s="102">
        <v>0.011244</v>
      </c>
      <c r="H231" s="102">
        <v>0.148426</v>
      </c>
    </row>
    <row r="232">
      <c r="A232" s="102">
        <v>294.0</v>
      </c>
      <c r="B232" s="102">
        <v>2021.0</v>
      </c>
      <c r="C232" s="102">
        <v>0.082325581</v>
      </c>
      <c r="D232" s="102">
        <v>0.244352954</v>
      </c>
      <c r="E232" s="102">
        <v>0.748</v>
      </c>
      <c r="F232" s="102">
        <v>0.56256</v>
      </c>
      <c r="G232" s="102">
        <v>0.011561</v>
      </c>
      <c r="H232" s="102">
        <v>0.152608</v>
      </c>
    </row>
    <row r="233">
      <c r="A233" s="103"/>
      <c r="B233" s="103"/>
      <c r="C233" s="103"/>
      <c r="D233" s="103"/>
      <c r="E233" s="103"/>
      <c r="F233" s="103"/>
      <c r="G233" s="103"/>
      <c r="H233" s="103"/>
    </row>
    <row r="234">
      <c r="A234" s="103"/>
      <c r="B234" s="103"/>
      <c r="C234" s="103"/>
      <c r="D234" s="103"/>
      <c r="E234" s="103"/>
      <c r="F234" s="103"/>
      <c r="G234" s="103"/>
      <c r="H234" s="103"/>
    </row>
    <row r="235">
      <c r="A235" s="103"/>
      <c r="B235" s="103"/>
      <c r="C235" s="103"/>
      <c r="D235" s="103"/>
      <c r="E235" s="103"/>
      <c r="F235" s="103"/>
      <c r="G235" s="103"/>
      <c r="H235" s="103"/>
    </row>
    <row r="236">
      <c r="A236" s="103"/>
      <c r="B236" s="103"/>
      <c r="C236" s="103"/>
      <c r="D236" s="103"/>
      <c r="E236" s="103"/>
      <c r="F236" s="103"/>
      <c r="G236" s="103"/>
      <c r="H236" s="103"/>
    </row>
    <row r="237">
      <c r="A237" s="103"/>
      <c r="B237" s="103"/>
      <c r="C237" s="103"/>
      <c r="D237" s="103"/>
      <c r="E237" s="103"/>
      <c r="F237" s="103"/>
      <c r="G237" s="103"/>
      <c r="H237" s="103"/>
    </row>
    <row r="238">
      <c r="A238" s="103"/>
      <c r="B238" s="103"/>
      <c r="C238" s="103"/>
      <c r="D238" s="103"/>
      <c r="E238" s="103"/>
      <c r="F238" s="103"/>
      <c r="G238" s="103"/>
      <c r="H238" s="103"/>
    </row>
    <row r="239">
      <c r="A239" s="103"/>
      <c r="B239" s="103"/>
      <c r="C239" s="103"/>
      <c r="D239" s="103"/>
      <c r="E239" s="103"/>
      <c r="F239" s="103"/>
      <c r="G239" s="103"/>
      <c r="H239" s="103"/>
    </row>
    <row r="240">
      <c r="A240" s="103"/>
      <c r="B240" s="103"/>
      <c r="C240" s="103"/>
      <c r="D240" s="103"/>
      <c r="E240" s="103"/>
      <c r="F240" s="103"/>
      <c r="G240" s="103"/>
      <c r="H240" s="103"/>
    </row>
    <row r="241">
      <c r="A241" s="103"/>
      <c r="B241" s="103"/>
      <c r="C241" s="103"/>
      <c r="D241" s="103"/>
      <c r="E241" s="103"/>
      <c r="F241" s="103"/>
      <c r="G241" s="103"/>
      <c r="H241" s="103"/>
    </row>
    <row r="242">
      <c r="A242" s="103"/>
      <c r="B242" s="103"/>
      <c r="C242" s="103"/>
      <c r="D242" s="103"/>
      <c r="E242" s="103"/>
      <c r="F242" s="103"/>
      <c r="G242" s="103"/>
      <c r="H242" s="103"/>
    </row>
    <row r="243">
      <c r="A243" s="103"/>
      <c r="B243" s="103"/>
      <c r="C243" s="103"/>
      <c r="D243" s="103"/>
      <c r="E243" s="103"/>
      <c r="F243" s="103"/>
      <c r="G243" s="103"/>
      <c r="H243" s="103"/>
    </row>
    <row r="244">
      <c r="A244" s="103"/>
      <c r="B244" s="103"/>
      <c r="C244" s="103"/>
      <c r="D244" s="103"/>
      <c r="E244" s="103"/>
      <c r="F244" s="103"/>
      <c r="G244" s="103"/>
      <c r="H244" s="103"/>
    </row>
    <row r="245">
      <c r="A245" s="103"/>
      <c r="B245" s="103"/>
      <c r="C245" s="103"/>
      <c r="D245" s="103"/>
      <c r="E245" s="103"/>
      <c r="F245" s="103"/>
      <c r="G245" s="103"/>
      <c r="H245" s="103"/>
    </row>
    <row r="246">
      <c r="A246" s="103"/>
      <c r="B246" s="103"/>
      <c r="C246" s="103"/>
      <c r="D246" s="103"/>
      <c r="E246" s="103"/>
      <c r="F246" s="103"/>
      <c r="G246" s="103"/>
      <c r="H246" s="103"/>
    </row>
    <row r="247">
      <c r="A247" s="103"/>
      <c r="B247" s="103"/>
      <c r="C247" s="103"/>
      <c r="D247" s="103"/>
      <c r="E247" s="103"/>
      <c r="F247" s="103"/>
      <c r="G247" s="103"/>
      <c r="H247" s="103"/>
    </row>
    <row r="248">
      <c r="A248" s="103"/>
      <c r="B248" s="103"/>
      <c r="C248" s="103"/>
      <c r="D248" s="103"/>
      <c r="E248" s="103"/>
      <c r="F248" s="103"/>
      <c r="G248" s="103"/>
      <c r="H248" s="103"/>
    </row>
    <row r="249">
      <c r="A249" s="103"/>
      <c r="B249" s="103"/>
      <c r="C249" s="103"/>
      <c r="D249" s="103"/>
      <c r="E249" s="103"/>
      <c r="F249" s="103"/>
      <c r="G249" s="103"/>
      <c r="H249" s="103"/>
    </row>
    <row r="250">
      <c r="A250" s="103"/>
      <c r="B250" s="103"/>
      <c r="C250" s="103"/>
      <c r="D250" s="103"/>
      <c r="E250" s="103"/>
      <c r="F250" s="103"/>
      <c r="G250" s="103"/>
      <c r="H250" s="103"/>
    </row>
    <row r="251">
      <c r="A251" s="103"/>
      <c r="B251" s="103"/>
      <c r="C251" s="103"/>
      <c r="D251" s="103"/>
      <c r="E251" s="103"/>
      <c r="F251" s="103"/>
      <c r="G251" s="103"/>
      <c r="H251" s="103"/>
    </row>
    <row r="252">
      <c r="A252" s="103"/>
      <c r="B252" s="103"/>
      <c r="C252" s="103"/>
      <c r="D252" s="103"/>
      <c r="E252" s="103"/>
      <c r="F252" s="103"/>
      <c r="G252" s="103"/>
      <c r="H252" s="103"/>
    </row>
    <row r="253">
      <c r="A253" s="103"/>
      <c r="B253" s="103"/>
      <c r="C253" s="103"/>
      <c r="D253" s="103"/>
      <c r="E253" s="103"/>
      <c r="F253" s="103"/>
      <c r="G253" s="103"/>
      <c r="H253" s="103"/>
    </row>
    <row r="254">
      <c r="A254" s="103"/>
      <c r="B254" s="103"/>
      <c r="C254" s="103"/>
      <c r="D254" s="103"/>
      <c r="E254" s="103"/>
      <c r="F254" s="103"/>
      <c r="G254" s="103"/>
      <c r="H254" s="103"/>
    </row>
    <row r="255">
      <c r="A255" s="103"/>
      <c r="B255" s="103"/>
      <c r="C255" s="103"/>
      <c r="D255" s="103"/>
      <c r="E255" s="103"/>
      <c r="F255" s="103"/>
      <c r="G255" s="103"/>
      <c r="H255" s="103"/>
    </row>
    <row r="256">
      <c r="A256" s="103"/>
      <c r="B256" s="103"/>
      <c r="C256" s="103"/>
      <c r="D256" s="103"/>
      <c r="E256" s="103"/>
      <c r="F256" s="103"/>
      <c r="G256" s="103"/>
      <c r="H256" s="103"/>
    </row>
    <row r="257">
      <c r="A257" s="103"/>
      <c r="B257" s="103"/>
      <c r="C257" s="103"/>
      <c r="D257" s="103"/>
      <c r="E257" s="103"/>
      <c r="F257" s="103"/>
      <c r="G257" s="103"/>
      <c r="H257" s="103"/>
    </row>
    <row r="258">
      <c r="A258" s="103"/>
      <c r="B258" s="103"/>
      <c r="C258" s="103"/>
      <c r="D258" s="103"/>
      <c r="E258" s="103"/>
      <c r="F258" s="103"/>
      <c r="G258" s="103"/>
      <c r="H258" s="103"/>
    </row>
    <row r="259">
      <c r="A259" s="103"/>
      <c r="B259" s="103"/>
      <c r="C259" s="103"/>
      <c r="D259" s="103"/>
      <c r="E259" s="103"/>
      <c r="F259" s="103"/>
      <c r="G259" s="103"/>
      <c r="H259" s="103"/>
    </row>
    <row r="260">
      <c r="A260" s="103"/>
      <c r="B260" s="103"/>
      <c r="C260" s="103"/>
      <c r="D260" s="103"/>
      <c r="E260" s="103"/>
      <c r="F260" s="103"/>
      <c r="G260" s="103"/>
      <c r="H260" s="103"/>
    </row>
    <row r="261">
      <c r="A261" s="103"/>
      <c r="B261" s="103"/>
      <c r="C261" s="103"/>
      <c r="D261" s="103"/>
      <c r="E261" s="103"/>
      <c r="F261" s="103"/>
      <c r="G261" s="103"/>
      <c r="H261" s="103"/>
    </row>
    <row r="262">
      <c r="A262" s="103"/>
      <c r="B262" s="103"/>
      <c r="C262" s="103"/>
      <c r="D262" s="103"/>
      <c r="E262" s="103"/>
      <c r="F262" s="103"/>
      <c r="G262" s="103"/>
      <c r="H262" s="103"/>
    </row>
    <row r="263">
      <c r="A263" s="103"/>
      <c r="B263" s="103"/>
      <c r="C263" s="103"/>
      <c r="D263" s="103"/>
      <c r="E263" s="103"/>
      <c r="F263" s="103"/>
      <c r="G263" s="103"/>
      <c r="H263" s="103"/>
    </row>
    <row r="264">
      <c r="A264" s="103"/>
      <c r="B264" s="103"/>
      <c r="C264" s="103"/>
      <c r="D264" s="103"/>
      <c r="E264" s="103"/>
      <c r="F264" s="103"/>
      <c r="G264" s="103"/>
      <c r="H264" s="103"/>
    </row>
    <row r="265">
      <c r="A265" s="103"/>
      <c r="B265" s="103"/>
      <c r="C265" s="103"/>
      <c r="D265" s="103"/>
      <c r="E265" s="103"/>
      <c r="F265" s="103"/>
      <c r="G265" s="103"/>
      <c r="H265" s="103"/>
    </row>
    <row r="266">
      <c r="A266" s="103"/>
      <c r="B266" s="103"/>
      <c r="C266" s="103"/>
      <c r="D266" s="103"/>
      <c r="E266" s="103"/>
      <c r="F266" s="103"/>
      <c r="G266" s="103"/>
      <c r="H266" s="103"/>
    </row>
    <row r="267">
      <c r="A267" s="103"/>
      <c r="B267" s="103"/>
      <c r="C267" s="103"/>
      <c r="D267" s="103"/>
      <c r="E267" s="103"/>
      <c r="F267" s="103"/>
      <c r="G267" s="103"/>
      <c r="H267" s="103"/>
    </row>
    <row r="268">
      <c r="A268" s="103"/>
      <c r="B268" s="103"/>
      <c r="C268" s="103"/>
      <c r="D268" s="103"/>
      <c r="E268" s="103"/>
      <c r="F268" s="103"/>
      <c r="G268" s="103"/>
      <c r="H268" s="103"/>
    </row>
    <row r="269">
      <c r="A269" s="103"/>
      <c r="B269" s="103"/>
      <c r="C269" s="103"/>
      <c r="D269" s="103"/>
      <c r="E269" s="103"/>
      <c r="F269" s="103"/>
      <c r="G269" s="103"/>
      <c r="H269" s="103"/>
    </row>
    <row r="270">
      <c r="A270" s="103"/>
      <c r="B270" s="103"/>
      <c r="C270" s="103"/>
      <c r="D270" s="103"/>
      <c r="E270" s="103"/>
      <c r="F270" s="103"/>
      <c r="G270" s="103"/>
      <c r="H270" s="103"/>
    </row>
    <row r="271">
      <c r="A271" s="103"/>
      <c r="B271" s="103"/>
      <c r="C271" s="103"/>
      <c r="D271" s="103"/>
      <c r="E271" s="103"/>
      <c r="F271" s="103"/>
      <c r="G271" s="103"/>
      <c r="H271" s="103"/>
    </row>
    <row r="272">
      <c r="A272" s="103"/>
      <c r="B272" s="103"/>
      <c r="C272" s="103"/>
      <c r="D272" s="103"/>
      <c r="E272" s="103"/>
      <c r="F272" s="103"/>
      <c r="G272" s="103"/>
      <c r="H272" s="103"/>
    </row>
    <row r="273">
      <c r="A273" s="103"/>
      <c r="B273" s="103"/>
      <c r="C273" s="103"/>
      <c r="D273" s="103"/>
      <c r="E273" s="103"/>
      <c r="F273" s="103"/>
      <c r="G273" s="103"/>
      <c r="H273" s="103"/>
    </row>
  </sheetData>
  <conditionalFormatting sqref="B1:H237 A2:A237">
    <cfRule type="cellIs" dxfId="0" priority="1" operator="equal">
      <formula>2022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4" max="4" width="18.5"/>
    <col customWidth="1" min="7" max="7" width="16.13"/>
    <col customWidth="1" min="8" max="8" width="17.75"/>
    <col customWidth="1" min="9" max="9" width="14.88"/>
    <col customWidth="1" min="10" max="10" width="19.38"/>
  </cols>
  <sheetData>
    <row r="1">
      <c r="A1" s="101" t="s">
        <v>61</v>
      </c>
      <c r="B1" s="101" t="s">
        <v>4</v>
      </c>
      <c r="C1" s="101" t="s">
        <v>8</v>
      </c>
      <c r="D1" s="101" t="s">
        <v>9</v>
      </c>
      <c r="E1" s="101" t="s">
        <v>10</v>
      </c>
      <c r="F1" s="101" t="s">
        <v>62</v>
      </c>
      <c r="G1" s="101" t="s">
        <v>63</v>
      </c>
      <c r="H1" s="101" t="s">
        <v>64</v>
      </c>
      <c r="I1" s="104"/>
      <c r="J1" s="104"/>
    </row>
    <row r="2">
      <c r="A2" s="102">
        <v>7.0</v>
      </c>
      <c r="B2" s="102">
        <v>2022.0</v>
      </c>
      <c r="C2" s="102">
        <v>0.120930233</v>
      </c>
      <c r="D2" s="102">
        <v>0.548458885</v>
      </c>
      <c r="E2" s="102">
        <v>0.666</v>
      </c>
      <c r="F2" s="102">
        <v>0.56064</v>
      </c>
      <c r="G2" s="102">
        <v>0.578111</v>
      </c>
      <c r="H2" s="102">
        <v>2.673765</v>
      </c>
      <c r="I2" s="102"/>
      <c r="J2" s="102"/>
    </row>
    <row r="3">
      <c r="A3" s="102">
        <v>16.0</v>
      </c>
      <c r="B3" s="102">
        <v>2022.0</v>
      </c>
      <c r="C3" s="102">
        <v>0.209302326</v>
      </c>
      <c r="D3" s="102">
        <v>0.089685101</v>
      </c>
      <c r="E3" s="102">
        <v>0.662</v>
      </c>
      <c r="F3" s="102">
        <v>0.47776</v>
      </c>
      <c r="G3" s="102">
        <v>0.021947</v>
      </c>
      <c r="H3" s="102">
        <v>0.101503</v>
      </c>
      <c r="I3" s="102"/>
      <c r="J3" s="102"/>
    </row>
    <row r="4">
      <c r="A4" s="102">
        <v>25.0</v>
      </c>
      <c r="B4" s="102">
        <v>2022.0</v>
      </c>
      <c r="C4" s="102">
        <v>0.330232558</v>
      </c>
      <c r="D4" s="102">
        <v>0.37431846</v>
      </c>
      <c r="E4" s="102">
        <v>0.627</v>
      </c>
      <c r="F4" s="102">
        <v>0.47776</v>
      </c>
      <c r="G4" s="102">
        <v>0.498083</v>
      </c>
      <c r="H4" s="102">
        <v>2.303632</v>
      </c>
      <c r="I4" s="102"/>
      <c r="J4" s="102"/>
    </row>
    <row r="5">
      <c r="A5" s="102">
        <v>34.0</v>
      </c>
      <c r="B5" s="102">
        <v>2022.0</v>
      </c>
      <c r="C5" s="102">
        <v>0.6</v>
      </c>
      <c r="D5" s="102">
        <v>0.099699566</v>
      </c>
      <c r="E5" s="102">
        <v>0.61</v>
      </c>
      <c r="F5" s="102">
        <v>0.47776</v>
      </c>
      <c r="G5" s="102">
        <v>1.831116</v>
      </c>
      <c r="H5" s="102">
        <v>8.468913</v>
      </c>
      <c r="I5" s="102"/>
      <c r="J5" s="102"/>
    </row>
    <row r="6">
      <c r="A6" s="102">
        <v>43.0</v>
      </c>
      <c r="B6" s="102">
        <v>2022.0</v>
      </c>
      <c r="C6" s="102">
        <v>0.041860465</v>
      </c>
      <c r="D6" s="102">
        <v>0.308445532</v>
      </c>
      <c r="E6" s="102">
        <v>0.627</v>
      </c>
      <c r="F6" s="102">
        <v>0.53536</v>
      </c>
      <c r="G6" s="102">
        <v>0.406275</v>
      </c>
      <c r="H6" s="102">
        <v>1.879023</v>
      </c>
      <c r="I6" s="102"/>
      <c r="J6" s="102"/>
    </row>
    <row r="7">
      <c r="A7" s="102">
        <v>52.0</v>
      </c>
      <c r="B7" s="102">
        <v>2022.0</v>
      </c>
      <c r="C7" s="102">
        <v>0.079069767</v>
      </c>
      <c r="D7" s="102">
        <v>0.061422054</v>
      </c>
      <c r="E7" s="102">
        <v>0.771</v>
      </c>
      <c r="F7" s="102">
        <v>0.5312</v>
      </c>
      <c r="G7" s="102">
        <v>0.009442</v>
      </c>
      <c r="H7" s="102">
        <v>0.040208</v>
      </c>
      <c r="I7" s="102"/>
      <c r="J7" s="102"/>
    </row>
    <row r="8">
      <c r="A8" s="102">
        <v>61.0</v>
      </c>
      <c r="B8" s="102">
        <v>2022.0</v>
      </c>
      <c r="C8" s="102">
        <v>0.213953488</v>
      </c>
      <c r="D8" s="102">
        <v>0.429064204</v>
      </c>
      <c r="E8" s="102">
        <v>0.689</v>
      </c>
      <c r="F8" s="102">
        <v>0.6016</v>
      </c>
      <c r="G8" s="102">
        <v>0.659044</v>
      </c>
      <c r="H8" s="102">
        <v>3.048078</v>
      </c>
      <c r="I8" s="102"/>
      <c r="J8" s="102"/>
    </row>
    <row r="9">
      <c r="A9" s="102">
        <v>70.0</v>
      </c>
      <c r="B9" s="102">
        <v>2022.0</v>
      </c>
      <c r="C9" s="102">
        <v>0.334883721</v>
      </c>
      <c r="D9" s="102">
        <v>0.282185379</v>
      </c>
      <c r="E9" s="102">
        <v>0.726</v>
      </c>
      <c r="F9" s="102">
        <v>0.59648</v>
      </c>
      <c r="G9" s="102">
        <v>0.31716</v>
      </c>
      <c r="H9" s="102">
        <v>1.466867</v>
      </c>
      <c r="I9" s="102"/>
      <c r="J9" s="102"/>
    </row>
    <row r="10">
      <c r="A10" s="102">
        <v>79.0</v>
      </c>
      <c r="B10" s="102">
        <v>2022.0</v>
      </c>
      <c r="C10" s="102">
        <v>0.106976744</v>
      </c>
      <c r="D10" s="102">
        <v>0.447869144</v>
      </c>
      <c r="E10" s="102">
        <v>0.742</v>
      </c>
      <c r="F10" s="102">
        <v>0.23616</v>
      </c>
      <c r="G10" s="102">
        <v>0.110699</v>
      </c>
      <c r="H10" s="102">
        <v>0.511983</v>
      </c>
      <c r="I10" s="102"/>
      <c r="J10" s="102"/>
    </row>
    <row r="11">
      <c r="A11" s="102">
        <v>88.0</v>
      </c>
      <c r="B11" s="102">
        <v>2022.0</v>
      </c>
      <c r="C11" s="102">
        <v>0.074418605</v>
      </c>
      <c r="D11" s="102">
        <v>0.350840102</v>
      </c>
      <c r="E11" s="102">
        <v>0.612</v>
      </c>
      <c r="F11" s="102">
        <v>0.47008</v>
      </c>
      <c r="G11" s="102">
        <v>0.498475</v>
      </c>
      <c r="H11" s="102">
        <v>2.305447</v>
      </c>
      <c r="I11" s="102"/>
      <c r="J11" s="102"/>
    </row>
    <row r="12">
      <c r="A12" s="102">
        <v>97.0</v>
      </c>
      <c r="B12" s="102">
        <v>2022.0</v>
      </c>
      <c r="C12" s="102">
        <v>0.03255814</v>
      </c>
      <c r="D12" s="102">
        <v>0.36040948</v>
      </c>
      <c r="E12" s="102">
        <v>0.703</v>
      </c>
      <c r="F12" s="102">
        <v>0.5648</v>
      </c>
      <c r="G12" s="102">
        <v>0.695629</v>
      </c>
      <c r="H12" s="102">
        <v>3.215712</v>
      </c>
      <c r="I12" s="102"/>
      <c r="J12" s="102"/>
    </row>
    <row r="13">
      <c r="A13" s="102">
        <v>106.0</v>
      </c>
      <c r="B13" s="102">
        <v>2022.0</v>
      </c>
      <c r="C13" s="102">
        <v>0.08372093</v>
      </c>
      <c r="D13" s="102">
        <v>0.667631023</v>
      </c>
      <c r="E13" s="102">
        <v>0.801</v>
      </c>
      <c r="F13" s="102">
        <v>0.5648</v>
      </c>
      <c r="G13" s="102">
        <v>0.292629</v>
      </c>
      <c r="H13" s="102">
        <v>1.353409</v>
      </c>
      <c r="I13" s="102"/>
      <c r="J13" s="102"/>
    </row>
    <row r="14">
      <c r="A14" s="102">
        <v>115.0</v>
      </c>
      <c r="B14" s="102">
        <v>2022.0</v>
      </c>
      <c r="C14" s="102">
        <v>0.111627907</v>
      </c>
      <c r="D14" s="102">
        <v>0.229442528</v>
      </c>
      <c r="E14" s="102">
        <v>0.62</v>
      </c>
      <c r="F14" s="102">
        <v>0.53504</v>
      </c>
      <c r="G14" s="102">
        <v>1.015496</v>
      </c>
      <c r="H14" s="102">
        <v>4.696668</v>
      </c>
      <c r="I14" s="102"/>
      <c r="J14" s="102"/>
    </row>
    <row r="15">
      <c r="A15" s="102">
        <v>124.0</v>
      </c>
      <c r="B15" s="102">
        <v>2022.0</v>
      </c>
      <c r="C15" s="102">
        <v>0.186046512</v>
      </c>
      <c r="D15" s="102">
        <v>0.555691554</v>
      </c>
      <c r="E15" s="102">
        <v>0.711</v>
      </c>
      <c r="F15" s="102">
        <v>0.54848</v>
      </c>
      <c r="G15" s="102">
        <v>1.140914</v>
      </c>
      <c r="H15" s="102">
        <v>5.276727</v>
      </c>
      <c r="I15" s="102"/>
      <c r="J15" s="102"/>
    </row>
    <row r="16">
      <c r="A16" s="102">
        <v>133.0</v>
      </c>
      <c r="B16" s="102">
        <v>2022.0</v>
      </c>
      <c r="C16" s="102">
        <v>0.120930233</v>
      </c>
      <c r="D16" s="102">
        <v>0.0</v>
      </c>
      <c r="E16" s="102">
        <v>0.701</v>
      </c>
      <c r="F16" s="102">
        <v>0.49312</v>
      </c>
      <c r="G16" s="102">
        <v>0.040549</v>
      </c>
      <c r="H16" s="102">
        <v>0.187457</v>
      </c>
      <c r="I16" s="102"/>
      <c r="J16" s="102"/>
    </row>
    <row r="17">
      <c r="A17" s="102">
        <v>142.0</v>
      </c>
      <c r="B17" s="102">
        <v>2022.0</v>
      </c>
      <c r="C17" s="102">
        <v>0.148837209</v>
      </c>
      <c r="D17" s="102">
        <v>0.422276622</v>
      </c>
      <c r="E17" s="102">
        <v>0.664</v>
      </c>
      <c r="F17" s="102">
        <v>0.4528</v>
      </c>
      <c r="G17" s="102">
        <v>0.050772</v>
      </c>
      <c r="H17" s="102">
        <v>0.234906</v>
      </c>
      <c r="I17" s="102"/>
      <c r="J17" s="102"/>
    </row>
    <row r="18">
      <c r="A18" s="102">
        <v>151.0</v>
      </c>
      <c r="B18" s="102">
        <v>2022.0</v>
      </c>
      <c r="C18" s="102">
        <v>0.0</v>
      </c>
      <c r="D18" s="102">
        <v>1.0</v>
      </c>
      <c r="E18" s="102">
        <v>0.711</v>
      </c>
      <c r="F18" s="102">
        <v>0.30208</v>
      </c>
      <c r="G18" s="102">
        <v>0.010344</v>
      </c>
      <c r="H18" s="102">
        <v>0.047842</v>
      </c>
      <c r="I18" s="102"/>
      <c r="J18" s="102"/>
    </row>
    <row r="19">
      <c r="A19" s="102">
        <v>160.0</v>
      </c>
      <c r="B19" s="102">
        <v>2022.0</v>
      </c>
      <c r="C19" s="102">
        <v>0.060465116</v>
      </c>
      <c r="D19" s="102">
        <v>0.123066652</v>
      </c>
      <c r="E19" s="102">
        <v>0.686</v>
      </c>
      <c r="F19" s="102">
        <v>0.47776</v>
      </c>
      <c r="G19" s="102">
        <v>0.023838</v>
      </c>
      <c r="H19" s="102">
        <v>0.110252</v>
      </c>
      <c r="I19" s="102"/>
      <c r="J19" s="102"/>
    </row>
    <row r="20">
      <c r="A20" s="102">
        <v>169.0</v>
      </c>
      <c r="B20" s="102">
        <v>2022.0</v>
      </c>
      <c r="C20" s="102">
        <v>0.190697674</v>
      </c>
      <c r="D20" s="102">
        <v>0.242238789</v>
      </c>
      <c r="E20" s="102">
        <v>0.62</v>
      </c>
      <c r="F20" s="102">
        <v>0.5968</v>
      </c>
      <c r="G20" s="102">
        <v>0.638754</v>
      </c>
      <c r="H20" s="102">
        <v>2.954239</v>
      </c>
      <c r="I20" s="102"/>
      <c r="J20" s="102"/>
    </row>
    <row r="21">
      <c r="A21" s="102">
        <v>178.0</v>
      </c>
      <c r="B21" s="102">
        <v>2022.0</v>
      </c>
      <c r="C21" s="102">
        <v>0.31627907</v>
      </c>
      <c r="D21" s="102">
        <v>0.431512184</v>
      </c>
      <c r="E21" s="102">
        <v>0.74</v>
      </c>
      <c r="F21" s="102">
        <v>0.5984</v>
      </c>
      <c r="G21" s="102">
        <v>0.325713</v>
      </c>
      <c r="H21" s="102">
        <v>1.506423</v>
      </c>
      <c r="I21" s="102"/>
      <c r="J21" s="102"/>
    </row>
    <row r="22">
      <c r="A22" s="102">
        <v>187.0</v>
      </c>
      <c r="B22" s="102">
        <v>2022.0</v>
      </c>
      <c r="C22" s="102">
        <v>0.251162791</v>
      </c>
      <c r="D22" s="102">
        <v>0.200845666</v>
      </c>
      <c r="E22" s="102">
        <v>0.644</v>
      </c>
      <c r="F22" s="102">
        <v>0.4928</v>
      </c>
      <c r="G22" s="102">
        <v>0.975849</v>
      </c>
      <c r="H22" s="102">
        <v>4.5133</v>
      </c>
      <c r="I22" s="102"/>
      <c r="J22" s="102"/>
    </row>
    <row r="23">
      <c r="A23" s="102">
        <v>196.0</v>
      </c>
      <c r="B23" s="102">
        <v>2022.0</v>
      </c>
      <c r="C23" s="102">
        <v>0.172093023</v>
      </c>
      <c r="D23" s="102">
        <v>0.348169578</v>
      </c>
      <c r="E23" s="102">
        <v>0.734</v>
      </c>
      <c r="F23" s="102">
        <v>0.01216</v>
      </c>
      <c r="G23" s="102">
        <v>0.008117</v>
      </c>
      <c r="H23" s="102">
        <v>0.037543</v>
      </c>
      <c r="I23" s="102"/>
      <c r="J23" s="102"/>
    </row>
    <row r="24">
      <c r="A24" s="102">
        <v>205.0</v>
      </c>
      <c r="B24" s="102">
        <v>2022.0</v>
      </c>
      <c r="C24" s="102">
        <v>0.08372093</v>
      </c>
      <c r="D24" s="102">
        <v>0.588405475</v>
      </c>
      <c r="E24" s="102">
        <v>0.724</v>
      </c>
      <c r="F24" s="102">
        <v>0.56448</v>
      </c>
      <c r="G24" s="102">
        <v>0.704237</v>
      </c>
      <c r="H24" s="102">
        <v>3.257095</v>
      </c>
      <c r="I24" s="102"/>
      <c r="J24" s="102"/>
    </row>
    <row r="25">
      <c r="A25" s="102">
        <v>214.0</v>
      </c>
      <c r="B25" s="102">
        <v>2022.0</v>
      </c>
      <c r="C25" s="102">
        <v>0.176744186</v>
      </c>
      <c r="D25" s="102">
        <v>0.571714699</v>
      </c>
      <c r="E25" s="102">
        <v>0.684</v>
      </c>
      <c r="F25" s="102">
        <v>0.56608</v>
      </c>
      <c r="G25" s="102">
        <v>0.418632</v>
      </c>
      <c r="H25" s="102">
        <v>1.936175</v>
      </c>
      <c r="I25" s="102"/>
      <c r="J25" s="102"/>
    </row>
    <row r="26">
      <c r="A26" s="102">
        <v>223.0</v>
      </c>
      <c r="B26" s="102">
        <v>2022.0</v>
      </c>
      <c r="C26" s="102">
        <v>1.0</v>
      </c>
      <c r="D26" s="102">
        <v>0.531434294</v>
      </c>
      <c r="E26" s="102">
        <v>0.671</v>
      </c>
      <c r="F26" s="102">
        <v>0.5392</v>
      </c>
      <c r="G26" s="102">
        <v>0.050204</v>
      </c>
      <c r="H26" s="102">
        <v>0.232195</v>
      </c>
      <c r="I26" s="102"/>
      <c r="J26" s="102"/>
    </row>
    <row r="27">
      <c r="A27" s="44">
        <v>232.0</v>
      </c>
    </row>
    <row r="28">
      <c r="A28" s="44">
        <v>241.0</v>
      </c>
    </row>
    <row r="29">
      <c r="A29" s="44">
        <v>250.0</v>
      </c>
    </row>
    <row r="30">
      <c r="A30" s="44">
        <v>259.0</v>
      </c>
    </row>
    <row r="31">
      <c r="A31" s="102">
        <v>268.0</v>
      </c>
      <c r="B31" s="102">
        <v>2022.0</v>
      </c>
      <c r="C31" s="102">
        <v>0.544186047</v>
      </c>
      <c r="D31" s="102">
        <v>0.200623122</v>
      </c>
      <c r="E31" s="102">
        <v>0.8</v>
      </c>
      <c r="F31" s="102">
        <v>0.5072</v>
      </c>
      <c r="G31" s="102">
        <v>5.37E-4</v>
      </c>
      <c r="H31" s="102">
        <v>0.002483</v>
      </c>
      <c r="I31" s="102"/>
      <c r="J31" s="102"/>
    </row>
    <row r="32">
      <c r="A32" s="102">
        <v>277.0</v>
      </c>
      <c r="B32" s="102">
        <v>2022.0</v>
      </c>
      <c r="C32" s="102">
        <v>0.320930233</v>
      </c>
      <c r="D32" s="102">
        <v>0.4045844</v>
      </c>
      <c r="E32" s="102">
        <v>0.67</v>
      </c>
      <c r="F32" s="102">
        <v>0.58208</v>
      </c>
      <c r="G32" s="102">
        <v>0.005817</v>
      </c>
      <c r="H32" s="102">
        <v>0.026943</v>
      </c>
      <c r="I32" s="102"/>
      <c r="J32" s="102"/>
    </row>
    <row r="33">
      <c r="A33" s="102">
        <v>286.0</v>
      </c>
      <c r="B33" s="102">
        <v>2022.0</v>
      </c>
      <c r="C33" s="102">
        <v>0.013953488</v>
      </c>
      <c r="D33" s="102">
        <v>0.61600089</v>
      </c>
      <c r="E33" s="102">
        <v>0.701</v>
      </c>
      <c r="F33" s="102">
        <v>0.47968</v>
      </c>
      <c r="G33" s="102">
        <v>0.178703</v>
      </c>
      <c r="H33" s="102">
        <v>0.826503</v>
      </c>
      <c r="I33" s="102"/>
      <c r="J33" s="102"/>
    </row>
    <row r="34">
      <c r="A34" s="102">
        <v>295.0</v>
      </c>
      <c r="B34" s="102">
        <v>2022.0</v>
      </c>
      <c r="C34" s="102">
        <v>0.120930233</v>
      </c>
      <c r="D34" s="102">
        <v>0.214087015</v>
      </c>
      <c r="E34" s="102">
        <v>0.751</v>
      </c>
      <c r="F34" s="102">
        <v>0.55776</v>
      </c>
      <c r="G34" s="102">
        <v>0.008614</v>
      </c>
      <c r="H34" s="102">
        <v>0.039841</v>
      </c>
      <c r="I34" s="102"/>
      <c r="J34" s="10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16.25"/>
    <col customWidth="1" min="4" max="4" width="16.75"/>
    <col customWidth="1" min="5" max="5" width="15.75"/>
    <col customWidth="1" min="6" max="6" width="15.63"/>
    <col customWidth="1" min="7" max="7" width="16.25"/>
    <col customWidth="1" min="8" max="8" width="18.88"/>
  </cols>
  <sheetData>
    <row r="1">
      <c r="A1" s="101" t="s">
        <v>61</v>
      </c>
      <c r="B1" s="101" t="s">
        <v>4</v>
      </c>
      <c r="C1" s="101" t="s">
        <v>8</v>
      </c>
      <c r="D1" s="101" t="s">
        <v>9</v>
      </c>
      <c r="E1" s="101" t="s">
        <v>10</v>
      </c>
      <c r="F1" s="101" t="s">
        <v>62</v>
      </c>
      <c r="G1" s="101" t="s">
        <v>65</v>
      </c>
      <c r="H1" s="101" t="s">
        <v>66</v>
      </c>
    </row>
    <row r="2">
      <c r="A2" s="102">
        <v>7.0</v>
      </c>
      <c r="B2" s="102">
        <v>2022.0</v>
      </c>
      <c r="C2" s="102">
        <v>0.120930233</v>
      </c>
      <c r="D2" s="102">
        <v>0.548458885</v>
      </c>
      <c r="E2" s="102">
        <v>0.666</v>
      </c>
      <c r="F2" s="102">
        <v>0.56064</v>
      </c>
      <c r="G2" s="102">
        <v>0.18153</v>
      </c>
      <c r="H2" s="102">
        <v>2.396202</v>
      </c>
    </row>
    <row r="3">
      <c r="A3" s="102">
        <v>16.0</v>
      </c>
      <c r="B3" s="102">
        <v>2022.0</v>
      </c>
      <c r="C3" s="102">
        <v>0.209302326</v>
      </c>
      <c r="D3" s="102">
        <v>0.089685101</v>
      </c>
      <c r="E3" s="102">
        <v>0.662</v>
      </c>
      <c r="F3" s="102">
        <v>0.47776</v>
      </c>
      <c r="G3" s="102">
        <v>0.004083</v>
      </c>
      <c r="H3" s="102">
        <v>0.0539</v>
      </c>
    </row>
    <row r="4">
      <c r="A4" s="102">
        <v>25.0</v>
      </c>
      <c r="B4" s="102">
        <v>2022.0</v>
      </c>
      <c r="C4" s="102">
        <v>0.330232558</v>
      </c>
      <c r="D4" s="102">
        <v>0.37431846</v>
      </c>
      <c r="E4" s="102">
        <v>0.627</v>
      </c>
      <c r="F4" s="102">
        <v>0.47776</v>
      </c>
      <c r="G4" s="102">
        <v>0.053998</v>
      </c>
      <c r="H4" s="102">
        <v>0.06745</v>
      </c>
    </row>
    <row r="5">
      <c r="A5" s="102">
        <v>34.0</v>
      </c>
      <c r="B5" s="102">
        <v>2022.0</v>
      </c>
      <c r="C5" s="102">
        <v>0.6</v>
      </c>
      <c r="D5" s="102">
        <v>0.099699566</v>
      </c>
      <c r="E5" s="102">
        <v>0.61</v>
      </c>
      <c r="F5" s="102">
        <v>0.47776</v>
      </c>
      <c r="G5" s="102">
        <v>0.145652</v>
      </c>
      <c r="H5" s="102">
        <v>1.92261</v>
      </c>
    </row>
    <row r="6">
      <c r="A6" s="102">
        <v>43.0</v>
      </c>
      <c r="B6" s="102">
        <v>2022.0</v>
      </c>
      <c r="C6" s="102">
        <v>0.041860465</v>
      </c>
      <c r="D6" s="102">
        <v>0.308445532</v>
      </c>
      <c r="E6" s="102">
        <v>0.627</v>
      </c>
      <c r="F6" s="102">
        <v>0.53536</v>
      </c>
      <c r="G6" s="102">
        <v>0.076878</v>
      </c>
      <c r="H6" s="102">
        <v>1.014789</v>
      </c>
    </row>
    <row r="7">
      <c r="A7" s="102">
        <v>52.0</v>
      </c>
      <c r="B7" s="102">
        <v>2022.0</v>
      </c>
      <c r="C7" s="102">
        <v>0.079069767</v>
      </c>
      <c r="D7" s="102">
        <v>0.061422054</v>
      </c>
      <c r="E7" s="102">
        <v>0.771</v>
      </c>
      <c r="F7" s="102">
        <v>0.5312</v>
      </c>
      <c r="G7" s="102">
        <v>0.009699</v>
      </c>
      <c r="H7" s="102">
        <v>0.12802</v>
      </c>
    </row>
    <row r="8">
      <c r="A8" s="102">
        <v>61.0</v>
      </c>
      <c r="B8" s="102">
        <v>2022.0</v>
      </c>
      <c r="C8" s="102">
        <v>0.213953488</v>
      </c>
      <c r="D8" s="102">
        <v>0.429064204</v>
      </c>
      <c r="E8" s="102">
        <v>0.689</v>
      </c>
      <c r="F8" s="102">
        <v>0.6016</v>
      </c>
      <c r="G8" s="102">
        <v>0.305698</v>
      </c>
      <c r="H8" s="102">
        <v>4.035208</v>
      </c>
    </row>
    <row r="9">
      <c r="A9" s="102">
        <v>70.0</v>
      </c>
      <c r="B9" s="102">
        <v>2022.0</v>
      </c>
      <c r="C9" s="102">
        <v>0.334883721</v>
      </c>
      <c r="D9" s="102">
        <v>0.282185379</v>
      </c>
      <c r="E9" s="102">
        <v>0.726</v>
      </c>
      <c r="F9" s="102">
        <v>0.59648</v>
      </c>
      <c r="G9" s="102">
        <v>0.106175</v>
      </c>
      <c r="H9" s="102">
        <v>1.401506</v>
      </c>
    </row>
    <row r="10">
      <c r="A10" s="102">
        <v>79.0</v>
      </c>
      <c r="B10" s="102">
        <v>2022.0</v>
      </c>
      <c r="C10" s="102">
        <v>0.106976744</v>
      </c>
      <c r="D10" s="102">
        <v>0.447869144</v>
      </c>
      <c r="E10" s="102">
        <v>0.742</v>
      </c>
      <c r="F10" s="102">
        <v>0.23616</v>
      </c>
      <c r="G10" s="102">
        <v>0.007713</v>
      </c>
      <c r="H10" s="102">
        <v>0.101813</v>
      </c>
    </row>
    <row r="11">
      <c r="A11" s="102">
        <v>88.0</v>
      </c>
      <c r="B11" s="102">
        <v>2022.0</v>
      </c>
      <c r="C11" s="102">
        <v>0.074418605</v>
      </c>
      <c r="D11" s="102">
        <v>0.350840102</v>
      </c>
      <c r="E11" s="102">
        <v>0.612</v>
      </c>
      <c r="F11" s="102">
        <v>0.47008</v>
      </c>
      <c r="G11" s="102">
        <v>0.098653</v>
      </c>
      <c r="H11" s="102">
        <v>1.340123</v>
      </c>
    </row>
    <row r="12">
      <c r="A12" s="102">
        <v>97.0</v>
      </c>
      <c r="B12" s="102">
        <v>2022.0</v>
      </c>
      <c r="C12" s="102">
        <v>0.03255814</v>
      </c>
      <c r="D12" s="102">
        <v>0.36040948</v>
      </c>
      <c r="E12" s="102">
        <v>0.703</v>
      </c>
      <c r="F12" s="102">
        <v>0.5648</v>
      </c>
      <c r="G12" s="102">
        <v>0.274132</v>
      </c>
      <c r="H12" s="102">
        <v>3.618538</v>
      </c>
    </row>
    <row r="13">
      <c r="A13" s="102">
        <v>106.0</v>
      </c>
      <c r="B13" s="102">
        <v>2022.0</v>
      </c>
      <c r="C13" s="102">
        <v>0.08372093</v>
      </c>
      <c r="D13" s="102">
        <v>0.667631023</v>
      </c>
      <c r="E13" s="102">
        <v>0.801</v>
      </c>
      <c r="F13" s="102">
        <v>0.5648</v>
      </c>
      <c r="G13" s="102">
        <v>0.166807</v>
      </c>
      <c r="H13" s="102">
        <v>2.201851</v>
      </c>
    </row>
    <row r="14">
      <c r="A14" s="102">
        <v>115.0</v>
      </c>
      <c r="B14" s="102">
        <v>2022.0</v>
      </c>
      <c r="C14" s="102">
        <v>0.111627907</v>
      </c>
      <c r="D14" s="102">
        <v>0.229442528</v>
      </c>
      <c r="E14" s="102">
        <v>0.62</v>
      </c>
      <c r="F14" s="102">
        <v>0.53504</v>
      </c>
      <c r="G14" s="102">
        <v>0.242315</v>
      </c>
      <c r="H14" s="102">
        <v>3.198559</v>
      </c>
    </row>
    <row r="15">
      <c r="A15" s="102">
        <v>124.0</v>
      </c>
      <c r="B15" s="102">
        <v>2022.0</v>
      </c>
      <c r="C15" s="102">
        <v>0.186046512</v>
      </c>
      <c r="D15" s="102">
        <v>0.555691554</v>
      </c>
      <c r="E15" s="102">
        <v>0.711</v>
      </c>
      <c r="F15" s="102">
        <v>0.54848</v>
      </c>
      <c r="G15" s="102">
        <v>0.588629</v>
      </c>
      <c r="H15" s="102">
        <v>7.769899</v>
      </c>
    </row>
    <row r="16">
      <c r="A16" s="102">
        <v>133.0</v>
      </c>
      <c r="B16" s="102">
        <v>2022.0</v>
      </c>
      <c r="C16" s="102">
        <v>0.120930233</v>
      </c>
      <c r="D16" s="102">
        <v>0.0</v>
      </c>
      <c r="E16" s="102">
        <v>0.701</v>
      </c>
      <c r="F16" s="102">
        <v>0.49312</v>
      </c>
      <c r="G16" s="102">
        <v>0.010457</v>
      </c>
      <c r="H16" s="102">
        <v>0.138318</v>
      </c>
    </row>
    <row r="17">
      <c r="A17" s="102">
        <v>142.0</v>
      </c>
      <c r="B17" s="102">
        <v>2022.0</v>
      </c>
      <c r="C17" s="102">
        <v>0.148837209</v>
      </c>
      <c r="D17" s="102">
        <v>0.422276622</v>
      </c>
      <c r="E17" s="102">
        <v>0.664</v>
      </c>
      <c r="F17" s="102">
        <v>0.4528</v>
      </c>
      <c r="G17" s="102">
        <v>0.007968</v>
      </c>
      <c r="H17" s="102">
        <v>0.105175</v>
      </c>
    </row>
    <row r="18">
      <c r="A18" s="102">
        <v>151.0</v>
      </c>
      <c r="B18" s="102">
        <v>2022.0</v>
      </c>
      <c r="C18" s="102">
        <v>0.0</v>
      </c>
      <c r="D18" s="102">
        <v>1.0</v>
      </c>
      <c r="E18" s="102">
        <v>0.711</v>
      </c>
      <c r="F18" s="102">
        <v>0.30208</v>
      </c>
      <c r="G18" s="102">
        <v>0.007035</v>
      </c>
      <c r="H18" s="102">
        <v>0.09286</v>
      </c>
    </row>
    <row r="19">
      <c r="A19" s="102">
        <v>160.0</v>
      </c>
      <c r="B19" s="102">
        <v>2022.0</v>
      </c>
      <c r="C19" s="102">
        <v>0.060465116</v>
      </c>
      <c r="D19" s="102">
        <v>0.123066652</v>
      </c>
      <c r="E19" s="102">
        <v>0.686</v>
      </c>
      <c r="F19" s="102">
        <v>0.47776</v>
      </c>
      <c r="G19" s="102">
        <v>0.006044</v>
      </c>
      <c r="H19" s="102">
        <v>0.079783</v>
      </c>
    </row>
    <row r="20">
      <c r="A20" s="102">
        <v>169.0</v>
      </c>
      <c r="B20" s="102">
        <v>2022.0</v>
      </c>
      <c r="C20" s="102">
        <v>0.190697674</v>
      </c>
      <c r="D20" s="102">
        <v>0.242238789</v>
      </c>
      <c r="E20" s="102">
        <v>0.62</v>
      </c>
      <c r="F20" s="102">
        <v>0.5968</v>
      </c>
      <c r="G20" s="102">
        <v>0.079978</v>
      </c>
      <c r="H20" s="102">
        <v>1.055716</v>
      </c>
    </row>
    <row r="21">
      <c r="A21" s="102">
        <v>178.0</v>
      </c>
      <c r="B21" s="102">
        <v>2022.0</v>
      </c>
      <c r="C21" s="102">
        <v>0.31627907</v>
      </c>
      <c r="D21" s="102">
        <v>0.431512184</v>
      </c>
      <c r="E21" s="102">
        <v>0.74</v>
      </c>
      <c r="F21" s="102">
        <v>0.5984</v>
      </c>
      <c r="G21" s="102">
        <v>0.11645</v>
      </c>
      <c r="H21" s="102">
        <v>1.537145</v>
      </c>
    </row>
    <row r="22">
      <c r="A22" s="102">
        <v>187.0</v>
      </c>
      <c r="B22" s="102">
        <v>2022.0</v>
      </c>
      <c r="C22" s="102">
        <v>0.251162791</v>
      </c>
      <c r="D22" s="102">
        <v>0.200845666</v>
      </c>
      <c r="E22" s="102">
        <v>0.644</v>
      </c>
      <c r="F22" s="102">
        <v>0.4928</v>
      </c>
      <c r="G22" s="102">
        <v>0.201895</v>
      </c>
      <c r="H22" s="102">
        <v>2.66501</v>
      </c>
    </row>
    <row r="23">
      <c r="A23" s="102">
        <v>196.0</v>
      </c>
      <c r="B23" s="102">
        <v>2022.0</v>
      </c>
      <c r="C23" s="102">
        <v>0.172093023</v>
      </c>
      <c r="D23" s="102">
        <v>0.348169578</v>
      </c>
      <c r="E23" s="102">
        <v>0.734</v>
      </c>
      <c r="F23" s="102">
        <v>0.01216</v>
      </c>
      <c r="G23" s="102">
        <v>0.001705</v>
      </c>
      <c r="H23" s="102">
        <v>0.022502</v>
      </c>
    </row>
    <row r="24">
      <c r="A24" s="102">
        <v>205.0</v>
      </c>
      <c r="B24" s="102">
        <v>2022.0</v>
      </c>
      <c r="C24" s="102">
        <v>0.08372093</v>
      </c>
      <c r="D24" s="102">
        <v>0.588405475</v>
      </c>
      <c r="E24" s="102">
        <v>0.724</v>
      </c>
      <c r="F24" s="102">
        <v>0.56448</v>
      </c>
      <c r="G24" s="102">
        <v>0.412852</v>
      </c>
      <c r="H24" s="102">
        <v>5.449646</v>
      </c>
    </row>
    <row r="25">
      <c r="A25" s="102">
        <v>214.0</v>
      </c>
      <c r="B25" s="102">
        <v>2022.0</v>
      </c>
      <c r="C25" s="102">
        <v>0.176744186</v>
      </c>
      <c r="D25" s="102">
        <v>0.571714699</v>
      </c>
      <c r="E25" s="102">
        <v>0.684</v>
      </c>
      <c r="F25" s="102">
        <v>0.56608</v>
      </c>
      <c r="G25" s="102">
        <v>0.131453</v>
      </c>
      <c r="H25" s="102">
        <v>1.735181</v>
      </c>
    </row>
    <row r="26">
      <c r="A26" s="102">
        <v>223.0</v>
      </c>
      <c r="B26" s="102">
        <v>2022.0</v>
      </c>
      <c r="C26" s="102">
        <v>1.0</v>
      </c>
      <c r="D26" s="102">
        <v>0.531434294</v>
      </c>
      <c r="E26" s="102">
        <v>0.671</v>
      </c>
      <c r="F26" s="102">
        <v>0.5392</v>
      </c>
      <c r="G26" s="102">
        <v>0.011122</v>
      </c>
      <c r="H26" s="102">
        <v>0.146814</v>
      </c>
    </row>
    <row r="27">
      <c r="A27" s="44">
        <v>232.0</v>
      </c>
    </row>
    <row r="28">
      <c r="A28" s="44">
        <v>241.0</v>
      </c>
    </row>
    <row r="29">
      <c r="A29" s="44">
        <v>250.0</v>
      </c>
    </row>
    <row r="30">
      <c r="A30" s="44">
        <v>259.0</v>
      </c>
    </row>
    <row r="31">
      <c r="A31" s="102">
        <v>268.0</v>
      </c>
      <c r="B31" s="102">
        <v>2022.0</v>
      </c>
      <c r="C31" s="102">
        <v>0.544186047</v>
      </c>
      <c r="D31" s="102">
        <v>0.200623122</v>
      </c>
      <c r="E31" s="102">
        <v>0.8</v>
      </c>
      <c r="F31" s="102">
        <v>0.5072</v>
      </c>
      <c r="G31" s="102">
        <v>0.011865</v>
      </c>
      <c r="H31" s="102">
        <v>0.156611</v>
      </c>
    </row>
    <row r="32">
      <c r="A32" s="102">
        <v>277.0</v>
      </c>
      <c r="B32" s="102">
        <v>2022.0</v>
      </c>
      <c r="C32" s="102">
        <v>0.320930233</v>
      </c>
      <c r="D32" s="102">
        <v>0.4045844</v>
      </c>
      <c r="E32" s="102">
        <v>0.67</v>
      </c>
      <c r="F32" s="102">
        <v>0.58208</v>
      </c>
      <c r="G32" s="102">
        <v>0.005199</v>
      </c>
      <c r="H32" s="102">
        <v>0.068629</v>
      </c>
    </row>
    <row r="33">
      <c r="A33" s="102">
        <v>286.0</v>
      </c>
      <c r="B33" s="102">
        <v>2022.0</v>
      </c>
      <c r="C33" s="102">
        <v>0.013953488</v>
      </c>
      <c r="D33" s="102">
        <v>0.61600089</v>
      </c>
      <c r="E33" s="102">
        <v>0.701</v>
      </c>
      <c r="F33" s="102">
        <v>0.47968</v>
      </c>
      <c r="G33" s="102">
        <v>0.04211</v>
      </c>
      <c r="H33" s="102">
        <v>0.555858</v>
      </c>
    </row>
    <row r="34">
      <c r="A34" s="102">
        <v>295.0</v>
      </c>
      <c r="B34" s="102">
        <v>2022.0</v>
      </c>
      <c r="C34" s="102">
        <v>0.120930233</v>
      </c>
      <c r="D34" s="102">
        <v>0.214087015</v>
      </c>
      <c r="E34" s="102">
        <v>0.751</v>
      </c>
      <c r="F34" s="102">
        <v>0.55776</v>
      </c>
      <c r="G34" s="102">
        <v>0.011616</v>
      </c>
      <c r="H34" s="102">
        <v>0.153333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2"/>
      <c r="D1" s="3" t="s">
        <v>0</v>
      </c>
      <c r="E1" s="4"/>
      <c r="F1" s="4"/>
      <c r="G1" s="5"/>
      <c r="H1" s="6" t="s">
        <v>1</v>
      </c>
      <c r="I1" s="7" t="s">
        <v>2</v>
      </c>
      <c r="J1" s="5"/>
      <c r="K1" s="8"/>
      <c r="L1" s="8"/>
      <c r="M1" s="9"/>
      <c r="N1" s="9"/>
      <c r="O1" s="9"/>
      <c r="P1" s="10"/>
    </row>
    <row r="2">
      <c r="A2" s="13" t="s">
        <v>3</v>
      </c>
      <c r="B2" s="13" t="s">
        <v>4</v>
      </c>
      <c r="C2" s="14" t="s">
        <v>5</v>
      </c>
      <c r="D2" s="14" t="s">
        <v>6</v>
      </c>
      <c r="E2" s="15" t="s">
        <v>7</v>
      </c>
      <c r="F2" s="4"/>
      <c r="G2" s="5"/>
      <c r="H2" s="16" t="s">
        <v>8</v>
      </c>
      <c r="I2" s="17" t="s">
        <v>9</v>
      </c>
      <c r="J2" s="17" t="s">
        <v>10</v>
      </c>
      <c r="K2" s="18" t="s">
        <v>11</v>
      </c>
      <c r="L2" s="5"/>
      <c r="M2" s="19" t="s">
        <v>67</v>
      </c>
      <c r="N2" s="4"/>
      <c r="O2" s="4"/>
      <c r="P2" s="5"/>
    </row>
    <row r="3">
      <c r="A3" s="105" t="s">
        <v>68</v>
      </c>
      <c r="B3" s="106" t="s">
        <v>4</v>
      </c>
      <c r="C3" s="106" t="s">
        <v>69</v>
      </c>
      <c r="D3" s="106" t="s">
        <v>70</v>
      </c>
      <c r="E3" s="106" t="s">
        <v>71</v>
      </c>
      <c r="F3" s="106" t="s">
        <v>62</v>
      </c>
      <c r="G3" s="106" t="s">
        <v>8</v>
      </c>
      <c r="H3" s="107" t="s">
        <v>9</v>
      </c>
      <c r="I3" s="106" t="s">
        <v>10</v>
      </c>
      <c r="J3" s="106" t="s">
        <v>63</v>
      </c>
      <c r="K3" s="106" t="s">
        <v>64</v>
      </c>
      <c r="L3" s="106" t="s">
        <v>65</v>
      </c>
      <c r="M3" s="106" t="s">
        <v>66</v>
      </c>
    </row>
    <row r="4">
      <c r="A4" s="108" t="s">
        <v>21</v>
      </c>
      <c r="B4" s="109">
        <v>2015.0</v>
      </c>
      <c r="C4" s="109">
        <v>1.0</v>
      </c>
      <c r="D4" s="110">
        <v>22.33333333</v>
      </c>
      <c r="E4" s="111">
        <v>31.41666667</v>
      </c>
      <c r="F4" s="112">
        <v>26.87</v>
      </c>
      <c r="G4" s="113">
        <v>28.6</v>
      </c>
      <c r="H4" s="112">
        <v>57.75</v>
      </c>
      <c r="I4" s="114">
        <v>0.627</v>
      </c>
      <c r="J4" s="115">
        <v>0.541266571</v>
      </c>
      <c r="K4" s="115">
        <v>2.503357892</v>
      </c>
      <c r="L4" s="115">
        <v>0.16996096400000002</v>
      </c>
      <c r="M4" s="116">
        <v>2.243484725</v>
      </c>
    </row>
    <row r="5">
      <c r="A5" s="108" t="s">
        <v>21</v>
      </c>
      <c r="B5" s="109">
        <v>2016.0</v>
      </c>
      <c r="C5" s="109">
        <v>1.0</v>
      </c>
      <c r="D5" s="111">
        <v>22.33333333</v>
      </c>
      <c r="E5" s="111">
        <v>31.5</v>
      </c>
      <c r="F5" s="112">
        <f t="shared" ref="F5:F10" si="1">AVERAGE(D5:E5)</f>
        <v>26.91666667</v>
      </c>
      <c r="G5" s="113">
        <v>28.9</v>
      </c>
      <c r="H5" s="112">
        <v>60.16</v>
      </c>
      <c r="I5" s="114">
        <v>0.633</v>
      </c>
      <c r="J5" s="115">
        <v>0.546153572</v>
      </c>
      <c r="K5" s="115">
        <v>2.525960268</v>
      </c>
      <c r="L5" s="115">
        <v>0.171495512</v>
      </c>
      <c r="M5" s="116">
        <v>2.263740752</v>
      </c>
    </row>
    <row r="6">
      <c r="A6" s="108" t="s">
        <v>21</v>
      </c>
      <c r="B6" s="109">
        <v>2017.0</v>
      </c>
      <c r="C6" s="109">
        <v>1.0</v>
      </c>
      <c r="D6" s="111">
        <v>23.25</v>
      </c>
      <c r="E6" s="111">
        <v>31.66666667</v>
      </c>
      <c r="F6" s="112">
        <f t="shared" si="1"/>
        <v>27.45833334</v>
      </c>
      <c r="G6" s="113">
        <v>31.9</v>
      </c>
      <c r="H6" s="112">
        <v>65.13</v>
      </c>
      <c r="I6" s="114">
        <v>0.644</v>
      </c>
      <c r="J6" s="115">
        <v>0.55098607</v>
      </c>
      <c r="K6" s="115">
        <v>2.548310572</v>
      </c>
      <c r="L6" s="115">
        <v>0.173012945</v>
      </c>
      <c r="M6" s="116">
        <v>2.283770875</v>
      </c>
    </row>
    <row r="7">
      <c r="A7" s="108" t="s">
        <v>21</v>
      </c>
      <c r="B7" s="109">
        <v>2018.0</v>
      </c>
      <c r="C7" s="109">
        <v>0.0</v>
      </c>
      <c r="D7" s="111">
        <v>24.91666667</v>
      </c>
      <c r="E7" s="111">
        <v>36.65</v>
      </c>
      <c r="F7" s="112">
        <f t="shared" si="1"/>
        <v>30.78333334</v>
      </c>
      <c r="G7" s="113">
        <v>31.8</v>
      </c>
      <c r="H7" s="112">
        <v>64.17</v>
      </c>
      <c r="I7" s="114">
        <v>0.646</v>
      </c>
      <c r="J7" s="115">
        <v>0.555763819</v>
      </c>
      <c r="K7" s="115">
        <v>2.570407663</v>
      </c>
      <c r="L7" s="115">
        <v>0.17451318700000001</v>
      </c>
      <c r="M7" s="116">
        <v>2.30357407</v>
      </c>
    </row>
    <row r="8">
      <c r="A8" s="108" t="s">
        <v>21</v>
      </c>
      <c r="B8" s="109">
        <v>2019.0</v>
      </c>
      <c r="C8" s="109">
        <v>1.0</v>
      </c>
      <c r="D8" s="111">
        <v>24.0</v>
      </c>
      <c r="E8" s="111">
        <v>32.5</v>
      </c>
      <c r="F8" s="112">
        <f t="shared" si="1"/>
        <v>28.25</v>
      </c>
      <c r="G8" s="113">
        <v>29.0</v>
      </c>
      <c r="H8" s="112">
        <v>68.88</v>
      </c>
      <c r="I8" s="114">
        <v>0.649</v>
      </c>
      <c r="J8" s="115">
        <v>0.5604866230000001</v>
      </c>
      <c r="K8" s="115">
        <v>2.5922506299999997</v>
      </c>
      <c r="L8" s="115">
        <v>0.175996176</v>
      </c>
      <c r="M8" s="116">
        <v>2.323149522</v>
      </c>
    </row>
    <row r="9">
      <c r="A9" s="108" t="s">
        <v>21</v>
      </c>
      <c r="B9" s="109">
        <v>2020.0</v>
      </c>
      <c r="C9" s="109">
        <v>1.0</v>
      </c>
      <c r="D9" s="111">
        <v>22.66666667</v>
      </c>
      <c r="E9" s="111">
        <v>29.91666667</v>
      </c>
      <c r="F9" s="112">
        <f t="shared" si="1"/>
        <v>26.29166667</v>
      </c>
      <c r="G9" s="113">
        <v>29.4</v>
      </c>
      <c r="H9" s="112">
        <v>69.95</v>
      </c>
      <c r="I9" s="114">
        <f>I8+((I8-I7)+(I7-I6)+(I6-I5)+(I5-I4))/4</f>
        <v>0.6545</v>
      </c>
      <c r="J9" s="115">
        <v>0.565154296</v>
      </c>
      <c r="K9" s="115">
        <v>2.613838617</v>
      </c>
      <c r="L9" s="115">
        <v>0.177461853</v>
      </c>
      <c r="M9" s="116">
        <v>2.3424964640000003</v>
      </c>
    </row>
    <row r="10">
      <c r="A10" s="108" t="s">
        <v>21</v>
      </c>
      <c r="B10" s="109">
        <v>2021.0</v>
      </c>
      <c r="C10" s="109">
        <v>1.0</v>
      </c>
      <c r="D10" s="111">
        <v>22.91666667</v>
      </c>
      <c r="E10" s="111">
        <v>31.5</v>
      </c>
      <c r="F10" s="112">
        <f t="shared" si="1"/>
        <v>27.20833334</v>
      </c>
      <c r="G10" s="117">
        <f>MEDIAN(G4:G9)</f>
        <v>29.2</v>
      </c>
      <c r="H10" s="112">
        <f t="shared" ref="H10:H11" si="2">H9+1.07</f>
        <v>71.02</v>
      </c>
      <c r="I10" s="114">
        <f>(((I9-I8)+(I8-I7)+(I7-I6)+(I6-I5)+(I5-I4))/5)+I9</f>
        <v>0.66</v>
      </c>
      <c r="J10" s="115">
        <v>0.569766708</v>
      </c>
      <c r="K10" s="115">
        <v>2.635171026</v>
      </c>
      <c r="L10" s="115">
        <v>0.178910179</v>
      </c>
      <c r="M10" s="116">
        <v>2.3616143590000003</v>
      </c>
    </row>
    <row r="11">
      <c r="A11" s="108" t="s">
        <v>21</v>
      </c>
      <c r="B11" s="109">
        <v>2022.0</v>
      </c>
      <c r="C11" s="109">
        <v>1.0</v>
      </c>
      <c r="D11" s="111">
        <v>21.8</v>
      </c>
      <c r="E11" s="111">
        <v>34.42</v>
      </c>
      <c r="F11" s="112">
        <v>27.98</v>
      </c>
      <c r="G11" s="117">
        <v>37.0</v>
      </c>
      <c r="H11" s="118">
        <f t="shared" si="2"/>
        <v>72.09</v>
      </c>
      <c r="I11" s="114">
        <f>(((I10-I9)+(I9-I8)+(I8-I7)+(I7-I6)+(I6-I5)+(I5-I4))/6)+I10</f>
        <v>0.6655</v>
      </c>
      <c r="J11" s="115">
        <v>0.578111334</v>
      </c>
      <c r="K11" s="115">
        <v>2.6737649219999997</v>
      </c>
      <c r="L11" s="115">
        <v>0.18153044200000001</v>
      </c>
      <c r="M11" s="116">
        <v>2.396201829</v>
      </c>
    </row>
    <row r="12">
      <c r="A12" s="108" t="s">
        <v>22</v>
      </c>
      <c r="B12" s="109">
        <v>2015.0</v>
      </c>
      <c r="C12" s="109">
        <v>0.0</v>
      </c>
      <c r="D12" s="111">
        <v>17.91666667</v>
      </c>
      <c r="E12" s="111">
        <v>29.25</v>
      </c>
      <c r="F12" s="112">
        <f t="shared" ref="F12:F18" si="3">AVERAGE(D12:E12)</f>
        <v>23.58333334</v>
      </c>
      <c r="G12" s="113">
        <v>12.4</v>
      </c>
      <c r="H12" s="112">
        <v>50.6</v>
      </c>
      <c r="I12" s="72">
        <v>0.66</v>
      </c>
      <c r="J12" s="115">
        <v>0.018842291993600005</v>
      </c>
      <c r="K12" s="115">
        <v>0.08714560047</v>
      </c>
      <c r="L12" s="115">
        <v>0.003505727504</v>
      </c>
      <c r="M12" s="116">
        <v>0.0462756030528</v>
      </c>
    </row>
    <row r="13">
      <c r="A13" s="108" t="s">
        <v>22</v>
      </c>
      <c r="B13" s="109">
        <v>2016.0</v>
      </c>
      <c r="C13" s="109">
        <v>1.0</v>
      </c>
      <c r="D13" s="111">
        <v>18.83333333</v>
      </c>
      <c r="E13" s="111">
        <v>29.91666667</v>
      </c>
      <c r="F13" s="112">
        <f t="shared" si="3"/>
        <v>24.375</v>
      </c>
      <c r="G13" s="113">
        <v>13.0</v>
      </c>
      <c r="H13" s="112">
        <v>49.51</v>
      </c>
      <c r="I13" s="72">
        <v>0.644</v>
      </c>
      <c r="J13" s="115">
        <v>0.019292556656000003</v>
      </c>
      <c r="K13" s="115">
        <v>0.08922807452999999</v>
      </c>
      <c r="L13" s="115">
        <v>0.00358950209</v>
      </c>
      <c r="M13" s="116">
        <v>0.04738142758799999</v>
      </c>
    </row>
    <row r="14">
      <c r="A14" s="108" t="s">
        <v>22</v>
      </c>
      <c r="B14" s="109">
        <v>2017.0</v>
      </c>
      <c r="C14" s="109">
        <v>1.0</v>
      </c>
      <c r="D14" s="111">
        <v>19.33333333</v>
      </c>
      <c r="E14" s="111">
        <v>32.16666667</v>
      </c>
      <c r="F14" s="112">
        <f t="shared" si="3"/>
        <v>25.75</v>
      </c>
      <c r="G14" s="113">
        <v>12.9</v>
      </c>
      <c r="H14" s="112">
        <v>46.07</v>
      </c>
      <c r="I14" s="72">
        <v>0.655</v>
      </c>
      <c r="J14" s="115">
        <v>0.019744374848000002</v>
      </c>
      <c r="K14" s="115">
        <v>0.09131773367</v>
      </c>
      <c r="L14" s="115">
        <v>0.0036735657200000003</v>
      </c>
      <c r="M14" s="116">
        <v>0.048491067504</v>
      </c>
    </row>
    <row r="15">
      <c r="A15" s="108" t="s">
        <v>22</v>
      </c>
      <c r="B15" s="109">
        <v>2018.0</v>
      </c>
      <c r="C15" s="109">
        <v>0.0</v>
      </c>
      <c r="D15" s="111">
        <v>20.08333333</v>
      </c>
      <c r="E15" s="111">
        <v>30.0</v>
      </c>
      <c r="F15" s="112">
        <f t="shared" si="3"/>
        <v>25.04166667</v>
      </c>
      <c r="G15" s="113">
        <v>13.5</v>
      </c>
      <c r="H15" s="112">
        <v>43.29</v>
      </c>
      <c r="I15" s="72">
        <v>0.657</v>
      </c>
      <c r="J15" s="115">
        <v>0.020197512307200002</v>
      </c>
      <c r="K15" s="115">
        <v>0.09341349442</v>
      </c>
      <c r="L15" s="115">
        <v>0.0037578748080000007</v>
      </c>
      <c r="M15" s="116">
        <v>0.04960394746560001</v>
      </c>
    </row>
    <row r="16">
      <c r="A16" s="108" t="s">
        <v>22</v>
      </c>
      <c r="B16" s="109">
        <v>2019.0</v>
      </c>
      <c r="C16" s="109">
        <v>0.0</v>
      </c>
      <c r="D16" s="111">
        <v>20.83333333</v>
      </c>
      <c r="E16" s="111">
        <v>34.58333333</v>
      </c>
      <c r="F16" s="112">
        <f t="shared" si="3"/>
        <v>27.70833333</v>
      </c>
      <c r="G16" s="113">
        <v>13.5</v>
      </c>
      <c r="H16" s="112">
        <v>40.59</v>
      </c>
      <c r="I16" s="72">
        <v>0.661</v>
      </c>
      <c r="J16" s="115">
        <v>0.0206517840896</v>
      </c>
      <c r="K16" s="115">
        <v>0.09551450141</v>
      </c>
      <c r="L16" s="115">
        <v>0.0038423949440000004</v>
      </c>
      <c r="M16" s="116">
        <v>0.0507196132608</v>
      </c>
    </row>
    <row r="17">
      <c r="A17" s="108" t="s">
        <v>22</v>
      </c>
      <c r="B17" s="109">
        <v>2020.0</v>
      </c>
      <c r="C17" s="109">
        <v>1.0</v>
      </c>
      <c r="D17" s="111">
        <v>21.33333333</v>
      </c>
      <c r="E17" s="111">
        <v>29.08333333</v>
      </c>
      <c r="F17" s="112">
        <f t="shared" si="3"/>
        <v>25.20833333</v>
      </c>
      <c r="G17" s="113">
        <v>12.3</v>
      </c>
      <c r="H17" s="112">
        <v>33.92</v>
      </c>
      <c r="I17" s="72">
        <f>I16+((I16-I15)+(I15-I14)+(I14-I13)+(I13-I12))/4</f>
        <v>0.66125</v>
      </c>
      <c r="J17" s="115">
        <v>0.021106980592</v>
      </c>
      <c r="K17" s="115">
        <v>0.09761978523999999</v>
      </c>
      <c r="L17" s="115">
        <v>0.0039270871300000005</v>
      </c>
      <c r="M17" s="116">
        <v>0.051837550116000004</v>
      </c>
    </row>
    <row r="18">
      <c r="A18" s="108" t="s">
        <v>22</v>
      </c>
      <c r="B18" s="109">
        <v>2021.0</v>
      </c>
      <c r="C18" s="109">
        <v>1.0</v>
      </c>
      <c r="D18" s="111">
        <v>20.16666667</v>
      </c>
      <c r="E18" s="111">
        <v>30.58333333</v>
      </c>
      <c r="F18" s="112">
        <f t="shared" si="3"/>
        <v>25.375</v>
      </c>
      <c r="G18" s="117">
        <f>MEDIAN(G12:G17)</f>
        <v>12.95</v>
      </c>
      <c r="H18" s="112">
        <f t="shared" ref="H18:H19" si="4">H17-1.53</f>
        <v>32.39</v>
      </c>
      <c r="I18" s="72">
        <f>I17+((I17-I16)+(I16-I15)+(I15-I14)+(I14-I13)+(I13-I12))/5</f>
        <v>0.6615</v>
      </c>
      <c r="J18" s="115">
        <v>0.0215629045408</v>
      </c>
      <c r="K18" s="115">
        <v>0.0997284335</v>
      </c>
      <c r="L18" s="115">
        <v>0.004011914662000001</v>
      </c>
      <c r="M18" s="116">
        <v>0.052957273538400004</v>
      </c>
    </row>
    <row r="19">
      <c r="A19" s="108" t="s">
        <v>22</v>
      </c>
      <c r="B19" s="119">
        <v>2022.0</v>
      </c>
      <c r="C19" s="109">
        <v>1.0</v>
      </c>
      <c r="D19" s="112">
        <v>20.47</v>
      </c>
      <c r="E19" s="112">
        <v>33.75</v>
      </c>
      <c r="F19" s="112">
        <v>25.39</v>
      </c>
      <c r="G19" s="113">
        <v>56.0</v>
      </c>
      <c r="H19" s="112">
        <f t="shared" si="4"/>
        <v>30.86</v>
      </c>
      <c r="I19" s="72">
        <f>I18+((I17-I16)+(I16-I15)+(I15-I14)+(I14-I13)+(I13-I12)+(I18-I17))/6</f>
        <v>0.66175</v>
      </c>
      <c r="J19" s="115">
        <v>0.021946688</v>
      </c>
      <c r="K19" s="115">
        <v>0.101503432</v>
      </c>
      <c r="L19" s="115">
        <v>0.0040833200000000005</v>
      </c>
      <c r="M19" s="116">
        <v>0.053899824</v>
      </c>
    </row>
    <row r="20">
      <c r="A20" s="108" t="s">
        <v>23</v>
      </c>
      <c r="B20" s="109">
        <v>2015.0</v>
      </c>
      <c r="C20" s="109">
        <v>1.0</v>
      </c>
      <c r="D20" s="111">
        <v>18.83333333</v>
      </c>
      <c r="E20" s="111">
        <v>29.16666667</v>
      </c>
      <c r="F20" s="112">
        <f t="shared" ref="F20:F26" si="5">AVERAGE(D20:E20)</f>
        <v>24</v>
      </c>
      <c r="G20" s="113">
        <v>29.5</v>
      </c>
      <c r="H20" s="112">
        <v>43.53</v>
      </c>
      <c r="I20" s="72">
        <v>0.595</v>
      </c>
      <c r="J20" s="115">
        <v>0.45862408576</v>
      </c>
      <c r="K20" s="115">
        <v>2.121136397</v>
      </c>
      <c r="L20" s="115">
        <v>0.0497198696</v>
      </c>
      <c r="M20" s="116">
        <v>0.06210645724799999</v>
      </c>
    </row>
    <row r="21">
      <c r="A21" s="108" t="s">
        <v>23</v>
      </c>
      <c r="B21" s="109">
        <v>2016.0</v>
      </c>
      <c r="C21" s="109">
        <v>1.0</v>
      </c>
      <c r="D21" s="111">
        <v>19.08333333</v>
      </c>
      <c r="E21" s="111">
        <v>30.16666667</v>
      </c>
      <c r="F21" s="112">
        <f t="shared" si="5"/>
        <v>24.625</v>
      </c>
      <c r="G21" s="113">
        <v>29.4</v>
      </c>
      <c r="H21" s="112">
        <v>44.13</v>
      </c>
      <c r="I21" s="72">
        <v>0.598</v>
      </c>
      <c r="J21" s="115">
        <v>0.4659908560160001</v>
      </c>
      <c r="K21" s="115">
        <v>2.155207709</v>
      </c>
      <c r="L21" s="115">
        <v>0.050518508110000006</v>
      </c>
      <c r="M21" s="116">
        <v>0.06310405858679999</v>
      </c>
    </row>
    <row r="22">
      <c r="A22" s="108" t="s">
        <v>23</v>
      </c>
      <c r="B22" s="109">
        <v>2017.0</v>
      </c>
      <c r="C22" s="109">
        <v>1.0</v>
      </c>
      <c r="D22" s="111">
        <v>19.91666667</v>
      </c>
      <c r="E22" s="111">
        <v>30.08333333</v>
      </c>
      <c r="F22" s="112">
        <f t="shared" si="5"/>
        <v>25</v>
      </c>
      <c r="G22" s="113">
        <v>30.9</v>
      </c>
      <c r="H22" s="112">
        <v>48.85</v>
      </c>
      <c r="I22" s="72">
        <v>0.608</v>
      </c>
      <c r="J22" s="115">
        <v>0.473326262464</v>
      </c>
      <c r="K22" s="115">
        <v>2.1891339640000003</v>
      </c>
      <c r="L22" s="115">
        <v>0.05131374644</v>
      </c>
      <c r="M22" s="116">
        <v>0.0640974126672</v>
      </c>
    </row>
    <row r="23">
      <c r="A23" s="108" t="s">
        <v>23</v>
      </c>
      <c r="B23" s="109">
        <v>2018.0</v>
      </c>
      <c r="C23" s="109">
        <v>0.0</v>
      </c>
      <c r="D23" s="111">
        <v>20.75</v>
      </c>
      <c r="E23" s="111">
        <v>30.08333333</v>
      </c>
      <c r="F23" s="112">
        <f t="shared" si="5"/>
        <v>25.41666667</v>
      </c>
      <c r="G23" s="113">
        <v>35.0</v>
      </c>
      <c r="H23" s="112">
        <v>50.91</v>
      </c>
      <c r="I23" s="72">
        <v>0.61</v>
      </c>
      <c r="J23" s="115">
        <v>0.48062811980800013</v>
      </c>
      <c r="K23" s="115">
        <v>2.222905054</v>
      </c>
      <c r="L23" s="115">
        <v>0.05210534768</v>
      </c>
      <c r="M23" s="116">
        <v>0.06508622355839999</v>
      </c>
    </row>
    <row r="24">
      <c r="A24" s="108" t="s">
        <v>23</v>
      </c>
      <c r="B24" s="109">
        <v>2019.0</v>
      </c>
      <c r="C24" s="109">
        <v>1.0</v>
      </c>
      <c r="D24" s="111">
        <v>21.33333333</v>
      </c>
      <c r="E24" s="111">
        <v>30.58333333</v>
      </c>
      <c r="F24" s="112">
        <f t="shared" si="5"/>
        <v>25.95833333</v>
      </c>
      <c r="G24" s="113">
        <v>32.0</v>
      </c>
      <c r="H24" s="112">
        <v>52.49</v>
      </c>
      <c r="I24" s="72">
        <v>0.613</v>
      </c>
      <c r="J24" s="115">
        <v>0.48789432521600007</v>
      </c>
      <c r="K24" s="115">
        <v>2.2565112540000003</v>
      </c>
      <c r="L24" s="115">
        <v>0.05289308386</v>
      </c>
      <c r="M24" s="116">
        <v>0.0660702064968</v>
      </c>
    </row>
    <row r="25">
      <c r="A25" s="108" t="s">
        <v>23</v>
      </c>
      <c r="B25" s="109">
        <v>2020.0</v>
      </c>
      <c r="C25" s="109">
        <v>1.0</v>
      </c>
      <c r="D25" s="111">
        <v>22.5</v>
      </c>
      <c r="E25" s="111">
        <v>30.08333333</v>
      </c>
      <c r="F25" s="112">
        <f t="shared" si="5"/>
        <v>26.29166667</v>
      </c>
      <c r="G25" s="113">
        <v>32.4</v>
      </c>
      <c r="H25" s="112">
        <v>47.74</v>
      </c>
      <c r="I25" s="72">
        <f>I24+(((I24-I23)+(I23-I22)+(I22-I21)+(I21-I20))/4)</f>
        <v>0.6175</v>
      </c>
      <c r="J25" s="115">
        <v>0.4951228720640001</v>
      </c>
      <c r="K25" s="115">
        <v>2.289943283</v>
      </c>
      <c r="L25" s="115">
        <v>0.053676737440000004</v>
      </c>
      <c r="M25" s="116">
        <v>0.06704908974719999</v>
      </c>
    </row>
    <row r="26">
      <c r="A26" s="108" t="s">
        <v>23</v>
      </c>
      <c r="B26" s="109">
        <v>2021.0</v>
      </c>
      <c r="C26" s="109">
        <v>1.0</v>
      </c>
      <c r="D26" s="111">
        <v>21.66666667</v>
      </c>
      <c r="E26" s="111">
        <v>30.5</v>
      </c>
      <c r="F26" s="112">
        <f t="shared" si="5"/>
        <v>26.08333334</v>
      </c>
      <c r="G26" s="113">
        <f>MEDIAN(G20:G25)</f>
        <v>31.45</v>
      </c>
      <c r="H26" s="112">
        <f t="shared" ref="H26:H27" si="6">H25+4.35</f>
        <v>52.09</v>
      </c>
      <c r="I26" s="72">
        <f>I25+(((I25-I24)+(I24-I23)+(I23-I22)+(I22-I21)+(I21-I20))/5)</f>
        <v>0.622</v>
      </c>
      <c r="J26" s="115">
        <v>0.50231179496</v>
      </c>
      <c r="K26" s="115">
        <v>2.323192052</v>
      </c>
      <c r="L26" s="115">
        <v>0.054456095350000004</v>
      </c>
      <c r="M26" s="116">
        <v>0.068022607158</v>
      </c>
    </row>
    <row r="27">
      <c r="A27" s="108" t="s">
        <v>23</v>
      </c>
      <c r="B27" s="119">
        <v>2022.0</v>
      </c>
      <c r="C27" s="109">
        <v>1.0</v>
      </c>
      <c r="D27" s="112">
        <v>22.35</v>
      </c>
      <c r="E27" s="112">
        <v>33.75</v>
      </c>
      <c r="F27" s="112">
        <v>25.39</v>
      </c>
      <c r="G27" s="113">
        <v>82.0</v>
      </c>
      <c r="H27" s="112">
        <f t="shared" si="6"/>
        <v>56.44</v>
      </c>
      <c r="I27" s="72">
        <f>I26+(((I25-I24)+(I24-I23)+(I23-I22)+(I22-I21)+(I21-I20)+(I26-I25))/6)</f>
        <v>0.6265</v>
      </c>
      <c r="J27" s="115">
        <v>0.49808256</v>
      </c>
      <c r="K27" s="115">
        <v>2.30363184</v>
      </c>
      <c r="L27" s="115">
        <v>0.0539976</v>
      </c>
      <c r="M27" s="116">
        <v>0.067449888</v>
      </c>
    </row>
    <row r="28">
      <c r="A28" s="108" t="s">
        <v>24</v>
      </c>
      <c r="B28" s="109">
        <v>2015.0</v>
      </c>
      <c r="C28" s="109">
        <v>1.0</v>
      </c>
      <c r="D28" s="111">
        <v>24.66666667</v>
      </c>
      <c r="E28" s="111">
        <v>34.16666667</v>
      </c>
      <c r="F28" s="112">
        <f t="shared" ref="F28:F34" si="7">AVERAGE(D28:E28)</f>
        <v>29.41666667</v>
      </c>
      <c r="G28" s="113">
        <v>78.2</v>
      </c>
      <c r="H28" s="112">
        <v>34.7</v>
      </c>
      <c r="I28" s="72">
        <v>0.554</v>
      </c>
      <c r="J28" s="115">
        <v>1.62988373328</v>
      </c>
      <c r="K28" s="115">
        <v>7.5382122659999995</v>
      </c>
      <c r="L28" s="115">
        <v>0.1296456667</v>
      </c>
      <c r="M28" s="116">
        <v>1.7113228004399998</v>
      </c>
    </row>
    <row r="29">
      <c r="A29" s="108" t="s">
        <v>24</v>
      </c>
      <c r="B29" s="109">
        <v>2016.0</v>
      </c>
      <c r="C29" s="109">
        <v>1.0</v>
      </c>
      <c r="D29" s="111">
        <v>24.25</v>
      </c>
      <c r="E29" s="111">
        <v>34.66666667</v>
      </c>
      <c r="F29" s="112">
        <f t="shared" si="7"/>
        <v>29.45833334</v>
      </c>
      <c r="G29" s="113">
        <v>83.8</v>
      </c>
      <c r="H29" s="112">
        <v>38.46</v>
      </c>
      <c r="I29" s="72">
        <v>0.559</v>
      </c>
      <c r="J29" s="115">
        <v>1.6683585093167999</v>
      </c>
      <c r="K29" s="115">
        <v>7.716158106</v>
      </c>
      <c r="L29" s="115">
        <v>0.132706061677</v>
      </c>
      <c r="M29" s="116">
        <v>1.7517200141363998</v>
      </c>
    </row>
    <row r="30">
      <c r="A30" s="108" t="s">
        <v>24</v>
      </c>
      <c r="B30" s="109">
        <v>2017.0</v>
      </c>
      <c r="C30" s="109">
        <v>1.0</v>
      </c>
      <c r="D30" s="111">
        <v>24.08333333</v>
      </c>
      <c r="E30" s="111">
        <v>33.83333333</v>
      </c>
      <c r="F30" s="112">
        <f t="shared" si="7"/>
        <v>28.95833333</v>
      </c>
      <c r="G30" s="113">
        <v>77.3</v>
      </c>
      <c r="H30" s="112">
        <v>32.11</v>
      </c>
      <c r="I30" s="72">
        <v>0.569</v>
      </c>
      <c r="J30" s="115">
        <v>1.7069538599856</v>
      </c>
      <c r="K30" s="115">
        <v>7.894661602</v>
      </c>
      <c r="L30" s="115">
        <v>0.135776047509</v>
      </c>
      <c r="M30" s="116">
        <v>1.7922438271187995</v>
      </c>
    </row>
    <row r="31">
      <c r="A31" s="108" t="s">
        <v>24</v>
      </c>
      <c r="B31" s="109">
        <v>2018.0</v>
      </c>
      <c r="C31" s="109">
        <v>0.0</v>
      </c>
      <c r="D31" s="111">
        <v>25.16666667</v>
      </c>
      <c r="E31" s="111">
        <v>34.58333333</v>
      </c>
      <c r="F31" s="112">
        <f t="shared" si="7"/>
        <v>29.875</v>
      </c>
      <c r="G31" s="113">
        <v>82.8</v>
      </c>
      <c r="H31" s="112">
        <v>34.48</v>
      </c>
      <c r="I31" s="72">
        <v>0.571</v>
      </c>
      <c r="J31" s="115">
        <v>1.7456522845775997</v>
      </c>
      <c r="K31" s="115">
        <v>8.073641816</v>
      </c>
      <c r="L31" s="115">
        <v>0.138854232139</v>
      </c>
      <c r="M31" s="116">
        <v>1.8328758642347995</v>
      </c>
    </row>
    <row r="32">
      <c r="A32" s="108" t="s">
        <v>24</v>
      </c>
      <c r="B32" s="109">
        <v>2019.0</v>
      </c>
      <c r="C32" s="109">
        <v>1.0</v>
      </c>
      <c r="D32" s="111">
        <v>24.91666667</v>
      </c>
      <c r="E32" s="111">
        <v>34.25</v>
      </c>
      <c r="F32" s="112">
        <f t="shared" si="7"/>
        <v>29.58333334</v>
      </c>
      <c r="G32" s="113">
        <v>81.0</v>
      </c>
      <c r="H32" s="112">
        <v>36.39</v>
      </c>
      <c r="I32" s="72">
        <v>0.574</v>
      </c>
      <c r="J32" s="115">
        <v>1.7844365378687999</v>
      </c>
      <c r="K32" s="115">
        <v>8.253018988</v>
      </c>
      <c r="L32" s="115">
        <v>0.14193924383200002</v>
      </c>
      <c r="M32" s="116">
        <v>1.8735980185823997</v>
      </c>
    </row>
    <row r="33">
      <c r="A33" s="108" t="s">
        <v>24</v>
      </c>
      <c r="B33" s="109">
        <v>2020.0</v>
      </c>
      <c r="C33" s="109">
        <v>1.0</v>
      </c>
      <c r="D33" s="111">
        <v>25.41666667</v>
      </c>
      <c r="E33" s="111">
        <v>33.75</v>
      </c>
      <c r="F33" s="112">
        <f t="shared" si="7"/>
        <v>29.58333334</v>
      </c>
      <c r="G33" s="113">
        <v>84.0</v>
      </c>
      <c r="H33" s="112">
        <v>30.24</v>
      </c>
      <c r="I33" s="72">
        <f>I32+(((I32-I31)+(I31-I30)+(I30-I29)+(I29-I28))/4)</f>
        <v>0.579</v>
      </c>
      <c r="J33" s="115">
        <v>1.8232895591520002</v>
      </c>
      <c r="K33" s="115">
        <v>8.432714210999999</v>
      </c>
      <c r="L33" s="115">
        <v>0.14502972553</v>
      </c>
      <c r="M33" s="116">
        <v>1.9143923769959998</v>
      </c>
    </row>
    <row r="34">
      <c r="A34" s="108" t="s">
        <v>24</v>
      </c>
      <c r="B34" s="109">
        <v>2021.0</v>
      </c>
      <c r="C34" s="109">
        <v>1.0</v>
      </c>
      <c r="D34" s="111">
        <v>23.08333333</v>
      </c>
      <c r="E34" s="111">
        <v>33.5</v>
      </c>
      <c r="F34" s="112">
        <f t="shared" si="7"/>
        <v>28.29166667</v>
      </c>
      <c r="G34" s="113">
        <f>MEDIAN(G28:G33)</f>
        <v>81.9</v>
      </c>
      <c r="H34" s="112">
        <f t="shared" ref="H34:H35" si="8">H33+0.76</f>
        <v>31</v>
      </c>
      <c r="I34" s="72">
        <f>I33+(((I33-I32)+(I32-I31)+(I31-I30)+(I30-I29)+(I29-I28))/5)</f>
        <v>0.584</v>
      </c>
      <c r="J34" s="115">
        <v>1.8621945715919999</v>
      </c>
      <c r="K34" s="115">
        <v>8.612649893999999</v>
      </c>
      <c r="L34" s="115">
        <v>0.148124342755</v>
      </c>
      <c r="M34" s="116">
        <v>1.955241324366</v>
      </c>
    </row>
    <row r="35">
      <c r="A35" s="108" t="s">
        <v>24</v>
      </c>
      <c r="B35" s="119">
        <v>2022.0</v>
      </c>
      <c r="C35" s="109">
        <v>1.0</v>
      </c>
      <c r="D35" s="112">
        <v>25.89</v>
      </c>
      <c r="E35" s="112">
        <v>33.75</v>
      </c>
      <c r="F35" s="112">
        <v>25.39</v>
      </c>
      <c r="G35" s="113">
        <v>140.0</v>
      </c>
      <c r="H35" s="112">
        <f t="shared" si="8"/>
        <v>31.76</v>
      </c>
      <c r="I35" s="72">
        <f>I34+(((I33-I32)+(I32-I31)+(I31-I30)+(I30-I29)+(I29-I28)+(I34-I33)/6))</f>
        <v>0.6098333333</v>
      </c>
      <c r="J35" s="115">
        <v>1.8311163359999998</v>
      </c>
      <c r="K35" s="115">
        <v>8.468913054</v>
      </c>
      <c r="L35" s="115">
        <v>0.14565229000000002</v>
      </c>
      <c r="M35" s="116">
        <v>1.922610228</v>
      </c>
    </row>
    <row r="36">
      <c r="A36" s="108" t="s">
        <v>25</v>
      </c>
      <c r="B36" s="109">
        <v>2015.0</v>
      </c>
      <c r="C36" s="109">
        <v>0.0</v>
      </c>
      <c r="D36" s="111">
        <v>23.91666667</v>
      </c>
      <c r="E36" s="111">
        <v>33.91666667</v>
      </c>
      <c r="F36" s="112">
        <f t="shared" ref="F36:F42" si="9">AVERAGE(D36:E36)</f>
        <v>28.91666667</v>
      </c>
      <c r="G36" s="113">
        <v>50.3</v>
      </c>
      <c r="H36" s="112">
        <v>48.63</v>
      </c>
      <c r="I36" s="72">
        <v>0.59</v>
      </c>
      <c r="J36" s="115">
        <v>0.3494614078592001</v>
      </c>
      <c r="K36" s="115">
        <v>1.616259011</v>
      </c>
      <c r="L36" s="115">
        <v>0.066127240088</v>
      </c>
      <c r="M36" s="116">
        <v>0.8728795691615999</v>
      </c>
    </row>
    <row r="37">
      <c r="A37" s="108" t="s">
        <v>25</v>
      </c>
      <c r="B37" s="109">
        <v>2016.0</v>
      </c>
      <c r="C37" s="109">
        <v>1.0</v>
      </c>
      <c r="D37" s="111">
        <v>23.75</v>
      </c>
      <c r="E37" s="111">
        <v>33.75</v>
      </c>
      <c r="F37" s="112">
        <f t="shared" si="9"/>
        <v>28.75</v>
      </c>
      <c r="G37" s="113">
        <v>49.2</v>
      </c>
      <c r="H37" s="112">
        <v>52.02</v>
      </c>
      <c r="I37" s="72">
        <v>0.596</v>
      </c>
      <c r="J37" s="115">
        <v>0.35853857875840006</v>
      </c>
      <c r="K37" s="115">
        <v>1.6582409269999998</v>
      </c>
      <c r="L37" s="115">
        <v>0.067844878276</v>
      </c>
      <c r="M37" s="116">
        <v>0.8955523932431999</v>
      </c>
    </row>
    <row r="38">
      <c r="A38" s="108" t="s">
        <v>25</v>
      </c>
      <c r="B38" s="109">
        <v>2017.0</v>
      </c>
      <c r="C38" s="109">
        <v>0.0</v>
      </c>
      <c r="D38" s="111">
        <v>23.08333333</v>
      </c>
      <c r="E38" s="111">
        <v>35.25</v>
      </c>
      <c r="F38" s="112">
        <f t="shared" si="9"/>
        <v>29.16666667</v>
      </c>
      <c r="G38" s="113">
        <v>48.9</v>
      </c>
      <c r="H38" s="112">
        <v>56.09</v>
      </c>
      <c r="I38" s="72">
        <v>0.606</v>
      </c>
      <c r="J38" s="115">
        <v>0.3676652690688001</v>
      </c>
      <c r="K38" s="115">
        <v>1.700451869</v>
      </c>
      <c r="L38" s="115">
        <v>0.069571886832</v>
      </c>
      <c r="M38" s="116">
        <v>0.9183489061824</v>
      </c>
    </row>
    <row r="39">
      <c r="A39" s="108" t="s">
        <v>25</v>
      </c>
      <c r="B39" s="109">
        <v>2018.0</v>
      </c>
      <c r="C39" s="109">
        <v>0.0</v>
      </c>
      <c r="D39" s="111">
        <v>24.5</v>
      </c>
      <c r="E39" s="111">
        <v>34.66666667</v>
      </c>
      <c r="F39" s="112">
        <f t="shared" si="9"/>
        <v>29.58333334</v>
      </c>
      <c r="G39" s="113">
        <v>49.4</v>
      </c>
      <c r="H39" s="112">
        <v>53.15</v>
      </c>
      <c r="I39" s="72">
        <v>0.608</v>
      </c>
      <c r="J39" s="115">
        <v>0.3768370942592001</v>
      </c>
      <c r="K39" s="115">
        <v>1.742871561</v>
      </c>
      <c r="L39" s="115">
        <v>0.071307436088</v>
      </c>
      <c r="M39" s="116">
        <v>0.9412581563615999</v>
      </c>
    </row>
    <row r="40">
      <c r="A40" s="108" t="s">
        <v>25</v>
      </c>
      <c r="B40" s="109">
        <v>2019.0</v>
      </c>
      <c r="C40" s="109">
        <v>0.0</v>
      </c>
      <c r="D40" s="111">
        <v>24.25</v>
      </c>
      <c r="E40" s="111">
        <v>34.66666667</v>
      </c>
      <c r="F40" s="112">
        <f t="shared" si="9"/>
        <v>29.45833334</v>
      </c>
      <c r="G40" s="113">
        <v>50.1</v>
      </c>
      <c r="H40" s="112">
        <v>50.79</v>
      </c>
      <c r="I40" s="72">
        <v>0.611</v>
      </c>
      <c r="J40" s="115">
        <v>0.38604970664320004</v>
      </c>
      <c r="K40" s="115">
        <v>1.785479893</v>
      </c>
      <c r="L40" s="115">
        <v>0.073050703348</v>
      </c>
      <c r="M40" s="116">
        <v>0.9642692841935999</v>
      </c>
    </row>
    <row r="41">
      <c r="A41" s="108" t="s">
        <v>25</v>
      </c>
      <c r="B41" s="109">
        <v>2020.0</v>
      </c>
      <c r="C41" s="109">
        <v>1.0</v>
      </c>
      <c r="D41" s="111">
        <v>25.25</v>
      </c>
      <c r="E41" s="111">
        <v>32.66666667</v>
      </c>
      <c r="F41" s="112">
        <f t="shared" si="9"/>
        <v>28.95833334</v>
      </c>
      <c r="G41" s="113">
        <v>52.9</v>
      </c>
      <c r="H41" s="112">
        <v>50.7</v>
      </c>
      <c r="I41" s="72">
        <f>I40+(((I40-I39)+(I39-I38)+(I38-I37)+(I37-I36))/4)</f>
        <v>0.61625</v>
      </c>
      <c r="J41" s="115">
        <v>0.3952987953792001</v>
      </c>
      <c r="K41" s="115">
        <v>1.828256929</v>
      </c>
      <c r="L41" s="115">
        <v>0.074800872888</v>
      </c>
      <c r="M41" s="116">
        <v>0.9873715221216</v>
      </c>
    </row>
    <row r="42">
      <c r="A42" s="108" t="s">
        <v>25</v>
      </c>
      <c r="B42" s="109">
        <v>2021.0</v>
      </c>
      <c r="C42" s="109">
        <v>1.0</v>
      </c>
      <c r="D42" s="111">
        <v>23.25</v>
      </c>
      <c r="E42" s="111">
        <v>33.08333333</v>
      </c>
      <c r="F42" s="112">
        <f t="shared" si="9"/>
        <v>28.16666667</v>
      </c>
      <c r="G42" s="113">
        <f>MEDIAN(G36:G41)</f>
        <v>49.75</v>
      </c>
      <c r="H42" s="112">
        <f t="shared" ref="H42:H43" si="10">H41-0.09</f>
        <v>50.61</v>
      </c>
      <c r="I42" s="72">
        <f>I41+(((I41-I40)+(I40-I39)+(I39-I38)+(I38-I37)+(I37-I36))/5)</f>
        <v>0.6215</v>
      </c>
      <c r="J42" s="115">
        <v>0.40458004962560007</v>
      </c>
      <c r="K42" s="115">
        <v>1.87118273</v>
      </c>
      <c r="L42" s="115">
        <v>0.076557128984</v>
      </c>
      <c r="M42" s="116">
        <v>1.0105541025887999</v>
      </c>
    </row>
    <row r="43">
      <c r="A43" s="108" t="s">
        <v>25</v>
      </c>
      <c r="B43" s="119">
        <v>2022.0</v>
      </c>
      <c r="C43" s="109">
        <v>0.0</v>
      </c>
      <c r="D43" s="112">
        <v>27.71</v>
      </c>
      <c r="E43" s="112">
        <v>38.04</v>
      </c>
      <c r="F43" s="112">
        <v>27.19</v>
      </c>
      <c r="G43" s="113">
        <v>20.0</v>
      </c>
      <c r="H43" s="112">
        <f t="shared" si="10"/>
        <v>50.52</v>
      </c>
      <c r="I43" s="72">
        <f>I42+(((I42-I41)+(I41-I40)+(I40-I39)+(I39-I38)+(I38-I37)+(I37-I36))/6)</f>
        <v>0.62675</v>
      </c>
      <c r="J43" s="115">
        <v>0.406275328</v>
      </c>
      <c r="K43" s="115">
        <v>1.879023392</v>
      </c>
      <c r="L43" s="115">
        <v>0.07687792</v>
      </c>
      <c r="M43" s="116">
        <v>1.014788544</v>
      </c>
    </row>
    <row r="44">
      <c r="A44" s="108" t="s">
        <v>26</v>
      </c>
      <c r="B44" s="109">
        <v>2015.0</v>
      </c>
      <c r="C44" s="109">
        <v>0.0</v>
      </c>
      <c r="D44" s="111">
        <v>24.66666667</v>
      </c>
      <c r="E44" s="111">
        <v>32.16666667</v>
      </c>
      <c r="F44" s="112">
        <f t="shared" ref="F44:F146" si="11">AVERAGE(D44:E44)</f>
        <v>28.41666667</v>
      </c>
      <c r="G44" s="113">
        <v>28.4</v>
      </c>
      <c r="H44" s="112">
        <v>53.13</v>
      </c>
      <c r="I44" s="114">
        <v>0.753</v>
      </c>
      <c r="J44" s="115">
        <v>0.0090052287312</v>
      </c>
      <c r="K44" s="115">
        <v>0.0383463135</v>
      </c>
      <c r="L44" s="115">
        <v>0.009249522043</v>
      </c>
      <c r="M44" s="116">
        <v>0.1220936909676</v>
      </c>
    </row>
    <row r="45">
      <c r="A45" s="108" t="s">
        <v>26</v>
      </c>
      <c r="B45" s="109">
        <v>2016.0</v>
      </c>
      <c r="C45" s="109">
        <v>1.0</v>
      </c>
      <c r="D45" s="111">
        <v>24.16666667</v>
      </c>
      <c r="E45" s="111">
        <v>31.33333333</v>
      </c>
      <c r="F45" s="112">
        <f t="shared" si="11"/>
        <v>27.75</v>
      </c>
      <c r="G45" s="113">
        <v>28.7</v>
      </c>
      <c r="H45" s="112">
        <v>51.9</v>
      </c>
      <c r="I45" s="114">
        <v>0.745</v>
      </c>
      <c r="J45" s="115">
        <v>0.0090477980736</v>
      </c>
      <c r="K45" s="115">
        <v>0.03852758345</v>
      </c>
      <c r="L45" s="115">
        <v>0.009293246204</v>
      </c>
      <c r="M45" s="116">
        <v>0.1226708498928</v>
      </c>
    </row>
    <row r="46">
      <c r="A46" s="108" t="s">
        <v>26</v>
      </c>
      <c r="B46" s="109">
        <v>2017.0</v>
      </c>
      <c r="C46" s="109">
        <v>0.0</v>
      </c>
      <c r="D46" s="111">
        <v>24.91666667</v>
      </c>
      <c r="E46" s="111">
        <v>31.16666667</v>
      </c>
      <c r="F46" s="112">
        <f t="shared" si="11"/>
        <v>28.04166667</v>
      </c>
      <c r="G46" s="113">
        <v>30.7</v>
      </c>
      <c r="H46" s="112">
        <v>62.87</v>
      </c>
      <c r="I46" s="114">
        <v>0.756</v>
      </c>
      <c r="J46" s="115">
        <v>0.0090897137136</v>
      </c>
      <c r="K46" s="115">
        <v>0.03870606979</v>
      </c>
      <c r="L46" s="115">
        <v>0.009336298929</v>
      </c>
      <c r="M46" s="116">
        <v>0.12323914586279999</v>
      </c>
    </row>
    <row r="47">
      <c r="A47" s="108" t="s">
        <v>26</v>
      </c>
      <c r="B47" s="109">
        <v>2018.0</v>
      </c>
      <c r="C47" s="109">
        <v>0.0</v>
      </c>
      <c r="D47" s="111">
        <v>26.0</v>
      </c>
      <c r="E47" s="111">
        <v>32.25</v>
      </c>
      <c r="F47" s="112">
        <f t="shared" si="11"/>
        <v>29.125</v>
      </c>
      <c r="G47" s="113">
        <v>31.5</v>
      </c>
      <c r="H47" s="112">
        <v>69.09</v>
      </c>
      <c r="I47" s="114">
        <v>0.759</v>
      </c>
      <c r="J47" s="115">
        <v>0.009130987756800001</v>
      </c>
      <c r="K47" s="115">
        <v>0.03888182406</v>
      </c>
      <c r="L47" s="115">
        <v>0.009378692652</v>
      </c>
      <c r="M47" s="116">
        <v>0.1237987430064</v>
      </c>
    </row>
    <row r="48">
      <c r="A48" s="108" t="s">
        <v>26</v>
      </c>
      <c r="B48" s="109">
        <v>2019.0</v>
      </c>
      <c r="C48" s="109">
        <v>0.0</v>
      </c>
      <c r="D48" s="111">
        <v>25.16666667</v>
      </c>
      <c r="E48" s="111">
        <v>31.91666667</v>
      </c>
      <c r="F48" s="112">
        <f t="shared" si="11"/>
        <v>28.54166667</v>
      </c>
      <c r="G48" s="113">
        <v>27.3</v>
      </c>
      <c r="H48" s="112">
        <v>66.36</v>
      </c>
      <c r="I48" s="114">
        <v>0.763</v>
      </c>
      <c r="J48" s="115">
        <v>0.009171614150400001</v>
      </c>
      <c r="K48" s="115">
        <v>0.039054820489999996</v>
      </c>
      <c r="L48" s="115">
        <v>0.009420421156000001</v>
      </c>
      <c r="M48" s="116">
        <v>0.12434955925920001</v>
      </c>
    </row>
    <row r="49">
      <c r="A49" s="108" t="s">
        <v>26</v>
      </c>
      <c r="B49" s="109">
        <v>2020.0</v>
      </c>
      <c r="C49" s="109">
        <v>1.0</v>
      </c>
      <c r="D49" s="111">
        <v>24.16666667</v>
      </c>
      <c r="E49" s="111">
        <v>29.33333333</v>
      </c>
      <c r="F49" s="112">
        <f t="shared" si="11"/>
        <v>26.75</v>
      </c>
      <c r="G49" s="113">
        <v>30.6</v>
      </c>
      <c r="H49" s="112">
        <v>53.68</v>
      </c>
      <c r="I49" s="114">
        <f>I48+(((I48-I47)+(I47-I46)+(I46-I45)+(I45-I44))/4)</f>
        <v>0.7655</v>
      </c>
      <c r="J49" s="115">
        <v>0.009211605</v>
      </c>
      <c r="K49" s="115">
        <v>0.039225110630000004</v>
      </c>
      <c r="L49" s="115">
        <v>0.009461496875000001</v>
      </c>
      <c r="M49" s="116">
        <v>0.12489175875</v>
      </c>
    </row>
    <row r="50">
      <c r="A50" s="108" t="s">
        <v>26</v>
      </c>
      <c r="B50" s="109">
        <v>2021.0</v>
      </c>
      <c r="C50" s="109">
        <v>1.0</v>
      </c>
      <c r="D50" s="111">
        <v>25.08333333</v>
      </c>
      <c r="E50" s="111">
        <v>29.41666667</v>
      </c>
      <c r="F50" s="112">
        <f t="shared" si="11"/>
        <v>27.25</v>
      </c>
      <c r="G50" s="113">
        <f>MEDIAN(G44:G49)</f>
        <v>29.65</v>
      </c>
      <c r="H50" s="112">
        <f t="shared" ref="H50:H51" si="13">H49-12.68</f>
        <v>41</v>
      </c>
      <c r="I50" s="114">
        <f>I49+(((I49-I48)+(I48-I47)+(I47-I46)+(I46-I45)+(I45-I44))/5)</f>
        <v>0.768</v>
      </c>
      <c r="J50" s="115">
        <v>0.009250966358399998</v>
      </c>
      <c r="K50" s="115">
        <v>0.03939272025</v>
      </c>
      <c r="L50" s="115">
        <v>0.009501926026000002</v>
      </c>
      <c r="M50" s="116">
        <v>0.1254254235432</v>
      </c>
    </row>
    <row r="51">
      <c r="A51" s="108" t="s">
        <v>26</v>
      </c>
      <c r="B51" s="119">
        <v>2022.0</v>
      </c>
      <c r="C51" s="109">
        <v>0.0</v>
      </c>
      <c r="D51" s="112">
        <f t="shared" ref="D51:E51" si="12">D50+(((D50-D49)+(D49-D48)+(D48-D47)+(D47-D46)+(D46-D45)+(D45-D44))/6)</f>
        <v>25.15277777</v>
      </c>
      <c r="E51" s="112">
        <f t="shared" si="12"/>
        <v>28.95833334</v>
      </c>
      <c r="F51" s="112">
        <f t="shared" si="11"/>
        <v>27.05555556</v>
      </c>
      <c r="G51" s="113">
        <v>28.0</v>
      </c>
      <c r="H51" s="112">
        <f t="shared" si="13"/>
        <v>28.32</v>
      </c>
      <c r="I51" s="114">
        <f>I50+(((I50-I49)+(I49-I48)+(I48-I47)+(I47-I46)+(I46-I45)+(I45-I44))/6)</f>
        <v>0.7705</v>
      </c>
      <c r="J51" s="115">
        <v>0.009442368</v>
      </c>
      <c r="K51" s="115">
        <v>0.040207752</v>
      </c>
      <c r="L51" s="115">
        <v>0.00969852</v>
      </c>
      <c r="M51" s="116">
        <v>0.128020464</v>
      </c>
    </row>
    <row r="52">
      <c r="A52" s="108" t="s">
        <v>27</v>
      </c>
      <c r="B52" s="109">
        <v>2015.0</v>
      </c>
      <c r="C52" s="109">
        <v>1.0</v>
      </c>
      <c r="D52" s="111">
        <v>23.08333333</v>
      </c>
      <c r="E52" s="111">
        <v>35.83333333</v>
      </c>
      <c r="F52" s="112">
        <f t="shared" si="11"/>
        <v>29.45833333</v>
      </c>
      <c r="G52" s="113">
        <v>44.3</v>
      </c>
      <c r="H52" s="112">
        <v>63.28</v>
      </c>
      <c r="I52" s="72">
        <v>0.649</v>
      </c>
      <c r="J52" s="115">
        <v>0.596220017568</v>
      </c>
      <c r="K52" s="115">
        <v>2.7575175809999997</v>
      </c>
      <c r="L52" s="115">
        <v>0.27655675902000004</v>
      </c>
      <c r="M52" s="116">
        <v>3.650549219064</v>
      </c>
    </row>
    <row r="53">
      <c r="A53" s="108" t="s">
        <v>27</v>
      </c>
      <c r="B53" s="109">
        <v>2016.0</v>
      </c>
      <c r="C53" s="109">
        <v>1.0</v>
      </c>
      <c r="D53" s="111">
        <v>22.66666667</v>
      </c>
      <c r="E53" s="111">
        <v>36.0</v>
      </c>
      <c r="F53" s="112">
        <f t="shared" si="11"/>
        <v>29.33333334</v>
      </c>
      <c r="G53" s="113">
        <v>41.3</v>
      </c>
      <c r="H53" s="112">
        <v>62.99</v>
      </c>
      <c r="I53" s="72">
        <v>0.656</v>
      </c>
      <c r="J53" s="115">
        <v>0.606441212608</v>
      </c>
      <c r="K53" s="115">
        <v>2.804790608</v>
      </c>
      <c r="L53" s="115">
        <v>0.28129786212</v>
      </c>
      <c r="M53" s="116">
        <v>3.7131317799840007</v>
      </c>
    </row>
    <row r="54">
      <c r="A54" s="108" t="s">
        <v>27</v>
      </c>
      <c r="B54" s="109">
        <v>2017.0</v>
      </c>
      <c r="C54" s="109">
        <v>1.0</v>
      </c>
      <c r="D54" s="111">
        <v>23.75</v>
      </c>
      <c r="E54" s="111">
        <v>36.08333333</v>
      </c>
      <c r="F54" s="112">
        <f t="shared" si="11"/>
        <v>29.91666667</v>
      </c>
      <c r="G54" s="113">
        <v>45.8</v>
      </c>
      <c r="H54" s="112">
        <v>61.99</v>
      </c>
      <c r="I54" s="72">
        <v>0.667</v>
      </c>
      <c r="J54" s="115">
        <v>0.616629703424</v>
      </c>
      <c r="K54" s="115">
        <v>2.851912378</v>
      </c>
      <c r="L54" s="115">
        <v>0.28602379536</v>
      </c>
      <c r="M54" s="116">
        <v>3.7755140987519993</v>
      </c>
    </row>
    <row r="55">
      <c r="A55" s="108" t="s">
        <v>27</v>
      </c>
      <c r="B55" s="109">
        <v>2018.0</v>
      </c>
      <c r="C55" s="109">
        <v>0.0</v>
      </c>
      <c r="D55" s="111">
        <v>23.91666667</v>
      </c>
      <c r="E55" s="111">
        <v>35.41666667</v>
      </c>
      <c r="F55" s="112">
        <f t="shared" si="11"/>
        <v>29.66666667</v>
      </c>
      <c r="G55" s="113">
        <v>46.7</v>
      </c>
      <c r="H55" s="112">
        <v>63.52</v>
      </c>
      <c r="I55" s="72">
        <v>0.669</v>
      </c>
      <c r="J55" s="115">
        <v>0.6267821745919999</v>
      </c>
      <c r="K55" s="115">
        <v>2.898867557</v>
      </c>
      <c r="L55" s="115">
        <v>0.29073302088</v>
      </c>
      <c r="M55" s="116">
        <v>3.8376758756159997</v>
      </c>
    </row>
    <row r="56">
      <c r="A56" s="108" t="s">
        <v>27</v>
      </c>
      <c r="B56" s="109">
        <v>2019.0</v>
      </c>
      <c r="C56" s="109">
        <v>1.0</v>
      </c>
      <c r="D56" s="111">
        <v>23.0</v>
      </c>
      <c r="E56" s="111">
        <v>32.91666667</v>
      </c>
      <c r="F56" s="112">
        <f t="shared" si="11"/>
        <v>27.95833334</v>
      </c>
      <c r="G56" s="113">
        <v>46.9</v>
      </c>
      <c r="H56" s="112">
        <v>64.8</v>
      </c>
      <c r="I56" s="72">
        <v>0.672</v>
      </c>
      <c r="J56" s="115">
        <v>0.6368954025279999</v>
      </c>
      <c r="K56" s="115">
        <v>2.9456412370000002</v>
      </c>
      <c r="L56" s="115">
        <v>0.29542404342</v>
      </c>
      <c r="M56" s="116">
        <v>3.899597373144</v>
      </c>
    </row>
    <row r="57">
      <c r="A57" s="108" t="s">
        <v>27</v>
      </c>
      <c r="B57" s="109">
        <v>2020.0</v>
      </c>
      <c r="C57" s="109">
        <v>1.0</v>
      </c>
      <c r="D57" s="111">
        <v>48.83333333</v>
      </c>
      <c r="E57" s="111">
        <v>34.58333333</v>
      </c>
      <c r="F57" s="112">
        <f t="shared" si="11"/>
        <v>41.70833333</v>
      </c>
      <c r="G57" s="113">
        <v>45.5</v>
      </c>
      <c r="H57" s="112">
        <v>62.46</v>
      </c>
      <c r="I57" s="72">
        <f>I56+(((I56-I55)+(I55-I54)+(I54-I53)+(I53-I52))/4)</f>
        <v>0.67775</v>
      </c>
      <c r="J57" s="115">
        <v>0.64696628304</v>
      </c>
      <c r="K57" s="115">
        <v>2.992219059</v>
      </c>
      <c r="L57" s="115">
        <v>0.30009542310000004</v>
      </c>
      <c r="M57" s="116">
        <v>3.96125958492</v>
      </c>
    </row>
    <row r="58">
      <c r="A58" s="108" t="s">
        <v>27</v>
      </c>
      <c r="B58" s="109">
        <v>2021.0</v>
      </c>
      <c r="C58" s="109">
        <v>1.0</v>
      </c>
      <c r="D58" s="111">
        <v>22.58333333</v>
      </c>
      <c r="E58" s="111">
        <v>36.0</v>
      </c>
      <c r="F58" s="112">
        <f t="shared" si="11"/>
        <v>29.29166667</v>
      </c>
      <c r="G58" s="113">
        <f>MEDIAN(G52:G57)</f>
        <v>45.65</v>
      </c>
      <c r="H58" s="112">
        <f t="shared" ref="H58:H59" si="15">H57-0.55</f>
        <v>61.91</v>
      </c>
      <c r="I58" s="72">
        <f>I57+((((I57-I56)+(I56-I55)+(I55-I54)+(I54-I53)+(I53-I52))/5))</f>
        <v>0.6835</v>
      </c>
      <c r="J58" s="115">
        <v>0.6569918037760001</v>
      </c>
      <c r="K58" s="115">
        <v>3.038587092</v>
      </c>
      <c r="L58" s="115">
        <v>0.30474576264000003</v>
      </c>
      <c r="M58" s="116">
        <v>4.022644066848</v>
      </c>
    </row>
    <row r="59">
      <c r="A59" s="108" t="s">
        <v>27</v>
      </c>
      <c r="B59" s="119">
        <v>2022.0</v>
      </c>
      <c r="C59" s="109">
        <v>1.0</v>
      </c>
      <c r="D59" s="112">
        <f t="shared" ref="D59:E59" si="14">D58+(((D58-D57)+(D57-D56)+(D56-D55)+(D55-D54)+(D54-D53)+(D53-D52))/6)</f>
        <v>22.5</v>
      </c>
      <c r="E59" s="112">
        <f t="shared" si="14"/>
        <v>36.02777778</v>
      </c>
      <c r="F59" s="112">
        <f t="shared" si="11"/>
        <v>29.26388889</v>
      </c>
      <c r="G59" s="113">
        <v>57.0</v>
      </c>
      <c r="H59" s="112">
        <f t="shared" si="15"/>
        <v>61.36</v>
      </c>
      <c r="I59" s="72">
        <f>I58+((((I58-I57)+(I57-I56)+(I56-I55)+(I55-I54)+(I54-I53)+(I53-I52))/6))</f>
        <v>0.68925</v>
      </c>
      <c r="J59" s="115">
        <v>0.6590438399999999</v>
      </c>
      <c r="K59" s="115">
        <v>3.04807776</v>
      </c>
      <c r="L59" s="115">
        <v>0.30569759999999996</v>
      </c>
      <c r="M59" s="116">
        <v>4.03520832</v>
      </c>
    </row>
    <row r="60">
      <c r="A60" s="108" t="s">
        <v>28</v>
      </c>
      <c r="B60" s="109">
        <v>2015.0</v>
      </c>
      <c r="C60" s="109">
        <v>1.0</v>
      </c>
      <c r="D60" s="111">
        <v>22.66666667</v>
      </c>
      <c r="E60" s="111">
        <v>33.25</v>
      </c>
      <c r="F60" s="112">
        <f t="shared" si="11"/>
        <v>27.95833334</v>
      </c>
      <c r="G60" s="113">
        <v>84.2</v>
      </c>
      <c r="H60" s="112">
        <v>49.87</v>
      </c>
      <c r="I60" s="72">
        <v>0.684</v>
      </c>
      <c r="J60" s="115">
        <v>0.2806858087</v>
      </c>
      <c r="K60" s="115">
        <v>1.298171865</v>
      </c>
      <c r="L60" s="115">
        <v>0.09396422957</v>
      </c>
      <c r="M60" s="116">
        <v>1.24032783</v>
      </c>
    </row>
    <row r="61">
      <c r="A61" s="108" t="s">
        <v>28</v>
      </c>
      <c r="B61" s="109">
        <v>2016.0</v>
      </c>
      <c r="C61" s="109">
        <v>1.0</v>
      </c>
      <c r="D61" s="111">
        <v>23.08333333</v>
      </c>
      <c r="E61" s="111">
        <v>33.0</v>
      </c>
      <c r="F61" s="112">
        <f t="shared" si="11"/>
        <v>28.04166667</v>
      </c>
      <c r="G61" s="113">
        <v>88.7</v>
      </c>
      <c r="H61" s="112">
        <v>46.97</v>
      </c>
      <c r="I61" s="72">
        <v>0.691</v>
      </c>
      <c r="J61" s="115">
        <v>0.28476862430000005</v>
      </c>
      <c r="K61" s="115">
        <v>1.317054887</v>
      </c>
      <c r="L61" s="115">
        <v>0.09533101981</v>
      </c>
      <c r="M61" s="116">
        <v>1.2583694609999998</v>
      </c>
    </row>
    <row r="62">
      <c r="A62" s="108" t="s">
        <v>28</v>
      </c>
      <c r="B62" s="109">
        <v>2017.0</v>
      </c>
      <c r="C62" s="109">
        <v>1.0</v>
      </c>
      <c r="D62" s="111">
        <v>22.75</v>
      </c>
      <c r="E62" s="111">
        <v>33.41666667</v>
      </c>
      <c r="F62" s="112">
        <f t="shared" si="11"/>
        <v>28.08333334</v>
      </c>
      <c r="G62" s="113">
        <v>85.7</v>
      </c>
      <c r="H62" s="112">
        <v>53.51</v>
      </c>
      <c r="I62" s="72">
        <v>0.702</v>
      </c>
      <c r="J62" s="115">
        <v>0.28882797590000003</v>
      </c>
      <c r="K62" s="115">
        <v>1.335829388</v>
      </c>
      <c r="L62" s="115">
        <v>0.09668995507</v>
      </c>
      <c r="M62" s="116">
        <v>1.2763074069999998</v>
      </c>
    </row>
    <row r="63">
      <c r="A63" s="108" t="s">
        <v>28</v>
      </c>
      <c r="B63" s="109">
        <v>2018.0</v>
      </c>
      <c r="C63" s="109">
        <v>0.0</v>
      </c>
      <c r="D63" s="111">
        <v>24.0</v>
      </c>
      <c r="E63" s="111">
        <v>34.0</v>
      </c>
      <c r="F63" s="112">
        <f t="shared" si="11"/>
        <v>29</v>
      </c>
      <c r="G63" s="113">
        <v>89.1</v>
      </c>
      <c r="H63" s="112">
        <v>46.19</v>
      </c>
      <c r="I63" s="72">
        <v>0.705</v>
      </c>
      <c r="J63" s="115">
        <v>0.29286286320000005</v>
      </c>
      <c r="K63" s="115">
        <v>1.354490742</v>
      </c>
      <c r="L63" s="115">
        <v>0.09804070051</v>
      </c>
      <c r="M63" s="116">
        <v>1.2941372469999999</v>
      </c>
    </row>
    <row r="64">
      <c r="A64" s="108" t="s">
        <v>28</v>
      </c>
      <c r="B64" s="109">
        <v>2019.0</v>
      </c>
      <c r="C64" s="109">
        <v>0.0</v>
      </c>
      <c r="D64" s="111">
        <v>21.58333333</v>
      </c>
      <c r="E64" s="111">
        <v>31.66666667</v>
      </c>
      <c r="F64" s="112">
        <f t="shared" si="11"/>
        <v>26.625</v>
      </c>
      <c r="G64" s="113">
        <v>87.3</v>
      </c>
      <c r="H64" s="112">
        <v>46.4</v>
      </c>
      <c r="I64" s="72">
        <v>0.708</v>
      </c>
      <c r="J64" s="115">
        <v>0.29687228600000004</v>
      </c>
      <c r="K64" s="115">
        <v>1.3730343230000002</v>
      </c>
      <c r="L64" s="115">
        <v>0.09938292128</v>
      </c>
      <c r="M64" s="116">
        <v>1.311854561</v>
      </c>
    </row>
    <row r="65">
      <c r="A65" s="108" t="s">
        <v>28</v>
      </c>
      <c r="B65" s="109">
        <v>2020.0</v>
      </c>
      <c r="C65" s="109">
        <v>1.0</v>
      </c>
      <c r="D65" s="111">
        <v>23.5</v>
      </c>
      <c r="E65" s="111">
        <v>32.66666667</v>
      </c>
      <c r="F65" s="112">
        <f t="shared" si="11"/>
        <v>28.08333334</v>
      </c>
      <c r="G65" s="113">
        <v>83.4</v>
      </c>
      <c r="H65" s="112">
        <v>49.26</v>
      </c>
      <c r="I65" s="72">
        <f>I64+(((I64-I63)+(I63-I62)+(I62-I61)+(I61-I60))/4)</f>
        <v>0.714</v>
      </c>
      <c r="J65" s="115">
        <v>0.30085530650000003</v>
      </c>
      <c r="K65" s="115">
        <v>1.391455792</v>
      </c>
      <c r="L65" s="115">
        <v>0.10071630349999999</v>
      </c>
      <c r="M65" s="116">
        <v>1.329455206</v>
      </c>
    </row>
    <row r="66">
      <c r="A66" s="108" t="s">
        <v>28</v>
      </c>
      <c r="B66" s="109">
        <v>2021.0</v>
      </c>
      <c r="C66" s="109">
        <v>1.0</v>
      </c>
      <c r="D66" s="111">
        <v>21.75</v>
      </c>
      <c r="E66" s="111">
        <v>33.75</v>
      </c>
      <c r="F66" s="112">
        <f t="shared" si="11"/>
        <v>27.75</v>
      </c>
      <c r="G66" s="113">
        <f>MEDIAN(G60:G65)</f>
        <v>86.5</v>
      </c>
      <c r="H66" s="112">
        <f t="shared" ref="H66:H67" si="16">H65-0.55</f>
        <v>48.71</v>
      </c>
      <c r="I66" s="72">
        <f>I65+(((I65-I64)+(I64-I63)+(I63-I62)+(I62-I61)+(I61-I60))/5)</f>
        <v>0.72</v>
      </c>
      <c r="J66" s="115">
        <v>0.3048110391</v>
      </c>
      <c r="K66" s="115">
        <v>1.4097510560000002</v>
      </c>
      <c r="L66" s="115">
        <v>0.1020405506</v>
      </c>
      <c r="M66" s="116">
        <v>1.346935267</v>
      </c>
    </row>
    <row r="67">
      <c r="A67" s="108" t="s">
        <v>28</v>
      </c>
      <c r="B67" s="119">
        <v>2022.0</v>
      </c>
      <c r="C67" s="109">
        <v>1.0</v>
      </c>
      <c r="D67" s="112">
        <f>D66+(((D66-D65)+(D65-D64)+(D64-D63)+(D63-D62)+(D62-D61)+(D61-D60))/6)</f>
        <v>21.59722222</v>
      </c>
      <c r="E67" s="112">
        <v>36.6</v>
      </c>
      <c r="F67" s="112">
        <f t="shared" si="11"/>
        <v>29.09861111</v>
      </c>
      <c r="G67" s="113">
        <v>83.0</v>
      </c>
      <c r="H67" s="112">
        <f t="shared" si="16"/>
        <v>48.16</v>
      </c>
      <c r="I67" s="72">
        <f>I66+(((I66-I65)+(I65-I64)+(I64-I63)+(I63-I62)+(I62-I61)+(I61-I60))/6)</f>
        <v>0.726</v>
      </c>
      <c r="J67" s="115">
        <v>0.317160448</v>
      </c>
      <c r="K67" s="115">
        <v>1.4668670719999999</v>
      </c>
      <c r="L67" s="115">
        <v>0.10617472</v>
      </c>
      <c r="M67" s="116">
        <v>1.401506304</v>
      </c>
    </row>
    <row r="68">
      <c r="A68" s="108" t="s">
        <v>29</v>
      </c>
      <c r="B68" s="109">
        <v>2015.0</v>
      </c>
      <c r="C68" s="109">
        <v>0.0</v>
      </c>
      <c r="D68" s="111">
        <v>10.0</v>
      </c>
      <c r="E68" s="111">
        <v>23.25</v>
      </c>
      <c r="F68" s="112">
        <f t="shared" si="11"/>
        <v>16.625</v>
      </c>
      <c r="G68" s="113">
        <v>27.3</v>
      </c>
      <c r="H68" s="112">
        <v>62.12</v>
      </c>
      <c r="I68" s="72">
        <v>0.702</v>
      </c>
      <c r="J68" s="115">
        <v>0.1030085964</v>
      </c>
      <c r="K68" s="115">
        <v>0.4764147581</v>
      </c>
      <c r="L68" s="115">
        <v>0.00717722728</v>
      </c>
      <c r="M68" s="116">
        <v>0.0947394001</v>
      </c>
    </row>
    <row r="69">
      <c r="A69" s="108" t="s">
        <v>29</v>
      </c>
      <c r="B69" s="109">
        <v>2016.0</v>
      </c>
      <c r="C69" s="109">
        <v>1.0</v>
      </c>
      <c r="D69" s="111">
        <v>9.916666667</v>
      </c>
      <c r="E69" s="111">
        <v>23.5</v>
      </c>
      <c r="F69" s="112">
        <f t="shared" si="11"/>
        <v>16.70833333</v>
      </c>
      <c r="G69" s="113">
        <v>32.1</v>
      </c>
      <c r="H69" s="112">
        <v>61.2</v>
      </c>
      <c r="I69" s="72">
        <v>0.708</v>
      </c>
      <c r="J69" s="115">
        <v>0.1040306843</v>
      </c>
      <c r="K69" s="115">
        <v>0.4811419151</v>
      </c>
      <c r="L69" s="115">
        <v>0.0072484422860000005</v>
      </c>
      <c r="M69" s="116">
        <v>0.09567943817999999</v>
      </c>
    </row>
    <row r="70">
      <c r="A70" s="108" t="s">
        <v>29</v>
      </c>
      <c r="B70" s="109">
        <v>2017.0</v>
      </c>
      <c r="C70" s="109">
        <v>1.0</v>
      </c>
      <c r="D70" s="111">
        <v>10.25</v>
      </c>
      <c r="E70" s="111">
        <v>24.33333333</v>
      </c>
      <c r="F70" s="112">
        <f t="shared" si="11"/>
        <v>17.29166667</v>
      </c>
      <c r="G70" s="113">
        <v>27.9</v>
      </c>
      <c r="H70" s="112">
        <v>68.46</v>
      </c>
      <c r="I70" s="72">
        <v>0.719</v>
      </c>
      <c r="J70" s="115">
        <v>0.10504226380000001</v>
      </c>
      <c r="K70" s="115">
        <v>0.48582047019999997</v>
      </c>
      <c r="L70" s="115">
        <v>0.007318925102</v>
      </c>
      <c r="M70" s="116">
        <v>0.09660981135</v>
      </c>
    </row>
    <row r="71">
      <c r="A71" s="108" t="s">
        <v>29</v>
      </c>
      <c r="B71" s="109">
        <v>2018.0</v>
      </c>
      <c r="C71" s="109">
        <v>0.0</v>
      </c>
      <c r="D71" s="111">
        <v>11.16666667</v>
      </c>
      <c r="E71" s="111">
        <v>24.0</v>
      </c>
      <c r="F71" s="112">
        <f t="shared" si="11"/>
        <v>17.58333334</v>
      </c>
      <c r="G71" s="113">
        <v>29.3</v>
      </c>
      <c r="H71" s="112">
        <v>65.45</v>
      </c>
      <c r="I71" s="72">
        <v>0.721</v>
      </c>
      <c r="J71" s="115">
        <v>0.1060432629</v>
      </c>
      <c r="K71" s="115">
        <v>0.4904500907</v>
      </c>
      <c r="L71" s="115">
        <v>0.007388670713</v>
      </c>
      <c r="M71" s="116">
        <v>0.09753045341</v>
      </c>
    </row>
    <row r="72">
      <c r="A72" s="108" t="s">
        <v>29</v>
      </c>
      <c r="B72" s="109">
        <v>2019.0</v>
      </c>
      <c r="C72" s="109">
        <v>1.0</v>
      </c>
      <c r="D72" s="111">
        <v>10.91666667</v>
      </c>
      <c r="E72" s="111">
        <v>23.08333333</v>
      </c>
      <c r="F72" s="112">
        <f t="shared" si="11"/>
        <v>17</v>
      </c>
      <c r="G72" s="113">
        <v>25.1</v>
      </c>
      <c r="H72" s="112">
        <v>63.23</v>
      </c>
      <c r="I72" s="72">
        <v>0.725</v>
      </c>
      <c r="J72" s="115">
        <v>0.1070335806</v>
      </c>
      <c r="K72" s="115">
        <v>0.4950303105</v>
      </c>
      <c r="L72" s="115">
        <v>0.007457672098</v>
      </c>
      <c r="M72" s="116">
        <v>0.09844127169</v>
      </c>
    </row>
    <row r="73">
      <c r="A73" s="108" t="s">
        <v>29</v>
      </c>
      <c r="B73" s="109">
        <v>2020.0</v>
      </c>
      <c r="C73" s="109">
        <v>1.0</v>
      </c>
      <c r="D73" s="111">
        <v>12.0</v>
      </c>
      <c r="E73" s="111">
        <v>24.5</v>
      </c>
      <c r="F73" s="112">
        <f t="shared" si="11"/>
        <v>18.25</v>
      </c>
      <c r="G73" s="113">
        <v>26.1</v>
      </c>
      <c r="H73" s="112">
        <v>63.17</v>
      </c>
      <c r="I73" s="72">
        <f>I72+(((I72-I71)+(I71-I70)+(I70-I69)+(I69-I68))/4)</f>
        <v>0.73075</v>
      </c>
      <c r="J73" s="115">
        <v>0.1080131596</v>
      </c>
      <c r="K73" s="115">
        <v>0.49956086320000004</v>
      </c>
      <c r="L73" s="115">
        <v>0.0075259252450000005</v>
      </c>
      <c r="M73" s="116">
        <v>0.09934221322999999</v>
      </c>
    </row>
    <row r="74">
      <c r="A74" s="108" t="s">
        <v>29</v>
      </c>
      <c r="B74" s="109">
        <v>2021.0</v>
      </c>
      <c r="C74" s="109">
        <v>1.0</v>
      </c>
      <c r="D74" s="111">
        <v>11.33333333</v>
      </c>
      <c r="E74" s="111">
        <v>24.0</v>
      </c>
      <c r="F74" s="112">
        <f t="shared" si="11"/>
        <v>17.66666667</v>
      </c>
      <c r="G74" s="113">
        <f>MEDIAN(G68:G73)</f>
        <v>27.6</v>
      </c>
      <c r="H74" s="112">
        <f t="shared" ref="H74:H75" si="18">H73-0.06</f>
        <v>63.11</v>
      </c>
      <c r="I74" s="72">
        <f>I73+(((I73-I72)+(I72-I71)+(I71-I70)+(I70-I69)+(I69-I68))/5)</f>
        <v>0.7365</v>
      </c>
      <c r="J74" s="115">
        <v>0.1089819278</v>
      </c>
      <c r="K74" s="115">
        <v>0.5040414160000001</v>
      </c>
      <c r="L74" s="115">
        <v>0.007593425139</v>
      </c>
      <c r="M74" s="116">
        <v>0.1002332118</v>
      </c>
    </row>
    <row r="75">
      <c r="A75" s="108" t="s">
        <v>29</v>
      </c>
      <c r="B75" s="119">
        <v>2022.0</v>
      </c>
      <c r="C75" s="109">
        <v>0.0</v>
      </c>
      <c r="D75" s="112">
        <f t="shared" ref="D75:E75" si="17">D74+(((D74-D73)+(D73-D72)+(D72-D71)+(D71-D70)+(D70-D69)+(D69-D68))/6)</f>
        <v>11.55555555</v>
      </c>
      <c r="E75" s="112">
        <f t="shared" si="17"/>
        <v>24.125</v>
      </c>
      <c r="F75" s="112">
        <f t="shared" si="11"/>
        <v>17.84027778</v>
      </c>
      <c r="G75" s="113">
        <v>34.0</v>
      </c>
      <c r="H75" s="112">
        <f t="shared" si="18"/>
        <v>63.05</v>
      </c>
      <c r="I75" s="72">
        <f>I74+(((I74-I73)+(I73-I72)+(I72-I71)+(I71-I70)+(I70-I69)+(I69-I68))/6)</f>
        <v>0.74225</v>
      </c>
      <c r="J75" s="115">
        <v>0.110699088</v>
      </c>
      <c r="K75" s="115">
        <v>0.511983282</v>
      </c>
      <c r="L75" s="115">
        <v>0.00771307</v>
      </c>
      <c r="M75" s="116">
        <v>0.101812524</v>
      </c>
    </row>
    <row r="76">
      <c r="A76" s="108" t="s">
        <v>30</v>
      </c>
      <c r="B76" s="109">
        <v>2015.0</v>
      </c>
      <c r="C76" s="109">
        <v>1.0</v>
      </c>
      <c r="D76" s="111">
        <v>21.41666667</v>
      </c>
      <c r="E76" s="111">
        <v>30.33333333</v>
      </c>
      <c r="F76" s="112">
        <f t="shared" si="11"/>
        <v>25.875</v>
      </c>
      <c r="G76" s="113">
        <v>56.3</v>
      </c>
      <c r="H76" s="112">
        <v>38.46</v>
      </c>
      <c r="I76" s="114">
        <v>0.58</v>
      </c>
      <c r="J76" s="115">
        <v>0.4389664165</v>
      </c>
      <c r="K76" s="115">
        <v>2.030219676</v>
      </c>
      <c r="L76" s="115">
        <v>0.08687575969000001</v>
      </c>
      <c r="M76" s="116">
        <v>1.180137659</v>
      </c>
    </row>
    <row r="77">
      <c r="A77" s="108" t="s">
        <v>30</v>
      </c>
      <c r="B77" s="109">
        <v>2016.0</v>
      </c>
      <c r="C77" s="109">
        <v>1.0</v>
      </c>
      <c r="D77" s="111">
        <v>21.25</v>
      </c>
      <c r="E77" s="111">
        <v>30.75</v>
      </c>
      <c r="F77" s="112">
        <f t="shared" si="11"/>
        <v>26</v>
      </c>
      <c r="G77" s="113">
        <v>58.8</v>
      </c>
      <c r="H77" s="112">
        <v>45.33</v>
      </c>
      <c r="I77" s="114">
        <v>0.582</v>
      </c>
      <c r="J77" s="115">
        <v>0.4485441247</v>
      </c>
      <c r="K77" s="115">
        <v>2.0745165770000003</v>
      </c>
      <c r="L77" s="115">
        <v>0.08877128208</v>
      </c>
      <c r="M77" s="116">
        <v>1.205886813</v>
      </c>
    </row>
    <row r="78">
      <c r="A78" s="108" t="s">
        <v>30</v>
      </c>
      <c r="B78" s="109">
        <v>2017.0</v>
      </c>
      <c r="C78" s="109">
        <v>0.0</v>
      </c>
      <c r="D78" s="111">
        <v>21.41666667</v>
      </c>
      <c r="E78" s="111">
        <v>31.08333333</v>
      </c>
      <c r="F78" s="112">
        <f t="shared" si="11"/>
        <v>26.25</v>
      </c>
      <c r="G78" s="113">
        <v>54.6</v>
      </c>
      <c r="H78" s="112">
        <v>51.33</v>
      </c>
      <c r="I78" s="114">
        <v>0.592</v>
      </c>
      <c r="J78" s="115">
        <v>0.4581350785</v>
      </c>
      <c r="K78" s="115">
        <v>2.1188747379999997</v>
      </c>
      <c r="L78" s="115">
        <v>0.09066942592999999</v>
      </c>
      <c r="M78" s="116">
        <v>1.231671578</v>
      </c>
    </row>
    <row r="79">
      <c r="A79" s="108" t="s">
        <v>30</v>
      </c>
      <c r="B79" s="109">
        <v>2018.0</v>
      </c>
      <c r="C79" s="109">
        <v>0.0</v>
      </c>
      <c r="D79" s="111">
        <v>21.91666667</v>
      </c>
      <c r="E79" s="111">
        <v>30.91666667</v>
      </c>
      <c r="F79" s="112">
        <f t="shared" si="11"/>
        <v>26.41666667</v>
      </c>
      <c r="G79" s="113">
        <v>54.1</v>
      </c>
      <c r="H79" s="112">
        <v>40.19</v>
      </c>
      <c r="I79" s="114">
        <v>0.595</v>
      </c>
      <c r="J79" s="115">
        <v>0.4677351828</v>
      </c>
      <c r="K79" s="115">
        <v>2.1632752209999997</v>
      </c>
      <c r="L79" s="115">
        <v>0.09256938074</v>
      </c>
      <c r="M79" s="116">
        <v>1.257480943</v>
      </c>
    </row>
    <row r="80">
      <c r="A80" s="108" t="s">
        <v>30</v>
      </c>
      <c r="B80" s="109">
        <v>2019.0</v>
      </c>
      <c r="C80" s="109">
        <v>0.0</v>
      </c>
      <c r="D80" s="111">
        <v>22.83333333</v>
      </c>
      <c r="E80" s="111">
        <v>31.58333333</v>
      </c>
      <c r="F80" s="112">
        <f t="shared" si="11"/>
        <v>27.20833333</v>
      </c>
      <c r="G80" s="113">
        <v>58.7</v>
      </c>
      <c r="H80" s="112">
        <v>44.16</v>
      </c>
      <c r="I80" s="114">
        <v>0.598</v>
      </c>
      <c r="J80" s="115">
        <v>0.4773404274</v>
      </c>
      <c r="K80" s="115">
        <v>2.207699477</v>
      </c>
      <c r="L80" s="115">
        <v>0.09447035286</v>
      </c>
      <c r="M80" s="116">
        <v>1.283304128</v>
      </c>
    </row>
    <row r="81">
      <c r="A81" s="108" t="s">
        <v>30</v>
      </c>
      <c r="B81" s="109">
        <v>2020.0</v>
      </c>
      <c r="C81" s="109">
        <v>1.0</v>
      </c>
      <c r="D81" s="111">
        <v>21.91666667</v>
      </c>
      <c r="E81" s="111">
        <v>29.83333333</v>
      </c>
      <c r="F81" s="112">
        <f t="shared" si="11"/>
        <v>25.875</v>
      </c>
      <c r="G81" s="113">
        <v>60.6</v>
      </c>
      <c r="H81" s="112">
        <v>47.55</v>
      </c>
      <c r="I81" s="114">
        <f>I80+(((I80-I79)+(I79-I78)+(I78-I77)+(I77-I76))/4)</f>
        <v>0.6025</v>
      </c>
      <c r="J81" s="115">
        <v>0.4869468751</v>
      </c>
      <c r="K81" s="115">
        <v>2.2521292969999998</v>
      </c>
      <c r="L81" s="115">
        <v>0.09637156308000001</v>
      </c>
      <c r="M81" s="116">
        <v>1.309130547</v>
      </c>
    </row>
    <row r="82">
      <c r="A82" s="108" t="s">
        <v>30</v>
      </c>
      <c r="B82" s="109">
        <v>2021.0</v>
      </c>
      <c r="C82" s="109">
        <v>1.0</v>
      </c>
      <c r="D82" s="111">
        <v>21.25</v>
      </c>
      <c r="E82" s="111">
        <v>29.25</v>
      </c>
      <c r="F82" s="112">
        <f t="shared" si="11"/>
        <v>25.25</v>
      </c>
      <c r="G82" s="113">
        <f>MEDIAN(G76:G81)</f>
        <v>57.5</v>
      </c>
      <c r="H82" s="112">
        <f t="shared" ref="H82:H83" si="20">H81+3.39</f>
        <v>50.94</v>
      </c>
      <c r="I82" s="114">
        <f>I81+(((I81-I80)+(I80-I79)+(I79-I78)+(I78-I77)+(I77-I76))/5)</f>
        <v>0.607</v>
      </c>
      <c r="J82" s="115">
        <v>0.4965506614</v>
      </c>
      <c r="K82" s="115">
        <v>2.296546809</v>
      </c>
      <c r="L82" s="115">
        <v>0.09827224661</v>
      </c>
      <c r="M82" s="116">
        <v>1.334949811</v>
      </c>
    </row>
    <row r="83">
      <c r="A83" s="108" t="s">
        <v>30</v>
      </c>
      <c r="B83" s="119">
        <v>2022.0</v>
      </c>
      <c r="C83" s="109">
        <v>1.0</v>
      </c>
      <c r="D83" s="112">
        <f t="shared" ref="D83:E83" si="19">D82+(((D82-D81)+(D81-D80)+(D80-D79)+(D79-D78)+(D78-D77)+(D77-D76))/6)</f>
        <v>21.22222222</v>
      </c>
      <c r="E83" s="112">
        <f t="shared" si="19"/>
        <v>29.06944445</v>
      </c>
      <c r="F83" s="112">
        <f t="shared" si="11"/>
        <v>25.14583333</v>
      </c>
      <c r="G83" s="113">
        <v>27.0</v>
      </c>
      <c r="H83" s="112">
        <f t="shared" si="20"/>
        <v>54.33</v>
      </c>
      <c r="I83" s="114">
        <f>I82+(((I82-I81)+(I81-I80)+(I80-I79)+(I79-I78)+(I78-I77)+(I77-I76))/6)</f>
        <v>0.6115</v>
      </c>
      <c r="J83" s="115">
        <v>0.49847504</v>
      </c>
      <c r="K83" s="115">
        <v>2.30544706</v>
      </c>
      <c r="L83" s="115">
        <v>0.09865310000000001</v>
      </c>
      <c r="M83" s="116">
        <v>1.3401234</v>
      </c>
    </row>
    <row r="84">
      <c r="A84" s="108" t="s">
        <v>31</v>
      </c>
      <c r="B84" s="109">
        <v>2015.0</v>
      </c>
      <c r="C84" s="109">
        <v>1.0</v>
      </c>
      <c r="D84" s="111">
        <v>19.75</v>
      </c>
      <c r="E84" s="111">
        <v>28.83333333</v>
      </c>
      <c r="F84" s="112">
        <f t="shared" si="11"/>
        <v>24.29166667</v>
      </c>
      <c r="G84" s="113">
        <v>27.1</v>
      </c>
      <c r="H84" s="112">
        <v>58.7</v>
      </c>
      <c r="I84" s="72">
        <v>0.657</v>
      </c>
      <c r="J84" s="115">
        <v>0.6370650806</v>
      </c>
      <c r="K84" s="115">
        <v>2.944984733</v>
      </c>
      <c r="L84" s="115">
        <v>0.25105277460000003</v>
      </c>
      <c r="M84" s="116">
        <v>3.313896625</v>
      </c>
    </row>
    <row r="85">
      <c r="A85" s="108" t="s">
        <v>31</v>
      </c>
      <c r="B85" s="109">
        <v>2016.0</v>
      </c>
      <c r="C85" s="109">
        <v>1.0</v>
      </c>
      <c r="D85" s="111">
        <v>19.66666667</v>
      </c>
      <c r="E85" s="111">
        <v>29.83333333</v>
      </c>
      <c r="F85" s="112">
        <f t="shared" si="11"/>
        <v>24.75</v>
      </c>
      <c r="G85" s="113">
        <v>26.6</v>
      </c>
      <c r="H85" s="112">
        <v>61.14</v>
      </c>
      <c r="I85" s="72">
        <v>0.667</v>
      </c>
      <c r="J85" s="115">
        <v>0.6463317296</v>
      </c>
      <c r="K85" s="115">
        <v>2.98782202</v>
      </c>
      <c r="L85" s="115">
        <v>0.254704549</v>
      </c>
      <c r="M85" s="116">
        <v>3.3621000469999998</v>
      </c>
    </row>
    <row r="86">
      <c r="A86" s="108" t="s">
        <v>31</v>
      </c>
      <c r="B86" s="109">
        <v>2017.0</v>
      </c>
      <c r="C86" s="109">
        <v>0.0</v>
      </c>
      <c r="D86" s="111">
        <v>20.25</v>
      </c>
      <c r="E86" s="111">
        <v>29.5</v>
      </c>
      <c r="F86" s="112">
        <f t="shared" si="11"/>
        <v>24.875</v>
      </c>
      <c r="G86" s="113">
        <v>29.7</v>
      </c>
      <c r="H86" s="112">
        <v>60.37</v>
      </c>
      <c r="I86" s="72">
        <v>0.677</v>
      </c>
      <c r="J86" s="115">
        <v>0.6555451442</v>
      </c>
      <c r="K86" s="115">
        <v>3.030413218</v>
      </c>
      <c r="L86" s="115">
        <v>0.2583353449</v>
      </c>
      <c r="M86" s="116">
        <v>3.410026553</v>
      </c>
    </row>
    <row r="87">
      <c r="A87" s="108" t="s">
        <v>31</v>
      </c>
      <c r="B87" s="109">
        <v>2018.0</v>
      </c>
      <c r="C87" s="109">
        <v>0.0</v>
      </c>
      <c r="D87" s="111">
        <v>21.5</v>
      </c>
      <c r="E87" s="111">
        <v>29.41666667</v>
      </c>
      <c r="F87" s="112">
        <f t="shared" si="11"/>
        <v>25.45833334</v>
      </c>
      <c r="G87" s="113">
        <v>29.3</v>
      </c>
      <c r="H87" s="112">
        <v>58.05</v>
      </c>
      <c r="I87" s="72">
        <v>0.68</v>
      </c>
      <c r="J87" s="115">
        <v>0.6647030084000001</v>
      </c>
      <c r="K87" s="115">
        <v>3.072747622</v>
      </c>
      <c r="L87" s="115">
        <v>0.26194424969999996</v>
      </c>
      <c r="M87" s="116">
        <v>3.457664096</v>
      </c>
    </row>
    <row r="88">
      <c r="A88" s="108" t="s">
        <v>31</v>
      </c>
      <c r="B88" s="109">
        <v>2019.0</v>
      </c>
      <c r="C88" s="109">
        <v>1.0</v>
      </c>
      <c r="D88" s="111">
        <v>21.5</v>
      </c>
      <c r="E88" s="111">
        <v>29.75</v>
      </c>
      <c r="F88" s="112">
        <f t="shared" si="11"/>
        <v>25.625</v>
      </c>
      <c r="G88" s="113">
        <v>25.9</v>
      </c>
      <c r="H88" s="112">
        <v>59.3</v>
      </c>
      <c r="I88" s="72">
        <v>0.683</v>
      </c>
      <c r="J88" s="115">
        <v>0.6738030852</v>
      </c>
      <c r="K88" s="115">
        <v>3.1148148900000003</v>
      </c>
      <c r="L88" s="115">
        <v>0.2655303818</v>
      </c>
      <c r="M88" s="116">
        <v>3.5050010389999997</v>
      </c>
    </row>
    <row r="89">
      <c r="A89" s="108" t="s">
        <v>31</v>
      </c>
      <c r="B89" s="109">
        <v>2020.0</v>
      </c>
      <c r="C89" s="109">
        <v>1.0</v>
      </c>
      <c r="D89" s="111">
        <v>20.75</v>
      </c>
      <c r="E89" s="111">
        <v>28.83333333</v>
      </c>
      <c r="F89" s="112">
        <f t="shared" si="11"/>
        <v>24.79166667</v>
      </c>
      <c r="G89" s="113">
        <v>28.3</v>
      </c>
      <c r="H89" s="112">
        <v>57.93</v>
      </c>
      <c r="I89" s="72">
        <f>I88+(((I88-I87)+(I87-I86)+(I86-I85)+(I85-I84))/4)</f>
        <v>0.6895</v>
      </c>
      <c r="J89" s="115">
        <v>0.6828432449</v>
      </c>
      <c r="K89" s="115">
        <v>3.156605176</v>
      </c>
      <c r="L89" s="115">
        <v>0.2690929019</v>
      </c>
      <c r="M89" s="116">
        <v>3.552026305</v>
      </c>
    </row>
    <row r="90">
      <c r="A90" s="108" t="s">
        <v>31</v>
      </c>
      <c r="B90" s="109">
        <v>2021.0</v>
      </c>
      <c r="C90" s="109">
        <v>1.0</v>
      </c>
      <c r="D90" s="111">
        <v>19.91666667</v>
      </c>
      <c r="E90" s="111">
        <v>27.33333333</v>
      </c>
      <c r="F90" s="112">
        <f t="shared" si="11"/>
        <v>23.625</v>
      </c>
      <c r="G90" s="113">
        <f>MEDIAN(G84:G89)</f>
        <v>27.7</v>
      </c>
      <c r="H90" s="112">
        <f>H89-1.37</f>
        <v>56.56</v>
      </c>
      <c r="I90" s="72">
        <f>I89+(((I89-I88)+(I88-I87)+(I87-I86)+(I86-I85)+(I85-I84))/5)</f>
        <v>0.696</v>
      </c>
      <c r="J90" s="115">
        <v>0.6918214761</v>
      </c>
      <c r="K90" s="115">
        <v>3.1981091839999998</v>
      </c>
      <c r="L90" s="115">
        <v>0.2726310174</v>
      </c>
      <c r="M90" s="116">
        <v>3.59872943</v>
      </c>
    </row>
    <row r="91">
      <c r="A91" s="108" t="s">
        <v>31</v>
      </c>
      <c r="B91" s="119">
        <v>2022.0</v>
      </c>
      <c r="C91" s="109">
        <v>1.0</v>
      </c>
      <c r="D91" s="112">
        <v>21.8</v>
      </c>
      <c r="E91" s="112">
        <v>34.42</v>
      </c>
      <c r="F91" s="112">
        <f t="shared" si="11"/>
        <v>28.11</v>
      </c>
      <c r="G91" s="113">
        <v>18.0</v>
      </c>
      <c r="H91" s="120">
        <v>55.19</v>
      </c>
      <c r="I91" s="72">
        <f>I90+(((I90-I89)+(I89-I88)+(I88-I87)+(I87-I86)+(I86-I85)+(I85-I84))/6)</f>
        <v>0.7025</v>
      </c>
      <c r="J91" s="115">
        <v>0.695629392</v>
      </c>
      <c r="K91" s="115">
        <v>3.21571218</v>
      </c>
      <c r="L91" s="115">
        <v>0.27413163</v>
      </c>
      <c r="M91" s="116">
        <v>3.618537516</v>
      </c>
    </row>
    <row r="92">
      <c r="A92" s="108" t="s">
        <v>32</v>
      </c>
      <c r="B92" s="109">
        <v>2015.0</v>
      </c>
      <c r="C92" s="109">
        <v>0.0</v>
      </c>
      <c r="D92" s="111">
        <v>25.5</v>
      </c>
      <c r="E92" s="111">
        <v>31.16666667</v>
      </c>
      <c r="F92" s="112">
        <f t="shared" si="11"/>
        <v>28.33333334</v>
      </c>
      <c r="G92" s="113">
        <v>16.4</v>
      </c>
      <c r="H92" s="112">
        <v>80.0</v>
      </c>
      <c r="I92" s="114">
        <v>0.757</v>
      </c>
      <c r="J92" s="115">
        <v>0.2844631141</v>
      </c>
      <c r="K92" s="115">
        <v>1.315641903</v>
      </c>
      <c r="L92" s="115">
        <v>0.1621521337</v>
      </c>
      <c r="M92" s="116">
        <v>2.1404081639999997</v>
      </c>
    </row>
    <row r="93">
      <c r="A93" s="108" t="s">
        <v>32</v>
      </c>
      <c r="B93" s="109">
        <v>2016.0</v>
      </c>
      <c r="C93" s="109">
        <v>1.0</v>
      </c>
      <c r="D93" s="111">
        <v>25.0</v>
      </c>
      <c r="E93" s="111">
        <v>31.25</v>
      </c>
      <c r="F93" s="112">
        <f t="shared" si="11"/>
        <v>28.125</v>
      </c>
      <c r="G93" s="113">
        <v>18.5</v>
      </c>
      <c r="H93" s="112">
        <v>76.55</v>
      </c>
      <c r="I93" s="114">
        <v>0.763</v>
      </c>
      <c r="J93" s="115">
        <v>0.2856453284</v>
      </c>
      <c r="K93" s="115">
        <v>1.321109644</v>
      </c>
      <c r="L93" s="115">
        <v>0.1628260297</v>
      </c>
      <c r="M93" s="116">
        <v>2.1493035920000003</v>
      </c>
    </row>
    <row r="94">
      <c r="A94" s="108" t="s">
        <v>32</v>
      </c>
      <c r="B94" s="109">
        <v>2017.0</v>
      </c>
      <c r="C94" s="109">
        <v>1.0</v>
      </c>
      <c r="D94" s="111">
        <v>25.08333333</v>
      </c>
      <c r="E94" s="111">
        <v>32.66666667</v>
      </c>
      <c r="F94" s="112">
        <f t="shared" si="11"/>
        <v>28.875</v>
      </c>
      <c r="G94" s="113">
        <v>17.9</v>
      </c>
      <c r="H94" s="112">
        <v>74.01</v>
      </c>
      <c r="I94" s="114">
        <v>0.775</v>
      </c>
      <c r="J94" s="115">
        <v>0.28680871480000003</v>
      </c>
      <c r="K94" s="115">
        <v>1.3264903060000002</v>
      </c>
      <c r="L94" s="115">
        <v>0.1634891933</v>
      </c>
      <c r="M94" s="116">
        <v>2.1580573509999996</v>
      </c>
    </row>
    <row r="95">
      <c r="A95" s="108" t="s">
        <v>32</v>
      </c>
      <c r="B95" s="109">
        <v>2018.0</v>
      </c>
      <c r="C95" s="109">
        <v>1.0</v>
      </c>
      <c r="D95" s="111">
        <v>25.66666667</v>
      </c>
      <c r="E95" s="111">
        <v>32.16666667</v>
      </c>
      <c r="F95" s="112">
        <f t="shared" si="11"/>
        <v>28.91666667</v>
      </c>
      <c r="G95" s="113">
        <v>19.9</v>
      </c>
      <c r="H95" s="112">
        <v>76.38</v>
      </c>
      <c r="I95" s="114">
        <v>0.778</v>
      </c>
      <c r="J95" s="115">
        <v>0.28795348229999995</v>
      </c>
      <c r="K95" s="115">
        <v>1.331784855</v>
      </c>
      <c r="L95" s="115">
        <v>0.1641417436</v>
      </c>
      <c r="M95" s="116">
        <v>2.166671015</v>
      </c>
    </row>
    <row r="96">
      <c r="A96" s="108" t="s">
        <v>32</v>
      </c>
      <c r="B96" s="109">
        <v>2019.0</v>
      </c>
      <c r="C96" s="109">
        <v>1.0</v>
      </c>
      <c r="D96" s="111">
        <v>25.5</v>
      </c>
      <c r="E96" s="111">
        <v>33.41666667</v>
      </c>
      <c r="F96" s="112">
        <f t="shared" si="11"/>
        <v>29.45833334</v>
      </c>
      <c r="G96" s="113">
        <v>15.7</v>
      </c>
      <c r="H96" s="112">
        <v>79.44</v>
      </c>
      <c r="I96" s="114">
        <v>0.782</v>
      </c>
      <c r="J96" s="115">
        <v>0.2890798234</v>
      </c>
      <c r="K96" s="115">
        <v>1.336994183</v>
      </c>
      <c r="L96" s="115">
        <v>0.1647837904</v>
      </c>
      <c r="M96" s="116">
        <v>2.175146033</v>
      </c>
    </row>
    <row r="97">
      <c r="A97" s="108" t="s">
        <v>32</v>
      </c>
      <c r="B97" s="109">
        <v>2020.0</v>
      </c>
      <c r="C97" s="109">
        <v>1.0</v>
      </c>
      <c r="D97" s="111">
        <v>24.91666667</v>
      </c>
      <c r="E97" s="111">
        <v>31.0</v>
      </c>
      <c r="F97" s="112">
        <f t="shared" si="11"/>
        <v>27.95833334</v>
      </c>
      <c r="G97" s="113">
        <v>17.1</v>
      </c>
      <c r="H97" s="112">
        <v>81.6</v>
      </c>
      <c r="I97" s="114">
        <f>I96+(((I96-I95)+(I95-I94)+(I94-I93)+(I93-I92))/4)</f>
        <v>0.78825</v>
      </c>
      <c r="J97" s="115">
        <v>0.2901879642</v>
      </c>
      <c r="K97" s="115">
        <v>1.342119334</v>
      </c>
      <c r="L97" s="115">
        <v>0.1654154624</v>
      </c>
      <c r="M97" s="116">
        <v>2.183484103</v>
      </c>
    </row>
    <row r="98">
      <c r="A98" s="108" t="s">
        <v>32</v>
      </c>
      <c r="B98" s="109">
        <v>2021.0</v>
      </c>
      <c r="C98" s="109">
        <v>1.0</v>
      </c>
      <c r="D98" s="111">
        <v>24.0</v>
      </c>
      <c r="E98" s="111">
        <v>30.0</v>
      </c>
      <c r="F98" s="112">
        <f t="shared" si="11"/>
        <v>27</v>
      </c>
      <c r="G98" s="113">
        <f>MEDIAN(G92:G97)</f>
        <v>17.5</v>
      </c>
      <c r="H98" s="112">
        <f t="shared" ref="H98:H99" si="21">H97+0.6</f>
        <v>82.2</v>
      </c>
      <c r="I98" s="114">
        <f>I97+(((I97-I96)+(I96-I95)+(I95-I94)+(I94-I93)+(I93-I92))/5)</f>
        <v>0.7945</v>
      </c>
      <c r="J98" s="115">
        <v>0.291278097</v>
      </c>
      <c r="K98" s="115">
        <v>1.347161199</v>
      </c>
      <c r="L98" s="115">
        <v>0.1660368694</v>
      </c>
      <c r="M98" s="116">
        <v>2.191686676</v>
      </c>
    </row>
    <row r="99">
      <c r="A99" s="108" t="s">
        <v>32</v>
      </c>
      <c r="B99" s="119">
        <v>2022.0</v>
      </c>
      <c r="C99" s="109">
        <v>1.0</v>
      </c>
      <c r="D99" s="112">
        <v>21.8</v>
      </c>
      <c r="E99" s="112">
        <v>34.42</v>
      </c>
      <c r="F99" s="112">
        <f t="shared" si="11"/>
        <v>28.11</v>
      </c>
      <c r="G99" s="113">
        <v>29.0</v>
      </c>
      <c r="H99" s="112">
        <f t="shared" si="21"/>
        <v>82.8</v>
      </c>
      <c r="I99" s="114">
        <f>I98+(((I98-I97)+(I97-I96)+(I96-I95)+(I95-I94)+(I94-I93)+(I93-I92))/6)</f>
        <v>0.80075</v>
      </c>
      <c r="J99" s="115">
        <v>0.29262896</v>
      </c>
      <c r="K99" s="115">
        <v>1.35340894</v>
      </c>
      <c r="L99" s="115">
        <v>0.1668069</v>
      </c>
      <c r="M99" s="116">
        <v>2.20185108</v>
      </c>
    </row>
    <row r="100">
      <c r="A100" s="108" t="s">
        <v>33</v>
      </c>
      <c r="B100" s="109">
        <v>2015.0</v>
      </c>
      <c r="C100" s="109">
        <v>1.0</v>
      </c>
      <c r="D100" s="111">
        <v>22.66666667</v>
      </c>
      <c r="E100" s="111">
        <v>32.66666667</v>
      </c>
      <c r="F100" s="112">
        <f t="shared" si="11"/>
        <v>27.66666667</v>
      </c>
      <c r="G100" s="113">
        <v>50.1</v>
      </c>
      <c r="H100" s="112">
        <v>38.99</v>
      </c>
      <c r="I100" s="72">
        <v>0.581</v>
      </c>
      <c r="J100" s="115">
        <v>0.9052717445999999</v>
      </c>
      <c r="K100" s="115">
        <v>4.186881819</v>
      </c>
      <c r="L100" s="115">
        <v>0.2160136996</v>
      </c>
      <c r="M100" s="116">
        <v>2.851380835</v>
      </c>
    </row>
    <row r="101">
      <c r="A101" s="108" t="s">
        <v>33</v>
      </c>
      <c r="B101" s="109">
        <v>2016.0</v>
      </c>
      <c r="C101" s="109">
        <v>1.0</v>
      </c>
      <c r="D101" s="111">
        <v>22.25</v>
      </c>
      <c r="E101" s="111">
        <v>32.5</v>
      </c>
      <c r="F101" s="112">
        <f t="shared" si="11"/>
        <v>27.375</v>
      </c>
      <c r="G101" s="113">
        <v>49.6</v>
      </c>
      <c r="H101" s="112">
        <v>39.6</v>
      </c>
      <c r="I101" s="72">
        <v>0.588</v>
      </c>
      <c r="J101" s="115">
        <v>0.9212707948000001</v>
      </c>
      <c r="K101" s="115">
        <v>4.260877426</v>
      </c>
      <c r="L101" s="115">
        <v>0.21983135329999998</v>
      </c>
      <c r="M101" s="116">
        <v>2.901773863</v>
      </c>
    </row>
    <row r="102">
      <c r="A102" s="108" t="s">
        <v>33</v>
      </c>
      <c r="B102" s="109">
        <v>2017.0</v>
      </c>
      <c r="C102" s="109">
        <v>1.0</v>
      </c>
      <c r="D102" s="111">
        <v>22.66666667</v>
      </c>
      <c r="E102" s="111">
        <v>33.5</v>
      </c>
      <c r="F102" s="112">
        <f t="shared" si="11"/>
        <v>28.08333334</v>
      </c>
      <c r="G102" s="113">
        <v>51.5</v>
      </c>
      <c r="H102" s="112">
        <v>40.09</v>
      </c>
      <c r="I102" s="72">
        <v>0.598</v>
      </c>
      <c r="J102" s="115">
        <v>0.9372269786999999</v>
      </c>
      <c r="K102" s="115">
        <v>4.334674776</v>
      </c>
      <c r="L102" s="115">
        <v>0.2236387783</v>
      </c>
      <c r="M102" s="116">
        <v>2.952031874</v>
      </c>
    </row>
    <row r="103">
      <c r="A103" s="108" t="s">
        <v>33</v>
      </c>
      <c r="B103" s="109">
        <v>2018.0</v>
      </c>
      <c r="C103" s="109">
        <v>0.0</v>
      </c>
      <c r="D103" s="111">
        <v>23.58333333</v>
      </c>
      <c r="E103" s="111">
        <v>32.41666667</v>
      </c>
      <c r="F103" s="112">
        <f t="shared" si="11"/>
        <v>28</v>
      </c>
      <c r="G103" s="113">
        <v>51.2</v>
      </c>
      <c r="H103" s="112">
        <v>38.39</v>
      </c>
      <c r="I103" s="72">
        <v>0.6</v>
      </c>
      <c r="J103" s="115">
        <v>0.9531348542</v>
      </c>
      <c r="K103" s="115">
        <v>4.408248701000001</v>
      </c>
      <c r="L103" s="115">
        <v>0.2274346761</v>
      </c>
      <c r="M103" s="116">
        <v>3.0021377250000003</v>
      </c>
    </row>
    <row r="104">
      <c r="A104" s="108" t="s">
        <v>33</v>
      </c>
      <c r="B104" s="109">
        <v>2019.0</v>
      </c>
      <c r="C104" s="109">
        <v>0.0</v>
      </c>
      <c r="D104" s="111">
        <v>22.66666667</v>
      </c>
      <c r="E104" s="111">
        <v>30.58333333</v>
      </c>
      <c r="F104" s="112">
        <f t="shared" si="11"/>
        <v>26.625</v>
      </c>
      <c r="G104" s="113">
        <v>54.8</v>
      </c>
      <c r="H104" s="112">
        <v>33.37</v>
      </c>
      <c r="I104" s="72">
        <v>0.603</v>
      </c>
      <c r="J104" s="115">
        <v>0.9689891874000001</v>
      </c>
      <c r="K104" s="115">
        <v>4.481574992</v>
      </c>
      <c r="L104" s="115">
        <v>0.2312177979</v>
      </c>
      <c r="M104" s="116">
        <v>3.052074932</v>
      </c>
    </row>
    <row r="105">
      <c r="A105" s="108" t="s">
        <v>33</v>
      </c>
      <c r="B105" s="109">
        <v>2020.0</v>
      </c>
      <c r="C105" s="109">
        <v>1.0</v>
      </c>
      <c r="D105" s="111">
        <v>23.5</v>
      </c>
      <c r="E105" s="111">
        <v>31.91666667</v>
      </c>
      <c r="F105" s="112">
        <f t="shared" si="11"/>
        <v>27.70833334</v>
      </c>
      <c r="G105" s="113">
        <v>53.2</v>
      </c>
      <c r="H105" s="112">
        <v>36.72</v>
      </c>
      <c r="I105" s="72">
        <f>I104+(((I104-I103)+(I103-I102)+(I102-I101)+(I101-I100))/4)</f>
        <v>0.6085</v>
      </c>
      <c r="J105" s="115">
        <v>0.9847848835999999</v>
      </c>
      <c r="K105" s="115">
        <v>4.5546300870000005</v>
      </c>
      <c r="L105" s="115">
        <v>0.2349869277</v>
      </c>
      <c r="M105" s="116">
        <v>3.101827446</v>
      </c>
    </row>
    <row r="106">
      <c r="A106" s="108" t="s">
        <v>33</v>
      </c>
      <c r="B106" s="109">
        <v>2021.0</v>
      </c>
      <c r="C106" s="109">
        <v>1.0</v>
      </c>
      <c r="D106" s="111">
        <v>22.5</v>
      </c>
      <c r="E106" s="111">
        <v>32.0</v>
      </c>
      <c r="F106" s="112">
        <f t="shared" si="11"/>
        <v>27.25</v>
      </c>
      <c r="G106" s="113">
        <f>MEDIAN(G100:G105)</f>
        <v>51.35</v>
      </c>
      <c r="H106" s="112">
        <f t="shared" ref="H106:H107" si="23">H105+3.35</f>
        <v>40.07</v>
      </c>
      <c r="I106" s="72">
        <f>I105+(((I105-I104)+(I104-I103)+(I103-I102)+(I102-I101)+(I101-I100))/5)</f>
        <v>0.614</v>
      </c>
      <c r="J106" s="115">
        <v>1.000516998</v>
      </c>
      <c r="K106" s="115">
        <v>4.627391117999999</v>
      </c>
      <c r="L106" s="115">
        <v>0.23874088599999999</v>
      </c>
      <c r="M106" s="116">
        <v>3.1513796949999997</v>
      </c>
    </row>
    <row r="107">
      <c r="A107" s="108" t="s">
        <v>33</v>
      </c>
      <c r="B107" s="119">
        <v>2022.0</v>
      </c>
      <c r="C107" s="109">
        <v>0.0</v>
      </c>
      <c r="D107" s="112">
        <f t="shared" ref="D107:E107" si="22">D106+(((D106-D105)+(D105-D104)+(D104-D103)+(D103-D102)+(D102-D101)+(D101-D100))/6)</f>
        <v>22.47222222</v>
      </c>
      <c r="E107" s="112">
        <f t="shared" si="22"/>
        <v>31.88888889</v>
      </c>
      <c r="F107" s="112">
        <f t="shared" si="11"/>
        <v>27.18055556</v>
      </c>
      <c r="G107" s="113">
        <v>35.0</v>
      </c>
      <c r="H107" s="112">
        <f t="shared" si="23"/>
        <v>43.42</v>
      </c>
      <c r="I107" s="72">
        <f>I106+(((I106-I105)+(I105-I104)+(I104-I103)+(I103-I102)+(I102-I101)+(I101-I100))/6)</f>
        <v>0.6195</v>
      </c>
      <c r="J107" s="115">
        <v>1.01549584</v>
      </c>
      <c r="K107" s="115">
        <v>4.69666826</v>
      </c>
      <c r="L107" s="115">
        <v>0.2423151</v>
      </c>
      <c r="M107" s="116">
        <v>3.1985593199999998</v>
      </c>
    </row>
    <row r="108">
      <c r="A108" s="108" t="s">
        <v>34</v>
      </c>
      <c r="B108" s="109">
        <v>2015.0</v>
      </c>
      <c r="C108" s="109">
        <v>1.0</v>
      </c>
      <c r="D108" s="111">
        <v>26.25</v>
      </c>
      <c r="E108" s="111">
        <v>32.25</v>
      </c>
      <c r="F108" s="112">
        <f t="shared" si="11"/>
        <v>29.25</v>
      </c>
      <c r="G108" s="113">
        <v>39.3</v>
      </c>
      <c r="H108" s="112">
        <v>60.09</v>
      </c>
      <c r="I108" s="72">
        <v>0.678</v>
      </c>
      <c r="J108" s="115">
        <v>1.034600445</v>
      </c>
      <c r="K108" s="115">
        <v>4.7850270596568</v>
      </c>
      <c r="L108" s="115">
        <v>0.533778661668</v>
      </c>
      <c r="M108" s="116">
        <v>7.0458783340176</v>
      </c>
    </row>
    <row r="109">
      <c r="A109" s="108" t="s">
        <v>34</v>
      </c>
      <c r="B109" s="109">
        <v>2016.0</v>
      </c>
      <c r="C109" s="109">
        <v>1.0</v>
      </c>
      <c r="D109" s="111">
        <v>25.75</v>
      </c>
      <c r="E109" s="111">
        <v>31.16666667</v>
      </c>
      <c r="F109" s="112">
        <f t="shared" si="11"/>
        <v>28.45833334</v>
      </c>
      <c r="G109" s="113">
        <v>38.9</v>
      </c>
      <c r="H109" s="112">
        <v>61.07</v>
      </c>
      <c r="I109" s="72">
        <v>0.68</v>
      </c>
      <c r="J109" s="115">
        <v>1.0467687574080002</v>
      </c>
      <c r="K109" s="115">
        <v>4.841305503012</v>
      </c>
      <c r="L109" s="115">
        <v>0.54005662662</v>
      </c>
      <c r="M109" s="116">
        <v>7.128747471384</v>
      </c>
    </row>
    <row r="110">
      <c r="A110" s="108" t="s">
        <v>34</v>
      </c>
      <c r="B110" s="109">
        <v>2017.0</v>
      </c>
      <c r="C110" s="109">
        <v>1.0</v>
      </c>
      <c r="D110" s="111">
        <v>26.83333333</v>
      </c>
      <c r="E110" s="111">
        <v>32.08333333</v>
      </c>
      <c r="F110" s="112">
        <f t="shared" si="11"/>
        <v>29.45833333</v>
      </c>
      <c r="G110" s="113">
        <v>41.6</v>
      </c>
      <c r="H110" s="112">
        <v>63.99</v>
      </c>
      <c r="I110" s="72">
        <v>0.691</v>
      </c>
      <c r="J110" s="115">
        <v>1.0588339516128</v>
      </c>
      <c r="K110" s="115">
        <v>4.897107026209201</v>
      </c>
      <c r="L110" s="115">
        <v>0.546281390242</v>
      </c>
      <c r="M110" s="116">
        <v>7.2109143511944005</v>
      </c>
    </row>
    <row r="111">
      <c r="A111" s="108" t="s">
        <v>34</v>
      </c>
      <c r="B111" s="109">
        <v>2018.0</v>
      </c>
      <c r="C111" s="109">
        <v>1.0</v>
      </c>
      <c r="D111" s="111">
        <v>27.58333333</v>
      </c>
      <c r="E111" s="111">
        <v>31.83333333</v>
      </c>
      <c r="F111" s="112">
        <f t="shared" si="11"/>
        <v>29.70833333</v>
      </c>
      <c r="G111" s="113">
        <v>41.3</v>
      </c>
      <c r="H111" s="112">
        <v>68.61</v>
      </c>
      <c r="I111" s="72">
        <v>0.694</v>
      </c>
      <c r="J111" s="115">
        <v>1.0707941259840004</v>
      </c>
      <c r="K111" s="115">
        <v>4.9524228326760005</v>
      </c>
      <c r="L111" s="115">
        <v>0.5524519712599999</v>
      </c>
      <c r="M111" s="116">
        <v>7.292366020631999</v>
      </c>
    </row>
    <row r="112">
      <c r="A112" s="108" t="s">
        <v>34</v>
      </c>
      <c r="B112" s="109">
        <v>2019.0</v>
      </c>
      <c r="C112" s="109">
        <v>1.0</v>
      </c>
      <c r="D112" s="111">
        <v>26.66666667</v>
      </c>
      <c r="E112" s="111">
        <v>31.08333333</v>
      </c>
      <c r="F112" s="112">
        <f t="shared" si="11"/>
        <v>28.875</v>
      </c>
      <c r="G112" s="113">
        <v>40.8</v>
      </c>
      <c r="H112" s="112">
        <v>64.53</v>
      </c>
      <c r="I112" s="72">
        <v>0.697</v>
      </c>
      <c r="J112" s="115">
        <v>1.0826475012672</v>
      </c>
      <c r="K112" s="115">
        <v>5.0072446933608</v>
      </c>
      <c r="L112" s="115">
        <v>0.558567451708</v>
      </c>
      <c r="M112" s="116">
        <v>7.373090362545599</v>
      </c>
    </row>
    <row r="113">
      <c r="A113" s="108" t="s">
        <v>34</v>
      </c>
      <c r="B113" s="109">
        <v>2020.0</v>
      </c>
      <c r="C113" s="109">
        <v>1.0</v>
      </c>
      <c r="D113" s="111">
        <v>24.83333333</v>
      </c>
      <c r="E113" s="111">
        <v>29.58333333</v>
      </c>
      <c r="F113" s="112">
        <f t="shared" si="11"/>
        <v>27.20833333</v>
      </c>
      <c r="G113" s="113">
        <v>42.0</v>
      </c>
      <c r="H113" s="112">
        <v>65.54</v>
      </c>
      <c r="I113" s="72">
        <f>I112+(((I112-I111)+(I111-I110)+(I110-I109)+(I109-I108))/4)</f>
        <v>0.70175</v>
      </c>
      <c r="J113" s="115">
        <v>1.0943923858560003</v>
      </c>
      <c r="K113" s="115">
        <v>5.061564784584001</v>
      </c>
      <c r="L113" s="115">
        <v>0.56462695884</v>
      </c>
      <c r="M113" s="116">
        <v>7.453075856688</v>
      </c>
    </row>
    <row r="114">
      <c r="A114" s="108" t="s">
        <v>34</v>
      </c>
      <c r="B114" s="109">
        <v>2021.0</v>
      </c>
      <c r="C114" s="109">
        <v>1.0</v>
      </c>
      <c r="D114" s="111">
        <v>25.33333333</v>
      </c>
      <c r="E114" s="111">
        <v>30.33333333</v>
      </c>
      <c r="F114" s="112">
        <f t="shared" si="11"/>
        <v>27.83333333</v>
      </c>
      <c r="G114" s="113">
        <v>46.4</v>
      </c>
      <c r="H114" s="112">
        <f t="shared" ref="H114:H115" si="25">H113+3.6</f>
        <v>69.14</v>
      </c>
      <c r="I114" s="72">
        <f>I113+(((I113-I112)+(I112-I111)+(I111-I110)+(I110-I109)+(I109-I108))/5)</f>
        <v>0.7065</v>
      </c>
      <c r="J114" s="115">
        <v>1.1060272459104004</v>
      </c>
      <c r="K114" s="115">
        <v>5.1153760123356005</v>
      </c>
      <c r="L114" s="115">
        <v>0.570629701306</v>
      </c>
      <c r="M114" s="116">
        <v>7.532312057239198</v>
      </c>
    </row>
    <row r="115">
      <c r="A115" s="108" t="s">
        <v>34</v>
      </c>
      <c r="B115" s="119">
        <v>2022.0</v>
      </c>
      <c r="C115" s="109">
        <v>1.0</v>
      </c>
      <c r="D115" s="112">
        <f t="shared" ref="D115:E115" si="24">D114+(((D114-D113)+(D113-D112)+(D112-D111)+(D111-D110)+(D110-D109)+(D109-D108))/6)</f>
        <v>25.18055555</v>
      </c>
      <c r="E115" s="112">
        <f t="shared" si="24"/>
        <v>30.01388889</v>
      </c>
      <c r="F115" s="112">
        <f t="shared" si="11"/>
        <v>27.59722222</v>
      </c>
      <c r="G115" s="113">
        <v>51.0</v>
      </c>
      <c r="H115" s="112">
        <f t="shared" si="25"/>
        <v>72.74</v>
      </c>
      <c r="I115" s="72">
        <f>I114+(((I114-I113)+(I113-I112)+(I112-I111)+(I111-I110)+(I110-I109)+(I109-I108))/6)</f>
        <v>0.71125</v>
      </c>
      <c r="J115" s="115">
        <v>1.140914016</v>
      </c>
      <c r="K115" s="115">
        <v>5.276727324</v>
      </c>
      <c r="L115" s="115">
        <v>0.58862874</v>
      </c>
      <c r="M115" s="116">
        <v>7.769899368</v>
      </c>
    </row>
    <row r="116">
      <c r="A116" s="108" t="s">
        <v>35</v>
      </c>
      <c r="B116" s="109">
        <v>2015.0</v>
      </c>
      <c r="C116" s="109">
        <v>1.0</v>
      </c>
      <c r="D116" s="111">
        <v>13.75</v>
      </c>
      <c r="E116" s="111">
        <v>27.41666667</v>
      </c>
      <c r="F116" s="112">
        <f t="shared" si="11"/>
        <v>20.58333334</v>
      </c>
      <c r="G116" s="113">
        <v>30.3</v>
      </c>
      <c r="H116" s="112">
        <v>57.78</v>
      </c>
      <c r="I116" s="72">
        <v>0.692</v>
      </c>
      <c r="J116" s="115">
        <v>0.03526852942</v>
      </c>
      <c r="K116" s="115">
        <v>0.1630478214</v>
      </c>
      <c r="L116" s="115">
        <v>0.009095509114</v>
      </c>
      <c r="M116" s="116">
        <v>0.120307336</v>
      </c>
    </row>
    <row r="117">
      <c r="A117" s="108" t="s">
        <v>35</v>
      </c>
      <c r="B117" s="109">
        <v>2016.0</v>
      </c>
      <c r="C117" s="109">
        <v>1.0</v>
      </c>
      <c r="D117" s="111">
        <v>14.66666667</v>
      </c>
      <c r="E117" s="111">
        <v>28.0</v>
      </c>
      <c r="F117" s="112">
        <f t="shared" si="11"/>
        <v>21.33333334</v>
      </c>
      <c r="G117" s="113">
        <v>28.4</v>
      </c>
      <c r="H117" s="112">
        <v>60.59</v>
      </c>
      <c r="I117" s="72">
        <v>0.68</v>
      </c>
      <c r="J117" s="115">
        <v>0.036001392800000004</v>
      </c>
      <c r="K117" s="115">
        <v>0.1664358782</v>
      </c>
      <c r="L117" s="115">
        <v>0.009284509497999999</v>
      </c>
      <c r="M117" s="116">
        <v>0.12280726559999999</v>
      </c>
    </row>
    <row r="118">
      <c r="A118" s="108" t="s">
        <v>35</v>
      </c>
      <c r="B118" s="109">
        <v>2017.0</v>
      </c>
      <c r="C118" s="109">
        <v>1.0</v>
      </c>
      <c r="D118" s="111">
        <v>15.41666667</v>
      </c>
      <c r="E118" s="111">
        <v>28.41666667</v>
      </c>
      <c r="F118" s="112">
        <f t="shared" si="11"/>
        <v>21.91666667</v>
      </c>
      <c r="G118" s="113">
        <v>28.0</v>
      </c>
      <c r="H118" s="112">
        <v>51.67</v>
      </c>
      <c r="I118" s="72">
        <v>0.691</v>
      </c>
      <c r="J118" s="115">
        <v>0.03673453935</v>
      </c>
      <c r="K118" s="115">
        <v>0.16982524400000001</v>
      </c>
      <c r="L118" s="115">
        <v>0.009473582907</v>
      </c>
      <c r="M118" s="116">
        <v>0.1253081611</v>
      </c>
    </row>
    <row r="119">
      <c r="A119" s="108" t="s">
        <v>35</v>
      </c>
      <c r="B119" s="109">
        <v>2018.0</v>
      </c>
      <c r="C119" s="109">
        <v>0.0</v>
      </c>
      <c r="D119" s="111">
        <v>16.75</v>
      </c>
      <c r="E119" s="111">
        <v>27.66666667</v>
      </c>
      <c r="F119" s="112">
        <f t="shared" si="11"/>
        <v>22.20833334</v>
      </c>
      <c r="G119" s="113">
        <v>32.8</v>
      </c>
      <c r="H119" s="112">
        <v>45.64</v>
      </c>
      <c r="I119" s="72">
        <v>0.694</v>
      </c>
      <c r="J119" s="115">
        <v>0.037467640590000004</v>
      </c>
      <c r="K119" s="115">
        <v>0.17321440030000002</v>
      </c>
      <c r="L119" s="115">
        <v>0.009662644631999999</v>
      </c>
      <c r="M119" s="116">
        <v>0.1278089021</v>
      </c>
    </row>
    <row r="120">
      <c r="A120" s="108" t="s">
        <v>35</v>
      </c>
      <c r="B120" s="109">
        <v>2019.0</v>
      </c>
      <c r="C120" s="109">
        <v>0.0</v>
      </c>
      <c r="D120" s="111">
        <v>16.91666667</v>
      </c>
      <c r="E120" s="111">
        <v>27.41666667</v>
      </c>
      <c r="F120" s="112">
        <f t="shared" si="11"/>
        <v>22.16666667</v>
      </c>
      <c r="G120" s="113">
        <v>29.2</v>
      </c>
      <c r="H120" s="112">
        <v>39.99</v>
      </c>
      <c r="I120" s="72">
        <v>0.697</v>
      </c>
      <c r="J120" s="115">
        <v>0.03820042469</v>
      </c>
      <c r="K120" s="115">
        <v>0.1766020905</v>
      </c>
      <c r="L120" s="115">
        <v>0.009851624569</v>
      </c>
      <c r="M120" s="116">
        <v>0.13030856130000001</v>
      </c>
    </row>
    <row r="121">
      <c r="A121" s="108" t="s">
        <v>35</v>
      </c>
      <c r="B121" s="109">
        <v>2020.0</v>
      </c>
      <c r="C121" s="109">
        <v>1.0</v>
      </c>
      <c r="D121" s="111">
        <v>16.91666667</v>
      </c>
      <c r="E121" s="111">
        <v>27.5</v>
      </c>
      <c r="F121" s="112">
        <f t="shared" si="11"/>
        <v>22.20833334</v>
      </c>
      <c r="G121" s="113">
        <v>29.2</v>
      </c>
      <c r="H121" s="112">
        <v>34.26</v>
      </c>
      <c r="I121" s="72">
        <f>I120+(((I120-I119)+(I119-I118)+(I118-I117)+(I117-I116))/4)</f>
        <v>0.69825</v>
      </c>
      <c r="J121" s="115">
        <v>0.03893259716</v>
      </c>
      <c r="K121" s="115">
        <v>0.1799869531</v>
      </c>
      <c r="L121" s="115">
        <v>0.010040446770000001</v>
      </c>
      <c r="M121" s="116">
        <v>0.1328061341</v>
      </c>
    </row>
    <row r="122">
      <c r="A122" s="108" t="s">
        <v>35</v>
      </c>
      <c r="B122" s="109">
        <v>2021.0</v>
      </c>
      <c r="C122" s="109">
        <v>1.0</v>
      </c>
      <c r="D122" s="111">
        <v>15.83333333</v>
      </c>
      <c r="E122" s="111">
        <v>27.83333333</v>
      </c>
      <c r="F122" s="112">
        <f t="shared" si="11"/>
        <v>21.83333333</v>
      </c>
      <c r="G122" s="113">
        <f>MEDIAN(G116:G121)</f>
        <v>29.2</v>
      </c>
      <c r="H122" s="112">
        <f t="shared" ref="H122:H123" si="26">H121-5.73</f>
        <v>28.53</v>
      </c>
      <c r="I122" s="72">
        <f>I121+(((I121-I120)+(I120-I119)+(I119-I118)+(I118-I117)+(I117-I116))/5)</f>
        <v>0.6995</v>
      </c>
      <c r="J122" s="115">
        <v>0.03966388618</v>
      </c>
      <c r="K122" s="115">
        <v>0.1833677315</v>
      </c>
      <c r="L122" s="115">
        <v>0.010229041139999999</v>
      </c>
      <c r="M122" s="116">
        <v>0.13530069330000002</v>
      </c>
    </row>
    <row r="123">
      <c r="A123" s="108" t="s">
        <v>35</v>
      </c>
      <c r="B123" s="119">
        <v>2022.0</v>
      </c>
      <c r="C123" s="109">
        <v>1.0</v>
      </c>
      <c r="D123" s="112">
        <v>17.98</v>
      </c>
      <c r="E123" s="112">
        <v>33.75</v>
      </c>
      <c r="F123" s="112">
        <f t="shared" si="11"/>
        <v>25.865</v>
      </c>
      <c r="G123" s="113">
        <v>37.0</v>
      </c>
      <c r="H123" s="112">
        <f t="shared" si="26"/>
        <v>22.8</v>
      </c>
      <c r="I123" s="72">
        <f>I122+(((I122-I121)+(I121-I120)+(I120-I119)+(I119-I118)+(I118-I117)+(I117-I116))/6)</f>
        <v>0.70075</v>
      </c>
      <c r="J123" s="115">
        <v>0.040548512</v>
      </c>
      <c r="K123" s="115">
        <v>0.187457392</v>
      </c>
      <c r="L123" s="115">
        <v>0.01045718</v>
      </c>
      <c r="M123" s="116">
        <v>0.138318312</v>
      </c>
    </row>
    <row r="124">
      <c r="A124" s="108" t="s">
        <v>36</v>
      </c>
      <c r="B124" s="109">
        <v>2015.0</v>
      </c>
      <c r="C124" s="109">
        <v>1.0</v>
      </c>
      <c r="D124" s="111">
        <v>13.0</v>
      </c>
      <c r="E124" s="111">
        <v>21.0</v>
      </c>
      <c r="F124" s="112">
        <f t="shared" si="11"/>
        <v>17</v>
      </c>
      <c r="G124" s="113">
        <v>33.6</v>
      </c>
      <c r="H124" s="118">
        <v>51.4</v>
      </c>
      <c r="I124" s="72">
        <v>0.646</v>
      </c>
      <c r="J124" s="115">
        <v>0.04244372522</v>
      </c>
      <c r="K124" s="115">
        <v>0.1963759069</v>
      </c>
      <c r="L124" s="115">
        <v>0.006660871739999999</v>
      </c>
      <c r="M124" s="116">
        <v>0.08792350697</v>
      </c>
    </row>
    <row r="125">
      <c r="A125" s="108" t="s">
        <v>36</v>
      </c>
      <c r="B125" s="109">
        <v>2016.0</v>
      </c>
      <c r="C125" s="109">
        <v>1.0</v>
      </c>
      <c r="D125" s="111">
        <v>13.91666667</v>
      </c>
      <c r="E125" s="111">
        <v>22.0</v>
      </c>
      <c r="F125" s="112">
        <f t="shared" si="11"/>
        <v>17.95833334</v>
      </c>
      <c r="G125" s="113">
        <v>33.9</v>
      </c>
      <c r="H125" s="118">
        <v>56.83</v>
      </c>
      <c r="I125" s="72">
        <v>0.64</v>
      </c>
      <c r="J125" s="115">
        <v>0.04359029229</v>
      </c>
      <c r="K125" s="115">
        <v>0.20168076999999998</v>
      </c>
      <c r="L125" s="115">
        <v>0.006840807318</v>
      </c>
      <c r="M125" s="116">
        <v>0.0902986566</v>
      </c>
    </row>
    <row r="126">
      <c r="A126" s="108" t="s">
        <v>36</v>
      </c>
      <c r="B126" s="109">
        <v>2017.0</v>
      </c>
      <c r="C126" s="109">
        <v>0.0</v>
      </c>
      <c r="D126" s="111">
        <v>14.75</v>
      </c>
      <c r="E126" s="111">
        <v>22.0</v>
      </c>
      <c r="F126" s="112">
        <f t="shared" si="11"/>
        <v>18.375</v>
      </c>
      <c r="G126" s="113">
        <v>34.2</v>
      </c>
      <c r="H126" s="118">
        <v>55.95</v>
      </c>
      <c r="I126" s="72">
        <v>0.65</v>
      </c>
      <c r="J126" s="115">
        <v>0.04474427687</v>
      </c>
      <c r="K126" s="115">
        <v>0.20701995180000002</v>
      </c>
      <c r="L126" s="115">
        <v>0.007021906956</v>
      </c>
      <c r="M126" s="116">
        <v>0.09268917182</v>
      </c>
    </row>
    <row r="127">
      <c r="A127" s="108" t="s">
        <v>36</v>
      </c>
      <c r="B127" s="109">
        <v>2018.0</v>
      </c>
      <c r="C127" s="109">
        <v>0.0</v>
      </c>
      <c r="D127" s="111">
        <v>15.5</v>
      </c>
      <c r="E127" s="111">
        <v>21.66666667</v>
      </c>
      <c r="F127" s="112">
        <f t="shared" si="11"/>
        <v>18.58333334</v>
      </c>
      <c r="G127" s="113">
        <v>40.5</v>
      </c>
      <c r="H127" s="118">
        <v>53.2</v>
      </c>
      <c r="I127" s="72">
        <v>0.652</v>
      </c>
      <c r="J127" s="115">
        <v>0.045905116249999996</v>
      </c>
      <c r="K127" s="115">
        <v>0.2123908491</v>
      </c>
      <c r="L127" s="115">
        <v>0.007204082346</v>
      </c>
      <c r="M127" s="116">
        <v>0.09509388697000001</v>
      </c>
    </row>
    <row r="128">
      <c r="A128" s="108" t="s">
        <v>36</v>
      </c>
      <c r="B128" s="109">
        <v>2019.0</v>
      </c>
      <c r="C128" s="109">
        <v>0.0</v>
      </c>
      <c r="D128" s="111">
        <v>17.0</v>
      </c>
      <c r="E128" s="111">
        <v>22.41666667</v>
      </c>
      <c r="F128" s="112">
        <f t="shared" si="11"/>
        <v>19.70833334</v>
      </c>
      <c r="G128" s="113">
        <v>36.9</v>
      </c>
      <c r="H128" s="118">
        <v>45.31</v>
      </c>
      <c r="I128" s="72">
        <v>0.656</v>
      </c>
      <c r="J128" s="115">
        <v>0.0470722605</v>
      </c>
      <c r="K128" s="115">
        <v>0.2177909173</v>
      </c>
      <c r="L128" s="115">
        <v>0.007387247187</v>
      </c>
      <c r="M128" s="116">
        <v>0.09751166287</v>
      </c>
    </row>
    <row r="129">
      <c r="A129" s="108" t="s">
        <v>36</v>
      </c>
      <c r="B129" s="109">
        <v>2020.0</v>
      </c>
      <c r="C129" s="109">
        <v>1.0</v>
      </c>
      <c r="D129" s="111">
        <v>12.91666667</v>
      </c>
      <c r="E129" s="111">
        <v>21.75</v>
      </c>
      <c r="F129" s="112">
        <f t="shared" si="11"/>
        <v>17.33333334</v>
      </c>
      <c r="G129" s="113">
        <v>36.9</v>
      </c>
      <c r="H129" s="118">
        <v>25.35</v>
      </c>
      <c r="I129" s="72">
        <f>I128+(((I128-I127)+(I127-I126)+(I126-I125)+(I125-I124))/4)</f>
        <v>0.6585</v>
      </c>
      <c r="J129" s="115">
        <v>0.04824513414</v>
      </c>
      <c r="K129" s="115">
        <v>0.2232174938</v>
      </c>
      <c r="L129" s="115">
        <v>0.007571311164</v>
      </c>
      <c r="M129" s="116">
        <v>0.09994130736000001</v>
      </c>
    </row>
    <row r="130">
      <c r="A130" s="108" t="s">
        <v>36</v>
      </c>
      <c r="B130" s="109">
        <v>2021.0</v>
      </c>
      <c r="C130" s="109">
        <v>1.0</v>
      </c>
      <c r="D130" s="111">
        <v>14.0</v>
      </c>
      <c r="E130" s="111">
        <v>23.08333333</v>
      </c>
      <c r="F130" s="112">
        <f t="shared" si="11"/>
        <v>18.54166667</v>
      </c>
      <c r="G130" s="113">
        <f>MEDIAN(G124:G129)</f>
        <v>35.55</v>
      </c>
      <c r="H130" s="118">
        <f t="shared" ref="H130:H131" si="27">H129+17.7</f>
        <v>43.05</v>
      </c>
      <c r="I130" s="72">
        <f>I129+(((I129-I128)+(I128-I127)+(I127-I126)+(I126-I125)+(I125-I124))/5)</f>
        <v>0.661</v>
      </c>
      <c r="J130" s="115">
        <v>0.04942320003</v>
      </c>
      <c r="K130" s="115">
        <v>0.22866809359999998</v>
      </c>
      <c r="L130" s="115">
        <v>0.007756189983</v>
      </c>
      <c r="M130" s="116">
        <v>0.1023817078</v>
      </c>
    </row>
    <row r="131">
      <c r="A131" s="108" t="s">
        <v>36</v>
      </c>
      <c r="B131" s="119">
        <v>2022.0</v>
      </c>
      <c r="C131" s="109">
        <v>1.0</v>
      </c>
      <c r="D131" s="112">
        <v>15.47</v>
      </c>
      <c r="E131" s="112">
        <v>33.75</v>
      </c>
      <c r="F131" s="112">
        <f t="shared" si="11"/>
        <v>24.61</v>
      </c>
      <c r="G131" s="113">
        <v>43.0</v>
      </c>
      <c r="H131" s="112">
        <f t="shared" si="27"/>
        <v>60.75</v>
      </c>
      <c r="I131" s="72">
        <f>I130+(((I130-I129)+(I129-I128)+(I128-I127)+(I127-I126)+(I126-I125)+(I125-I124))/6)</f>
        <v>0.6635</v>
      </c>
      <c r="J131" s="115">
        <v>0.050771536</v>
      </c>
      <c r="K131" s="115">
        <v>0.23490648800000002</v>
      </c>
      <c r="L131" s="115">
        <v>0.00796779</v>
      </c>
      <c r="M131" s="116">
        <v>0.105174828</v>
      </c>
    </row>
    <row r="132">
      <c r="A132" s="108" t="s">
        <v>37</v>
      </c>
      <c r="B132" s="109">
        <v>2015.0</v>
      </c>
      <c r="C132" s="109">
        <v>0.0</v>
      </c>
      <c r="D132" s="111">
        <v>14.75</v>
      </c>
      <c r="E132" s="111">
        <v>22.33333333</v>
      </c>
      <c r="F132" s="112">
        <f t="shared" si="11"/>
        <v>18.54166667</v>
      </c>
      <c r="G132" s="113">
        <v>38.3</v>
      </c>
      <c r="H132" s="112">
        <v>71.27</v>
      </c>
      <c r="I132" s="72">
        <v>0.695</v>
      </c>
      <c r="J132" s="115">
        <v>0.009127719064000001</v>
      </c>
      <c r="K132" s="115">
        <v>0.04221570067</v>
      </c>
      <c r="L132" s="115">
        <v>0.006207525585</v>
      </c>
      <c r="M132" s="116">
        <v>0.08193933771999999</v>
      </c>
    </row>
    <row r="133">
      <c r="A133" s="108" t="s">
        <v>37</v>
      </c>
      <c r="B133" s="109">
        <v>2016.0</v>
      </c>
      <c r="C133" s="109">
        <v>1.0</v>
      </c>
      <c r="D133" s="111">
        <v>15.58333333</v>
      </c>
      <c r="E133" s="111">
        <v>23.83333333</v>
      </c>
      <c r="F133" s="112">
        <f t="shared" si="11"/>
        <v>19.70833333</v>
      </c>
      <c r="G133" s="113">
        <v>39.1</v>
      </c>
      <c r="H133" s="112">
        <v>73.7</v>
      </c>
      <c r="I133" s="72">
        <v>0.688</v>
      </c>
      <c r="J133" s="115">
        <v>0.009307908062</v>
      </c>
      <c r="K133" s="115">
        <v>0.043049074789999996</v>
      </c>
      <c r="L133" s="115">
        <v>0.0063300674609999994</v>
      </c>
      <c r="M133" s="116">
        <v>0.08355689049000001</v>
      </c>
    </row>
    <row r="134">
      <c r="A134" s="108" t="s">
        <v>37</v>
      </c>
      <c r="B134" s="109">
        <v>2017.0</v>
      </c>
      <c r="C134" s="109">
        <v>0.0</v>
      </c>
      <c r="D134" s="111">
        <v>17.0</v>
      </c>
      <c r="E134" s="111">
        <v>23.41666667</v>
      </c>
      <c r="F134" s="112">
        <f t="shared" si="11"/>
        <v>20.20833334</v>
      </c>
      <c r="G134" s="113">
        <v>34.3</v>
      </c>
      <c r="H134" s="112">
        <v>70.63</v>
      </c>
      <c r="I134" s="72">
        <v>0.699</v>
      </c>
      <c r="J134" s="115">
        <v>0.009487974462</v>
      </c>
      <c r="K134" s="115">
        <v>0.043881881889999995</v>
      </c>
      <c r="L134" s="115">
        <v>0.006452525961000001</v>
      </c>
      <c r="M134" s="116">
        <v>0.08517334269</v>
      </c>
    </row>
    <row r="135">
      <c r="A135" s="108" t="s">
        <v>37</v>
      </c>
      <c r="B135" s="109">
        <v>2018.0</v>
      </c>
      <c r="C135" s="109">
        <v>0.0</v>
      </c>
      <c r="D135" s="111">
        <v>16.5</v>
      </c>
      <c r="E135" s="111">
        <v>23.41666667</v>
      </c>
      <c r="F135" s="112">
        <f t="shared" si="11"/>
        <v>19.95833334</v>
      </c>
      <c r="G135" s="113">
        <v>41.2</v>
      </c>
      <c r="H135" s="112">
        <v>64.01</v>
      </c>
      <c r="I135" s="72">
        <v>0.701</v>
      </c>
      <c r="J135" s="115">
        <v>0.009667864627</v>
      </c>
      <c r="K135" s="115">
        <v>0.0447138739</v>
      </c>
      <c r="L135" s="115">
        <v>0.006574864608</v>
      </c>
      <c r="M135" s="116">
        <v>0.08678821283</v>
      </c>
    </row>
    <row r="136">
      <c r="A136" s="108" t="s">
        <v>37</v>
      </c>
      <c r="B136" s="109">
        <v>2019.0</v>
      </c>
      <c r="C136" s="109">
        <v>0.0</v>
      </c>
      <c r="D136" s="111">
        <v>17.58333333</v>
      </c>
      <c r="E136" s="111">
        <v>23.08333333</v>
      </c>
      <c r="F136" s="112">
        <f t="shared" si="11"/>
        <v>20.33333333</v>
      </c>
      <c r="G136" s="113">
        <v>36.7</v>
      </c>
      <c r="H136" s="112">
        <v>57.32</v>
      </c>
      <c r="I136" s="72">
        <v>0.704</v>
      </c>
      <c r="J136" s="115">
        <v>0.009847486608</v>
      </c>
      <c r="K136" s="115">
        <v>0.04554462556</v>
      </c>
      <c r="L136" s="115">
        <v>0.006697020870000001</v>
      </c>
      <c r="M136" s="116">
        <v>0.08840067548000001</v>
      </c>
    </row>
    <row r="137">
      <c r="A137" s="108" t="s">
        <v>37</v>
      </c>
      <c r="B137" s="109">
        <v>2020.0</v>
      </c>
      <c r="C137" s="109">
        <v>1.0</v>
      </c>
      <c r="D137" s="111">
        <v>13.83333333</v>
      </c>
      <c r="E137" s="111">
        <v>23.33333333</v>
      </c>
      <c r="F137" s="112">
        <f t="shared" si="11"/>
        <v>18.58333333</v>
      </c>
      <c r="G137" s="113">
        <v>39.5</v>
      </c>
      <c r="H137" s="112">
        <v>75.77</v>
      </c>
      <c r="I137" s="72">
        <f>I136+(((I136-I135)+(I135-I134)+(I134-I133)+(I133-I132))/4)</f>
        <v>0.70625</v>
      </c>
      <c r="J137" s="115">
        <v>0.01002679443</v>
      </c>
      <c r="K137" s="115">
        <v>0.04637392424</v>
      </c>
      <c r="L137" s="115">
        <v>0.006818963481</v>
      </c>
      <c r="M137" s="116">
        <v>0.09001031795</v>
      </c>
    </row>
    <row r="138">
      <c r="A138" s="108" t="s">
        <v>37</v>
      </c>
      <c r="B138" s="109">
        <v>2021.0</v>
      </c>
      <c r="C138" s="109">
        <v>1.0</v>
      </c>
      <c r="D138" s="111">
        <v>15.25</v>
      </c>
      <c r="E138" s="111">
        <v>24.16666667</v>
      </c>
      <c r="F138" s="112">
        <f t="shared" si="11"/>
        <v>19.70833334</v>
      </c>
      <c r="G138" s="113">
        <f>MEDIAN(G132:G137)</f>
        <v>38.7</v>
      </c>
      <c r="H138" s="112">
        <f t="shared" ref="H138:H139" si="29">H137+18.45</f>
        <v>94.22</v>
      </c>
      <c r="I138" s="72">
        <f>I137+(((I137-I136)+(I136-I135)+(I135-I134)+(I134-I133)+(I133-I132))/5)</f>
        <v>0.7085</v>
      </c>
      <c r="J138" s="115">
        <v>0.01020571147</v>
      </c>
      <c r="K138" s="115">
        <v>0.04720141555</v>
      </c>
      <c r="L138" s="115">
        <v>0.006940640331</v>
      </c>
      <c r="M138" s="116">
        <v>0.09161645237</v>
      </c>
    </row>
    <row r="139">
      <c r="A139" s="108" t="s">
        <v>37</v>
      </c>
      <c r="B139" s="119">
        <v>2022.0</v>
      </c>
      <c r="C139" s="109">
        <v>0.0</v>
      </c>
      <c r="D139" s="112">
        <f t="shared" ref="D139:E139" si="28">D138+(((D138-D137)+(D137-D136)+(D136-D135)+(D135-D134)+(D134-D133)+(D133-D132))/6)</f>
        <v>15.33333333</v>
      </c>
      <c r="E139" s="112">
        <f t="shared" si="28"/>
        <v>24.47222223</v>
      </c>
      <c r="F139" s="112">
        <f t="shared" si="11"/>
        <v>19.90277778</v>
      </c>
      <c r="G139" s="113">
        <v>11.0</v>
      </c>
      <c r="H139" s="112">
        <f t="shared" si="29"/>
        <v>112.67</v>
      </c>
      <c r="I139" s="72">
        <f>I138+(((I138-I137)+(I137-I136)+(I136-I135)+(I135-I134)+(I134-I133)+(I133-I132))/6)</f>
        <v>0.71075</v>
      </c>
      <c r="J139" s="115">
        <v>0.01034424</v>
      </c>
      <c r="K139" s="115">
        <v>0.04784211</v>
      </c>
      <c r="L139" s="115">
        <v>0.0070348500000000005</v>
      </c>
      <c r="M139" s="116">
        <v>0.09286002</v>
      </c>
    </row>
    <row r="140">
      <c r="A140" s="108" t="s">
        <v>38</v>
      </c>
      <c r="B140" s="109">
        <v>2015.0</v>
      </c>
      <c r="C140" s="109">
        <v>0.0</v>
      </c>
      <c r="D140" s="111">
        <v>13.33333333</v>
      </c>
      <c r="E140" s="111">
        <v>23.5</v>
      </c>
      <c r="F140" s="112">
        <f t="shared" si="11"/>
        <v>18.41666667</v>
      </c>
      <c r="G140" s="113">
        <v>26.5</v>
      </c>
      <c r="H140" s="112">
        <v>45.26</v>
      </c>
      <c r="I140" s="72">
        <v>0.677</v>
      </c>
      <c r="J140" s="115">
        <v>0.02301648763</v>
      </c>
      <c r="K140" s="115">
        <v>0.1064512553</v>
      </c>
      <c r="L140" s="115">
        <v>0.005835815232</v>
      </c>
      <c r="M140" s="116">
        <v>0.07703276106000001</v>
      </c>
    </row>
    <row r="141">
      <c r="A141" s="108" t="s">
        <v>38</v>
      </c>
      <c r="B141" s="109">
        <v>2016.0</v>
      </c>
      <c r="C141" s="109">
        <v>1.0</v>
      </c>
      <c r="D141" s="111">
        <v>12.91666667</v>
      </c>
      <c r="E141" s="111">
        <v>24.75</v>
      </c>
      <c r="F141" s="112">
        <f t="shared" si="11"/>
        <v>18.83333334</v>
      </c>
      <c r="G141" s="113">
        <v>24.6</v>
      </c>
      <c r="H141" s="112">
        <v>37.38</v>
      </c>
      <c r="I141" s="72">
        <v>0.663</v>
      </c>
      <c r="J141" s="115">
        <v>0.02313604836</v>
      </c>
      <c r="K141" s="115">
        <v>0.1070042237</v>
      </c>
      <c r="L141" s="115">
        <v>0.005866129776</v>
      </c>
      <c r="M141" s="116">
        <v>0.07743291304</v>
      </c>
    </row>
    <row r="142">
      <c r="A142" s="108" t="s">
        <v>38</v>
      </c>
      <c r="B142" s="109">
        <v>2017.0</v>
      </c>
      <c r="C142" s="109">
        <v>1.0</v>
      </c>
      <c r="D142" s="111">
        <v>13.41666667</v>
      </c>
      <c r="E142" s="111">
        <v>24.91666667</v>
      </c>
      <c r="F142" s="112">
        <f t="shared" si="11"/>
        <v>19.16666667</v>
      </c>
      <c r="G142" s="113">
        <v>25.1</v>
      </c>
      <c r="H142" s="112">
        <v>37.59</v>
      </c>
      <c r="I142" s="72">
        <v>0.673</v>
      </c>
      <c r="J142" s="115">
        <v>0.02325383343</v>
      </c>
      <c r="K142" s="115">
        <v>0.10754897960000001</v>
      </c>
      <c r="L142" s="115">
        <v>0.005895994104</v>
      </c>
      <c r="M142" s="116">
        <v>0.07782712217</v>
      </c>
    </row>
    <row r="143">
      <c r="A143" s="108" t="s">
        <v>38</v>
      </c>
      <c r="B143" s="109">
        <v>2018.0</v>
      </c>
      <c r="C143" s="109">
        <v>0.0</v>
      </c>
      <c r="D143" s="111">
        <v>13.91666667</v>
      </c>
      <c r="E143" s="111">
        <v>24.58333333</v>
      </c>
      <c r="F143" s="112">
        <f t="shared" si="11"/>
        <v>19.25</v>
      </c>
      <c r="G143" s="113">
        <v>27.5</v>
      </c>
      <c r="H143" s="112">
        <v>38.51</v>
      </c>
      <c r="I143" s="72">
        <v>0.676</v>
      </c>
      <c r="J143" s="115">
        <v>0.02336985424</v>
      </c>
      <c r="K143" s="115">
        <v>0.1080855758</v>
      </c>
      <c r="L143" s="115">
        <v>0.005925411102</v>
      </c>
      <c r="M143" s="116">
        <v>0.07821542655000001</v>
      </c>
    </row>
    <row r="144">
      <c r="A144" s="108" t="s">
        <v>38</v>
      </c>
      <c r="B144" s="109">
        <v>2019.0</v>
      </c>
      <c r="C144" s="109">
        <v>0.0</v>
      </c>
      <c r="D144" s="111">
        <v>14.5</v>
      </c>
      <c r="E144" s="111">
        <v>25.16666667</v>
      </c>
      <c r="F144" s="112">
        <f t="shared" si="11"/>
        <v>19.83333334</v>
      </c>
      <c r="G144" s="113">
        <v>26.4</v>
      </c>
      <c r="H144" s="112">
        <v>23.53</v>
      </c>
      <c r="I144" s="72">
        <v>0.679</v>
      </c>
      <c r="J144" s="115">
        <v>0.023484122149999998</v>
      </c>
      <c r="K144" s="115">
        <v>0.1086140649</v>
      </c>
      <c r="L144" s="115">
        <v>0.005954383656</v>
      </c>
      <c r="M144" s="116">
        <v>0.07859786426</v>
      </c>
    </row>
    <row r="145">
      <c r="A145" s="108" t="s">
        <v>38</v>
      </c>
      <c r="B145" s="109">
        <v>2020.0</v>
      </c>
      <c r="C145" s="109">
        <v>1.0</v>
      </c>
      <c r="D145" s="111">
        <v>15.16666667</v>
      </c>
      <c r="E145" s="111">
        <v>24.0</v>
      </c>
      <c r="F145" s="112">
        <f t="shared" si="11"/>
        <v>19.58333334</v>
      </c>
      <c r="G145" s="113">
        <v>25.8</v>
      </c>
      <c r="H145" s="112">
        <v>27.0</v>
      </c>
      <c r="I145" s="72">
        <f t="shared" ref="I145:I147" si="30">I144+(((I144-I143)+(I143-I142)+(I142-I141)+(I141-I140))/4)</f>
        <v>0.6795</v>
      </c>
      <c r="J145" s="115">
        <v>0.023596648560000003</v>
      </c>
      <c r="K145" s="115">
        <v>0.10913449959999999</v>
      </c>
      <c r="L145" s="115">
        <v>0.005982914652000001</v>
      </c>
      <c r="M145" s="116">
        <v>0.07897447341000001</v>
      </c>
    </row>
    <row r="146">
      <c r="A146" s="108" t="s">
        <v>38</v>
      </c>
      <c r="B146" s="109">
        <v>2021.0</v>
      </c>
      <c r="C146" s="109">
        <v>1.0</v>
      </c>
      <c r="D146" s="111">
        <v>14.0</v>
      </c>
      <c r="E146" s="111">
        <v>24.83333333</v>
      </c>
      <c r="F146" s="112">
        <f t="shared" si="11"/>
        <v>19.41666667</v>
      </c>
      <c r="G146" s="113">
        <f>MEDIAN(G140:G145)</f>
        <v>26.1</v>
      </c>
      <c r="H146" s="112">
        <f t="shared" ref="H146:H147" si="31">H145+3.43</f>
        <v>30.43</v>
      </c>
      <c r="I146" s="72">
        <f t="shared" si="30"/>
        <v>0.683625</v>
      </c>
      <c r="J146" s="115">
        <v>0.02370745622</v>
      </c>
      <c r="K146" s="115">
        <v>0.109646985</v>
      </c>
      <c r="L146" s="115">
        <v>0.0060110098619999995</v>
      </c>
      <c r="M146" s="116">
        <v>0.07934533018</v>
      </c>
    </row>
    <row r="147">
      <c r="A147" s="108" t="s">
        <v>38</v>
      </c>
      <c r="B147" s="119">
        <v>2022.0</v>
      </c>
      <c r="C147" s="109">
        <v>0.0</v>
      </c>
      <c r="D147" s="112">
        <v>15.37</v>
      </c>
      <c r="E147" s="112">
        <v>33.75</v>
      </c>
      <c r="F147" s="112">
        <v>25.39</v>
      </c>
      <c r="G147" s="113">
        <v>24.0</v>
      </c>
      <c r="H147" s="112">
        <f t="shared" si="31"/>
        <v>33.86</v>
      </c>
      <c r="I147" s="72">
        <f t="shared" si="30"/>
        <v>0.68628125</v>
      </c>
      <c r="J147" s="115">
        <v>0.02383834244</v>
      </c>
      <c r="K147" s="115">
        <v>0.11025233379999999</v>
      </c>
      <c r="L147" s="115">
        <v>0.006044195976</v>
      </c>
      <c r="M147" s="116">
        <v>0.07978338688</v>
      </c>
    </row>
    <row r="148">
      <c r="A148" s="108" t="s">
        <v>39</v>
      </c>
      <c r="B148" s="109">
        <v>2015.0</v>
      </c>
      <c r="C148" s="109">
        <v>0.0</v>
      </c>
      <c r="D148" s="111">
        <v>24.91666667</v>
      </c>
      <c r="E148" s="111">
        <v>34.16666667</v>
      </c>
      <c r="F148" s="112">
        <f t="shared" ref="F148:F210" si="32">AVERAGE(D148:E148)</f>
        <v>29.54166667</v>
      </c>
      <c r="G148" s="113">
        <v>44.3</v>
      </c>
      <c r="H148" s="112">
        <v>39.43</v>
      </c>
      <c r="I148" s="72">
        <v>0.582</v>
      </c>
      <c r="J148" s="115">
        <v>0.5904054135</v>
      </c>
      <c r="K148" s="115">
        <v>2.7306250380000003</v>
      </c>
      <c r="L148" s="115">
        <v>0.07392469654999999</v>
      </c>
      <c r="M148" s="116">
        <v>0.9758059945</v>
      </c>
    </row>
    <row r="149">
      <c r="A149" s="108" t="s">
        <v>39</v>
      </c>
      <c r="B149" s="109">
        <v>2016.0</v>
      </c>
      <c r="C149" s="109">
        <v>1.0</v>
      </c>
      <c r="D149" s="111">
        <v>24.58333333</v>
      </c>
      <c r="E149" s="111">
        <v>34.08333333</v>
      </c>
      <c r="F149" s="112">
        <f t="shared" si="32"/>
        <v>29.33333333</v>
      </c>
      <c r="G149" s="113">
        <v>43.0</v>
      </c>
      <c r="H149" s="112">
        <v>35.97</v>
      </c>
      <c r="I149" s="72">
        <v>0.589</v>
      </c>
      <c r="J149" s="115">
        <v>0.5979996199000001</v>
      </c>
      <c r="K149" s="115">
        <v>2.765748242</v>
      </c>
      <c r="L149" s="115">
        <v>0.07487556758</v>
      </c>
      <c r="M149" s="116">
        <v>0.988357492</v>
      </c>
    </row>
    <row r="150">
      <c r="A150" s="108" t="s">
        <v>39</v>
      </c>
      <c r="B150" s="109">
        <v>2017.0</v>
      </c>
      <c r="C150" s="109">
        <v>0.0</v>
      </c>
      <c r="D150" s="111">
        <v>24.0</v>
      </c>
      <c r="E150" s="111">
        <v>33.58333333</v>
      </c>
      <c r="F150" s="112">
        <f t="shared" si="32"/>
        <v>28.79166667</v>
      </c>
      <c r="G150" s="113">
        <v>42.6</v>
      </c>
      <c r="H150" s="112">
        <v>42.51</v>
      </c>
      <c r="I150" s="72">
        <v>0.599</v>
      </c>
      <c r="J150" s="115">
        <v>0.6055376686</v>
      </c>
      <c r="K150" s="115">
        <v>2.8006117170000002</v>
      </c>
      <c r="L150" s="115">
        <v>0.07581940711</v>
      </c>
      <c r="M150" s="116">
        <v>1.000816174</v>
      </c>
    </row>
    <row r="151">
      <c r="A151" s="108" t="s">
        <v>39</v>
      </c>
      <c r="B151" s="109">
        <v>2018.0</v>
      </c>
      <c r="C151" s="109">
        <v>0.0</v>
      </c>
      <c r="D151" s="111">
        <v>24.75</v>
      </c>
      <c r="E151" s="111">
        <v>34.0</v>
      </c>
      <c r="F151" s="112">
        <f t="shared" si="32"/>
        <v>29.375</v>
      </c>
      <c r="G151" s="113">
        <v>43.3</v>
      </c>
      <c r="H151" s="112">
        <v>46.18</v>
      </c>
      <c r="I151" s="72">
        <v>0.602</v>
      </c>
      <c r="J151" s="115">
        <v>0.6130180668999999</v>
      </c>
      <c r="K151" s="115">
        <v>2.835208559</v>
      </c>
      <c r="L151" s="115">
        <v>0.07675602821000001</v>
      </c>
      <c r="M151" s="116">
        <v>1.013179572</v>
      </c>
    </row>
    <row r="152">
      <c r="A152" s="108" t="s">
        <v>39</v>
      </c>
      <c r="B152" s="109">
        <v>2019.0</v>
      </c>
      <c r="C152" s="109">
        <v>0.0</v>
      </c>
      <c r="D152" s="111">
        <v>25.41666667</v>
      </c>
      <c r="E152" s="111">
        <v>34.5</v>
      </c>
      <c r="F152" s="112">
        <f t="shared" si="32"/>
        <v>29.95833334</v>
      </c>
      <c r="G152" s="113">
        <v>43.5</v>
      </c>
      <c r="H152" s="112">
        <v>44.18</v>
      </c>
      <c r="I152" s="72">
        <v>0.605</v>
      </c>
      <c r="J152" s="115">
        <v>0.6204394283</v>
      </c>
      <c r="K152" s="115">
        <v>2.869532356</v>
      </c>
      <c r="L152" s="115">
        <v>0.07768525731</v>
      </c>
      <c r="M152" s="116">
        <v>1.0254453959999998</v>
      </c>
    </row>
    <row r="153">
      <c r="A153" s="108" t="s">
        <v>39</v>
      </c>
      <c r="B153" s="109">
        <v>2020.0</v>
      </c>
      <c r="C153" s="109">
        <v>1.0</v>
      </c>
      <c r="D153" s="111">
        <v>24.08333333</v>
      </c>
      <c r="E153" s="111">
        <v>32.75</v>
      </c>
      <c r="F153" s="112">
        <f t="shared" si="32"/>
        <v>28.41666667</v>
      </c>
      <c r="G153" s="113">
        <v>45.2</v>
      </c>
      <c r="H153" s="112">
        <v>44.31</v>
      </c>
      <c r="I153" s="72">
        <f t="shared" ref="I153:I155" si="33">I152+(((I152-I151)+(I151-I150)+(I150-I149)+(I149-I148))/4)</f>
        <v>0.61075</v>
      </c>
      <c r="J153" s="115">
        <v>0.6278004067</v>
      </c>
      <c r="K153" s="115">
        <v>2.903576881</v>
      </c>
      <c r="L153" s="115">
        <v>0.07860692584</v>
      </c>
      <c r="M153" s="116">
        <v>1.037611421</v>
      </c>
    </row>
    <row r="154">
      <c r="A154" s="108" t="s">
        <v>39</v>
      </c>
      <c r="B154" s="109">
        <v>2021.0</v>
      </c>
      <c r="C154" s="109">
        <v>1.0</v>
      </c>
      <c r="D154" s="111">
        <v>24.08333333</v>
      </c>
      <c r="E154" s="111">
        <v>32.33333333</v>
      </c>
      <c r="F154" s="112">
        <f t="shared" si="32"/>
        <v>28.20833333</v>
      </c>
      <c r="G154" s="113">
        <f>MEDIAN(G148:G153)</f>
        <v>43.4</v>
      </c>
      <c r="H154" s="112">
        <f t="shared" ref="H154:H155" si="34">H153+0.13</f>
        <v>44.44</v>
      </c>
      <c r="I154" s="72">
        <f t="shared" si="33"/>
        <v>0.6161875</v>
      </c>
      <c r="J154" s="115">
        <v>0.6350997489</v>
      </c>
      <c r="K154" s="115">
        <v>2.9373363390000002</v>
      </c>
      <c r="L154" s="115">
        <v>0.07952087692</v>
      </c>
      <c r="M154" s="116">
        <v>1.049675575</v>
      </c>
    </row>
    <row r="155">
      <c r="A155" s="108" t="s">
        <v>39</v>
      </c>
      <c r="B155" s="119">
        <v>2022.0</v>
      </c>
      <c r="C155" s="109">
        <v>1.0</v>
      </c>
      <c r="D155" s="112">
        <v>24.47</v>
      </c>
      <c r="E155" s="112">
        <v>33.75</v>
      </c>
      <c r="F155" s="112">
        <f t="shared" si="32"/>
        <v>29.11</v>
      </c>
      <c r="G155" s="113">
        <v>52.0</v>
      </c>
      <c r="H155" s="112">
        <f t="shared" si="34"/>
        <v>44.57</v>
      </c>
      <c r="I155" s="72">
        <f t="shared" si="33"/>
        <v>0.620484375</v>
      </c>
      <c r="J155" s="115">
        <v>0.638754</v>
      </c>
      <c r="K155" s="115">
        <v>2.954239248</v>
      </c>
      <c r="L155" s="115">
        <v>0.07997847999999999</v>
      </c>
      <c r="M155" s="116">
        <v>1.055715936</v>
      </c>
    </row>
    <row r="156">
      <c r="A156" s="108" t="s">
        <v>40</v>
      </c>
      <c r="B156" s="109">
        <v>2015.0</v>
      </c>
      <c r="C156" s="109">
        <v>1.0</v>
      </c>
      <c r="D156" s="111">
        <v>21.25</v>
      </c>
      <c r="E156" s="111">
        <v>34.25</v>
      </c>
      <c r="F156" s="112">
        <f t="shared" si="32"/>
        <v>27.75</v>
      </c>
      <c r="G156" s="113">
        <v>73.8</v>
      </c>
      <c r="H156" s="112">
        <v>62.02</v>
      </c>
      <c r="I156" s="72">
        <v>0.701</v>
      </c>
      <c r="J156" s="115">
        <v>0.3037655013</v>
      </c>
      <c r="K156" s="115">
        <v>1.4049154439999998</v>
      </c>
      <c r="L156" s="115">
        <v>0.1086035847</v>
      </c>
      <c r="M156" s="116">
        <v>1.433567318</v>
      </c>
    </row>
    <row r="157">
      <c r="A157" s="108" t="s">
        <v>40</v>
      </c>
      <c r="B157" s="109">
        <v>2016.0</v>
      </c>
      <c r="C157" s="109">
        <v>1.0</v>
      </c>
      <c r="D157" s="111">
        <v>21.66666667</v>
      </c>
      <c r="E157" s="111">
        <v>35.41666667</v>
      </c>
      <c r="F157" s="112">
        <f t="shared" si="32"/>
        <v>28.54166667</v>
      </c>
      <c r="G157" s="113">
        <v>81.0</v>
      </c>
      <c r="H157" s="112">
        <v>65.03</v>
      </c>
      <c r="I157" s="72">
        <v>0.707</v>
      </c>
      <c r="J157" s="115">
        <v>0.3069215945</v>
      </c>
      <c r="K157" s="115">
        <v>1.419512374</v>
      </c>
      <c r="L157" s="115">
        <v>0.1097319651</v>
      </c>
      <c r="M157" s="116">
        <v>1.448461939</v>
      </c>
    </row>
    <row r="158">
      <c r="A158" s="108" t="s">
        <v>40</v>
      </c>
      <c r="B158" s="109">
        <v>2017.0</v>
      </c>
      <c r="C158" s="109">
        <v>1.0</v>
      </c>
      <c r="D158" s="111">
        <v>21.58333333</v>
      </c>
      <c r="E158" s="111">
        <v>35.5</v>
      </c>
      <c r="F158" s="112">
        <f t="shared" si="32"/>
        <v>28.54166667</v>
      </c>
      <c r="G158" s="113">
        <v>71.5</v>
      </c>
      <c r="H158" s="112">
        <v>63.01</v>
      </c>
      <c r="I158" s="72">
        <v>0.718</v>
      </c>
      <c r="J158" s="115">
        <v>0.3100466993</v>
      </c>
      <c r="K158" s="115">
        <v>1.4339659839999999</v>
      </c>
      <c r="L158" s="115">
        <v>0.1108492663</v>
      </c>
      <c r="M158" s="116">
        <v>1.463210316</v>
      </c>
    </row>
    <row r="159">
      <c r="A159" s="108" t="s">
        <v>40</v>
      </c>
      <c r="B159" s="109">
        <v>2018.0</v>
      </c>
      <c r="C159" s="109">
        <v>1.0</v>
      </c>
      <c r="D159" s="111">
        <v>22.16666667</v>
      </c>
      <c r="E159" s="111">
        <v>35.58333333</v>
      </c>
      <c r="F159" s="112">
        <f t="shared" si="32"/>
        <v>28.875</v>
      </c>
      <c r="G159" s="113">
        <v>76.0</v>
      </c>
      <c r="H159" s="112">
        <v>59.32</v>
      </c>
      <c r="I159" s="72">
        <v>0.72</v>
      </c>
      <c r="J159" s="115">
        <v>0.3131404908</v>
      </c>
      <c r="K159" s="115">
        <v>1.44827477</v>
      </c>
      <c r="L159" s="115">
        <v>0.11195537239999999</v>
      </c>
      <c r="M159" s="116">
        <v>1.477810915</v>
      </c>
    </row>
    <row r="160">
      <c r="A160" s="108" t="s">
        <v>40</v>
      </c>
      <c r="B160" s="109">
        <v>2019.0</v>
      </c>
      <c r="C160" s="109">
        <v>0.0</v>
      </c>
      <c r="D160" s="111">
        <v>21.33333333</v>
      </c>
      <c r="E160" s="111">
        <v>32.75</v>
      </c>
      <c r="F160" s="112">
        <f t="shared" si="32"/>
        <v>27.04166667</v>
      </c>
      <c r="G160" s="113">
        <v>68.9</v>
      </c>
      <c r="H160" s="112">
        <v>59.81</v>
      </c>
      <c r="I160" s="72">
        <v>0.724</v>
      </c>
      <c r="J160" s="115">
        <v>0.3162026545</v>
      </c>
      <c r="K160" s="115">
        <v>1.462437277</v>
      </c>
      <c r="L160" s="115">
        <v>0.11305017070000001</v>
      </c>
      <c r="M160" s="116">
        <v>1.492262253</v>
      </c>
    </row>
    <row r="161">
      <c r="A161" s="108" t="s">
        <v>40</v>
      </c>
      <c r="B161" s="109">
        <v>2020.0</v>
      </c>
      <c r="C161" s="109">
        <v>1.0</v>
      </c>
      <c r="D161" s="111">
        <v>23.16666667</v>
      </c>
      <c r="E161" s="111">
        <v>34.41666667</v>
      </c>
      <c r="F161" s="112">
        <f t="shared" si="32"/>
        <v>28.79166667</v>
      </c>
      <c r="G161" s="113">
        <v>71.0</v>
      </c>
      <c r="H161" s="112">
        <v>58.08</v>
      </c>
      <c r="I161" s="72">
        <f t="shared" ref="I161:I163" si="35">I160+(((I160-I159)+(I159-I158)+(I158-I157)+(I157-I156))/4)</f>
        <v>0.72975</v>
      </c>
      <c r="J161" s="115">
        <v>0.3192329178</v>
      </c>
      <c r="K161" s="115">
        <v>1.4764522450000002</v>
      </c>
      <c r="L161" s="115">
        <v>0.1141335638</v>
      </c>
      <c r="M161" s="116">
        <v>1.5065630419999998</v>
      </c>
    </row>
    <row r="162">
      <c r="A162" s="108" t="s">
        <v>40</v>
      </c>
      <c r="B162" s="109">
        <v>2021.0</v>
      </c>
      <c r="C162" s="109">
        <v>1.0</v>
      </c>
      <c r="D162" s="111">
        <v>19.75</v>
      </c>
      <c r="E162" s="111">
        <v>34.25</v>
      </c>
      <c r="F162" s="112">
        <f t="shared" si="32"/>
        <v>27</v>
      </c>
      <c r="G162" s="113">
        <f>MEDIAN(G156:G161)</f>
        <v>72.65</v>
      </c>
      <c r="H162" s="112">
        <f t="shared" ref="H162:H163" si="36">H161+1.75</f>
        <v>59.83</v>
      </c>
      <c r="I162" s="72">
        <f t="shared" si="35"/>
        <v>0.7354375</v>
      </c>
      <c r="J162" s="115">
        <v>0.3222310396</v>
      </c>
      <c r="K162" s="115">
        <v>1.490318558</v>
      </c>
      <c r="L162" s="115">
        <v>0.1152054655</v>
      </c>
      <c r="M162" s="116">
        <v>1.520712145</v>
      </c>
    </row>
    <row r="163">
      <c r="A163" s="108" t="s">
        <v>40</v>
      </c>
      <c r="B163" s="119">
        <v>2022.0</v>
      </c>
      <c r="C163" s="109">
        <v>1.0</v>
      </c>
      <c r="D163" s="112">
        <v>21.72</v>
      </c>
      <c r="E163" s="112">
        <v>36.6</v>
      </c>
      <c r="F163" s="112">
        <f t="shared" si="32"/>
        <v>29.16</v>
      </c>
      <c r="G163" s="113">
        <v>79.0</v>
      </c>
      <c r="H163" s="112">
        <f t="shared" si="36"/>
        <v>61.58</v>
      </c>
      <c r="I163" s="72">
        <f t="shared" si="35"/>
        <v>0.739796875</v>
      </c>
      <c r="J163" s="115">
        <v>0.32571302399999996</v>
      </c>
      <c r="K163" s="115">
        <v>1.506422736</v>
      </c>
      <c r="L163" s="115">
        <v>0.11645036</v>
      </c>
      <c r="M163" s="116">
        <v>1.5371447520000001</v>
      </c>
    </row>
    <row r="164">
      <c r="A164" s="108" t="s">
        <v>41</v>
      </c>
      <c r="B164" s="109">
        <v>2015.0</v>
      </c>
      <c r="C164" s="109">
        <v>1.0</v>
      </c>
      <c r="D164" s="111">
        <v>23.08333333</v>
      </c>
      <c r="E164" s="111">
        <v>33.33333333</v>
      </c>
      <c r="F164" s="112">
        <f t="shared" si="32"/>
        <v>28.20833333</v>
      </c>
      <c r="G164" s="113">
        <v>65.5</v>
      </c>
      <c r="H164" s="112">
        <v>36.79</v>
      </c>
      <c r="I164" s="72">
        <v>0.602</v>
      </c>
      <c r="J164" s="115">
        <v>0.8831825769</v>
      </c>
      <c r="K164" s="115">
        <v>4.084719418</v>
      </c>
      <c r="L164" s="115">
        <v>0.1827228694</v>
      </c>
      <c r="M164" s="116">
        <v>2.411941876</v>
      </c>
    </row>
    <row r="165">
      <c r="A165" s="108" t="s">
        <v>41</v>
      </c>
      <c r="B165" s="109">
        <v>2016.0</v>
      </c>
      <c r="C165" s="109">
        <v>1.0</v>
      </c>
      <c r="D165" s="111">
        <v>22.25</v>
      </c>
      <c r="E165" s="111">
        <v>32.83333333</v>
      </c>
      <c r="F165" s="112">
        <f t="shared" si="32"/>
        <v>27.54166667</v>
      </c>
      <c r="G165" s="113">
        <v>60.9</v>
      </c>
      <c r="H165" s="112">
        <v>43.1</v>
      </c>
      <c r="I165" s="72">
        <v>0.613</v>
      </c>
      <c r="J165" s="115">
        <v>0.8978644575</v>
      </c>
      <c r="K165" s="115">
        <v>4.152623116</v>
      </c>
      <c r="L165" s="115">
        <v>0.18576042410000002</v>
      </c>
      <c r="M165" s="116">
        <v>2.4520375980000004</v>
      </c>
    </row>
    <row r="166">
      <c r="A166" s="108" t="s">
        <v>41</v>
      </c>
      <c r="B166" s="109">
        <v>2017.0</v>
      </c>
      <c r="C166" s="109">
        <v>1.0</v>
      </c>
      <c r="D166" s="111">
        <v>22.5</v>
      </c>
      <c r="E166" s="111">
        <v>34.16666667</v>
      </c>
      <c r="F166" s="112">
        <f t="shared" si="32"/>
        <v>28.33333334</v>
      </c>
      <c r="G166" s="113">
        <v>59.9</v>
      </c>
      <c r="H166" s="112">
        <v>48.2</v>
      </c>
      <c r="I166" s="72">
        <v>0.623</v>
      </c>
      <c r="J166" s="115">
        <v>0.9124918837999999</v>
      </c>
      <c r="K166" s="115">
        <v>4.2202749630000005</v>
      </c>
      <c r="L166" s="115">
        <v>0.1887867126</v>
      </c>
      <c r="M166" s="116">
        <v>2.491984607</v>
      </c>
    </row>
    <row r="167">
      <c r="A167" s="108" t="s">
        <v>41</v>
      </c>
      <c r="B167" s="109">
        <v>2018.0</v>
      </c>
      <c r="C167" s="109">
        <v>1.0</v>
      </c>
      <c r="D167" s="111">
        <v>23.0</v>
      </c>
      <c r="E167" s="111">
        <v>33.08333333</v>
      </c>
      <c r="F167" s="112">
        <f t="shared" si="32"/>
        <v>28.04166667</v>
      </c>
      <c r="G167" s="113">
        <v>63.1</v>
      </c>
      <c r="H167" s="112">
        <v>47.71</v>
      </c>
      <c r="I167" s="72">
        <v>0.625</v>
      </c>
      <c r="J167" s="115">
        <v>0.9270603000000001</v>
      </c>
      <c r="K167" s="115">
        <v>4.287653888</v>
      </c>
      <c r="L167" s="115">
        <v>0.1918007925</v>
      </c>
      <c r="M167" s="116">
        <v>2.5317704610000002</v>
      </c>
    </row>
    <row r="168">
      <c r="A168" s="108" t="s">
        <v>41</v>
      </c>
      <c r="B168" s="109">
        <v>2019.0</v>
      </c>
      <c r="C168" s="109">
        <v>0.0</v>
      </c>
      <c r="D168" s="111">
        <v>22.5</v>
      </c>
      <c r="E168" s="111">
        <v>31.66666667</v>
      </c>
      <c r="F168" s="112">
        <f t="shared" si="32"/>
        <v>27.08333334</v>
      </c>
      <c r="G168" s="113">
        <v>63.0</v>
      </c>
      <c r="H168" s="112">
        <v>41.57</v>
      </c>
      <c r="I168" s="72">
        <v>0.628</v>
      </c>
      <c r="J168" s="115">
        <v>0.9415652824999999</v>
      </c>
      <c r="K168" s="115">
        <v>4.354739432</v>
      </c>
      <c r="L168" s="115">
        <v>0.1948017484</v>
      </c>
      <c r="M168" s="116">
        <v>2.571383079</v>
      </c>
    </row>
    <row r="169">
      <c r="A169" s="108" t="s">
        <v>41</v>
      </c>
      <c r="B169" s="109">
        <v>2020.0</v>
      </c>
      <c r="C169" s="109">
        <v>1.0</v>
      </c>
      <c r="D169" s="111">
        <v>23.66666667</v>
      </c>
      <c r="E169" s="111">
        <v>32.83333333</v>
      </c>
      <c r="F169" s="112">
        <f t="shared" si="32"/>
        <v>28.25</v>
      </c>
      <c r="G169" s="113">
        <v>61.2</v>
      </c>
      <c r="H169" s="112">
        <v>41.33</v>
      </c>
      <c r="I169" s="72">
        <f t="shared" ref="I169:I171" si="37">I168+(((I168-I167)+(I167-I166)+(I166-I165)+(I165-I164))/4)</f>
        <v>0.6345</v>
      </c>
      <c r="J169" s="115">
        <v>0.9560025758</v>
      </c>
      <c r="K169" s="115">
        <v>4.421511913</v>
      </c>
      <c r="L169" s="115">
        <v>0.1977887001</v>
      </c>
      <c r="M169" s="116">
        <v>2.610810841</v>
      </c>
    </row>
    <row r="170">
      <c r="A170" s="108" t="s">
        <v>41</v>
      </c>
      <c r="B170" s="109">
        <v>2021.0</v>
      </c>
      <c r="C170" s="109">
        <v>1.0</v>
      </c>
      <c r="D170" s="111">
        <v>23.0</v>
      </c>
      <c r="E170" s="111">
        <v>33.41666667</v>
      </c>
      <c r="F170" s="112">
        <f t="shared" si="32"/>
        <v>28.20833334</v>
      </c>
      <c r="G170" s="113">
        <f>MEDIAN(G164:G169)</f>
        <v>62.1</v>
      </c>
      <c r="H170" s="112">
        <f t="shared" ref="H170:H171" si="38">H169-0.24</f>
        <v>41.09</v>
      </c>
      <c r="I170" s="72">
        <f t="shared" si="37"/>
        <v>0.639875</v>
      </c>
      <c r="J170" s="115">
        <v>0.9703680688999999</v>
      </c>
      <c r="K170" s="115">
        <v>4.487952319</v>
      </c>
      <c r="L170" s="115">
        <v>0.20076079689999998</v>
      </c>
      <c r="M170" s="116">
        <v>2.650042519</v>
      </c>
    </row>
    <row r="171">
      <c r="A171" s="108" t="s">
        <v>41</v>
      </c>
      <c r="B171" s="119">
        <v>2022.0</v>
      </c>
      <c r="C171" s="109">
        <v>1.0</v>
      </c>
      <c r="D171" s="112">
        <v>19.34</v>
      </c>
      <c r="E171" s="112">
        <v>32.38</v>
      </c>
      <c r="F171" s="112">
        <f t="shared" si="32"/>
        <v>25.86</v>
      </c>
      <c r="G171" s="113">
        <v>65.0</v>
      </c>
      <c r="H171" s="112">
        <f t="shared" si="38"/>
        <v>40.85</v>
      </c>
      <c r="I171" s="72">
        <f t="shared" si="37"/>
        <v>0.64409375</v>
      </c>
      <c r="J171" s="115">
        <v>0.975849</v>
      </c>
      <c r="K171" s="115">
        <v>4.513299516</v>
      </c>
      <c r="L171" s="115">
        <v>0.20189466</v>
      </c>
      <c r="M171" s="116">
        <v>2.665009512</v>
      </c>
    </row>
    <row r="172">
      <c r="A172" s="108" t="s">
        <v>42</v>
      </c>
      <c r="B172" s="109">
        <v>2015.0</v>
      </c>
      <c r="C172" s="109">
        <v>0.0</v>
      </c>
      <c r="D172" s="111">
        <v>10.41666667</v>
      </c>
      <c r="E172" s="111">
        <v>15.83333333</v>
      </c>
      <c r="F172" s="112">
        <f t="shared" si="32"/>
        <v>13.125</v>
      </c>
      <c r="G172" s="113">
        <v>34.3</v>
      </c>
      <c r="H172" s="112">
        <v>53.39</v>
      </c>
      <c r="I172" s="72">
        <v>0.69</v>
      </c>
      <c r="J172" s="115">
        <v>0.007571418816</v>
      </c>
      <c r="K172" s="115">
        <v>0.03501781202</v>
      </c>
      <c r="L172" s="115">
        <v>0.00159002324</v>
      </c>
      <c r="M172" s="116">
        <v>0.02098830677</v>
      </c>
    </row>
    <row r="173">
      <c r="A173" s="108" t="s">
        <v>42</v>
      </c>
      <c r="B173" s="109">
        <v>2016.0</v>
      </c>
      <c r="C173" s="109">
        <v>1.0</v>
      </c>
      <c r="D173" s="111">
        <v>11.66666667</v>
      </c>
      <c r="E173" s="111">
        <v>17.0</v>
      </c>
      <c r="F173" s="112">
        <f t="shared" si="32"/>
        <v>14.33333334</v>
      </c>
      <c r="G173" s="113">
        <v>31.1</v>
      </c>
      <c r="H173" s="112">
        <v>53.2</v>
      </c>
      <c r="I173" s="72">
        <v>0.7</v>
      </c>
      <c r="J173" s="115">
        <v>0.007634352696</v>
      </c>
      <c r="K173" s="115">
        <v>0.035308881220000005</v>
      </c>
      <c r="L173" s="115">
        <v>0.0016032395650000001</v>
      </c>
      <c r="M173" s="116">
        <v>0.02116276226</v>
      </c>
    </row>
    <row r="174">
      <c r="A174" s="108" t="s">
        <v>42</v>
      </c>
      <c r="B174" s="109">
        <v>2017.0</v>
      </c>
      <c r="C174" s="109">
        <v>0.0</v>
      </c>
      <c r="D174" s="111">
        <v>10.0</v>
      </c>
      <c r="E174" s="111">
        <v>17.16666667</v>
      </c>
      <c r="F174" s="112">
        <f t="shared" si="32"/>
        <v>13.58333334</v>
      </c>
      <c r="G174" s="113">
        <v>29.9</v>
      </c>
      <c r="H174" s="112">
        <v>50.5</v>
      </c>
      <c r="I174" s="72">
        <v>0.711</v>
      </c>
      <c r="J174" s="115">
        <v>0.007696544063999999</v>
      </c>
      <c r="K174" s="115">
        <v>0.035596516300000006</v>
      </c>
      <c r="L174" s="115">
        <v>0.0016162999600000001</v>
      </c>
      <c r="M174" s="116">
        <v>0.02133515947</v>
      </c>
    </row>
    <row r="175">
      <c r="A175" s="108" t="s">
        <v>42</v>
      </c>
      <c r="B175" s="109">
        <v>2018.0</v>
      </c>
      <c r="C175" s="109">
        <v>0.0</v>
      </c>
      <c r="D175" s="111">
        <v>9.416666667</v>
      </c>
      <c r="E175" s="111">
        <v>16.75</v>
      </c>
      <c r="F175" s="112">
        <f t="shared" si="32"/>
        <v>13.08333333</v>
      </c>
      <c r="G175" s="113">
        <v>33.1</v>
      </c>
      <c r="H175" s="112">
        <v>63.31</v>
      </c>
      <c r="I175" s="72">
        <v>0.713</v>
      </c>
      <c r="J175" s="115">
        <v>0.007757980944</v>
      </c>
      <c r="K175" s="115">
        <v>0.035880661870000004</v>
      </c>
      <c r="L175" s="115">
        <v>0.00162920191</v>
      </c>
      <c r="M175" s="116">
        <v>0.021505465209999998</v>
      </c>
    </row>
    <row r="176">
      <c r="A176" s="108" t="s">
        <v>42</v>
      </c>
      <c r="B176" s="109">
        <v>2019.0</v>
      </c>
      <c r="C176" s="109">
        <v>0.0</v>
      </c>
      <c r="D176" s="111">
        <v>9.333333333</v>
      </c>
      <c r="E176" s="111">
        <v>16.75</v>
      </c>
      <c r="F176" s="112">
        <f t="shared" si="32"/>
        <v>13.04166667</v>
      </c>
      <c r="G176" s="113">
        <v>28.9</v>
      </c>
      <c r="H176" s="112">
        <v>56.21</v>
      </c>
      <c r="I176" s="72">
        <v>0.717</v>
      </c>
      <c r="J176" s="115">
        <v>0.007818675312000001</v>
      </c>
      <c r="K176" s="115">
        <v>0.036161373319999995</v>
      </c>
      <c r="L176" s="115">
        <v>0.0016419479300000001</v>
      </c>
      <c r="M176" s="116">
        <v>0.021673712680000002</v>
      </c>
    </row>
    <row r="177">
      <c r="A177" s="108" t="s">
        <v>42</v>
      </c>
      <c r="B177" s="109">
        <v>2020.0</v>
      </c>
      <c r="C177" s="109">
        <v>1.0</v>
      </c>
      <c r="D177" s="111">
        <v>6.416666667</v>
      </c>
      <c r="E177" s="111">
        <v>14.5</v>
      </c>
      <c r="F177" s="112">
        <f t="shared" si="32"/>
        <v>10.45833333</v>
      </c>
      <c r="G177" s="113">
        <v>31.6</v>
      </c>
      <c r="H177" s="112">
        <v>55.53</v>
      </c>
      <c r="I177" s="72">
        <f t="shared" ref="I177:I179" si="39">I176+(((I176-I175)+(I175-I174)+(I174-I173)+(I173-I172))/4)</f>
        <v>0.72375</v>
      </c>
      <c r="J177" s="115">
        <v>0.007878615192</v>
      </c>
      <c r="K177" s="115">
        <v>0.036438595260000005</v>
      </c>
      <c r="L177" s="115">
        <v>0.001654535505</v>
      </c>
      <c r="M177" s="116">
        <v>0.02183986867</v>
      </c>
    </row>
    <row r="178">
      <c r="A178" s="108" t="s">
        <v>42</v>
      </c>
      <c r="B178" s="109">
        <v>2021.0</v>
      </c>
      <c r="C178" s="109">
        <v>1.0</v>
      </c>
      <c r="D178" s="111">
        <v>6.75</v>
      </c>
      <c r="E178" s="111">
        <v>15.58333333</v>
      </c>
      <c r="F178" s="112">
        <f t="shared" si="32"/>
        <v>11.16666667</v>
      </c>
      <c r="G178" s="113">
        <f>MEDIAN(G172:G177)</f>
        <v>31.35</v>
      </c>
      <c r="H178" s="112">
        <f t="shared" ref="H178:H179" si="41">H177-0.72</f>
        <v>54.81</v>
      </c>
      <c r="I178" s="72">
        <f t="shared" si="39"/>
        <v>0.7296875</v>
      </c>
      <c r="J178" s="115">
        <v>0.00793781256</v>
      </c>
      <c r="K178" s="115">
        <v>0.03671238309</v>
      </c>
      <c r="L178" s="115">
        <v>0.00166696715</v>
      </c>
      <c r="M178" s="116">
        <v>0.02200396638</v>
      </c>
    </row>
    <row r="179">
      <c r="A179" s="108" t="s">
        <v>42</v>
      </c>
      <c r="B179" s="119">
        <v>2022.0</v>
      </c>
      <c r="C179" s="109">
        <v>0.0</v>
      </c>
      <c r="D179" s="112">
        <f t="shared" ref="D179:E179" si="40">D178+(((D178-D177)+(D177-D176)+(D176-D175)+(D175-D174)+(D174-D173)+(D173-D172))/6)</f>
        <v>6.138888888</v>
      </c>
      <c r="E179" s="112">
        <f t="shared" si="40"/>
        <v>15.54166666</v>
      </c>
      <c r="F179" s="112">
        <f t="shared" si="32"/>
        <v>10.84027778</v>
      </c>
      <c r="G179" s="113">
        <v>48.0</v>
      </c>
      <c r="H179" s="112">
        <f t="shared" si="41"/>
        <v>54.09</v>
      </c>
      <c r="I179" s="72">
        <f t="shared" si="39"/>
        <v>0.734359375</v>
      </c>
      <c r="J179" s="115">
        <v>0.0081173328</v>
      </c>
      <c r="K179" s="115">
        <v>0.0375426642</v>
      </c>
      <c r="L179" s="115">
        <v>0.001704667</v>
      </c>
      <c r="M179" s="116">
        <v>0.0225016044</v>
      </c>
    </row>
    <row r="180">
      <c r="A180" s="108" t="s">
        <v>43</v>
      </c>
      <c r="B180" s="109">
        <v>2015.0</v>
      </c>
      <c r="C180" s="109">
        <v>0.0</v>
      </c>
      <c r="D180" s="111">
        <v>27.16666667</v>
      </c>
      <c r="E180" s="111">
        <v>30.58333333</v>
      </c>
      <c r="F180" s="112">
        <f t="shared" si="32"/>
        <v>28.875</v>
      </c>
      <c r="G180" s="113">
        <v>23.9</v>
      </c>
      <c r="H180" s="112">
        <v>63.28</v>
      </c>
      <c r="I180" s="72">
        <v>0.688</v>
      </c>
      <c r="J180" s="115">
        <v>0.6384218008</v>
      </c>
      <c r="K180" s="115">
        <v>2.952700829</v>
      </c>
      <c r="L180" s="115">
        <v>0.3742685945</v>
      </c>
      <c r="M180" s="116">
        <v>4.9403454469999994</v>
      </c>
    </row>
    <row r="181">
      <c r="A181" s="108" t="s">
        <v>43</v>
      </c>
      <c r="B181" s="109">
        <v>2016.0</v>
      </c>
      <c r="C181" s="109">
        <v>1.0</v>
      </c>
      <c r="D181" s="111">
        <v>27.0</v>
      </c>
      <c r="E181" s="111">
        <v>31.25</v>
      </c>
      <c r="F181" s="112">
        <f t="shared" si="32"/>
        <v>29.125</v>
      </c>
      <c r="G181" s="113">
        <v>27.7</v>
      </c>
      <c r="H181" s="112">
        <v>63.38</v>
      </c>
      <c r="I181" s="72">
        <v>0.692</v>
      </c>
      <c r="J181" s="115">
        <v>0.6490348145</v>
      </c>
      <c r="K181" s="115">
        <v>3.001786017</v>
      </c>
      <c r="L181" s="115">
        <v>0.3804903709</v>
      </c>
      <c r="M181" s="116">
        <v>5.022472896</v>
      </c>
    </row>
    <row r="182">
      <c r="A182" s="108" t="s">
        <v>43</v>
      </c>
      <c r="B182" s="109">
        <v>2017.0</v>
      </c>
      <c r="C182" s="109">
        <v>1.0</v>
      </c>
      <c r="D182" s="111">
        <v>26.83333333</v>
      </c>
      <c r="E182" s="111">
        <v>31.08333333</v>
      </c>
      <c r="F182" s="112">
        <f t="shared" si="32"/>
        <v>28.95833333</v>
      </c>
      <c r="G182" s="113">
        <v>28.4</v>
      </c>
      <c r="H182" s="112">
        <v>60.41</v>
      </c>
      <c r="I182" s="72">
        <v>0.703</v>
      </c>
      <c r="J182" s="115">
        <v>0.6596084719</v>
      </c>
      <c r="K182" s="115">
        <v>3.050689182</v>
      </c>
      <c r="L182" s="115">
        <v>0.3866890751</v>
      </c>
      <c r="M182" s="116">
        <v>5.104295791</v>
      </c>
    </row>
    <row r="183">
      <c r="A183" s="108" t="s">
        <v>43</v>
      </c>
      <c r="B183" s="109">
        <v>2018.0</v>
      </c>
      <c r="C183" s="109">
        <v>0.0</v>
      </c>
      <c r="D183" s="111">
        <v>26.91666667</v>
      </c>
      <c r="E183" s="111">
        <v>30.66666667</v>
      </c>
      <c r="F183" s="112">
        <f t="shared" si="32"/>
        <v>28.79166667</v>
      </c>
      <c r="G183" s="113">
        <v>29.6</v>
      </c>
      <c r="H183" s="112">
        <v>63.37</v>
      </c>
      <c r="I183" s="72">
        <v>0.705</v>
      </c>
      <c r="J183" s="115">
        <v>0.6701394705</v>
      </c>
      <c r="K183" s="115">
        <v>3.099395051</v>
      </c>
      <c r="L183" s="115">
        <v>0.392862771</v>
      </c>
      <c r="M183" s="116">
        <v>5.185788576999999</v>
      </c>
    </row>
    <row r="184">
      <c r="A184" s="108" t="s">
        <v>43</v>
      </c>
      <c r="B184" s="109">
        <v>2019.0</v>
      </c>
      <c r="C184" s="109">
        <v>0.0</v>
      </c>
      <c r="D184" s="111">
        <v>26.83333333</v>
      </c>
      <c r="E184" s="111">
        <v>31.08333333</v>
      </c>
      <c r="F184" s="112">
        <f t="shared" si="32"/>
        <v>28.95833333</v>
      </c>
      <c r="G184" s="113">
        <v>25.7</v>
      </c>
      <c r="H184" s="112">
        <v>67.44</v>
      </c>
      <c r="I184" s="72">
        <v>0.709</v>
      </c>
      <c r="J184" s="115">
        <v>0.6806246152</v>
      </c>
      <c r="K184" s="115">
        <v>3.147888845</v>
      </c>
      <c r="L184" s="115">
        <v>0.3990095855</v>
      </c>
      <c r="M184" s="116">
        <v>5.266926528</v>
      </c>
    </row>
    <row r="185">
      <c r="A185" s="108" t="s">
        <v>43</v>
      </c>
      <c r="B185" s="109">
        <v>2020.0</v>
      </c>
      <c r="C185" s="109">
        <v>1.0</v>
      </c>
      <c r="D185" s="111">
        <v>26.5</v>
      </c>
      <c r="E185" s="111">
        <v>30.41666667</v>
      </c>
      <c r="F185" s="112">
        <f t="shared" si="32"/>
        <v>28.45833334</v>
      </c>
      <c r="G185" s="113">
        <v>25.5</v>
      </c>
      <c r="H185" s="112">
        <v>72.42</v>
      </c>
      <c r="I185" s="72">
        <f t="shared" ref="I185:I187" si="42">I184+(((I184-I183)+(I183-I182)+(I182-I181)+(I181-I180))/4)</f>
        <v>0.71425</v>
      </c>
      <c r="J185" s="115">
        <v>0.6910608349</v>
      </c>
      <c r="K185" s="115">
        <v>3.1961563620000004</v>
      </c>
      <c r="L185" s="115">
        <v>0.4051277182</v>
      </c>
      <c r="M185" s="116">
        <v>5.34768588</v>
      </c>
    </row>
    <row r="186">
      <c r="A186" s="108" t="s">
        <v>43</v>
      </c>
      <c r="B186" s="109">
        <v>2021.0</v>
      </c>
      <c r="C186" s="109">
        <v>1.0</v>
      </c>
      <c r="D186" s="111">
        <v>25.75</v>
      </c>
      <c r="E186" s="111">
        <v>30.66666667</v>
      </c>
      <c r="F186" s="112">
        <f t="shared" si="32"/>
        <v>28.20833334</v>
      </c>
      <c r="G186" s="113">
        <f>MEDIAN(G180:G185)</f>
        <v>26.7</v>
      </c>
      <c r="H186" s="112">
        <f t="shared" ref="H186:H187" si="44">H185+1.63</f>
        <v>74.05</v>
      </c>
      <c r="I186" s="72">
        <f t="shared" si="42"/>
        <v>0.7198125</v>
      </c>
      <c r="J186" s="115">
        <v>0.7014451409</v>
      </c>
      <c r="K186" s="115">
        <v>3.244183777</v>
      </c>
      <c r="L186" s="115">
        <v>0.4112154169</v>
      </c>
      <c r="M186" s="116">
        <v>5.428043503</v>
      </c>
    </row>
    <row r="187">
      <c r="A187" s="108" t="s">
        <v>43</v>
      </c>
      <c r="B187" s="119">
        <v>2022.0</v>
      </c>
      <c r="C187" s="109">
        <v>1.0</v>
      </c>
      <c r="D187" s="112">
        <f t="shared" ref="D187:E187" si="43">D186+(((D186-D185)+(D185-D184)+(D184-D183)+(D183-D182)+(D182-D181)+(D181-D180))/6)</f>
        <v>25.51388889</v>
      </c>
      <c r="E187" s="112">
        <f t="shared" si="43"/>
        <v>30.68055556</v>
      </c>
      <c r="F187" s="112">
        <f t="shared" si="32"/>
        <v>28.09722222</v>
      </c>
      <c r="G187" s="113">
        <v>29.0</v>
      </c>
      <c r="H187" s="112">
        <f t="shared" si="44"/>
        <v>75.68</v>
      </c>
      <c r="I187" s="72">
        <f t="shared" si="42"/>
        <v>0.724015625</v>
      </c>
      <c r="J187" s="115">
        <v>0.7042368</v>
      </c>
      <c r="K187" s="115">
        <v>3.2570952</v>
      </c>
      <c r="L187" s="115">
        <v>0.412852</v>
      </c>
      <c r="M187" s="116">
        <v>5.449646400000001</v>
      </c>
    </row>
    <row r="188">
      <c r="A188" s="108" t="s">
        <v>44</v>
      </c>
      <c r="B188" s="109">
        <v>2015.0</v>
      </c>
      <c r="C188" s="109">
        <v>1.0</v>
      </c>
      <c r="D188" s="111">
        <v>26.5</v>
      </c>
      <c r="E188" s="111">
        <v>30.66666667</v>
      </c>
      <c r="F188" s="112">
        <f t="shared" si="32"/>
        <v>28.58333334</v>
      </c>
      <c r="G188" s="113">
        <v>31.9</v>
      </c>
      <c r="H188" s="112">
        <v>54.94</v>
      </c>
      <c r="I188" s="72">
        <v>0.649</v>
      </c>
      <c r="J188" s="115">
        <v>0.391951655</v>
      </c>
      <c r="K188" s="115">
        <v>1.812776405</v>
      </c>
      <c r="L188" s="115">
        <v>0.1230751808</v>
      </c>
      <c r="M188" s="116">
        <v>1.624592387</v>
      </c>
    </row>
    <row r="189">
      <c r="A189" s="108" t="s">
        <v>44</v>
      </c>
      <c r="B189" s="109">
        <v>2016.0</v>
      </c>
      <c r="C189" s="109">
        <v>1.0</v>
      </c>
      <c r="D189" s="111">
        <v>26.5</v>
      </c>
      <c r="E189" s="111">
        <v>31.33333333</v>
      </c>
      <c r="F189" s="112">
        <f t="shared" si="32"/>
        <v>28.91666667</v>
      </c>
      <c r="G189" s="113">
        <v>32.7</v>
      </c>
      <c r="H189" s="112">
        <v>55.39</v>
      </c>
      <c r="I189" s="72">
        <v>0.652</v>
      </c>
      <c r="J189" s="115">
        <v>0.3954905173</v>
      </c>
      <c r="K189" s="115">
        <v>1.8291436429999999</v>
      </c>
      <c r="L189" s="115">
        <v>0.12418640489999999</v>
      </c>
      <c r="M189" s="116">
        <v>1.639260545</v>
      </c>
    </row>
    <row r="190">
      <c r="A190" s="108" t="s">
        <v>44</v>
      </c>
      <c r="B190" s="109">
        <v>2017.0</v>
      </c>
      <c r="C190" s="109">
        <v>0.0</v>
      </c>
      <c r="D190" s="111">
        <v>26.33333333</v>
      </c>
      <c r="E190" s="111">
        <v>31.25</v>
      </c>
      <c r="F190" s="112">
        <f t="shared" si="32"/>
        <v>28.79166667</v>
      </c>
      <c r="G190" s="113">
        <v>34.4</v>
      </c>
      <c r="H190" s="112">
        <v>59.0</v>
      </c>
      <c r="I190" s="72">
        <v>0.663</v>
      </c>
      <c r="J190" s="115">
        <v>0.3989899125</v>
      </c>
      <c r="K190" s="115">
        <v>1.845328345</v>
      </c>
      <c r="L190" s="115">
        <v>0.1252852361</v>
      </c>
      <c r="M190" s="116">
        <v>1.653765116</v>
      </c>
    </row>
    <row r="191">
      <c r="A191" s="108" t="s">
        <v>44</v>
      </c>
      <c r="B191" s="109">
        <v>2018.0</v>
      </c>
      <c r="C191" s="109">
        <v>0.0</v>
      </c>
      <c r="D191" s="111">
        <v>26.91666667</v>
      </c>
      <c r="E191" s="111">
        <v>30.91666667</v>
      </c>
      <c r="F191" s="112">
        <f t="shared" si="32"/>
        <v>28.91666667</v>
      </c>
      <c r="G191" s="113">
        <v>34.7</v>
      </c>
      <c r="H191" s="112">
        <v>54.44</v>
      </c>
      <c r="I191" s="72">
        <v>0.665</v>
      </c>
      <c r="J191" s="115">
        <v>0.4024496621</v>
      </c>
      <c r="K191" s="115">
        <v>1.861329687</v>
      </c>
      <c r="L191" s="115">
        <v>0.1263716183</v>
      </c>
      <c r="M191" s="116">
        <v>1.668105361</v>
      </c>
    </row>
    <row r="192">
      <c r="A192" s="108" t="s">
        <v>44</v>
      </c>
      <c r="B192" s="109">
        <v>2019.0</v>
      </c>
      <c r="C192" s="109">
        <v>0.0</v>
      </c>
      <c r="D192" s="111">
        <v>26.66666667</v>
      </c>
      <c r="E192" s="111">
        <v>31.25</v>
      </c>
      <c r="F192" s="112">
        <f t="shared" si="32"/>
        <v>28.95833334</v>
      </c>
      <c r="G192" s="113">
        <v>33.2</v>
      </c>
      <c r="H192" s="112">
        <v>58.31</v>
      </c>
      <c r="I192" s="72">
        <v>0.669</v>
      </c>
      <c r="J192" s="115">
        <v>0.4058696233</v>
      </c>
      <c r="K192" s="115">
        <v>1.877147008</v>
      </c>
      <c r="L192" s="115">
        <v>0.1274455067</v>
      </c>
      <c r="M192" s="116">
        <v>1.682280689</v>
      </c>
    </row>
    <row r="193">
      <c r="A193" s="108" t="s">
        <v>44</v>
      </c>
      <c r="B193" s="109">
        <v>2020.0</v>
      </c>
      <c r="C193" s="109">
        <v>1.0</v>
      </c>
      <c r="D193" s="111">
        <v>26.25</v>
      </c>
      <c r="E193" s="111">
        <v>30.41666667</v>
      </c>
      <c r="F193" s="112">
        <f t="shared" si="32"/>
        <v>28.33333334</v>
      </c>
      <c r="G193" s="113">
        <v>34.1</v>
      </c>
      <c r="H193" s="112">
        <v>65.74</v>
      </c>
      <c r="I193" s="72">
        <f t="shared" ref="I193:I195" si="45">I192+(((I192-I191)+(I191-I190)+(I190-I189)+(I189-I188))/4)</f>
        <v>0.674</v>
      </c>
      <c r="J193" s="115">
        <v>0.40924966230000004</v>
      </c>
      <c r="K193" s="115">
        <v>1.892779688</v>
      </c>
      <c r="L193" s="115">
        <v>0.1285068593</v>
      </c>
      <c r="M193" s="116">
        <v>1.6962905430000002</v>
      </c>
    </row>
    <row r="194">
      <c r="A194" s="108" t="s">
        <v>44</v>
      </c>
      <c r="B194" s="109">
        <v>2021.0</v>
      </c>
      <c r="C194" s="109">
        <v>1.0</v>
      </c>
      <c r="D194" s="111">
        <v>25.58333333</v>
      </c>
      <c r="E194" s="111">
        <v>30.83333333</v>
      </c>
      <c r="F194" s="112">
        <f t="shared" si="32"/>
        <v>28.20833333</v>
      </c>
      <c r="G194" s="113">
        <f>MEDIAN(G188:G193)</f>
        <v>33.65</v>
      </c>
      <c r="H194" s="112">
        <f t="shared" ref="H194:H195" si="47">H193+4.22</f>
        <v>69.96</v>
      </c>
      <c r="I194" s="72">
        <f t="shared" si="45"/>
        <v>0.6795</v>
      </c>
      <c r="J194" s="115">
        <v>0.4125896853</v>
      </c>
      <c r="K194" s="115">
        <v>1.9082272949999999</v>
      </c>
      <c r="L194" s="115">
        <v>0.1295556467</v>
      </c>
      <c r="M194" s="116">
        <v>1.710134536</v>
      </c>
    </row>
    <row r="195">
      <c r="A195" s="108" t="s">
        <v>44</v>
      </c>
      <c r="B195" s="119">
        <v>2022.0</v>
      </c>
      <c r="C195" s="109">
        <v>0.0</v>
      </c>
      <c r="D195" s="112">
        <f t="shared" ref="D195:E195" si="46">D194+(((D194-D193)+(D193-D192)+(D192-D191)+(D191-D190)+(D190-D189)+(D189-D188))/6)</f>
        <v>25.43055555</v>
      </c>
      <c r="E195" s="112">
        <f t="shared" si="46"/>
        <v>30.86111111</v>
      </c>
      <c r="F195" s="112">
        <f t="shared" si="32"/>
        <v>28.14583333</v>
      </c>
      <c r="G195" s="113">
        <v>49.0</v>
      </c>
      <c r="H195" s="112">
        <f t="shared" si="47"/>
        <v>74.18</v>
      </c>
      <c r="I195" s="72">
        <f t="shared" si="45"/>
        <v>0.683625</v>
      </c>
      <c r="J195" s="115">
        <v>0.4186323456</v>
      </c>
      <c r="K195" s="115">
        <v>1.936174598</v>
      </c>
      <c r="L195" s="115">
        <v>0.1314530784</v>
      </c>
      <c r="M195" s="116">
        <v>1.735180635</v>
      </c>
    </row>
    <row r="196">
      <c r="A196" s="108" t="s">
        <v>45</v>
      </c>
      <c r="B196" s="109">
        <v>2015.0</v>
      </c>
      <c r="C196" s="109">
        <v>0.0</v>
      </c>
      <c r="D196" s="111">
        <v>22.25</v>
      </c>
      <c r="E196" s="111">
        <v>31.58333333</v>
      </c>
      <c r="F196" s="112">
        <f t="shared" si="32"/>
        <v>26.91666667</v>
      </c>
      <c r="G196" s="113">
        <v>60.0</v>
      </c>
      <c r="H196" s="112">
        <v>45.96</v>
      </c>
      <c r="I196" s="72">
        <v>0.641</v>
      </c>
      <c r="J196" s="115">
        <v>0.04611744289</v>
      </c>
      <c r="K196" s="115">
        <v>0.2132931734</v>
      </c>
      <c r="L196" s="115">
        <v>0.01021682819</v>
      </c>
      <c r="M196" s="116">
        <v>0.13486213209999998</v>
      </c>
    </row>
    <row r="197">
      <c r="A197" s="108" t="s">
        <v>45</v>
      </c>
      <c r="B197" s="109">
        <v>2016.0</v>
      </c>
      <c r="C197" s="109">
        <v>1.0</v>
      </c>
      <c r="D197" s="111">
        <v>22.91666667</v>
      </c>
      <c r="E197" s="111">
        <v>32.08333333</v>
      </c>
      <c r="F197" s="112">
        <f t="shared" si="32"/>
        <v>27.5</v>
      </c>
      <c r="G197" s="113">
        <v>65.1</v>
      </c>
      <c r="H197" s="112">
        <v>46.38</v>
      </c>
      <c r="I197" s="72">
        <v>0.642</v>
      </c>
      <c r="J197" s="115">
        <v>0.04678826818</v>
      </c>
      <c r="K197" s="115">
        <v>0.2163957403</v>
      </c>
      <c r="L197" s="115">
        <v>0.01036544239</v>
      </c>
      <c r="M197" s="116">
        <v>0.1368238395</v>
      </c>
    </row>
    <row r="198">
      <c r="A198" s="108" t="s">
        <v>45</v>
      </c>
      <c r="B198" s="109">
        <v>2017.0</v>
      </c>
      <c r="C198" s="109">
        <v>1.0</v>
      </c>
      <c r="D198" s="111">
        <v>22.41666667</v>
      </c>
      <c r="E198" s="111">
        <v>31.5</v>
      </c>
      <c r="F198" s="112">
        <f t="shared" si="32"/>
        <v>26.95833334</v>
      </c>
      <c r="G198" s="113">
        <v>55.1</v>
      </c>
      <c r="H198" s="112">
        <v>48.35</v>
      </c>
      <c r="I198" s="72">
        <v>0.652</v>
      </c>
      <c r="J198" s="115">
        <v>0.04745523068</v>
      </c>
      <c r="K198" s="115">
        <v>0.21948044190000002</v>
      </c>
      <c r="L198" s="115">
        <v>0.01051320082</v>
      </c>
      <c r="M198" s="116">
        <v>0.1387742509</v>
      </c>
    </row>
    <row r="199">
      <c r="A199" s="108" t="s">
        <v>45</v>
      </c>
      <c r="B199" s="109">
        <v>2018.0</v>
      </c>
      <c r="C199" s="109">
        <v>0.0</v>
      </c>
      <c r="D199" s="111">
        <v>23.16666667</v>
      </c>
      <c r="E199" s="111">
        <v>32.66666667</v>
      </c>
      <c r="F199" s="112">
        <f t="shared" si="32"/>
        <v>27.91666667</v>
      </c>
      <c r="G199" s="113">
        <v>73.4</v>
      </c>
      <c r="H199" s="112">
        <v>43.51</v>
      </c>
      <c r="I199" s="72">
        <v>0.655</v>
      </c>
      <c r="J199" s="115">
        <v>0.04811816502</v>
      </c>
      <c r="K199" s="115">
        <v>0.2225465132</v>
      </c>
      <c r="L199" s="115">
        <v>0.010660066860000001</v>
      </c>
      <c r="M199" s="116">
        <v>0.1407128826</v>
      </c>
    </row>
    <row r="200">
      <c r="A200" s="108" t="s">
        <v>45</v>
      </c>
      <c r="B200" s="109">
        <v>2019.0</v>
      </c>
      <c r="C200" s="109">
        <v>0.0</v>
      </c>
      <c r="D200" s="111">
        <v>22.91666667</v>
      </c>
      <c r="E200" s="111">
        <v>32.91666667</v>
      </c>
      <c r="F200" s="112">
        <f t="shared" si="32"/>
        <v>27.91666667</v>
      </c>
      <c r="G200" s="113">
        <v>61.4</v>
      </c>
      <c r="H200" s="112">
        <v>69.96</v>
      </c>
      <c r="I200" s="72">
        <v>0.658</v>
      </c>
      <c r="J200" s="115">
        <v>0.04877692944</v>
      </c>
      <c r="K200" s="115">
        <v>0.22559329860000002</v>
      </c>
      <c r="L200" s="115">
        <v>0.0108060091</v>
      </c>
      <c r="M200" s="116">
        <v>0.14263932019999997</v>
      </c>
    </row>
    <row r="201">
      <c r="A201" s="108" t="s">
        <v>45</v>
      </c>
      <c r="B201" s="109">
        <v>2020.0</v>
      </c>
      <c r="C201" s="109">
        <v>1.0</v>
      </c>
      <c r="D201" s="111">
        <v>23.25</v>
      </c>
      <c r="E201" s="111">
        <v>32.08333333</v>
      </c>
      <c r="F201" s="112">
        <f t="shared" si="32"/>
        <v>27.66666667</v>
      </c>
      <c r="G201" s="113">
        <v>65.9</v>
      </c>
      <c r="H201" s="112">
        <v>70.16</v>
      </c>
      <c r="I201" s="72">
        <f t="shared" ref="I201:I203" si="48">I200+(((I200-I199)+(I199-I198)+(I198-I197)+(I197-I196))/4)</f>
        <v>0.66225</v>
      </c>
      <c r="J201" s="115">
        <v>0.04943134674</v>
      </c>
      <c r="K201" s="115">
        <v>0.2286199787</v>
      </c>
      <c r="L201" s="115">
        <v>0.01095098829</v>
      </c>
      <c r="M201" s="116">
        <v>0.1445530454</v>
      </c>
    </row>
    <row r="202">
      <c r="A202" s="108" t="s">
        <v>45</v>
      </c>
      <c r="B202" s="109">
        <v>2021.0</v>
      </c>
      <c r="C202" s="109">
        <v>1.0</v>
      </c>
      <c r="D202" s="111">
        <v>22.08333333</v>
      </c>
      <c r="E202" s="111">
        <v>32.41666667</v>
      </c>
      <c r="F202" s="112">
        <f t="shared" si="32"/>
        <v>27.25</v>
      </c>
      <c r="G202" s="113">
        <f>MEDIAN(G196:G201)</f>
        <v>63.25</v>
      </c>
      <c r="H202" s="112">
        <f t="shared" ref="H202:H203" si="50">H201+0.2</f>
        <v>70.36</v>
      </c>
      <c r="I202" s="72">
        <f t="shared" si="48"/>
        <v>0.6673125</v>
      </c>
      <c r="J202" s="115">
        <v>0.050081286999999995</v>
      </c>
      <c r="K202" s="115">
        <v>0.2316259524</v>
      </c>
      <c r="L202" s="115">
        <v>0.01109497563</v>
      </c>
      <c r="M202" s="116">
        <v>0.1464536783</v>
      </c>
    </row>
    <row r="203">
      <c r="A203" s="108" t="s">
        <v>45</v>
      </c>
      <c r="B203" s="119">
        <v>2022.0</v>
      </c>
      <c r="C203" s="109">
        <v>1.0</v>
      </c>
      <c r="D203" s="112">
        <f t="shared" ref="D203:E203" si="49">D202+(((D202-D201)+(D201-D200)+(D200-D199)+(D199-D198)+(D198-D197)+(D197-D196))/6)</f>
        <v>22.05555555</v>
      </c>
      <c r="E203" s="112">
        <f t="shared" si="49"/>
        <v>32.55555556</v>
      </c>
      <c r="F203" s="112">
        <f t="shared" si="32"/>
        <v>27.30555556</v>
      </c>
      <c r="G203" s="113">
        <v>226.0</v>
      </c>
      <c r="H203" s="112">
        <f t="shared" si="50"/>
        <v>70.56</v>
      </c>
      <c r="I203" s="72">
        <f t="shared" si="48"/>
        <v>0.671140625</v>
      </c>
      <c r="J203" s="115">
        <v>0.0502044</v>
      </c>
      <c r="K203" s="115">
        <v>0.23219535</v>
      </c>
      <c r="L203" s="115">
        <v>0.01112225</v>
      </c>
      <c r="M203" s="116">
        <v>0.14681370000000002</v>
      </c>
    </row>
    <row r="204">
      <c r="A204" s="108" t="s">
        <v>46</v>
      </c>
      <c r="B204" s="109">
        <v>2015.0</v>
      </c>
      <c r="C204" s="109">
        <v>1.0</v>
      </c>
      <c r="D204" s="111">
        <v>14.83333333</v>
      </c>
      <c r="E204" s="111">
        <v>27.66666667</v>
      </c>
      <c r="F204" s="112">
        <f t="shared" si="32"/>
        <v>21.25</v>
      </c>
      <c r="G204" s="113">
        <v>35.0</v>
      </c>
      <c r="H204" s="112">
        <v>45.32</v>
      </c>
      <c r="I204" s="72">
        <v>0.661</v>
      </c>
      <c r="J204" s="115">
        <v>0.1206812471</v>
      </c>
      <c r="K204" s="115">
        <v>0.5581507680000001</v>
      </c>
      <c r="L204" s="115">
        <v>0.032680540540000004</v>
      </c>
      <c r="M204" s="116">
        <v>0.43138313510000004</v>
      </c>
    </row>
    <row r="205">
      <c r="A205" s="108" t="s">
        <v>46</v>
      </c>
      <c r="B205" s="109">
        <v>2016.0</v>
      </c>
      <c r="C205" s="109">
        <v>1.0</v>
      </c>
      <c r="D205" s="111">
        <v>14.25</v>
      </c>
      <c r="E205" s="111">
        <v>27.58333333</v>
      </c>
      <c r="F205" s="112">
        <f t="shared" si="32"/>
        <v>20.91666667</v>
      </c>
      <c r="G205" s="113">
        <v>37.2</v>
      </c>
      <c r="H205" s="112">
        <v>45.22</v>
      </c>
      <c r="I205" s="72">
        <v>0.667</v>
      </c>
      <c r="J205" s="115">
        <v>0.1226874416</v>
      </c>
      <c r="K205" s="115">
        <v>0.5674294175</v>
      </c>
      <c r="L205" s="115">
        <v>0.03322381897999999</v>
      </c>
      <c r="M205" s="116">
        <v>0.4385544105</v>
      </c>
    </row>
    <row r="206">
      <c r="A206" s="108" t="s">
        <v>46</v>
      </c>
      <c r="B206" s="109">
        <v>2017.0</v>
      </c>
      <c r="C206" s="109">
        <v>1.0</v>
      </c>
      <c r="D206" s="111">
        <v>14.75</v>
      </c>
      <c r="E206" s="111">
        <v>28.5</v>
      </c>
      <c r="F206" s="112">
        <f t="shared" si="32"/>
        <v>21.625</v>
      </c>
      <c r="G206" s="113">
        <v>33.9</v>
      </c>
      <c r="H206" s="112">
        <v>40.2</v>
      </c>
      <c r="I206" s="72">
        <v>0.677</v>
      </c>
      <c r="J206" s="115">
        <v>0.12468617909999999</v>
      </c>
      <c r="K206" s="115">
        <v>0.5766735783000001</v>
      </c>
      <c r="L206" s="115">
        <v>0.03376507806</v>
      </c>
      <c r="M206" s="116">
        <v>0.4456990304</v>
      </c>
    </row>
    <row r="207">
      <c r="A207" s="108" t="s">
        <v>46</v>
      </c>
      <c r="B207" s="109">
        <v>2018.0</v>
      </c>
      <c r="C207" s="109">
        <v>0.0</v>
      </c>
      <c r="D207" s="111">
        <v>15.41666667</v>
      </c>
      <c r="E207" s="111">
        <v>28.08333333</v>
      </c>
      <c r="F207" s="112">
        <f t="shared" si="32"/>
        <v>21.75</v>
      </c>
      <c r="G207" s="113">
        <v>35.7</v>
      </c>
      <c r="H207" s="112">
        <v>43.86</v>
      </c>
      <c r="I207" s="72">
        <v>0.68</v>
      </c>
      <c r="J207" s="115">
        <v>0.1266768567</v>
      </c>
      <c r="K207" s="115">
        <v>0.5858804623999999</v>
      </c>
      <c r="L207" s="115">
        <v>0.034304154540000006</v>
      </c>
      <c r="M207" s="116">
        <v>0.45281483990000004</v>
      </c>
    </row>
    <row r="208">
      <c r="A208" s="108" t="s">
        <v>46</v>
      </c>
      <c r="B208" s="109">
        <v>2019.0</v>
      </c>
      <c r="C208" s="109">
        <v>0.0</v>
      </c>
      <c r="D208" s="111">
        <v>15.83333333</v>
      </c>
      <c r="E208" s="111">
        <v>27.25</v>
      </c>
      <c r="F208" s="112">
        <f t="shared" si="32"/>
        <v>21.54166667</v>
      </c>
      <c r="G208" s="113">
        <v>31.2</v>
      </c>
      <c r="H208" s="112">
        <v>43.62</v>
      </c>
      <c r="I208" s="72">
        <v>0.683</v>
      </c>
      <c r="J208" s="115">
        <v>0.1286588717</v>
      </c>
      <c r="K208" s="115">
        <v>0.5950472818</v>
      </c>
      <c r="L208" s="115">
        <v>0.03484088516</v>
      </c>
      <c r="M208" s="116">
        <v>0.4598996842</v>
      </c>
    </row>
    <row r="209">
      <c r="A209" s="108" t="s">
        <v>46</v>
      </c>
      <c r="B209" s="109">
        <v>2020.0</v>
      </c>
      <c r="C209" s="109">
        <v>1.0</v>
      </c>
      <c r="D209" s="111">
        <v>18.08333333</v>
      </c>
      <c r="E209" s="111">
        <v>28.58333333</v>
      </c>
      <c r="F209" s="112">
        <f t="shared" si="32"/>
        <v>23.33333333</v>
      </c>
      <c r="G209" s="113">
        <v>31.0</v>
      </c>
      <c r="H209" s="112">
        <v>44.21</v>
      </c>
      <c r="I209" s="72">
        <f t="shared" ref="I209:I211" si="51">I208+(((I208-I207)+(I207-I206)+(I206-I205)+(I205-I204))/4)</f>
        <v>0.6885</v>
      </c>
      <c r="J209" s="115">
        <v>0.13063164359999999</v>
      </c>
      <c r="K209" s="115">
        <v>0.6041713517</v>
      </c>
      <c r="L209" s="115">
        <v>0.03537511275</v>
      </c>
      <c r="M209" s="116">
        <v>0.46695148830000005</v>
      </c>
    </row>
    <row r="210">
      <c r="A210" s="108" t="s">
        <v>46</v>
      </c>
      <c r="B210" s="109">
        <v>2021.0</v>
      </c>
      <c r="C210" s="109">
        <v>1.0</v>
      </c>
      <c r="D210" s="111">
        <v>16.5</v>
      </c>
      <c r="E210" s="111">
        <v>28.25</v>
      </c>
      <c r="F210" s="112">
        <f t="shared" si="32"/>
        <v>22.375</v>
      </c>
      <c r="G210" s="113">
        <f>MEDIAN(G204:G209)</f>
        <v>34.45</v>
      </c>
      <c r="H210" s="112">
        <f t="shared" ref="H210:H211" si="52">H209+0.59</f>
        <v>44.8</v>
      </c>
      <c r="I210" s="72">
        <f t="shared" si="51"/>
        <v>0.693875</v>
      </c>
      <c r="J210" s="115">
        <v>0.1325945919</v>
      </c>
      <c r="K210" s="115">
        <v>0.6132499873</v>
      </c>
      <c r="L210" s="115">
        <v>0.035906680090000004</v>
      </c>
      <c r="M210" s="116">
        <v>0.47396817719999995</v>
      </c>
    </row>
    <row r="211">
      <c r="A211" s="108" t="s">
        <v>46</v>
      </c>
      <c r="B211" s="119">
        <v>2022.0</v>
      </c>
      <c r="C211" s="109">
        <v>1.0</v>
      </c>
      <c r="D211" s="112"/>
      <c r="E211" s="112"/>
      <c r="F211" s="112"/>
      <c r="G211" s="113">
        <v>77.0</v>
      </c>
      <c r="H211" s="112">
        <f t="shared" si="52"/>
        <v>45.39</v>
      </c>
      <c r="I211" s="72">
        <f t="shared" si="51"/>
        <v>0.69809375</v>
      </c>
      <c r="J211" s="115">
        <v>0.134293296</v>
      </c>
      <c r="K211" s="115">
        <v>0.621106494</v>
      </c>
      <c r="L211" s="115">
        <v>0.03636669</v>
      </c>
      <c r="M211" s="116">
        <v>0.480040308</v>
      </c>
    </row>
    <row r="212">
      <c r="A212" s="108" t="s">
        <v>47</v>
      </c>
      <c r="B212" s="109">
        <v>2015.0</v>
      </c>
      <c r="C212" s="109">
        <v>1.0</v>
      </c>
      <c r="D212" s="111">
        <v>24.41666667</v>
      </c>
      <c r="E212" s="111">
        <v>34.33333333</v>
      </c>
      <c r="F212" s="112">
        <f t="shared" ref="F212:F218" si="53">AVERAGE(D212:E212)</f>
        <v>29.375</v>
      </c>
      <c r="G212" s="113">
        <v>85.4</v>
      </c>
      <c r="H212" s="118">
        <v>28.14</v>
      </c>
      <c r="I212" s="72">
        <v>0.572</v>
      </c>
      <c r="J212" s="115">
        <v>2.6618846439999997</v>
      </c>
      <c r="K212" s="115">
        <v>12.31596801</v>
      </c>
      <c r="L212" s="115">
        <v>0.4766513173</v>
      </c>
      <c r="M212" s="116">
        <v>6.291797388</v>
      </c>
    </row>
    <row r="213">
      <c r="A213" s="108" t="s">
        <v>47</v>
      </c>
      <c r="B213" s="109">
        <v>2016.0</v>
      </c>
      <c r="C213" s="109">
        <v>1.0</v>
      </c>
      <c r="D213" s="111">
        <v>24.25</v>
      </c>
      <c r="E213" s="111">
        <v>33.83333333</v>
      </c>
      <c r="F213" s="112">
        <f t="shared" si="53"/>
        <v>29.04166667</v>
      </c>
      <c r="G213" s="113">
        <v>93.9</v>
      </c>
      <c r="H213" s="118">
        <v>33.69</v>
      </c>
      <c r="I213" s="72">
        <v>0.579</v>
      </c>
      <c r="J213" s="115">
        <v>2.705748168</v>
      </c>
      <c r="K213" s="115">
        <v>12.51891511</v>
      </c>
      <c r="L213" s="115">
        <v>0.4845057548</v>
      </c>
      <c r="M213" s="116">
        <v>6.395475963000001</v>
      </c>
    </row>
    <row r="214">
      <c r="A214" s="108" t="s">
        <v>47</v>
      </c>
      <c r="B214" s="109">
        <v>2017.0</v>
      </c>
      <c r="C214" s="109">
        <v>1.0</v>
      </c>
      <c r="D214" s="111">
        <v>24.5</v>
      </c>
      <c r="E214" s="111">
        <v>35.0</v>
      </c>
      <c r="F214" s="112">
        <f t="shared" si="53"/>
        <v>29.75</v>
      </c>
      <c r="G214" s="113">
        <v>89.2</v>
      </c>
      <c r="H214" s="118">
        <v>28.61</v>
      </c>
      <c r="I214" s="72">
        <v>0.589</v>
      </c>
      <c r="J214" s="115">
        <v>2.749442776</v>
      </c>
      <c r="K214" s="115">
        <v>12.72108066</v>
      </c>
      <c r="L214" s="115">
        <v>0.4923299451</v>
      </c>
      <c r="M214" s="116">
        <v>6.498755276</v>
      </c>
    </row>
    <row r="215">
      <c r="A215" s="108" t="s">
        <v>47</v>
      </c>
      <c r="B215" s="109">
        <v>2018.0</v>
      </c>
      <c r="C215" s="109">
        <v>1.0</v>
      </c>
      <c r="D215" s="111">
        <v>24.08333333</v>
      </c>
      <c r="E215" s="111">
        <v>34.0</v>
      </c>
      <c r="F215" s="112">
        <f t="shared" si="53"/>
        <v>29.04166667</v>
      </c>
      <c r="G215" s="113">
        <v>89.0</v>
      </c>
      <c r="H215" s="118">
        <v>23.58</v>
      </c>
      <c r="I215" s="72">
        <v>0.591</v>
      </c>
      <c r="J215" s="115">
        <v>2.7929549849999997</v>
      </c>
      <c r="K215" s="115">
        <v>12.9224023</v>
      </c>
      <c r="L215" s="115">
        <v>0.5001214743</v>
      </c>
      <c r="M215" s="116">
        <v>6.601603461</v>
      </c>
    </row>
    <row r="216">
      <c r="A216" s="108" t="s">
        <v>47</v>
      </c>
      <c r="B216" s="109">
        <v>2019.0</v>
      </c>
      <c r="C216" s="109">
        <v>0.0</v>
      </c>
      <c r="D216" s="111">
        <v>23.83333333</v>
      </c>
      <c r="E216" s="111">
        <v>33.66666667</v>
      </c>
      <c r="F216" s="112">
        <f t="shared" si="53"/>
        <v>28.75</v>
      </c>
      <c r="G216" s="113">
        <v>91.1</v>
      </c>
      <c r="H216" s="118">
        <v>24.73</v>
      </c>
      <c r="I216" s="72">
        <v>0.594</v>
      </c>
      <c r="J216" s="115">
        <v>2.836271787</v>
      </c>
      <c r="K216" s="115">
        <v>13.122819830000001</v>
      </c>
      <c r="L216" s="115">
        <v>0.5078780129</v>
      </c>
      <c r="M216" s="116">
        <v>6.70398977</v>
      </c>
    </row>
    <row r="217">
      <c r="A217" s="108" t="s">
        <v>47</v>
      </c>
      <c r="B217" s="109">
        <v>2020.0</v>
      </c>
      <c r="C217" s="109">
        <v>1.0</v>
      </c>
      <c r="D217" s="111">
        <v>25.06</v>
      </c>
      <c r="E217" s="111">
        <v>33.41666667</v>
      </c>
      <c r="F217" s="112">
        <f t="shared" si="53"/>
        <v>29.23833334</v>
      </c>
      <c r="G217" s="113">
        <v>88.3</v>
      </c>
      <c r="H217" s="118">
        <v>30.57</v>
      </c>
      <c r="I217" s="72">
        <f t="shared" ref="I217:I219" si="54">I216+(((I216-I215)+(I215-I214)+(I214-I213)+(I213-I212))/4)</f>
        <v>0.5995</v>
      </c>
      <c r="J217" s="115">
        <v>2.879380646</v>
      </c>
      <c r="K217" s="115">
        <v>13.32227526</v>
      </c>
      <c r="L217" s="115">
        <v>0.515597316</v>
      </c>
      <c r="M217" s="116">
        <v>6.805884571000001</v>
      </c>
    </row>
    <row r="218">
      <c r="A218" s="108" t="s">
        <v>47</v>
      </c>
      <c r="B218" s="109">
        <v>2021.0</v>
      </c>
      <c r="C218" s="109">
        <v>1.0</v>
      </c>
      <c r="D218" s="111">
        <v>23.5</v>
      </c>
      <c r="E218" s="111">
        <v>33.66666667</v>
      </c>
      <c r="F218" s="112">
        <f t="shared" si="53"/>
        <v>28.58333334</v>
      </c>
      <c r="G218" s="113">
        <f>MEDIAN(G212:G217)</f>
        <v>89.1</v>
      </c>
      <c r="H218" s="118">
        <v>25.06</v>
      </c>
      <c r="I218" s="72">
        <f t="shared" si="54"/>
        <v>0.604625</v>
      </c>
      <c r="J218" s="115">
        <v>2.922269436</v>
      </c>
      <c r="K218" s="115">
        <v>13.520712470000001</v>
      </c>
      <c r="L218" s="115">
        <v>0.5232772123</v>
      </c>
      <c r="M218" s="116">
        <v>6.907259203</v>
      </c>
    </row>
    <row r="219">
      <c r="A219" s="108" t="s">
        <v>47</v>
      </c>
      <c r="B219" s="119">
        <v>2022.0</v>
      </c>
      <c r="C219" s="109">
        <v>1.0</v>
      </c>
      <c r="D219" s="112"/>
      <c r="E219" s="112"/>
      <c r="F219" s="112"/>
      <c r="G219" s="113">
        <v>72.0</v>
      </c>
      <c r="H219" s="112">
        <f>H218-(H217-H218)</f>
        <v>19.55</v>
      </c>
      <c r="I219" s="72">
        <f t="shared" si="54"/>
        <v>0.60853125</v>
      </c>
      <c r="J219" s="115">
        <v>2.96368944</v>
      </c>
      <c r="K219" s="115">
        <v>13.71235392</v>
      </c>
      <c r="L219" s="115">
        <v>0.5306941</v>
      </c>
      <c r="M219" s="116">
        <v>7.0051621200000005</v>
      </c>
    </row>
    <row r="220">
      <c r="A220" s="108" t="s">
        <v>48</v>
      </c>
      <c r="B220" s="109">
        <v>2015.0</v>
      </c>
      <c r="C220" s="109">
        <v>1.0</v>
      </c>
      <c r="D220" s="111">
        <v>25.08333333</v>
      </c>
      <c r="E220" s="111">
        <v>33.83333333</v>
      </c>
      <c r="F220" s="112">
        <f t="shared" ref="F220:F226" si="55">AVERAGE(D220:E220)</f>
        <v>29.45833333</v>
      </c>
      <c r="G220" s="113">
        <v>59.4</v>
      </c>
      <c r="H220" s="112">
        <v>57.87</v>
      </c>
      <c r="I220" s="72">
        <v>0.617</v>
      </c>
      <c r="J220" s="115">
        <v>1.042490345</v>
      </c>
      <c r="K220" s="115">
        <v>4.821517844</v>
      </c>
      <c r="L220" s="115">
        <v>0.3047865045</v>
      </c>
      <c r="M220" s="116">
        <v>4.02318186</v>
      </c>
    </row>
    <row r="221">
      <c r="A221" s="108" t="s">
        <v>48</v>
      </c>
      <c r="B221" s="109">
        <v>2016.0</v>
      </c>
      <c r="C221" s="109">
        <v>1.0</v>
      </c>
      <c r="D221" s="111">
        <v>25.16666667</v>
      </c>
      <c r="E221" s="111">
        <v>34.33333333</v>
      </c>
      <c r="F221" s="112">
        <f t="shared" si="55"/>
        <v>29.75</v>
      </c>
      <c r="G221" s="113">
        <v>61.4</v>
      </c>
      <c r="H221" s="112">
        <v>58.25</v>
      </c>
      <c r="I221" s="72">
        <v>0.625</v>
      </c>
      <c r="J221" s="115">
        <v>1.0541124069999999</v>
      </c>
      <c r="K221" s="115">
        <v>4.8752698830000005</v>
      </c>
      <c r="L221" s="115">
        <v>0.3081843756</v>
      </c>
      <c r="M221" s="116">
        <v>4.068033758</v>
      </c>
    </row>
    <row r="222">
      <c r="A222" s="108" t="s">
        <v>48</v>
      </c>
      <c r="B222" s="109">
        <v>2017.0</v>
      </c>
      <c r="C222" s="109">
        <v>1.0</v>
      </c>
      <c r="D222" s="111">
        <v>24.75</v>
      </c>
      <c r="E222" s="111">
        <v>33.58333333</v>
      </c>
      <c r="F222" s="112">
        <f t="shared" si="55"/>
        <v>29.16666667</v>
      </c>
      <c r="G222" s="113">
        <v>59.1</v>
      </c>
      <c r="H222" s="112">
        <v>57.17</v>
      </c>
      <c r="I222" s="72">
        <v>0.635</v>
      </c>
      <c r="J222" s="115">
        <v>1.065628993</v>
      </c>
      <c r="K222" s="115">
        <v>4.928534094</v>
      </c>
      <c r="L222" s="115">
        <v>0.3115514092</v>
      </c>
      <c r="M222" s="116">
        <v>4.112478602</v>
      </c>
    </row>
    <row r="223">
      <c r="A223" s="108" t="s">
        <v>48</v>
      </c>
      <c r="B223" s="109">
        <v>2018.0</v>
      </c>
      <c r="C223" s="109">
        <v>1.0</v>
      </c>
      <c r="D223" s="111">
        <v>25.83333333</v>
      </c>
      <c r="E223" s="111">
        <v>34.83333333</v>
      </c>
      <c r="F223" s="112">
        <f t="shared" si="55"/>
        <v>30.33333333</v>
      </c>
      <c r="G223" s="113">
        <v>64.5</v>
      </c>
      <c r="H223" s="112">
        <v>58.36</v>
      </c>
      <c r="I223" s="72">
        <v>0.638</v>
      </c>
      <c r="J223" s="115">
        <v>1.077038555</v>
      </c>
      <c r="K223" s="115">
        <v>4.981303319</v>
      </c>
      <c r="L223" s="115">
        <v>0.31488715289999997</v>
      </c>
      <c r="M223" s="116">
        <v>4.156510418</v>
      </c>
    </row>
    <row r="224">
      <c r="A224" s="108" t="s">
        <v>48</v>
      </c>
      <c r="B224" s="109">
        <v>2019.0</v>
      </c>
      <c r="C224" s="109">
        <v>0.0</v>
      </c>
      <c r="D224" s="111">
        <v>26.08333333</v>
      </c>
      <c r="E224" s="111">
        <v>34.83333333</v>
      </c>
      <c r="F224" s="112">
        <f t="shared" si="55"/>
        <v>30.45833333</v>
      </c>
      <c r="G224" s="113">
        <v>58.7</v>
      </c>
      <c r="H224" s="112">
        <f>H223+(((H223-H222)+(H222-H221)+(H221-H220))/3)</f>
        <v>58.52333333</v>
      </c>
      <c r="I224" s="72">
        <v>0.641</v>
      </c>
      <c r="J224" s="115">
        <v>1.0883396440000002</v>
      </c>
      <c r="K224" s="115">
        <v>5.0335708519999995</v>
      </c>
      <c r="L224" s="115">
        <v>0.3181911827</v>
      </c>
      <c r="M224" s="116">
        <v>4.200123612</v>
      </c>
    </row>
    <row r="225">
      <c r="A225" s="108" t="s">
        <v>48</v>
      </c>
      <c r="B225" s="109">
        <v>2020.0</v>
      </c>
      <c r="C225" s="109">
        <v>1.0</v>
      </c>
      <c r="D225" s="111">
        <v>26.0</v>
      </c>
      <c r="E225" s="111">
        <v>33.33333333</v>
      </c>
      <c r="F225" s="112">
        <f t="shared" si="55"/>
        <v>29.66666667</v>
      </c>
      <c r="G225" s="113">
        <v>66.0</v>
      </c>
      <c r="H225" s="112">
        <f>H224+(((H223-H222)+(H222-H221)+(H221-H220)+(H224-H223)/4))</f>
        <v>59.05416667</v>
      </c>
      <c r="I225" s="72">
        <f t="shared" ref="I225:I227" si="56">I224+(((I224-I223)+(I223-I222)+(I222-I221)+(I221-I220))/4)</f>
        <v>0.647</v>
      </c>
      <c r="J225" s="115">
        <v>1.0995309169999998</v>
      </c>
      <c r="K225" s="115">
        <v>5.085330492</v>
      </c>
      <c r="L225" s="115">
        <v>0.3214631067</v>
      </c>
      <c r="M225" s="116">
        <v>4.243313008</v>
      </c>
    </row>
    <row r="226">
      <c r="A226" s="108" t="s">
        <v>48</v>
      </c>
      <c r="B226" s="109">
        <v>2021.0</v>
      </c>
      <c r="C226" s="109">
        <v>1.0</v>
      </c>
      <c r="D226" s="111">
        <v>24.0</v>
      </c>
      <c r="E226" s="111">
        <v>32.83333333</v>
      </c>
      <c r="F226" s="112">
        <f t="shared" si="55"/>
        <v>28.41666667</v>
      </c>
      <c r="G226" s="113">
        <f>MEDIAN(G220:G225)</f>
        <v>60.4</v>
      </c>
      <c r="H226" s="112">
        <f>H225+(H224-H223)</f>
        <v>59.2175</v>
      </c>
      <c r="I226" s="72">
        <f t="shared" si="56"/>
        <v>0.6525</v>
      </c>
      <c r="J226" s="115">
        <v>1.1106111440000002</v>
      </c>
      <c r="K226" s="115">
        <v>5.136576542999999</v>
      </c>
      <c r="L226" s="115">
        <v>0.3247025647</v>
      </c>
      <c r="M226" s="116">
        <v>4.2860738540000005</v>
      </c>
    </row>
    <row r="227">
      <c r="A227" s="108" t="s">
        <v>48</v>
      </c>
      <c r="B227" s="119">
        <v>2022.0</v>
      </c>
      <c r="C227" s="109">
        <v>1.0</v>
      </c>
      <c r="D227" s="112"/>
      <c r="E227" s="112"/>
      <c r="F227" s="112"/>
      <c r="G227" s="113">
        <v>91.0</v>
      </c>
      <c r="H227" s="112">
        <f>H226+(H226-H225)</f>
        <v>59.38083333</v>
      </c>
      <c r="I227" s="72">
        <f t="shared" si="56"/>
        <v>0.656875</v>
      </c>
      <c r="J227" s="115">
        <v>1.1255076000000002</v>
      </c>
      <c r="K227" s="115">
        <v>5.205472650000001</v>
      </c>
      <c r="L227" s="115">
        <v>0.32905775</v>
      </c>
      <c r="M227" s="116">
        <v>4.343562299999999</v>
      </c>
    </row>
    <row r="228">
      <c r="A228" s="108" t="s">
        <v>49</v>
      </c>
      <c r="B228" s="109">
        <v>2015.0</v>
      </c>
      <c r="C228" s="109">
        <v>0.0</v>
      </c>
      <c r="D228" s="111">
        <v>28.25</v>
      </c>
      <c r="E228" s="111">
        <v>29.08333333</v>
      </c>
      <c r="F228" s="112">
        <f t="shared" ref="F228:F234" si="57">AVERAGE(D228:E228)</f>
        <v>28.66666667</v>
      </c>
      <c r="G228" s="113">
        <v>15.4</v>
      </c>
      <c r="H228" s="118">
        <f>H229-(((H229-H230)+(H230-H231)+(H231-H232)+(H232-H233)+(H233-H234))/5)</f>
        <v>47.494</v>
      </c>
      <c r="I228" s="121">
        <v>0.72</v>
      </c>
      <c r="J228" s="115">
        <v>0.00387725296</v>
      </c>
      <c r="K228" s="115">
        <v>0.01793229494</v>
      </c>
      <c r="L228" s="115">
        <v>0.0014664169</v>
      </c>
      <c r="M228" s="116">
        <v>0.01935670308</v>
      </c>
    </row>
    <row r="229">
      <c r="A229" s="108" t="s">
        <v>49</v>
      </c>
      <c r="B229" s="109">
        <v>2016.0</v>
      </c>
      <c r="C229" s="109">
        <v>1.0</v>
      </c>
      <c r="D229" s="111">
        <v>28.08333333</v>
      </c>
      <c r="E229" s="111">
        <v>29.08333333</v>
      </c>
      <c r="F229" s="112">
        <f t="shared" si="57"/>
        <v>28.58333333</v>
      </c>
      <c r="G229" s="113">
        <v>16.9</v>
      </c>
      <c r="H229" s="118">
        <v>46.18</v>
      </c>
      <c r="I229" s="121">
        <v>0.724</v>
      </c>
      <c r="J229" s="115">
        <v>0.00389738832</v>
      </c>
      <c r="K229" s="115">
        <v>0.018025420979999998</v>
      </c>
      <c r="L229" s="115">
        <v>0.0014740323</v>
      </c>
      <c r="M229" s="116">
        <v>0.01945722636</v>
      </c>
    </row>
    <row r="230">
      <c r="A230" s="108" t="s">
        <v>49</v>
      </c>
      <c r="B230" s="109">
        <v>2017.0</v>
      </c>
      <c r="C230" s="109">
        <v>0.0</v>
      </c>
      <c r="D230" s="111">
        <v>27.83333333</v>
      </c>
      <c r="E230" s="111">
        <v>28.75</v>
      </c>
      <c r="F230" s="112">
        <f t="shared" si="57"/>
        <v>28.29166667</v>
      </c>
      <c r="G230" s="113">
        <v>14.7</v>
      </c>
      <c r="H230" s="118">
        <v>50.0</v>
      </c>
      <c r="I230" s="121">
        <v>0.735</v>
      </c>
      <c r="J230" s="115">
        <v>0.0039172346080000005</v>
      </c>
      <c r="K230" s="115">
        <v>0.01811721006</v>
      </c>
      <c r="L230" s="115">
        <v>0.00148153837</v>
      </c>
      <c r="M230" s="116">
        <v>0.01955630648</v>
      </c>
    </row>
    <row r="231">
      <c r="A231" s="108" t="s">
        <v>49</v>
      </c>
      <c r="B231" s="109">
        <v>2018.0</v>
      </c>
      <c r="C231" s="109">
        <v>0.0</v>
      </c>
      <c r="D231" s="111">
        <v>28.08333333</v>
      </c>
      <c r="E231" s="111">
        <v>29.16666667</v>
      </c>
      <c r="F231" s="112">
        <f t="shared" si="57"/>
        <v>28.625</v>
      </c>
      <c r="G231" s="113">
        <v>16.2</v>
      </c>
      <c r="H231" s="118">
        <v>55.74</v>
      </c>
      <c r="I231" s="121">
        <v>0.738</v>
      </c>
      <c r="J231" s="115">
        <v>0.003936781856</v>
      </c>
      <c r="K231" s="115">
        <v>0.01820761608</v>
      </c>
      <c r="L231" s="115">
        <v>0.0014889313400000001</v>
      </c>
      <c r="M231" s="116">
        <v>0.01965389369</v>
      </c>
    </row>
    <row r="232">
      <c r="A232" s="108" t="s">
        <v>49</v>
      </c>
      <c r="B232" s="109">
        <v>2019.0</v>
      </c>
      <c r="C232" s="109">
        <v>0.0</v>
      </c>
      <c r="D232" s="111">
        <v>27.91666667</v>
      </c>
      <c r="E232" s="111">
        <v>28.75</v>
      </c>
      <c r="F232" s="112">
        <f t="shared" si="57"/>
        <v>28.33333334</v>
      </c>
      <c r="G232" s="113">
        <v>16.3</v>
      </c>
      <c r="H232" s="118">
        <v>49.89</v>
      </c>
      <c r="I232" s="121">
        <v>0.741</v>
      </c>
      <c r="J232" s="115">
        <v>0.003956030064</v>
      </c>
      <c r="K232" s="115">
        <v>0.01829663905</v>
      </c>
      <c r="L232" s="115">
        <v>0.00149621121</v>
      </c>
      <c r="M232" s="116">
        <v>0.019749987969999997</v>
      </c>
    </row>
    <row r="233">
      <c r="A233" s="108" t="s">
        <v>49</v>
      </c>
      <c r="B233" s="109">
        <v>2020.0</v>
      </c>
      <c r="C233" s="109">
        <v>1.0</v>
      </c>
      <c r="D233" s="111">
        <v>25.83333333</v>
      </c>
      <c r="E233" s="111">
        <v>29.0</v>
      </c>
      <c r="F233" s="112">
        <f t="shared" si="57"/>
        <v>27.41666667</v>
      </c>
      <c r="G233" s="113">
        <v>16.1</v>
      </c>
      <c r="H233" s="118">
        <v>59.72</v>
      </c>
      <c r="I233" s="121">
        <f t="shared" ref="I233:I235" si="58">I232+(((I232-I231)+(I231-I230)+(I230-I229)+(I229-I228))/4)</f>
        <v>0.74625</v>
      </c>
      <c r="J233" s="115">
        <v>0.003974979232</v>
      </c>
      <c r="K233" s="115">
        <v>0.01838427895</v>
      </c>
      <c r="L233" s="115">
        <v>0.00150337798</v>
      </c>
      <c r="M233" s="116">
        <v>0.01984458934</v>
      </c>
    </row>
    <row r="234">
      <c r="A234" s="108" t="s">
        <v>49</v>
      </c>
      <c r="B234" s="109">
        <v>2021.0</v>
      </c>
      <c r="C234" s="109">
        <v>1.0</v>
      </c>
      <c r="D234" s="111">
        <v>26.41666667</v>
      </c>
      <c r="E234" s="111">
        <v>28.08333333</v>
      </c>
      <c r="F234" s="112">
        <f t="shared" si="57"/>
        <v>27.25</v>
      </c>
      <c r="G234" s="113">
        <f>MEDIAN(G228:G233)</f>
        <v>16.15</v>
      </c>
      <c r="H234" s="118">
        <v>52.75</v>
      </c>
      <c r="I234" s="121">
        <f t="shared" si="58"/>
        <v>0.7518125</v>
      </c>
      <c r="J234" s="115">
        <v>0.003993649296</v>
      </c>
      <c r="K234" s="115">
        <v>0.018470627990000002</v>
      </c>
      <c r="L234" s="115">
        <v>0.00151043919</v>
      </c>
      <c r="M234" s="116">
        <v>0.01993779731</v>
      </c>
    </row>
    <row r="235">
      <c r="A235" s="108" t="s">
        <v>49</v>
      </c>
      <c r="B235" s="119">
        <v>2022.0</v>
      </c>
      <c r="C235" s="109">
        <v>1.0</v>
      </c>
      <c r="D235" s="112"/>
      <c r="E235" s="112"/>
      <c r="F235" s="112"/>
      <c r="G235" s="113">
        <v>17.0</v>
      </c>
      <c r="H235" s="112">
        <f>H234-(H233-H234)</f>
        <v>45.78</v>
      </c>
      <c r="I235" s="121">
        <f t="shared" si="58"/>
        <v>0.756015625</v>
      </c>
      <c r="J235" s="115">
        <v>0.0040659472</v>
      </c>
      <c r="K235" s="115">
        <v>0.0188050058</v>
      </c>
      <c r="L235" s="115">
        <v>0.0015377829999999998</v>
      </c>
      <c r="M235" s="116">
        <v>0.0202987356</v>
      </c>
    </row>
    <row r="236">
      <c r="A236" s="108" t="s">
        <v>50</v>
      </c>
      <c r="B236" s="109">
        <v>2015.0</v>
      </c>
      <c r="C236" s="109">
        <v>0.0</v>
      </c>
      <c r="D236" s="111">
        <v>18.25</v>
      </c>
      <c r="E236" s="111">
        <v>31.16666667</v>
      </c>
      <c r="F236" s="112">
        <f t="shared" ref="F236:F262" si="59">AVERAGE(D236:E236)</f>
        <v>24.70833334</v>
      </c>
      <c r="G236" s="113">
        <v>51.0</v>
      </c>
      <c r="H236" s="112">
        <v>58.35</v>
      </c>
      <c r="I236" s="72">
        <v>0.732</v>
      </c>
      <c r="J236" s="115">
        <v>4.850384E-4</v>
      </c>
      <c r="K236" s="115">
        <v>0.0022433026</v>
      </c>
      <c r="L236" s="115">
        <v>0.010720450999999999</v>
      </c>
      <c r="M236" s="116">
        <v>0.14150995319999998</v>
      </c>
    </row>
    <row r="237">
      <c r="A237" s="108" t="s">
        <v>50</v>
      </c>
      <c r="B237" s="109">
        <v>2016.0</v>
      </c>
      <c r="C237" s="109">
        <v>1.0</v>
      </c>
      <c r="D237" s="111">
        <v>17.66666667</v>
      </c>
      <c r="E237" s="111">
        <v>30.91666667</v>
      </c>
      <c r="F237" s="112">
        <f t="shared" si="59"/>
        <v>24.29166667</v>
      </c>
      <c r="G237" s="113">
        <v>56.8</v>
      </c>
      <c r="H237" s="112">
        <v>67.08</v>
      </c>
      <c r="I237" s="72">
        <v>0.758</v>
      </c>
      <c r="J237" s="115">
        <v>4.9007816E-4</v>
      </c>
      <c r="K237" s="115">
        <v>0.0022666114899999997</v>
      </c>
      <c r="L237" s="115">
        <v>0.01083184115</v>
      </c>
      <c r="M237" s="116">
        <v>0.1429803032</v>
      </c>
    </row>
    <row r="238">
      <c r="A238" s="108" t="s">
        <v>50</v>
      </c>
      <c r="B238" s="109">
        <v>2017.0</v>
      </c>
      <c r="C238" s="109">
        <v>0.0</v>
      </c>
      <c r="D238" s="111">
        <v>17.41666667</v>
      </c>
      <c r="E238" s="111">
        <v>31.33333333</v>
      </c>
      <c r="F238" s="112">
        <f t="shared" si="59"/>
        <v>24.375</v>
      </c>
      <c r="G238" s="113">
        <v>51.5</v>
      </c>
      <c r="H238" s="112">
        <v>67.53</v>
      </c>
      <c r="I238" s="72">
        <v>0.77</v>
      </c>
      <c r="J238" s="115">
        <v>4.950681999999999E-4</v>
      </c>
      <c r="K238" s="115">
        <v>0.0022896904249999996</v>
      </c>
      <c r="L238" s="115">
        <v>0.010942132379999999</v>
      </c>
      <c r="M238" s="116">
        <v>0.1444361474</v>
      </c>
    </row>
    <row r="239">
      <c r="A239" s="108" t="s">
        <v>50</v>
      </c>
      <c r="B239" s="109">
        <v>2018.0</v>
      </c>
      <c r="C239" s="109">
        <v>0.0</v>
      </c>
      <c r="D239" s="111">
        <v>18.66666667</v>
      </c>
      <c r="E239" s="111">
        <v>30.58333333</v>
      </c>
      <c r="F239" s="112">
        <f t="shared" si="59"/>
        <v>24.625</v>
      </c>
      <c r="G239" s="113">
        <v>54.1</v>
      </c>
      <c r="H239" s="112">
        <v>64.88</v>
      </c>
      <c r="I239" s="72">
        <v>0.772</v>
      </c>
      <c r="J239" s="115">
        <v>5.0000808E-4</v>
      </c>
      <c r="K239" s="115">
        <v>0.00231253737</v>
      </c>
      <c r="L239" s="115">
        <v>0.01105131495</v>
      </c>
      <c r="M239" s="116">
        <v>0.1458773573</v>
      </c>
    </row>
    <row r="240">
      <c r="A240" s="108" t="s">
        <v>50</v>
      </c>
      <c r="B240" s="109">
        <v>2019.0</v>
      </c>
      <c r="C240" s="109">
        <v>1.0</v>
      </c>
      <c r="D240" s="111">
        <v>17.75</v>
      </c>
      <c r="E240" s="111">
        <v>29.33333333</v>
      </c>
      <c r="F240" s="112">
        <f t="shared" si="59"/>
        <v>23.54166667</v>
      </c>
      <c r="G240" s="113">
        <v>49.4</v>
      </c>
      <c r="H240" s="112">
        <v>73.38</v>
      </c>
      <c r="I240" s="72">
        <v>0.776</v>
      </c>
      <c r="J240" s="115">
        <v>5.0489736E-4</v>
      </c>
      <c r="K240" s="115">
        <v>0.00233515029</v>
      </c>
      <c r="L240" s="115">
        <v>0.01115937915</v>
      </c>
      <c r="M240" s="116">
        <v>0.14730380480000002</v>
      </c>
    </row>
    <row r="241">
      <c r="A241" s="108" t="s">
        <v>50</v>
      </c>
      <c r="B241" s="109">
        <v>2020.0</v>
      </c>
      <c r="C241" s="109">
        <v>1.0</v>
      </c>
      <c r="D241" s="111">
        <v>20.33333333</v>
      </c>
      <c r="E241" s="111">
        <v>31.33333333</v>
      </c>
      <c r="F241" s="112">
        <f t="shared" si="59"/>
        <v>25.83333333</v>
      </c>
      <c r="G241" s="113">
        <v>50.4</v>
      </c>
      <c r="H241" s="112">
        <v>62.53</v>
      </c>
      <c r="I241" s="72">
        <f t="shared" ref="I241:I243" si="60">I240+(((I240-I239)+(I239-I238)+(I238-I237)+(I237-I236))/4)</f>
        <v>0.787</v>
      </c>
      <c r="J241" s="115">
        <v>5.097360400000001E-4</v>
      </c>
      <c r="K241" s="115">
        <v>0.002357529185</v>
      </c>
      <c r="L241" s="115">
        <v>0.011266324979999999</v>
      </c>
      <c r="M241" s="116">
        <v>0.1487154897</v>
      </c>
    </row>
    <row r="242">
      <c r="A242" s="108" t="s">
        <v>50</v>
      </c>
      <c r="B242" s="109">
        <v>2021.0</v>
      </c>
      <c r="C242" s="109">
        <v>1.0</v>
      </c>
      <c r="D242" s="111">
        <v>20.0</v>
      </c>
      <c r="E242" s="111">
        <v>32.16666667</v>
      </c>
      <c r="F242" s="112">
        <f t="shared" si="59"/>
        <v>26.08333334</v>
      </c>
      <c r="G242" s="113">
        <f>MEDIAN(G236:G241)</f>
        <v>51.25</v>
      </c>
      <c r="H242" s="112">
        <f t="shared" ref="H242:H243" si="62">H241+(H241-H240)</f>
        <v>51.68</v>
      </c>
      <c r="I242" s="72">
        <f t="shared" si="60"/>
        <v>0.79425</v>
      </c>
      <c r="J242" s="115">
        <v>5.1452324E-4</v>
      </c>
      <c r="K242" s="115">
        <v>0.002379669985</v>
      </c>
      <c r="L242" s="115">
        <v>0.01137213298</v>
      </c>
      <c r="M242" s="116">
        <v>0.15011215530000002</v>
      </c>
    </row>
    <row r="243">
      <c r="A243" s="108" t="s">
        <v>50</v>
      </c>
      <c r="B243" s="119">
        <v>2022.0</v>
      </c>
      <c r="C243" s="109">
        <v>0.0</v>
      </c>
      <c r="D243" s="112">
        <f t="shared" ref="D243:E243" si="61">D242+(((D242-D241)+(D241-D240)+(D240-D239)+(D239-D238)+(D238-D237)+(D237-D236))/6)</f>
        <v>20.29166667</v>
      </c>
      <c r="E243" s="112">
        <f t="shared" si="61"/>
        <v>32.33333334</v>
      </c>
      <c r="F243" s="112">
        <f t="shared" si="59"/>
        <v>26.3125</v>
      </c>
      <c r="G243" s="113">
        <v>128.0</v>
      </c>
      <c r="H243" s="112">
        <f t="shared" si="62"/>
        <v>40.83</v>
      </c>
      <c r="I243" s="72">
        <f t="shared" si="60"/>
        <v>0.8003125</v>
      </c>
      <c r="J243" s="115">
        <v>5.367999999999999E-4</v>
      </c>
      <c r="K243" s="115">
        <v>0.0024827</v>
      </c>
      <c r="L243" s="115">
        <v>0.0118645</v>
      </c>
      <c r="M243" s="116">
        <v>0.15661139999999998</v>
      </c>
    </row>
    <row r="244">
      <c r="A244" s="108" t="s">
        <v>51</v>
      </c>
      <c r="B244" s="109">
        <v>2015.0</v>
      </c>
      <c r="C244" s="109">
        <v>0.0</v>
      </c>
      <c r="D244" s="111">
        <v>24.75</v>
      </c>
      <c r="E244" s="111">
        <v>33.91666667</v>
      </c>
      <c r="F244" s="112">
        <f t="shared" si="59"/>
        <v>29.33333334</v>
      </c>
      <c r="G244" s="113">
        <v>31.0</v>
      </c>
      <c r="H244" s="112">
        <v>45.41</v>
      </c>
      <c r="I244" s="72">
        <v>0.661</v>
      </c>
      <c r="J244" s="115">
        <v>0.0044332124700000005</v>
      </c>
      <c r="K244" s="115">
        <v>0.020532546119999998</v>
      </c>
      <c r="L244" s="115">
        <v>0.003907422206</v>
      </c>
      <c r="M244" s="116">
        <v>0.05157797312</v>
      </c>
    </row>
    <row r="245">
      <c r="A245" s="108" t="s">
        <v>51</v>
      </c>
      <c r="B245" s="109">
        <v>2016.0</v>
      </c>
      <c r="C245" s="109">
        <v>0.0</v>
      </c>
      <c r="D245" s="111">
        <v>24.41666667</v>
      </c>
      <c r="E245" s="111">
        <v>33.16666667</v>
      </c>
      <c r="F245" s="112">
        <f t="shared" si="59"/>
        <v>28.79166667</v>
      </c>
      <c r="G245" s="113">
        <v>29.9</v>
      </c>
      <c r="H245" s="112">
        <v>60.73</v>
      </c>
      <c r="I245" s="72">
        <v>0.647</v>
      </c>
      <c r="J245" s="115">
        <v>0.00457139063</v>
      </c>
      <c r="K245" s="115">
        <v>0.02117252209</v>
      </c>
      <c r="L245" s="115">
        <v>0.004029210856</v>
      </c>
      <c r="M245" s="116">
        <v>0.0531855833</v>
      </c>
    </row>
    <row r="246">
      <c r="A246" s="108" t="s">
        <v>51</v>
      </c>
      <c r="B246" s="109">
        <v>2017.0</v>
      </c>
      <c r="C246" s="109">
        <v>0.0</v>
      </c>
      <c r="D246" s="111">
        <v>25.5</v>
      </c>
      <c r="E246" s="111">
        <v>33.66666667</v>
      </c>
      <c r="F246" s="112">
        <f t="shared" si="59"/>
        <v>29.58333334</v>
      </c>
      <c r="G246" s="113">
        <v>35.0</v>
      </c>
      <c r="H246" s="112">
        <v>81.01</v>
      </c>
      <c r="I246" s="72">
        <v>0.658</v>
      </c>
      <c r="J246" s="115">
        <v>0.004711033987</v>
      </c>
      <c r="K246" s="115">
        <v>0.02181928415</v>
      </c>
      <c r="L246" s="115">
        <v>0.004152293758</v>
      </c>
      <c r="M246" s="116">
        <v>0.05481027761</v>
      </c>
    </row>
    <row r="247">
      <c r="A247" s="108" t="s">
        <v>51</v>
      </c>
      <c r="B247" s="109">
        <v>2018.0</v>
      </c>
      <c r="C247" s="109">
        <v>0.0</v>
      </c>
      <c r="D247" s="111">
        <v>26.0</v>
      </c>
      <c r="E247" s="111">
        <v>33.33333333</v>
      </c>
      <c r="F247" s="112">
        <f t="shared" si="59"/>
        <v>29.66666667</v>
      </c>
      <c r="G247" s="113">
        <v>34.5</v>
      </c>
      <c r="H247" s="112">
        <v>82.82</v>
      </c>
      <c r="I247" s="72">
        <v>0.66</v>
      </c>
      <c r="J247" s="115">
        <v>0.0048520590300000005</v>
      </c>
      <c r="K247" s="115">
        <v>0.02247244553</v>
      </c>
      <c r="L247" s="115">
        <v>0.004276593106</v>
      </c>
      <c r="M247" s="116">
        <v>0.056451029</v>
      </c>
    </row>
    <row r="248">
      <c r="A248" s="108" t="s">
        <v>51</v>
      </c>
      <c r="B248" s="109">
        <v>2019.0</v>
      </c>
      <c r="C248" s="109">
        <v>0.0</v>
      </c>
      <c r="D248" s="111">
        <v>24.91666667</v>
      </c>
      <c r="E248" s="111">
        <v>32.41666667</v>
      </c>
      <c r="F248" s="112">
        <f t="shared" si="59"/>
        <v>28.66666667</v>
      </c>
      <c r="G248" s="113">
        <v>32.7</v>
      </c>
      <c r="H248" s="112">
        <v>69.72</v>
      </c>
      <c r="I248" s="72">
        <v>0.663</v>
      </c>
      <c r="J248" s="115">
        <v>0.00499439872</v>
      </c>
      <c r="K248" s="115">
        <v>0.02313169574</v>
      </c>
      <c r="L248" s="115">
        <v>0.0044020508</v>
      </c>
      <c r="M248" s="116">
        <v>0.05810707056</v>
      </c>
    </row>
    <row r="249">
      <c r="A249" s="108" t="s">
        <v>51</v>
      </c>
      <c r="B249" s="109">
        <v>2020.0</v>
      </c>
      <c r="C249" s="109">
        <v>1.0</v>
      </c>
      <c r="D249" s="111">
        <v>24.33333333</v>
      </c>
      <c r="E249" s="111">
        <v>31.41666667</v>
      </c>
      <c r="F249" s="112">
        <f t="shared" si="59"/>
        <v>27.875</v>
      </c>
      <c r="G249" s="113">
        <v>32.6</v>
      </c>
      <c r="H249" s="112">
        <v>66.2</v>
      </c>
      <c r="I249" s="72">
        <f t="shared" ref="I249:I251" si="63">I248+(((I248-I247)+(I247-I246)+(I246-I245)+(I245-I244))/4)</f>
        <v>0.6635</v>
      </c>
      <c r="J249" s="115">
        <v>0.005137986016</v>
      </c>
      <c r="K249" s="115">
        <v>0.02379672427</v>
      </c>
      <c r="L249" s="115">
        <v>0.00452860874</v>
      </c>
      <c r="M249" s="116">
        <v>0.059777635370000005</v>
      </c>
    </row>
    <row r="250">
      <c r="A250" s="108" t="s">
        <v>51</v>
      </c>
      <c r="B250" s="109">
        <v>2021.0</v>
      </c>
      <c r="C250" s="109">
        <v>1.0</v>
      </c>
      <c r="D250" s="111">
        <v>25.41666667</v>
      </c>
      <c r="E250" s="111">
        <v>32.08333333</v>
      </c>
      <c r="F250" s="112">
        <f t="shared" si="59"/>
        <v>28.75</v>
      </c>
      <c r="G250" s="113">
        <f>MEDIAN(G244:G249)</f>
        <v>32.65</v>
      </c>
      <c r="H250" s="112">
        <f t="shared" ref="H250:H251" si="65">H249+(H249-H248)</f>
        <v>62.68</v>
      </c>
      <c r="I250" s="72">
        <f t="shared" si="63"/>
        <v>0.667625</v>
      </c>
      <c r="J250" s="115">
        <v>0.005282749906</v>
      </c>
      <c r="K250" s="115">
        <v>0.02446720224</v>
      </c>
      <c r="L250" s="115">
        <v>0.004656201309</v>
      </c>
      <c r="M250" s="116">
        <v>0.06146185728</v>
      </c>
    </row>
    <row r="251">
      <c r="A251" s="108" t="s">
        <v>51</v>
      </c>
      <c r="B251" s="119">
        <v>2022.0</v>
      </c>
      <c r="C251" s="109">
        <v>0.0</v>
      </c>
      <c r="D251" s="112">
        <f t="shared" ref="D251:E251" si="64">D250+(((D250-D249)+(D249-D248)+(D248-D247)+(D247-D246)+(D246-D245)+(D245-D244))/6)</f>
        <v>25.52777778</v>
      </c>
      <c r="E251" s="112">
        <f t="shared" si="64"/>
        <v>31.77777777</v>
      </c>
      <c r="F251" s="112">
        <f t="shared" si="59"/>
        <v>28.65277778</v>
      </c>
      <c r="G251" s="113">
        <v>80.0</v>
      </c>
      <c r="H251" s="112">
        <f t="shared" si="65"/>
        <v>59.16</v>
      </c>
      <c r="I251" s="72">
        <f t="shared" si="63"/>
        <v>0.67003125</v>
      </c>
      <c r="J251" s="115">
        <v>0.0058173776</v>
      </c>
      <c r="K251" s="115">
        <v>0.026942882</v>
      </c>
      <c r="L251" s="115">
        <v>0.005199139</v>
      </c>
      <c r="M251" s="116">
        <v>0.0686286348</v>
      </c>
    </row>
    <row r="252">
      <c r="A252" s="108" t="s">
        <v>52</v>
      </c>
      <c r="B252" s="109">
        <v>2015.0</v>
      </c>
      <c r="C252" s="109">
        <v>0.0</v>
      </c>
      <c r="D252" s="111">
        <v>17.5</v>
      </c>
      <c r="E252" s="111">
        <v>31.75</v>
      </c>
      <c r="F252" s="112">
        <f t="shared" si="59"/>
        <v>24.625</v>
      </c>
      <c r="G252" s="113">
        <v>16.3</v>
      </c>
      <c r="H252" s="112">
        <v>53.52</v>
      </c>
      <c r="I252" s="72">
        <v>0.672</v>
      </c>
      <c r="J252" s="115">
        <v>0.158207887</v>
      </c>
      <c r="K252" s="115">
        <v>0.7317114775</v>
      </c>
      <c r="L252" s="115">
        <v>0.03728081061</v>
      </c>
      <c r="M252" s="116">
        <v>0.4921067001</v>
      </c>
    </row>
    <row r="253">
      <c r="A253" s="108" t="s">
        <v>52</v>
      </c>
      <c r="B253" s="109">
        <v>2016.0</v>
      </c>
      <c r="C253" s="109">
        <v>1.0</v>
      </c>
      <c r="D253" s="111">
        <v>16.83333333</v>
      </c>
      <c r="E253" s="111">
        <v>32.33333333</v>
      </c>
      <c r="F253" s="112">
        <f t="shared" si="59"/>
        <v>24.58333333</v>
      </c>
      <c r="G253" s="113">
        <v>21.2</v>
      </c>
      <c r="H253" s="112">
        <v>60.35</v>
      </c>
      <c r="I253" s="72">
        <v>0.672</v>
      </c>
      <c r="J253" s="115">
        <v>0.161331035</v>
      </c>
      <c r="K253" s="115">
        <v>0.746156037</v>
      </c>
      <c r="L253" s="115">
        <v>0.03801676311</v>
      </c>
      <c r="M253" s="116">
        <v>0.501821273</v>
      </c>
    </row>
    <row r="254">
      <c r="A254" s="108" t="s">
        <v>52</v>
      </c>
      <c r="B254" s="109">
        <v>2017.0</v>
      </c>
      <c r="C254" s="109">
        <v>1.0</v>
      </c>
      <c r="D254" s="111">
        <v>17.58333333</v>
      </c>
      <c r="E254" s="111">
        <v>32.08333333</v>
      </c>
      <c r="F254" s="112">
        <f t="shared" si="59"/>
        <v>24.83333333</v>
      </c>
      <c r="G254" s="113">
        <v>17.5</v>
      </c>
      <c r="H254" s="112">
        <v>62.37</v>
      </c>
      <c r="I254" s="72">
        <v>0.682</v>
      </c>
      <c r="J254" s="115">
        <v>0.16445214970000002</v>
      </c>
      <c r="K254" s="115">
        <v>0.7605911922</v>
      </c>
      <c r="L254" s="115">
        <v>0.03875223645</v>
      </c>
      <c r="M254" s="116">
        <v>0.5115295212000001</v>
      </c>
    </row>
    <row r="255">
      <c r="A255" s="108" t="s">
        <v>52</v>
      </c>
      <c r="B255" s="109">
        <v>2018.0</v>
      </c>
      <c r="C255" s="109">
        <v>0.0</v>
      </c>
      <c r="D255" s="111">
        <v>18.16666667</v>
      </c>
      <c r="E255" s="111">
        <v>32.08333333</v>
      </c>
      <c r="F255" s="112">
        <f t="shared" si="59"/>
        <v>25.125</v>
      </c>
      <c r="G255" s="113">
        <v>17.9</v>
      </c>
      <c r="H255" s="112">
        <v>37.45</v>
      </c>
      <c r="I255" s="72">
        <v>0.685</v>
      </c>
      <c r="J255" s="115">
        <v>0.1675699993</v>
      </c>
      <c r="K255" s="115">
        <v>0.7750112469</v>
      </c>
      <c r="L255" s="115">
        <v>0.03948694042</v>
      </c>
      <c r="M255" s="116">
        <v>0.5212276136</v>
      </c>
    </row>
    <row r="256">
      <c r="A256" s="108" t="s">
        <v>52</v>
      </c>
      <c r="B256" s="109">
        <v>2019.0</v>
      </c>
      <c r="C256" s="109">
        <v>0.0</v>
      </c>
      <c r="D256" s="111">
        <v>17.0</v>
      </c>
      <c r="E256" s="111">
        <v>29.83333333</v>
      </c>
      <c r="F256" s="112">
        <f t="shared" si="59"/>
        <v>23.41666667</v>
      </c>
      <c r="G256" s="113">
        <v>15.3</v>
      </c>
      <c r="H256" s="112">
        <v>46.99</v>
      </c>
      <c r="I256" s="72">
        <v>0.688</v>
      </c>
      <c r="J256" s="115">
        <v>0.1706834337</v>
      </c>
      <c r="K256" s="115">
        <v>0.7894108808</v>
      </c>
      <c r="L256" s="115">
        <v>0.040220603949999996</v>
      </c>
      <c r="M256" s="116">
        <v>0.5309119721</v>
      </c>
    </row>
    <row r="257">
      <c r="A257" s="108" t="s">
        <v>52</v>
      </c>
      <c r="B257" s="109">
        <v>2020.0</v>
      </c>
      <c r="C257" s="109">
        <v>1.0</v>
      </c>
      <c r="D257" s="111">
        <v>21.33333333</v>
      </c>
      <c r="E257" s="111">
        <v>32.41666667</v>
      </c>
      <c r="F257" s="112">
        <f t="shared" si="59"/>
        <v>26.875</v>
      </c>
      <c r="G257" s="113">
        <v>15.4</v>
      </c>
      <c r="H257" s="112">
        <v>57.38</v>
      </c>
      <c r="I257" s="72">
        <f t="shared" ref="I257:I258" si="66">I256+(((I256-I255)+(I255-I254)+(I254-I253)+(I253-I252))/4)</f>
        <v>0.692</v>
      </c>
      <c r="J257" s="115">
        <v>0.1737912908</v>
      </c>
      <c r="K257" s="115">
        <v>0.80378472</v>
      </c>
      <c r="L257" s="115">
        <v>0.04095295324</v>
      </c>
      <c r="M257" s="116">
        <v>0.5405789827</v>
      </c>
    </row>
    <row r="258">
      <c r="A258" s="108" t="s">
        <v>52</v>
      </c>
      <c r="B258" s="109">
        <v>2021.0</v>
      </c>
      <c r="C258" s="109">
        <v>1.0</v>
      </c>
      <c r="D258" s="111">
        <v>19.08333333</v>
      </c>
      <c r="E258" s="111">
        <v>31.58333333</v>
      </c>
      <c r="F258" s="112">
        <f t="shared" si="59"/>
        <v>25.33333333</v>
      </c>
      <c r="G258" s="113">
        <f>MEDIAN(G252:G257)</f>
        <v>16.9</v>
      </c>
      <c r="H258" s="112">
        <f t="shared" ref="H258:H259" si="68">H257+(H257-H256)</f>
        <v>67.77</v>
      </c>
      <c r="I258" s="72">
        <f t="shared" si="66"/>
        <v>0.697</v>
      </c>
      <c r="J258" s="115">
        <v>0.1768924437</v>
      </c>
      <c r="K258" s="115">
        <v>0.818127552</v>
      </c>
      <c r="L258" s="115">
        <v>0.0416837227</v>
      </c>
      <c r="M258" s="116">
        <v>0.5502251396</v>
      </c>
    </row>
    <row r="259">
      <c r="A259" s="108" t="s">
        <v>52</v>
      </c>
      <c r="B259" s="119">
        <v>2022.0</v>
      </c>
      <c r="C259" s="109">
        <v>1.0</v>
      </c>
      <c r="D259" s="112">
        <f t="shared" ref="D259:E259" si="67">D258+(((D258-D257)+(D257-D256)+(D256-D255)+(D255-D254)+(D254-D253)+(D253-D252))/6)</f>
        <v>19.34722222</v>
      </c>
      <c r="E259" s="112">
        <f t="shared" si="67"/>
        <v>31.55555555</v>
      </c>
      <c r="F259" s="112">
        <f t="shared" si="59"/>
        <v>25.45138889</v>
      </c>
      <c r="G259" s="113">
        <v>14.0</v>
      </c>
      <c r="H259" s="112">
        <f t="shared" si="68"/>
        <v>78.16</v>
      </c>
      <c r="I259" s="72">
        <f>I258+(((I258-I257)+(I257-I256)+(I256-I255)+(I255-I254)+(I254-I253)+(I253-I252))/6)</f>
        <v>0.7011666667</v>
      </c>
      <c r="J259" s="115">
        <v>0.178703</v>
      </c>
      <c r="K259" s="115">
        <v>0.8265027439999999</v>
      </c>
      <c r="L259" s="115">
        <v>0.04211044</v>
      </c>
      <c r="M259" s="116">
        <v>0.555857808</v>
      </c>
    </row>
    <row r="260">
      <c r="A260" s="108" t="s">
        <v>53</v>
      </c>
      <c r="B260" s="109">
        <v>2015.0</v>
      </c>
      <c r="C260" s="109">
        <v>0.0</v>
      </c>
      <c r="D260" s="111">
        <v>27.16666667</v>
      </c>
      <c r="E260" s="111">
        <v>30.75</v>
      </c>
      <c r="F260" s="112">
        <f t="shared" si="59"/>
        <v>28.95833334</v>
      </c>
      <c r="G260" s="113">
        <v>25.5</v>
      </c>
      <c r="H260" s="112">
        <v>49.26</v>
      </c>
      <c r="I260" s="72">
        <v>0.729</v>
      </c>
      <c r="J260" s="115">
        <v>0.007194795667000001</v>
      </c>
      <c r="K260" s="115">
        <v>0.03327592996</v>
      </c>
      <c r="L260" s="115">
        <v>0.009702012708</v>
      </c>
      <c r="M260" s="116">
        <v>0.1280665677</v>
      </c>
    </row>
    <row r="261">
      <c r="A261" s="108" t="s">
        <v>53</v>
      </c>
      <c r="B261" s="109">
        <v>2016.0</v>
      </c>
      <c r="C261" s="109">
        <v>0.0</v>
      </c>
      <c r="D261" s="111">
        <v>26.83333333</v>
      </c>
      <c r="E261" s="111">
        <v>31.16666667</v>
      </c>
      <c r="F261" s="112">
        <f t="shared" si="59"/>
        <v>29</v>
      </c>
      <c r="G261" s="113">
        <v>30.7</v>
      </c>
      <c r="H261" s="112">
        <v>50.83</v>
      </c>
      <c r="I261" s="72">
        <v>0.722</v>
      </c>
      <c r="J261" s="115">
        <v>0.007419054738</v>
      </c>
      <c r="K261" s="115">
        <v>0.03431312816</v>
      </c>
      <c r="L261" s="115">
        <v>0.01000442079</v>
      </c>
      <c r="M261" s="116">
        <v>0.13205835440000002</v>
      </c>
    </row>
    <row r="262">
      <c r="A262" s="108" t="s">
        <v>53</v>
      </c>
      <c r="B262" s="109">
        <v>2017.0</v>
      </c>
      <c r="C262" s="109">
        <v>0.0</v>
      </c>
      <c r="D262" s="111">
        <v>27.16666667</v>
      </c>
      <c r="E262" s="111">
        <v>31.16666667</v>
      </c>
      <c r="F262" s="112">
        <f t="shared" si="59"/>
        <v>29.16666667</v>
      </c>
      <c r="G262" s="113">
        <v>30.1</v>
      </c>
      <c r="H262" s="112">
        <v>36.2</v>
      </c>
      <c r="I262" s="72">
        <v>0.734</v>
      </c>
      <c r="J262" s="115">
        <v>0.00764568019</v>
      </c>
      <c r="K262" s="115">
        <v>0.03536127088</v>
      </c>
      <c r="L262" s="115">
        <v>0.01031001988</v>
      </c>
      <c r="M262" s="116">
        <v>0.1360922624</v>
      </c>
    </row>
    <row r="263">
      <c r="A263" s="108"/>
      <c r="B263" s="109"/>
      <c r="C263" s="109"/>
      <c r="D263" s="111"/>
      <c r="E263" s="111"/>
      <c r="F263" s="112"/>
      <c r="G263" s="113"/>
      <c r="H263" s="112"/>
      <c r="I263" s="72"/>
      <c r="J263" s="115"/>
      <c r="K263" s="115"/>
      <c r="L263" s="115"/>
      <c r="M263" s="116"/>
    </row>
    <row r="264">
      <c r="A264" s="108" t="s">
        <v>53</v>
      </c>
      <c r="B264" s="109">
        <v>2019.0</v>
      </c>
      <c r="C264" s="109">
        <v>0.0</v>
      </c>
      <c r="D264" s="111">
        <v>26.75</v>
      </c>
      <c r="E264" s="111">
        <v>30.75</v>
      </c>
      <c r="F264" s="112">
        <f t="shared" ref="F264:F267" si="69">AVERAGE(D264:E264)</f>
        <v>28.75</v>
      </c>
      <c r="G264" s="113">
        <v>27.5</v>
      </c>
      <c r="H264" s="112">
        <v>46.54</v>
      </c>
      <c r="I264" s="72">
        <v>0.74</v>
      </c>
      <c r="J264" s="115">
        <v>0.008105569128</v>
      </c>
      <c r="K264" s="115">
        <v>0.03748825722</v>
      </c>
      <c r="L264" s="115">
        <v>0.010930169299999999</v>
      </c>
      <c r="M264" s="116">
        <v>0.1442782347</v>
      </c>
    </row>
    <row r="265">
      <c r="A265" s="108" t="s">
        <v>53</v>
      </c>
      <c r="B265" s="109">
        <v>2020.0</v>
      </c>
      <c r="C265" s="109">
        <v>1.0</v>
      </c>
      <c r="D265" s="111">
        <v>26.0</v>
      </c>
      <c r="E265" s="111">
        <v>30.5</v>
      </c>
      <c r="F265" s="112">
        <f t="shared" si="69"/>
        <v>28.25</v>
      </c>
      <c r="G265" s="113">
        <v>26.1</v>
      </c>
      <c r="H265" s="112">
        <v>47.48</v>
      </c>
      <c r="I265" s="72">
        <f t="shared" ref="I265:I267" si="70">I264+(((I264-I263)+(I263-I262)+(I262-I261)+(I261-I260))/4)</f>
        <v>0.74275</v>
      </c>
      <c r="J265" s="115">
        <v>0.008338604589000001</v>
      </c>
      <c r="K265" s="115">
        <v>0.03856604622</v>
      </c>
      <c r="L265" s="115">
        <v>0.01124441213</v>
      </c>
      <c r="M265" s="116">
        <v>0.1484262401</v>
      </c>
    </row>
    <row r="266">
      <c r="A266" s="108" t="s">
        <v>53</v>
      </c>
      <c r="B266" s="109">
        <v>2021.0</v>
      </c>
      <c r="C266" s="109">
        <v>1.0</v>
      </c>
      <c r="D266" s="111">
        <v>25.33333333</v>
      </c>
      <c r="E266" s="111">
        <v>30.75</v>
      </c>
      <c r="F266" s="112">
        <f t="shared" si="69"/>
        <v>28.04166667</v>
      </c>
      <c r="G266" s="113">
        <f>MEDIAN(G260:G265)</f>
        <v>27.5</v>
      </c>
      <c r="H266" s="112">
        <f>H265+(H264-H263)</f>
        <v>94.02</v>
      </c>
      <c r="I266" s="72">
        <f t="shared" si="70"/>
        <v>0.7479375</v>
      </c>
      <c r="J266" s="115">
        <v>0.008573545317</v>
      </c>
      <c r="K266" s="115">
        <v>0.03965264709</v>
      </c>
      <c r="L266" s="115">
        <v>0.01156122418</v>
      </c>
      <c r="M266" s="116">
        <v>0.1526081591</v>
      </c>
    </row>
    <row r="267">
      <c r="A267" s="108" t="s">
        <v>53</v>
      </c>
      <c r="B267" s="119">
        <v>2022.0</v>
      </c>
      <c r="C267" s="109">
        <v>0.0</v>
      </c>
      <c r="D267" s="112">
        <f t="shared" ref="D267:E267" si="71">D266+(((D266-D265)+(D265-D264)+(D264-D263)+(D263-D262)+(D262-D261)+(D261-D260))/6)</f>
        <v>25.02777777</v>
      </c>
      <c r="E267" s="112">
        <f t="shared" si="71"/>
        <v>30.75</v>
      </c>
      <c r="F267" s="112">
        <f t="shared" si="69"/>
        <v>27.88888889</v>
      </c>
      <c r="G267" s="113">
        <v>37.0</v>
      </c>
      <c r="H267" s="112">
        <f>H266+(H266-H265)</f>
        <v>140.56</v>
      </c>
      <c r="I267" s="72">
        <f t="shared" si="70"/>
        <v>0.751421875</v>
      </c>
      <c r="J267" s="115">
        <v>0.00861424</v>
      </c>
      <c r="K267" s="115">
        <v>0.03984086</v>
      </c>
      <c r="L267" s="115">
        <v>0.0116161</v>
      </c>
      <c r="M267" s="116">
        <v>0.15333252</v>
      </c>
    </row>
    <row r="268">
      <c r="C268" s="86" t="s">
        <v>54</v>
      </c>
      <c r="D268" s="86" t="s">
        <v>55</v>
      </c>
      <c r="G268" s="122" t="s">
        <v>72</v>
      </c>
      <c r="H268" s="122" t="s">
        <v>73</v>
      </c>
      <c r="I268" s="122" t="s">
        <v>74</v>
      </c>
      <c r="J268" s="123" t="s">
        <v>59</v>
      </c>
    </row>
  </sheetData>
  <mergeCells count="7">
    <mergeCell ref="D1:G1"/>
    <mergeCell ref="I1:J1"/>
    <mergeCell ref="E2:G2"/>
    <mergeCell ref="K2:L2"/>
    <mergeCell ref="M2:P2"/>
    <mergeCell ref="D268:F268"/>
    <mergeCell ref="J268:M268"/>
  </mergeCells>
  <hyperlinks>
    <hyperlink r:id="rId1" ref="M2"/>
    <hyperlink r:id="rId2" ref="C268"/>
    <hyperlink r:id="rId3" ref="D268"/>
    <hyperlink r:id="rId4" ref="G268"/>
    <hyperlink r:id="rId5" ref="H268"/>
    <hyperlink r:id="rId6" ref="I268"/>
    <hyperlink r:id="rId7" ref="J26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4.38"/>
  </cols>
  <sheetData>
    <row r="1">
      <c r="A1" s="124"/>
      <c r="B1" s="124"/>
      <c r="C1" s="124"/>
      <c r="D1" s="125"/>
      <c r="E1" s="125"/>
      <c r="F1" s="125"/>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row>
    <row r="2">
      <c r="A2" s="124"/>
      <c r="B2" s="124"/>
      <c r="C2" s="124"/>
      <c r="D2" s="125"/>
      <c r="E2" s="125"/>
      <c r="F2" s="125"/>
      <c r="G2" s="124"/>
      <c r="H2" s="124"/>
      <c r="I2" s="124"/>
      <c r="J2" s="124"/>
      <c r="K2" s="124"/>
      <c r="L2" s="126"/>
      <c r="M2" s="124"/>
      <c r="N2" s="124"/>
      <c r="O2" s="124"/>
      <c r="P2" s="124"/>
      <c r="Q2" s="124"/>
      <c r="R2" s="124"/>
      <c r="S2" s="124"/>
      <c r="T2" s="124"/>
      <c r="U2" s="124"/>
      <c r="V2" s="124"/>
      <c r="W2" s="124"/>
      <c r="X2" s="124"/>
      <c r="Y2" s="124"/>
      <c r="Z2" s="124"/>
      <c r="AA2" s="124"/>
      <c r="AB2" s="124"/>
      <c r="AC2" s="124"/>
      <c r="AD2" s="124"/>
      <c r="AE2" s="124"/>
      <c r="AF2" s="124"/>
    </row>
    <row r="3">
      <c r="A3" s="124"/>
      <c r="B3" s="124" t="s">
        <v>75</v>
      </c>
      <c r="C3" s="126"/>
      <c r="D3" s="125"/>
      <c r="E3" s="125"/>
      <c r="F3" s="125"/>
      <c r="G3" s="124" t="s">
        <v>76</v>
      </c>
      <c r="H3" s="124"/>
      <c r="I3" s="124"/>
      <c r="J3" s="124"/>
      <c r="K3" s="124"/>
      <c r="L3" s="127" t="s">
        <v>77</v>
      </c>
      <c r="M3" s="128" t="s">
        <v>13</v>
      </c>
      <c r="N3" s="128"/>
      <c r="O3" s="128" t="s">
        <v>14</v>
      </c>
      <c r="P3" s="128" t="s">
        <v>78</v>
      </c>
      <c r="Q3" s="128" t="s">
        <v>79</v>
      </c>
      <c r="R3" s="124" t="s">
        <v>80</v>
      </c>
      <c r="S3" s="124" t="s">
        <v>81</v>
      </c>
      <c r="T3" s="124" t="s">
        <v>82</v>
      </c>
      <c r="U3" s="124"/>
      <c r="V3" s="124"/>
      <c r="W3" s="124"/>
      <c r="X3" s="124"/>
      <c r="Y3" s="124"/>
      <c r="Z3" s="124"/>
      <c r="AA3" s="124"/>
      <c r="AB3" s="124"/>
      <c r="AC3" s="124"/>
      <c r="AD3" s="124"/>
      <c r="AE3" s="124"/>
      <c r="AF3" s="124"/>
    </row>
    <row r="4">
      <c r="A4" s="124"/>
      <c r="B4" s="128"/>
      <c r="C4" s="128" t="s">
        <v>83</v>
      </c>
      <c r="D4" s="129"/>
      <c r="E4" s="129" t="s">
        <v>84</v>
      </c>
      <c r="F4" s="129" t="s">
        <v>85</v>
      </c>
      <c r="G4" s="128" t="s">
        <v>79</v>
      </c>
      <c r="H4" s="124" t="s">
        <v>80</v>
      </c>
      <c r="I4" s="124" t="s">
        <v>81</v>
      </c>
      <c r="J4" s="124" t="s">
        <v>82</v>
      </c>
      <c r="K4" s="124"/>
      <c r="L4" s="130">
        <v>2015.0</v>
      </c>
      <c r="M4" s="130">
        <f t="shared" ref="M4:M11" si="1">88.71*P4/100</f>
        <v>101867733.3</v>
      </c>
      <c r="N4" s="130"/>
      <c r="O4" s="130">
        <f t="shared" ref="O4:O11" si="2">11.29*P4/100</f>
        <v>12964566.67</v>
      </c>
      <c r="P4" s="131">
        <v>1.148323E8</v>
      </c>
      <c r="Q4" s="130">
        <f t="shared" ref="Q4:Q11" si="3">P4*88.71*1.6/10000</f>
        <v>1629883.733</v>
      </c>
      <c r="R4" s="132">
        <f t="shared" ref="R4:R11" si="4">P4*88.71*7.4/10000</f>
        <v>7538212.266</v>
      </c>
      <c r="S4" s="132">
        <f t="shared" ref="S4:S11" si="5">P4*11.29*1/10000</f>
        <v>129645.6667</v>
      </c>
      <c r="T4" s="132">
        <f t="shared" ref="T4:T11" si="6">P4*13.2*11.29/10000</f>
        <v>1711322.8</v>
      </c>
      <c r="U4" s="124"/>
      <c r="V4" s="124"/>
      <c r="W4" s="124"/>
      <c r="X4" s="124"/>
      <c r="Y4" s="124"/>
      <c r="Z4" s="124"/>
      <c r="AA4" s="124"/>
      <c r="AB4" s="124"/>
      <c r="AC4" s="124"/>
      <c r="AD4" s="124"/>
      <c r="AE4" s="124"/>
      <c r="AF4" s="124"/>
    </row>
    <row r="5">
      <c r="A5" s="124"/>
      <c r="B5" s="130">
        <v>2015.0</v>
      </c>
      <c r="C5" s="131">
        <v>8.7840571E7</v>
      </c>
      <c r="D5" s="133"/>
      <c r="E5" s="133">
        <f t="shared" ref="E5:E12" si="7">66.64*C5/100</f>
        <v>58536956.51</v>
      </c>
      <c r="F5" s="133">
        <f t="shared" ref="F5:F12" si="8">33.36*C5/100</f>
        <v>29303614.49</v>
      </c>
      <c r="G5" s="130">
        <f t="shared" ref="G5:G12" si="9">C5*1.6*66.4/10000</f>
        <v>933218.2263</v>
      </c>
      <c r="H5" s="132">
        <f t="shared" ref="H5:H12" si="10">C5*7.4*66.4/10000</f>
        <v>4316134.297</v>
      </c>
      <c r="I5" s="132">
        <f t="shared" ref="I5:I12" si="11">C5*33.36*1/10000</f>
        <v>293036.1449</v>
      </c>
      <c r="J5" s="132">
        <f t="shared" ref="J5:J12" si="12">C5*33.36*13.2/10000</f>
        <v>3868077.112</v>
      </c>
      <c r="K5" s="124"/>
      <c r="L5" s="130">
        <v>2016.0</v>
      </c>
      <c r="M5" s="130">
        <f t="shared" si="1"/>
        <v>104272406.8</v>
      </c>
      <c r="N5" s="130"/>
      <c r="O5" s="130">
        <f t="shared" si="2"/>
        <v>13270606.17</v>
      </c>
      <c r="P5" s="131">
        <v>1.17543013E8</v>
      </c>
      <c r="Q5" s="130">
        <f t="shared" si="3"/>
        <v>1668358.509</v>
      </c>
      <c r="R5" s="132">
        <f t="shared" si="4"/>
        <v>7716158.106</v>
      </c>
      <c r="S5" s="132">
        <f t="shared" si="5"/>
        <v>132706.0617</v>
      </c>
      <c r="T5" s="132">
        <f t="shared" si="6"/>
        <v>1751720.014</v>
      </c>
      <c r="U5" s="124"/>
      <c r="V5" s="124"/>
      <c r="W5" s="124"/>
      <c r="X5" s="124"/>
      <c r="Y5" s="124"/>
      <c r="Z5" s="124"/>
      <c r="AA5" s="124"/>
      <c r="AB5" s="124"/>
      <c r="AC5" s="124"/>
      <c r="AD5" s="124"/>
      <c r="AE5" s="124"/>
      <c r="AF5" s="124"/>
    </row>
    <row r="6">
      <c r="A6" s="124"/>
      <c r="B6" s="130">
        <v>2016.0</v>
      </c>
      <c r="C6" s="131">
        <v>8.8633668E7</v>
      </c>
      <c r="D6" s="133"/>
      <c r="E6" s="133">
        <f t="shared" si="7"/>
        <v>59065476.36</v>
      </c>
      <c r="F6" s="133">
        <f t="shared" si="8"/>
        <v>29568191.64</v>
      </c>
      <c r="G6" s="130">
        <f t="shared" si="9"/>
        <v>941644.0888</v>
      </c>
      <c r="H6" s="132">
        <f t="shared" si="10"/>
        <v>4355103.911</v>
      </c>
      <c r="I6" s="132">
        <f t="shared" si="11"/>
        <v>295681.9164</v>
      </c>
      <c r="J6" s="132">
        <f t="shared" si="12"/>
        <v>3903001.297</v>
      </c>
      <c r="K6" s="124"/>
      <c r="L6" s="130">
        <v>2017.0</v>
      </c>
      <c r="M6" s="130">
        <f t="shared" si="1"/>
        <v>106684616.2</v>
      </c>
      <c r="N6" s="130"/>
      <c r="O6" s="130">
        <f t="shared" si="2"/>
        <v>13577604.75</v>
      </c>
      <c r="P6" s="131">
        <v>1.20262221E8</v>
      </c>
      <c r="Q6" s="130">
        <f t="shared" si="3"/>
        <v>1706953.86</v>
      </c>
      <c r="R6" s="132">
        <f t="shared" si="4"/>
        <v>7894661.602</v>
      </c>
      <c r="S6" s="132">
        <f t="shared" si="5"/>
        <v>135776.0475</v>
      </c>
      <c r="T6" s="132">
        <f t="shared" si="6"/>
        <v>1792243.827</v>
      </c>
      <c r="U6" s="124"/>
      <c r="V6" s="124"/>
      <c r="W6" s="124"/>
      <c r="X6" s="124"/>
      <c r="Y6" s="124"/>
      <c r="Z6" s="124"/>
      <c r="AA6" s="124"/>
      <c r="AB6" s="124"/>
      <c r="AC6" s="124"/>
      <c r="AD6" s="124"/>
      <c r="AE6" s="124"/>
      <c r="AF6" s="124"/>
    </row>
    <row r="7">
      <c r="A7" s="124"/>
      <c r="B7" s="130">
        <v>2017.0</v>
      </c>
      <c r="C7" s="131">
        <v>8.941792E7</v>
      </c>
      <c r="D7" s="133"/>
      <c r="E7" s="133">
        <f t="shared" si="7"/>
        <v>59588101.89</v>
      </c>
      <c r="F7" s="133">
        <f t="shared" si="8"/>
        <v>29829818.11</v>
      </c>
      <c r="G7" s="130">
        <f t="shared" si="9"/>
        <v>949975.9821</v>
      </c>
      <c r="H7" s="132">
        <f t="shared" si="10"/>
        <v>4393638.917</v>
      </c>
      <c r="I7" s="132">
        <f t="shared" si="11"/>
        <v>298298.1811</v>
      </c>
      <c r="J7" s="132">
        <f t="shared" si="12"/>
        <v>3937535.991</v>
      </c>
      <c r="K7" s="124"/>
      <c r="L7" s="130">
        <v>2018.0</v>
      </c>
      <c r="M7" s="130">
        <f t="shared" si="1"/>
        <v>109103267.8</v>
      </c>
      <c r="N7" s="130"/>
      <c r="O7" s="130">
        <f t="shared" si="2"/>
        <v>13885423.21</v>
      </c>
      <c r="P7" s="131">
        <v>1.22988691E8</v>
      </c>
      <c r="Q7" s="130">
        <f t="shared" si="3"/>
        <v>1745652.285</v>
      </c>
      <c r="R7" s="132">
        <f t="shared" si="4"/>
        <v>8073641.816</v>
      </c>
      <c r="S7" s="132">
        <f t="shared" si="5"/>
        <v>138854.2321</v>
      </c>
      <c r="T7" s="132">
        <f t="shared" si="6"/>
        <v>1832875.864</v>
      </c>
      <c r="U7" s="124"/>
      <c r="V7" s="124"/>
      <c r="W7" s="124"/>
      <c r="X7" s="124"/>
      <c r="Y7" s="124"/>
      <c r="Z7" s="124"/>
      <c r="AA7" s="124"/>
      <c r="AB7" s="124"/>
      <c r="AC7" s="124"/>
      <c r="AD7" s="124"/>
      <c r="AE7" s="124"/>
      <c r="AF7" s="124"/>
    </row>
    <row r="8">
      <c r="A8" s="124"/>
      <c r="B8" s="130">
        <v>2018.0</v>
      </c>
      <c r="C8" s="131">
        <v>9.0193287E7</v>
      </c>
      <c r="D8" s="133"/>
      <c r="E8" s="133">
        <f t="shared" si="7"/>
        <v>60104806.46</v>
      </c>
      <c r="F8" s="133">
        <f t="shared" si="8"/>
        <v>30088480.54</v>
      </c>
      <c r="G8" s="130">
        <f t="shared" si="9"/>
        <v>958213.4811</v>
      </c>
      <c r="H8" s="132">
        <f t="shared" si="10"/>
        <v>4431737.35</v>
      </c>
      <c r="I8" s="132">
        <f t="shared" si="11"/>
        <v>300884.8054</v>
      </c>
      <c r="J8" s="132">
        <f t="shared" si="12"/>
        <v>3971679.432</v>
      </c>
      <c r="K8" s="124"/>
      <c r="L8" s="130">
        <v>2019.0</v>
      </c>
      <c r="M8" s="130">
        <f t="shared" si="1"/>
        <v>111527283.6</v>
      </c>
      <c r="N8" s="130"/>
      <c r="O8" s="130">
        <f t="shared" si="2"/>
        <v>14193924.38</v>
      </c>
      <c r="P8" s="131">
        <v>1.25721208E8</v>
      </c>
      <c r="Q8" s="130">
        <f t="shared" si="3"/>
        <v>1784436.538</v>
      </c>
      <c r="R8" s="132">
        <f t="shared" si="4"/>
        <v>8253018.988</v>
      </c>
      <c r="S8" s="132">
        <f t="shared" si="5"/>
        <v>141939.2438</v>
      </c>
      <c r="T8" s="132">
        <f t="shared" si="6"/>
        <v>1873598.019</v>
      </c>
      <c r="U8" s="124"/>
      <c r="V8" s="124"/>
      <c r="W8" s="124"/>
      <c r="X8" s="124"/>
      <c r="Y8" s="124"/>
      <c r="Z8" s="124"/>
      <c r="AA8" s="124"/>
      <c r="AB8" s="124"/>
      <c r="AC8" s="124"/>
      <c r="AD8" s="124"/>
      <c r="AE8" s="124"/>
      <c r="AF8" s="124"/>
    </row>
    <row r="9">
      <c r="A9" s="124"/>
      <c r="B9" s="130">
        <v>2019.0</v>
      </c>
      <c r="C9" s="131">
        <v>9.0959737E7</v>
      </c>
      <c r="D9" s="133"/>
      <c r="E9" s="133">
        <f t="shared" si="7"/>
        <v>60615568.74</v>
      </c>
      <c r="F9" s="133">
        <f t="shared" si="8"/>
        <v>30344168.26</v>
      </c>
      <c r="G9" s="130">
        <f t="shared" si="9"/>
        <v>966356.2459</v>
      </c>
      <c r="H9" s="132">
        <f t="shared" si="10"/>
        <v>4469397.637</v>
      </c>
      <c r="I9" s="132">
        <f t="shared" si="11"/>
        <v>303441.6826</v>
      </c>
      <c r="J9" s="132">
        <f t="shared" si="12"/>
        <v>4005430.211</v>
      </c>
      <c r="K9" s="124"/>
      <c r="L9" s="130">
        <v>2020.0</v>
      </c>
      <c r="M9" s="130">
        <f t="shared" si="1"/>
        <v>113955597.4</v>
      </c>
      <c r="N9" s="130"/>
      <c r="O9" s="130">
        <f t="shared" si="2"/>
        <v>14502972.55</v>
      </c>
      <c r="P9" s="131">
        <v>1.2845857E8</v>
      </c>
      <c r="Q9" s="130">
        <f t="shared" si="3"/>
        <v>1823289.559</v>
      </c>
      <c r="R9" s="132">
        <f t="shared" si="4"/>
        <v>8432714.211</v>
      </c>
      <c r="S9" s="132">
        <f t="shared" si="5"/>
        <v>145029.7255</v>
      </c>
      <c r="T9" s="132">
        <f t="shared" si="6"/>
        <v>1914392.377</v>
      </c>
      <c r="U9" s="124"/>
      <c r="V9" s="124"/>
      <c r="W9" s="124"/>
      <c r="X9" s="124"/>
      <c r="Y9" s="124"/>
      <c r="Z9" s="124"/>
      <c r="AA9" s="124"/>
      <c r="AB9" s="124"/>
      <c r="AC9" s="124"/>
      <c r="AD9" s="124"/>
      <c r="AE9" s="124"/>
      <c r="AF9" s="124"/>
    </row>
    <row r="10">
      <c r="A10" s="124"/>
      <c r="B10" s="130">
        <v>2020.0</v>
      </c>
      <c r="C10" s="131">
        <v>9.171724E7</v>
      </c>
      <c r="D10" s="133"/>
      <c r="E10" s="133">
        <f t="shared" si="7"/>
        <v>61120368.74</v>
      </c>
      <c r="F10" s="133">
        <f t="shared" si="8"/>
        <v>30596871.26</v>
      </c>
      <c r="G10" s="130">
        <f t="shared" si="9"/>
        <v>974403.9578</v>
      </c>
      <c r="H10" s="132">
        <f t="shared" si="10"/>
        <v>4506618.305</v>
      </c>
      <c r="I10" s="132">
        <f t="shared" si="11"/>
        <v>305968.7126</v>
      </c>
      <c r="J10" s="132">
        <f t="shared" si="12"/>
        <v>4038787.007</v>
      </c>
      <c r="K10" s="124"/>
      <c r="L10" s="134">
        <v>2021.0</v>
      </c>
      <c r="M10" s="130">
        <f t="shared" si="1"/>
        <v>116387160.7</v>
      </c>
      <c r="N10" s="130"/>
      <c r="O10" s="130">
        <f t="shared" si="2"/>
        <v>14812434.28</v>
      </c>
      <c r="P10" s="135">
        <v>1.31199595E8</v>
      </c>
      <c r="Q10" s="134">
        <f t="shared" si="3"/>
        <v>1862194.572</v>
      </c>
      <c r="R10" s="132">
        <f t="shared" si="4"/>
        <v>8612649.894</v>
      </c>
      <c r="S10" s="132">
        <f t="shared" si="5"/>
        <v>148124.3428</v>
      </c>
      <c r="T10" s="132">
        <f t="shared" si="6"/>
        <v>1955241.324</v>
      </c>
      <c r="U10" s="124"/>
      <c r="V10" s="124"/>
      <c r="W10" s="124"/>
      <c r="X10" s="124"/>
      <c r="Y10" s="124"/>
      <c r="Z10" s="124"/>
      <c r="AA10" s="124"/>
      <c r="AB10" s="124"/>
      <c r="AC10" s="124"/>
      <c r="AD10" s="124"/>
      <c r="AE10" s="124"/>
      <c r="AF10" s="124"/>
    </row>
    <row r="11">
      <c r="A11" s="124"/>
      <c r="B11" s="136">
        <v>2021.0</v>
      </c>
      <c r="C11" s="137">
        <v>9.2465775E7</v>
      </c>
      <c r="D11" s="138"/>
      <c r="E11" s="133">
        <f t="shared" si="7"/>
        <v>61619192.46</v>
      </c>
      <c r="F11" s="139">
        <f t="shared" si="8"/>
        <v>30846582.54</v>
      </c>
      <c r="G11" s="134">
        <f t="shared" si="9"/>
        <v>982356.3936</v>
      </c>
      <c r="H11" s="132">
        <f t="shared" si="10"/>
        <v>4543398.32</v>
      </c>
      <c r="I11" s="132">
        <f t="shared" si="11"/>
        <v>308465.8254</v>
      </c>
      <c r="J11" s="132">
        <f t="shared" si="12"/>
        <v>4071748.895</v>
      </c>
      <c r="K11" s="124"/>
      <c r="L11" s="140">
        <v>2022.0</v>
      </c>
      <c r="M11" s="141">
        <f t="shared" si="1"/>
        <v>114444771</v>
      </c>
      <c r="N11" s="124"/>
      <c r="O11" s="124">
        <f t="shared" si="2"/>
        <v>14565229</v>
      </c>
      <c r="P11" s="141">
        <v>1.2901E8</v>
      </c>
      <c r="Q11" s="124">
        <f t="shared" si="3"/>
        <v>1831116.336</v>
      </c>
      <c r="R11" s="124">
        <f t="shared" si="4"/>
        <v>8468913.054</v>
      </c>
      <c r="S11" s="124">
        <f t="shared" si="5"/>
        <v>145652.29</v>
      </c>
      <c r="T11" s="124">
        <f t="shared" si="6"/>
        <v>1922610.228</v>
      </c>
      <c r="U11" s="124"/>
      <c r="V11" s="124"/>
      <c r="W11" s="124"/>
      <c r="X11" s="124"/>
      <c r="Y11" s="124"/>
      <c r="Z11" s="124"/>
      <c r="AA11" s="124"/>
      <c r="AB11" s="124"/>
      <c r="AC11" s="124"/>
      <c r="AD11" s="124"/>
      <c r="AE11" s="124"/>
      <c r="AF11" s="124"/>
    </row>
    <row r="12">
      <c r="A12" s="124"/>
      <c r="B12" s="142">
        <v>2022.0</v>
      </c>
      <c r="C12" s="143">
        <v>9.382E7</v>
      </c>
      <c r="D12" s="125"/>
      <c r="E12" s="125">
        <f t="shared" si="7"/>
        <v>62521648</v>
      </c>
      <c r="F12" s="125">
        <f t="shared" si="8"/>
        <v>31298352</v>
      </c>
      <c r="G12" s="124">
        <f t="shared" si="9"/>
        <v>996743.68</v>
      </c>
      <c r="H12" s="124">
        <f t="shared" si="10"/>
        <v>4609939.52</v>
      </c>
      <c r="I12" s="124">
        <f t="shared" si="11"/>
        <v>312983.52</v>
      </c>
      <c r="J12" s="144">
        <f t="shared" si="12"/>
        <v>4131382.464</v>
      </c>
      <c r="K12" s="124"/>
      <c r="L12" s="124"/>
      <c r="M12" s="124"/>
      <c r="N12" s="124"/>
      <c r="O12" s="124"/>
      <c r="P12" s="124"/>
      <c r="Q12" s="124"/>
      <c r="R12" s="124"/>
      <c r="S12" s="124"/>
      <c r="T12" s="124"/>
      <c r="U12" s="124"/>
      <c r="V12" s="124"/>
      <c r="W12" s="124"/>
      <c r="X12" s="124"/>
      <c r="Y12" s="124"/>
      <c r="Z12" s="124"/>
      <c r="AA12" s="124"/>
      <c r="AB12" s="124"/>
      <c r="AC12" s="124"/>
      <c r="AD12" s="124"/>
      <c r="AE12" s="124"/>
      <c r="AF12" s="124"/>
    </row>
    <row r="13">
      <c r="A13" s="124"/>
      <c r="B13" s="124"/>
      <c r="C13" s="124"/>
      <c r="D13" s="125"/>
      <c r="E13" s="125"/>
      <c r="F13" s="125"/>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row>
    <row r="14">
      <c r="A14" s="124"/>
      <c r="B14" s="124"/>
      <c r="C14" s="124"/>
      <c r="D14" s="125"/>
      <c r="E14" s="125"/>
      <c r="F14" s="125"/>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row>
    <row r="15">
      <c r="A15" s="124"/>
      <c r="B15" s="124"/>
      <c r="C15" s="124"/>
      <c r="D15" s="125"/>
      <c r="E15" s="125"/>
      <c r="F15" s="125"/>
      <c r="G15" s="124"/>
      <c r="H15" s="124"/>
      <c r="I15" s="124"/>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row>
    <row r="16">
      <c r="A16" s="124"/>
      <c r="B16" s="124"/>
      <c r="C16" s="124"/>
      <c r="D16" s="125"/>
      <c r="E16" s="125"/>
      <c r="F16" s="125"/>
      <c r="G16" s="124"/>
      <c r="H16" s="124"/>
      <c r="I16" s="124"/>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row>
    <row r="17">
      <c r="A17" s="124"/>
      <c r="B17" s="145" t="s">
        <v>86</v>
      </c>
      <c r="C17" s="126"/>
      <c r="D17" s="125"/>
      <c r="E17" s="125"/>
      <c r="F17" s="125"/>
      <c r="G17" s="124"/>
      <c r="H17" s="124"/>
      <c r="I17" s="124"/>
      <c r="J17" s="124"/>
      <c r="K17" s="124"/>
      <c r="L17" s="128" t="s">
        <v>87</v>
      </c>
      <c r="M17" s="146" t="s">
        <v>88</v>
      </c>
      <c r="N17" s="129"/>
      <c r="O17" s="147" t="s">
        <v>85</v>
      </c>
      <c r="P17" s="147" t="s">
        <v>89</v>
      </c>
      <c r="Q17" s="128" t="s">
        <v>79</v>
      </c>
      <c r="R17" s="124" t="s">
        <v>80</v>
      </c>
      <c r="S17" s="124" t="s">
        <v>81</v>
      </c>
      <c r="T17" s="124" t="s">
        <v>82</v>
      </c>
      <c r="U17" s="124"/>
      <c r="V17" s="124"/>
      <c r="W17" s="124"/>
      <c r="X17" s="124"/>
      <c r="Y17" s="124"/>
      <c r="Z17" s="124"/>
      <c r="AA17" s="124"/>
      <c r="AB17" s="124"/>
      <c r="AC17" s="124"/>
      <c r="AD17" s="124"/>
      <c r="AE17" s="124"/>
      <c r="AF17" s="124"/>
    </row>
    <row r="18">
      <c r="A18" s="124"/>
      <c r="B18" s="128"/>
      <c r="C18" s="128" t="s">
        <v>83</v>
      </c>
      <c r="D18" s="129"/>
      <c r="E18" s="129" t="s">
        <v>84</v>
      </c>
      <c r="F18" s="129" t="s">
        <v>85</v>
      </c>
      <c r="G18" s="128" t="s">
        <v>79</v>
      </c>
      <c r="H18" s="124" t="s">
        <v>80</v>
      </c>
      <c r="I18" s="124" t="s">
        <v>81</v>
      </c>
      <c r="J18" s="124" t="s">
        <v>82</v>
      </c>
      <c r="K18" s="124"/>
      <c r="L18" s="130">
        <v>2015.0</v>
      </c>
      <c r="M18" s="130">
        <f t="shared" ref="M18:M25" si="13">76.76*P18/100</f>
        <v>21841337.99</v>
      </c>
      <c r="N18" s="130"/>
      <c r="O18" s="130">
        <f t="shared" ref="O18:O25" si="14">23.24*P18/100</f>
        <v>6612724.009</v>
      </c>
      <c r="P18" s="131">
        <v>2.8454062E7</v>
      </c>
      <c r="Q18" s="130">
        <f t="shared" ref="Q18:Q25" si="15">P18*76.76*1.6/10000</f>
        <v>349461.4079</v>
      </c>
      <c r="R18" s="132">
        <f t="shared" ref="R18:R25" si="16">P18*7.4*76.76/10000</f>
        <v>1616259.011</v>
      </c>
      <c r="S18" s="132">
        <f t="shared" ref="S18:S25" si="17">P18*23.24*1/10000</f>
        <v>66127.24009</v>
      </c>
      <c r="T18" s="132">
        <f t="shared" ref="T18:T25" si="18">P18*13.2*23.24/10000</f>
        <v>872879.5692</v>
      </c>
      <c r="U18" s="124"/>
      <c r="V18" s="124"/>
      <c r="W18" s="124"/>
      <c r="X18" s="124"/>
      <c r="Y18" s="124"/>
      <c r="Z18" s="124"/>
      <c r="AA18" s="124"/>
      <c r="AB18" s="124"/>
      <c r="AC18" s="124"/>
      <c r="AD18" s="124"/>
      <c r="AE18" s="124"/>
      <c r="AF18" s="124"/>
    </row>
    <row r="19">
      <c r="A19" s="124"/>
      <c r="B19" s="130">
        <v>2015.0</v>
      </c>
      <c r="C19" s="131">
        <v>1528216.0</v>
      </c>
      <c r="D19" s="133"/>
      <c r="E19" s="133">
        <f t="shared" ref="E19:E26" si="19">77.06*C19/100</f>
        <v>1177643.25</v>
      </c>
      <c r="F19" s="133">
        <f t="shared" ref="F19:F26" si="20">22.94*C19/100</f>
        <v>350572.7504</v>
      </c>
      <c r="G19" s="130">
        <f t="shared" ref="G19:G26" si="21">C19*77.06*1.6/10000</f>
        <v>18842.29199</v>
      </c>
      <c r="H19" s="132">
        <f t="shared" ref="H19:H26" si="22">C19*77.06*7.4/10000</f>
        <v>87145.60047</v>
      </c>
      <c r="I19" s="132">
        <f t="shared" ref="I19:I26" si="23">C19*22.94*1/10000</f>
        <v>3505.727504</v>
      </c>
      <c r="J19" s="132">
        <f t="shared" ref="J19:J26" si="24">C19*22.94*13.2/10000</f>
        <v>46275.60305</v>
      </c>
      <c r="K19" s="124"/>
      <c r="L19" s="130">
        <v>2016.0</v>
      </c>
      <c r="M19" s="130">
        <f t="shared" si="13"/>
        <v>22408661.17</v>
      </c>
      <c r="N19" s="130"/>
      <c r="O19" s="130">
        <f t="shared" si="14"/>
        <v>6784487.828</v>
      </c>
      <c r="P19" s="131">
        <v>2.9193149E7</v>
      </c>
      <c r="Q19" s="130">
        <f t="shared" si="15"/>
        <v>358538.5788</v>
      </c>
      <c r="R19" s="132">
        <f t="shared" si="16"/>
        <v>1658240.927</v>
      </c>
      <c r="S19" s="132">
        <f t="shared" si="17"/>
        <v>67844.87828</v>
      </c>
      <c r="T19" s="132">
        <f t="shared" si="18"/>
        <v>895552.3932</v>
      </c>
      <c r="U19" s="124"/>
      <c r="V19" s="124"/>
      <c r="W19" s="124"/>
      <c r="X19" s="124"/>
      <c r="Y19" s="124"/>
      <c r="Z19" s="124"/>
      <c r="AA19" s="124"/>
      <c r="AB19" s="124"/>
      <c r="AC19" s="124"/>
      <c r="AD19" s="124"/>
      <c r="AE19" s="124"/>
      <c r="AF19" s="124"/>
    </row>
    <row r="20">
      <c r="A20" s="124"/>
      <c r="B20" s="130">
        <v>2016.0</v>
      </c>
      <c r="C20" s="131">
        <v>1564735.0</v>
      </c>
      <c r="D20" s="133"/>
      <c r="E20" s="133">
        <f t="shared" si="19"/>
        <v>1205784.791</v>
      </c>
      <c r="F20" s="133">
        <f t="shared" si="20"/>
        <v>358950.209</v>
      </c>
      <c r="G20" s="130">
        <f t="shared" si="21"/>
        <v>19292.55666</v>
      </c>
      <c r="H20" s="132">
        <f t="shared" si="22"/>
        <v>89228.07453</v>
      </c>
      <c r="I20" s="132">
        <f t="shared" si="23"/>
        <v>3589.50209</v>
      </c>
      <c r="J20" s="132">
        <f t="shared" si="24"/>
        <v>47381.42759</v>
      </c>
      <c r="K20" s="124"/>
      <c r="L20" s="130">
        <v>2017.0</v>
      </c>
      <c r="M20" s="130">
        <f t="shared" si="13"/>
        <v>22979079.32</v>
      </c>
      <c r="N20" s="130"/>
      <c r="O20" s="130">
        <f t="shared" si="14"/>
        <v>6957188.683</v>
      </c>
      <c r="P20" s="131">
        <v>2.9936268E7</v>
      </c>
      <c r="Q20" s="130">
        <f t="shared" si="15"/>
        <v>367665.2691</v>
      </c>
      <c r="R20" s="132">
        <f t="shared" si="16"/>
        <v>1700451.869</v>
      </c>
      <c r="S20" s="132">
        <f t="shared" si="17"/>
        <v>69571.88683</v>
      </c>
      <c r="T20" s="132">
        <f t="shared" si="18"/>
        <v>918348.9062</v>
      </c>
      <c r="U20" s="124"/>
      <c r="V20" s="124"/>
      <c r="W20" s="124"/>
      <c r="X20" s="124"/>
      <c r="Y20" s="124"/>
      <c r="Z20" s="124"/>
      <c r="AA20" s="124"/>
      <c r="AB20" s="124"/>
      <c r="AC20" s="124"/>
      <c r="AD20" s="124"/>
      <c r="AE20" s="124"/>
      <c r="AF20" s="124"/>
    </row>
    <row r="21">
      <c r="A21" s="124"/>
      <c r="B21" s="130">
        <v>2017.0</v>
      </c>
      <c r="C21" s="131">
        <v>1601380.0</v>
      </c>
      <c r="D21" s="133"/>
      <c r="E21" s="133">
        <f t="shared" si="19"/>
        <v>1234023.428</v>
      </c>
      <c r="F21" s="133">
        <f t="shared" si="20"/>
        <v>367356.572</v>
      </c>
      <c r="G21" s="130">
        <f t="shared" si="21"/>
        <v>19744.37485</v>
      </c>
      <c r="H21" s="132">
        <f t="shared" si="22"/>
        <v>91317.73367</v>
      </c>
      <c r="I21" s="132">
        <f t="shared" si="23"/>
        <v>3673.56572</v>
      </c>
      <c r="J21" s="132">
        <f t="shared" si="24"/>
        <v>48491.0675</v>
      </c>
      <c r="K21" s="124"/>
      <c r="L21" s="130">
        <v>2018.0</v>
      </c>
      <c r="M21" s="130">
        <f t="shared" si="13"/>
        <v>23552318.39</v>
      </c>
      <c r="N21" s="130"/>
      <c r="O21" s="130">
        <f t="shared" si="14"/>
        <v>7130743.609</v>
      </c>
      <c r="P21" s="131">
        <v>3.0683062E7</v>
      </c>
      <c r="Q21" s="130">
        <f t="shared" si="15"/>
        <v>376837.0943</v>
      </c>
      <c r="R21" s="132">
        <f t="shared" si="16"/>
        <v>1742871.561</v>
      </c>
      <c r="S21" s="132">
        <f t="shared" si="17"/>
        <v>71307.43609</v>
      </c>
      <c r="T21" s="132">
        <f t="shared" si="18"/>
        <v>941258.1564</v>
      </c>
      <c r="U21" s="124"/>
      <c r="V21" s="124"/>
      <c r="W21" s="124"/>
      <c r="X21" s="124"/>
      <c r="Y21" s="124"/>
      <c r="Z21" s="124"/>
      <c r="AA21" s="124"/>
      <c r="AB21" s="124"/>
      <c r="AC21" s="124"/>
      <c r="AD21" s="124"/>
      <c r="AE21" s="124"/>
      <c r="AF21" s="124"/>
    </row>
    <row r="22">
      <c r="A22" s="124"/>
      <c r="B22" s="130">
        <v>2018.0</v>
      </c>
      <c r="C22" s="131">
        <v>1638132.0</v>
      </c>
      <c r="D22" s="133"/>
      <c r="E22" s="133">
        <f t="shared" si="19"/>
        <v>1262344.519</v>
      </c>
      <c r="F22" s="133">
        <f t="shared" si="20"/>
        <v>375787.4808</v>
      </c>
      <c r="G22" s="130">
        <f t="shared" si="21"/>
        <v>20197.51231</v>
      </c>
      <c r="H22" s="132">
        <f t="shared" si="22"/>
        <v>93413.49442</v>
      </c>
      <c r="I22" s="132">
        <f t="shared" si="23"/>
        <v>3757.874808</v>
      </c>
      <c r="J22" s="132">
        <f t="shared" si="24"/>
        <v>49603.94747</v>
      </c>
      <c r="K22" s="124"/>
      <c r="L22" s="130">
        <v>2019.0</v>
      </c>
      <c r="M22" s="130">
        <f t="shared" si="13"/>
        <v>24128106.67</v>
      </c>
      <c r="N22" s="130"/>
      <c r="O22" s="130">
        <f t="shared" si="14"/>
        <v>7305070.335</v>
      </c>
      <c r="P22" s="131">
        <v>3.1433177E7</v>
      </c>
      <c r="Q22" s="130">
        <f t="shared" si="15"/>
        <v>386049.7066</v>
      </c>
      <c r="R22" s="132">
        <f t="shared" si="16"/>
        <v>1785479.893</v>
      </c>
      <c r="S22" s="132">
        <f t="shared" si="17"/>
        <v>73050.70335</v>
      </c>
      <c r="T22" s="132">
        <f t="shared" si="18"/>
        <v>964269.2842</v>
      </c>
      <c r="U22" s="124"/>
      <c r="V22" s="124"/>
      <c r="W22" s="124"/>
      <c r="X22" s="124"/>
      <c r="Y22" s="124"/>
      <c r="Z22" s="124"/>
      <c r="AA22" s="124"/>
      <c r="AB22" s="124"/>
      <c r="AC22" s="124"/>
      <c r="AD22" s="124"/>
      <c r="AE22" s="124"/>
      <c r="AF22" s="124"/>
    </row>
    <row r="23">
      <c r="A23" s="124"/>
      <c r="B23" s="130">
        <v>2019.0</v>
      </c>
      <c r="C23" s="131">
        <v>1674976.0</v>
      </c>
      <c r="D23" s="133"/>
      <c r="E23" s="133">
        <f t="shared" si="19"/>
        <v>1290736.506</v>
      </c>
      <c r="F23" s="133">
        <f t="shared" si="20"/>
        <v>384239.4944</v>
      </c>
      <c r="G23" s="130">
        <f t="shared" si="21"/>
        <v>20651.78409</v>
      </c>
      <c r="H23" s="132">
        <f t="shared" si="22"/>
        <v>95514.50141</v>
      </c>
      <c r="I23" s="132">
        <f t="shared" si="23"/>
        <v>3842.394944</v>
      </c>
      <c r="J23" s="132">
        <f t="shared" si="24"/>
        <v>50719.61326</v>
      </c>
      <c r="K23" s="124"/>
      <c r="L23" s="130">
        <v>2020.0</v>
      </c>
      <c r="M23" s="130">
        <f t="shared" si="13"/>
        <v>24706174.71</v>
      </c>
      <c r="N23" s="130"/>
      <c r="O23" s="130">
        <f t="shared" si="14"/>
        <v>7480087.289</v>
      </c>
      <c r="P23" s="131">
        <v>3.2186262E7</v>
      </c>
      <c r="Q23" s="130">
        <f t="shared" si="15"/>
        <v>395298.7954</v>
      </c>
      <c r="R23" s="132">
        <f t="shared" si="16"/>
        <v>1828256.929</v>
      </c>
      <c r="S23" s="132">
        <f t="shared" si="17"/>
        <v>74800.87289</v>
      </c>
      <c r="T23" s="132">
        <f t="shared" si="18"/>
        <v>987371.5221</v>
      </c>
      <c r="U23" s="124"/>
      <c r="V23" s="124"/>
      <c r="W23" s="124"/>
      <c r="X23" s="124"/>
      <c r="Y23" s="124"/>
      <c r="Z23" s="124"/>
      <c r="AA23" s="124"/>
      <c r="AB23" s="124"/>
      <c r="AC23" s="124"/>
      <c r="AD23" s="124"/>
      <c r="AE23" s="124"/>
      <c r="AF23" s="124"/>
    </row>
    <row r="24">
      <c r="A24" s="124"/>
      <c r="B24" s="130">
        <v>2020.0</v>
      </c>
      <c r="C24" s="131">
        <v>1711895.0</v>
      </c>
      <c r="D24" s="133"/>
      <c r="E24" s="133">
        <f t="shared" si="19"/>
        <v>1319186.287</v>
      </c>
      <c r="F24" s="133">
        <f t="shared" si="20"/>
        <v>392708.713</v>
      </c>
      <c r="G24" s="130">
        <f t="shared" si="21"/>
        <v>21106.98059</v>
      </c>
      <c r="H24" s="132">
        <f t="shared" si="22"/>
        <v>97619.78524</v>
      </c>
      <c r="I24" s="132">
        <f t="shared" si="23"/>
        <v>3927.08713</v>
      </c>
      <c r="J24" s="132">
        <f t="shared" si="24"/>
        <v>51837.55012</v>
      </c>
      <c r="K24" s="124"/>
      <c r="L24" s="134">
        <v>2021.0</v>
      </c>
      <c r="M24" s="130">
        <f t="shared" si="13"/>
        <v>25286253.1</v>
      </c>
      <c r="N24" s="130"/>
      <c r="O24" s="130">
        <f t="shared" si="14"/>
        <v>7655712.898</v>
      </c>
      <c r="P24" s="135">
        <v>3.2941966E7</v>
      </c>
      <c r="Q24" s="134">
        <f t="shared" si="15"/>
        <v>404580.0496</v>
      </c>
      <c r="R24" s="132">
        <f t="shared" si="16"/>
        <v>1871182.73</v>
      </c>
      <c r="S24" s="132">
        <f t="shared" si="17"/>
        <v>76557.12898</v>
      </c>
      <c r="T24" s="132">
        <f t="shared" si="18"/>
        <v>1010554.103</v>
      </c>
      <c r="U24" s="124"/>
      <c r="V24" s="124"/>
      <c r="W24" s="124"/>
      <c r="X24" s="124"/>
      <c r="Y24" s="124"/>
      <c r="Z24" s="124"/>
      <c r="AA24" s="124"/>
      <c r="AB24" s="124"/>
      <c r="AC24" s="124"/>
      <c r="AD24" s="124"/>
      <c r="AE24" s="124"/>
      <c r="AF24" s="124"/>
    </row>
    <row r="25">
      <c r="A25" s="124"/>
      <c r="B25" s="134">
        <v>2021.0</v>
      </c>
      <c r="C25" s="135">
        <v>1748873.0</v>
      </c>
      <c r="D25" s="138"/>
      <c r="E25" s="133">
        <f t="shared" si="19"/>
        <v>1347681.534</v>
      </c>
      <c r="F25" s="133">
        <f t="shared" si="20"/>
        <v>401191.4662</v>
      </c>
      <c r="G25" s="134">
        <f t="shared" si="21"/>
        <v>21562.90454</v>
      </c>
      <c r="H25" s="132">
        <f t="shared" si="22"/>
        <v>99728.4335</v>
      </c>
      <c r="I25" s="132">
        <f t="shared" si="23"/>
        <v>4011.914662</v>
      </c>
      <c r="J25" s="132">
        <f t="shared" si="24"/>
        <v>52957.27354</v>
      </c>
      <c r="K25" s="124"/>
      <c r="L25" s="140">
        <v>2022.0</v>
      </c>
      <c r="M25" s="148">
        <f t="shared" si="13"/>
        <v>25392208</v>
      </c>
      <c r="N25" s="124"/>
      <c r="O25" s="124">
        <f t="shared" si="14"/>
        <v>7687792</v>
      </c>
      <c r="P25" s="149">
        <v>3.308E7</v>
      </c>
      <c r="Q25" s="124">
        <f t="shared" si="15"/>
        <v>406275.328</v>
      </c>
      <c r="R25" s="124">
        <f t="shared" si="16"/>
        <v>1879023.392</v>
      </c>
      <c r="S25" s="124">
        <f t="shared" si="17"/>
        <v>76877.92</v>
      </c>
      <c r="T25" s="124">
        <f t="shared" si="18"/>
        <v>1014788.544</v>
      </c>
      <c r="U25" s="124"/>
      <c r="V25" s="124"/>
      <c r="W25" s="124"/>
      <c r="X25" s="124"/>
      <c r="Y25" s="124"/>
      <c r="Z25" s="124"/>
      <c r="AA25" s="124"/>
      <c r="AB25" s="124"/>
      <c r="AC25" s="124"/>
      <c r="AD25" s="124"/>
      <c r="AE25" s="124"/>
      <c r="AF25" s="124"/>
    </row>
    <row r="26">
      <c r="A26" s="124"/>
      <c r="B26" s="140">
        <v>2022.0</v>
      </c>
      <c r="C26" s="148">
        <v>1780000.0</v>
      </c>
      <c r="D26" s="125"/>
      <c r="E26" s="125">
        <f t="shared" si="19"/>
        <v>1371668</v>
      </c>
      <c r="F26" s="125">
        <f t="shared" si="20"/>
        <v>408332</v>
      </c>
      <c r="G26" s="124">
        <f t="shared" si="21"/>
        <v>21946.688</v>
      </c>
      <c r="H26" s="124">
        <f t="shared" si="22"/>
        <v>101503.432</v>
      </c>
      <c r="I26" s="124">
        <f t="shared" si="23"/>
        <v>4083.32</v>
      </c>
      <c r="J26" s="124">
        <f t="shared" si="24"/>
        <v>53899.824</v>
      </c>
      <c r="K26" s="124"/>
      <c r="L26" s="124"/>
      <c r="M26" s="124"/>
      <c r="N26" s="124"/>
      <c r="O26" s="124"/>
      <c r="P26" s="124"/>
      <c r="Q26" s="124"/>
      <c r="R26" s="124"/>
      <c r="S26" s="124"/>
      <c r="T26" s="124"/>
      <c r="U26" s="124"/>
      <c r="V26" s="124"/>
      <c r="W26" s="124"/>
      <c r="X26" s="124"/>
      <c r="Y26" s="124"/>
      <c r="Z26" s="124"/>
      <c r="AA26" s="124"/>
      <c r="AB26" s="124"/>
      <c r="AC26" s="124"/>
      <c r="AD26" s="124"/>
      <c r="AE26" s="124"/>
      <c r="AF26" s="124"/>
    </row>
    <row r="27">
      <c r="A27" s="124"/>
      <c r="B27" s="124"/>
      <c r="C27" s="124"/>
      <c r="D27" s="125"/>
      <c r="E27" s="125"/>
      <c r="F27" s="125"/>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row>
    <row r="28">
      <c r="A28" s="124"/>
      <c r="B28" s="124"/>
      <c r="C28" s="124"/>
      <c r="D28" s="125"/>
      <c r="E28" s="125"/>
      <c r="F28" s="125"/>
      <c r="G28" s="124"/>
      <c r="H28" s="124"/>
      <c r="I28" s="124"/>
      <c r="J28" s="124"/>
      <c r="K28" s="124"/>
      <c r="L28" s="128" t="s">
        <v>90</v>
      </c>
      <c r="M28" s="150" t="s">
        <v>88</v>
      </c>
      <c r="N28" s="129"/>
      <c r="O28" s="147" t="s">
        <v>85</v>
      </c>
      <c r="P28" s="147" t="s">
        <v>89</v>
      </c>
      <c r="Q28" s="128" t="s">
        <v>79</v>
      </c>
      <c r="R28" s="124" t="s">
        <v>80</v>
      </c>
      <c r="S28" s="124" t="s">
        <v>81</v>
      </c>
      <c r="T28" s="124" t="s">
        <v>82</v>
      </c>
      <c r="U28" s="124"/>
      <c r="V28" s="124"/>
      <c r="W28" s="124"/>
      <c r="X28" s="124"/>
      <c r="Y28" s="124"/>
      <c r="Z28" s="124"/>
      <c r="AA28" s="124"/>
      <c r="AB28" s="124"/>
      <c r="AC28" s="124"/>
      <c r="AD28" s="124"/>
      <c r="AE28" s="124"/>
      <c r="AF28" s="124"/>
    </row>
    <row r="29">
      <c r="A29" s="124"/>
      <c r="B29" s="124"/>
      <c r="C29" s="124"/>
      <c r="D29" s="125"/>
      <c r="E29" s="125"/>
      <c r="F29" s="125"/>
      <c r="G29" s="124"/>
      <c r="H29" s="124"/>
      <c r="I29" s="124"/>
      <c r="J29" s="124"/>
      <c r="K29" s="124"/>
      <c r="L29" s="130">
        <v>2015.0</v>
      </c>
      <c r="M29" s="130">
        <f t="shared" ref="M29:M36" si="25">37.83*P29/100</f>
        <v>562826.7957</v>
      </c>
      <c r="N29" s="130"/>
      <c r="O29" s="130">
        <f t="shared" ref="O29:O36" si="26">62.17*P29/100</f>
        <v>924952.2043</v>
      </c>
      <c r="P29" s="131">
        <v>1487779.0</v>
      </c>
      <c r="Q29" s="130">
        <f t="shared" ref="Q29:Q36" si="27">P29*37.83*1.6/10000</f>
        <v>9005.228731</v>
      </c>
      <c r="R29" s="132">
        <f t="shared" ref="R29:R36" si="28">P29*7.4*34.83/10000</f>
        <v>38346.3135</v>
      </c>
      <c r="S29" s="132">
        <f t="shared" ref="S29:S36" si="29">P29*62.17*1/10000</f>
        <v>9249.522043</v>
      </c>
      <c r="T29" s="132">
        <f t="shared" ref="T29:T36" si="30">P29*13.2*62.17/10000</f>
        <v>122093.691</v>
      </c>
      <c r="U29" s="124"/>
      <c r="V29" s="124"/>
      <c r="W29" s="124"/>
      <c r="X29" s="124"/>
      <c r="Y29" s="124"/>
      <c r="Z29" s="124"/>
      <c r="AA29" s="124"/>
      <c r="AB29" s="124"/>
      <c r="AC29" s="124"/>
      <c r="AD29" s="124"/>
      <c r="AE29" s="124"/>
      <c r="AF29" s="124"/>
    </row>
    <row r="30">
      <c r="A30" s="124"/>
      <c r="B30" s="128" t="s">
        <v>91</v>
      </c>
      <c r="C30" s="128" t="s">
        <v>83</v>
      </c>
      <c r="D30" s="129"/>
      <c r="E30" s="129" t="s">
        <v>84</v>
      </c>
      <c r="F30" s="129" t="s">
        <v>85</v>
      </c>
      <c r="G30" s="128" t="s">
        <v>79</v>
      </c>
      <c r="H30" s="124" t="s">
        <v>80</v>
      </c>
      <c r="I30" s="124" t="s">
        <v>81</v>
      </c>
      <c r="J30" s="124" t="s">
        <v>82</v>
      </c>
      <c r="K30" s="124"/>
      <c r="L30" s="130">
        <v>2016.0</v>
      </c>
      <c r="M30" s="130">
        <f t="shared" si="25"/>
        <v>565487.3796</v>
      </c>
      <c r="N30" s="130"/>
      <c r="O30" s="130">
        <f t="shared" si="26"/>
        <v>929324.6204</v>
      </c>
      <c r="P30" s="131">
        <v>1494812.0</v>
      </c>
      <c r="Q30" s="130">
        <f t="shared" si="27"/>
        <v>9047.798074</v>
      </c>
      <c r="R30" s="132">
        <f t="shared" si="28"/>
        <v>38527.58345</v>
      </c>
      <c r="S30" s="132">
        <f t="shared" si="29"/>
        <v>9293.246204</v>
      </c>
      <c r="T30" s="132">
        <f t="shared" si="30"/>
        <v>122670.8499</v>
      </c>
      <c r="U30" s="124"/>
      <c r="V30" s="124"/>
      <c r="W30" s="124"/>
      <c r="X30" s="124"/>
      <c r="Y30" s="124"/>
      <c r="Z30" s="124"/>
      <c r="AA30" s="124"/>
      <c r="AB30" s="124"/>
      <c r="AC30" s="124"/>
      <c r="AD30" s="124"/>
      <c r="AE30" s="124"/>
      <c r="AF30" s="124"/>
    </row>
    <row r="31">
      <c r="A31" s="124"/>
      <c r="B31" s="130">
        <v>2015.0</v>
      </c>
      <c r="C31" s="131">
        <v>3.336904E7</v>
      </c>
      <c r="D31" s="133"/>
      <c r="E31" s="133">
        <f t="shared" ref="E31:E38" si="31">85.9*C31/100</f>
        <v>28664005.36</v>
      </c>
      <c r="F31" s="133">
        <f t="shared" ref="F31:F38" si="32">14.1*C31/100</f>
        <v>4705034.64</v>
      </c>
      <c r="G31" s="130">
        <f t="shared" ref="G31:G38" si="33">C31*1.6*85.9/10000</f>
        <v>458624.0858</v>
      </c>
      <c r="H31" s="132">
        <f t="shared" ref="H31:H38" si="34">C31*85.9*7.4/10000</f>
        <v>2121136.397</v>
      </c>
      <c r="I31" s="132">
        <f t="shared" ref="I31:I38" si="35">C31*14.9/10000</f>
        <v>49719.8696</v>
      </c>
      <c r="J31" s="132">
        <f t="shared" ref="J31:J38" si="36">C31*14.1*13.2/100000</f>
        <v>62106.45725</v>
      </c>
      <c r="K31" s="124"/>
      <c r="L31" s="130">
        <v>2017.0</v>
      </c>
      <c r="M31" s="130">
        <f t="shared" si="25"/>
        <v>568107.1071</v>
      </c>
      <c r="N31" s="130"/>
      <c r="O31" s="130">
        <f t="shared" si="26"/>
        <v>933629.8929</v>
      </c>
      <c r="P31" s="131">
        <v>1501737.0</v>
      </c>
      <c r="Q31" s="130">
        <f t="shared" si="27"/>
        <v>9089.713714</v>
      </c>
      <c r="R31" s="132">
        <f t="shared" si="28"/>
        <v>38706.06979</v>
      </c>
      <c r="S31" s="132">
        <f t="shared" si="29"/>
        <v>9336.298929</v>
      </c>
      <c r="T31" s="132">
        <f t="shared" si="30"/>
        <v>123239.1459</v>
      </c>
      <c r="U31" s="124"/>
      <c r="V31" s="124"/>
      <c r="W31" s="124"/>
      <c r="X31" s="124"/>
      <c r="Y31" s="124"/>
      <c r="Z31" s="124"/>
      <c r="AA31" s="124"/>
      <c r="AB31" s="124"/>
      <c r="AC31" s="124"/>
      <c r="AD31" s="124"/>
      <c r="AE31" s="124"/>
      <c r="AF31" s="124"/>
    </row>
    <row r="32">
      <c r="A32" s="124"/>
      <c r="B32" s="130">
        <v>2016.0</v>
      </c>
      <c r="C32" s="131">
        <v>3.3905039E7</v>
      </c>
      <c r="D32" s="133"/>
      <c r="E32" s="133">
        <f t="shared" si="31"/>
        <v>29124428.5</v>
      </c>
      <c r="F32" s="133">
        <f t="shared" si="32"/>
        <v>4780610.499</v>
      </c>
      <c r="G32" s="130">
        <f t="shared" si="33"/>
        <v>465990.856</v>
      </c>
      <c r="H32" s="132">
        <f t="shared" si="34"/>
        <v>2155207.709</v>
      </c>
      <c r="I32" s="132">
        <f t="shared" si="35"/>
        <v>50518.50811</v>
      </c>
      <c r="J32" s="132">
        <f t="shared" si="36"/>
        <v>63104.05859</v>
      </c>
      <c r="K32" s="124"/>
      <c r="L32" s="130">
        <v>2018.0</v>
      </c>
      <c r="M32" s="130">
        <f t="shared" si="25"/>
        <v>570686.7348</v>
      </c>
      <c r="N32" s="130"/>
      <c r="O32" s="130">
        <f t="shared" si="26"/>
        <v>937869.2652</v>
      </c>
      <c r="P32" s="131">
        <v>1508556.0</v>
      </c>
      <c r="Q32" s="130">
        <f t="shared" si="27"/>
        <v>9130.987757</v>
      </c>
      <c r="R32" s="132">
        <f t="shared" si="28"/>
        <v>38881.82406</v>
      </c>
      <c r="S32" s="132">
        <f t="shared" si="29"/>
        <v>9378.692652</v>
      </c>
      <c r="T32" s="132">
        <f t="shared" si="30"/>
        <v>123798.743</v>
      </c>
      <c r="U32" s="124"/>
      <c r="V32" s="124"/>
      <c r="W32" s="124"/>
      <c r="X32" s="124"/>
      <c r="Y32" s="124"/>
      <c r="Z32" s="124"/>
      <c r="AA32" s="124"/>
      <c r="AB32" s="124"/>
      <c r="AC32" s="124"/>
      <c r="AD32" s="124"/>
      <c r="AE32" s="124"/>
      <c r="AF32" s="124"/>
    </row>
    <row r="33">
      <c r="A33" s="124"/>
      <c r="B33" s="130">
        <v>2017.0</v>
      </c>
      <c r="C33" s="131">
        <v>3.4438756E7</v>
      </c>
      <c r="D33" s="133"/>
      <c r="E33" s="133">
        <f t="shared" si="31"/>
        <v>29582891.4</v>
      </c>
      <c r="F33" s="133">
        <f t="shared" si="32"/>
        <v>4855864.596</v>
      </c>
      <c r="G33" s="130">
        <f t="shared" si="33"/>
        <v>473326.2625</v>
      </c>
      <c r="H33" s="132">
        <f t="shared" si="34"/>
        <v>2189133.964</v>
      </c>
      <c r="I33" s="132">
        <f t="shared" si="35"/>
        <v>51313.74644</v>
      </c>
      <c r="J33" s="132">
        <f t="shared" si="36"/>
        <v>64097.41267</v>
      </c>
      <c r="K33" s="124"/>
      <c r="L33" s="130">
        <v>2019.0</v>
      </c>
      <c r="M33" s="130">
        <f t="shared" si="25"/>
        <v>573225.8844</v>
      </c>
      <c r="N33" s="130"/>
      <c r="O33" s="130">
        <f t="shared" si="26"/>
        <v>942042.1156</v>
      </c>
      <c r="P33" s="131">
        <v>1515268.0</v>
      </c>
      <c r="Q33" s="130">
        <f t="shared" si="27"/>
        <v>9171.61415</v>
      </c>
      <c r="R33" s="132">
        <f t="shared" si="28"/>
        <v>39054.82049</v>
      </c>
      <c r="S33" s="132">
        <f t="shared" si="29"/>
        <v>9420.421156</v>
      </c>
      <c r="T33" s="132">
        <f t="shared" si="30"/>
        <v>124349.5593</v>
      </c>
      <c r="U33" s="124"/>
      <c r="V33" s="124"/>
      <c r="W33" s="124"/>
      <c r="X33" s="124"/>
      <c r="Y33" s="124"/>
      <c r="Z33" s="124"/>
      <c r="AA33" s="124"/>
      <c r="AB33" s="124"/>
      <c r="AC33" s="124"/>
      <c r="AD33" s="124"/>
      <c r="AE33" s="124"/>
      <c r="AF33" s="124"/>
    </row>
    <row r="34">
      <c r="A34" s="124"/>
      <c r="B34" s="130">
        <v>2018.0</v>
      </c>
      <c r="C34" s="131">
        <v>3.4970032E7</v>
      </c>
      <c r="D34" s="133"/>
      <c r="E34" s="133">
        <f t="shared" si="31"/>
        <v>30039257.49</v>
      </c>
      <c r="F34" s="133">
        <f t="shared" si="32"/>
        <v>4930774.512</v>
      </c>
      <c r="G34" s="130">
        <f t="shared" si="33"/>
        <v>480628.1198</v>
      </c>
      <c r="H34" s="132">
        <f t="shared" si="34"/>
        <v>2222905.054</v>
      </c>
      <c r="I34" s="132">
        <f t="shared" si="35"/>
        <v>52105.34768</v>
      </c>
      <c r="J34" s="132">
        <f t="shared" si="36"/>
        <v>65086.22356</v>
      </c>
      <c r="K34" s="124"/>
      <c r="L34" s="130">
        <v>2020.0</v>
      </c>
      <c r="M34" s="130">
        <f t="shared" si="25"/>
        <v>575725.3125</v>
      </c>
      <c r="N34" s="130"/>
      <c r="O34" s="130">
        <f t="shared" si="26"/>
        <v>946149.6875</v>
      </c>
      <c r="P34" s="131">
        <v>1521875.0</v>
      </c>
      <c r="Q34" s="130">
        <f t="shared" si="27"/>
        <v>9211.605</v>
      </c>
      <c r="R34" s="132">
        <f t="shared" si="28"/>
        <v>39225.11063</v>
      </c>
      <c r="S34" s="132">
        <f t="shared" si="29"/>
        <v>9461.496875</v>
      </c>
      <c r="T34" s="132">
        <f t="shared" si="30"/>
        <v>124891.7588</v>
      </c>
      <c r="U34" s="124"/>
      <c r="V34" s="124"/>
      <c r="W34" s="124"/>
      <c r="X34" s="124"/>
      <c r="Y34" s="124"/>
      <c r="Z34" s="124"/>
      <c r="AA34" s="124"/>
      <c r="AB34" s="124"/>
      <c r="AC34" s="124"/>
      <c r="AD34" s="124"/>
      <c r="AE34" s="124"/>
      <c r="AF34" s="124"/>
    </row>
    <row r="35">
      <c r="A35" s="124"/>
      <c r="B35" s="130">
        <v>2019.0</v>
      </c>
      <c r="C35" s="131">
        <v>3.5498714E7</v>
      </c>
      <c r="D35" s="133"/>
      <c r="E35" s="133">
        <f t="shared" si="31"/>
        <v>30493395.33</v>
      </c>
      <c r="F35" s="133">
        <f t="shared" si="32"/>
        <v>5005318.674</v>
      </c>
      <c r="G35" s="130">
        <f t="shared" si="33"/>
        <v>487894.3252</v>
      </c>
      <c r="H35" s="132">
        <f t="shared" si="34"/>
        <v>2256511.254</v>
      </c>
      <c r="I35" s="132">
        <f t="shared" si="35"/>
        <v>52893.08386</v>
      </c>
      <c r="J35" s="132">
        <f t="shared" si="36"/>
        <v>66070.2065</v>
      </c>
      <c r="K35" s="124"/>
      <c r="L35" s="134">
        <v>2021.0</v>
      </c>
      <c r="M35" s="130">
        <f t="shared" si="25"/>
        <v>578185.3974</v>
      </c>
      <c r="N35" s="130"/>
      <c r="O35" s="130">
        <f t="shared" si="26"/>
        <v>950192.6026</v>
      </c>
      <c r="P35" s="135">
        <v>1528378.0</v>
      </c>
      <c r="Q35" s="134">
        <f t="shared" si="27"/>
        <v>9250.966358</v>
      </c>
      <c r="R35" s="132">
        <f t="shared" si="28"/>
        <v>39392.72025</v>
      </c>
      <c r="S35" s="132">
        <f t="shared" si="29"/>
        <v>9501.926026</v>
      </c>
      <c r="T35" s="132">
        <f t="shared" si="30"/>
        <v>125425.4235</v>
      </c>
      <c r="U35" s="124"/>
      <c r="V35" s="124"/>
      <c r="W35" s="124"/>
      <c r="X35" s="124"/>
      <c r="Y35" s="124"/>
      <c r="Z35" s="124"/>
      <c r="AA35" s="124"/>
      <c r="AB35" s="124"/>
      <c r="AC35" s="124"/>
      <c r="AD35" s="124"/>
      <c r="AE35" s="124"/>
      <c r="AF35" s="124"/>
    </row>
    <row r="36">
      <c r="A36" s="124"/>
      <c r="B36" s="130">
        <v>2020.0</v>
      </c>
      <c r="C36" s="131">
        <v>3.6024656E7</v>
      </c>
      <c r="D36" s="133"/>
      <c r="E36" s="133">
        <f t="shared" si="31"/>
        <v>30945179.5</v>
      </c>
      <c r="F36" s="133">
        <f t="shared" si="32"/>
        <v>5079476.496</v>
      </c>
      <c r="G36" s="130">
        <f t="shared" si="33"/>
        <v>495122.8721</v>
      </c>
      <c r="H36" s="132">
        <f t="shared" si="34"/>
        <v>2289943.283</v>
      </c>
      <c r="I36" s="132">
        <f t="shared" si="35"/>
        <v>53676.73744</v>
      </c>
      <c r="J36" s="132">
        <f t="shared" si="36"/>
        <v>67049.08975</v>
      </c>
      <c r="K36" s="124"/>
      <c r="L36" s="140">
        <v>2022.0</v>
      </c>
      <c r="M36" s="124">
        <f t="shared" si="25"/>
        <v>590148</v>
      </c>
      <c r="N36" s="124"/>
      <c r="O36" s="124">
        <f t="shared" si="26"/>
        <v>969852</v>
      </c>
      <c r="P36" s="141">
        <v>1560000.0</v>
      </c>
      <c r="Q36" s="124">
        <f t="shared" si="27"/>
        <v>9442.368</v>
      </c>
      <c r="R36" s="124">
        <f t="shared" si="28"/>
        <v>40207.752</v>
      </c>
      <c r="S36" s="124">
        <f t="shared" si="29"/>
        <v>9698.52</v>
      </c>
      <c r="T36" s="124">
        <f t="shared" si="30"/>
        <v>128020.464</v>
      </c>
      <c r="U36" s="124"/>
      <c r="V36" s="124"/>
      <c r="W36" s="124"/>
      <c r="X36" s="124"/>
      <c r="Y36" s="124"/>
      <c r="Z36" s="124"/>
      <c r="AA36" s="124"/>
      <c r="AB36" s="124"/>
      <c r="AC36" s="124"/>
      <c r="AD36" s="124"/>
      <c r="AE36" s="124"/>
      <c r="AF36" s="124"/>
    </row>
    <row r="37">
      <c r="A37" s="124"/>
      <c r="B37" s="134">
        <v>2021.0</v>
      </c>
      <c r="C37" s="135">
        <v>3.6547715E7</v>
      </c>
      <c r="D37" s="138"/>
      <c r="E37" s="133">
        <f t="shared" si="31"/>
        <v>31394487.19</v>
      </c>
      <c r="F37" s="133">
        <f t="shared" si="32"/>
        <v>5153227.815</v>
      </c>
      <c r="G37" s="134">
        <f t="shared" si="33"/>
        <v>502311.795</v>
      </c>
      <c r="H37" s="132">
        <f t="shared" si="34"/>
        <v>2323192.052</v>
      </c>
      <c r="I37" s="132">
        <f t="shared" si="35"/>
        <v>54456.09535</v>
      </c>
      <c r="J37" s="132">
        <f t="shared" si="36"/>
        <v>68022.60716</v>
      </c>
      <c r="K37" s="124"/>
      <c r="L37" s="124"/>
      <c r="M37" s="124"/>
      <c r="N37" s="124"/>
      <c r="O37" s="124"/>
      <c r="P37" s="124"/>
      <c r="Q37" s="124"/>
      <c r="R37" s="124"/>
      <c r="S37" s="124"/>
      <c r="T37" s="124"/>
      <c r="U37" s="124"/>
      <c r="V37" s="124"/>
      <c r="W37" s="124"/>
      <c r="X37" s="124"/>
      <c r="Y37" s="124"/>
      <c r="Z37" s="124"/>
      <c r="AA37" s="124"/>
      <c r="AB37" s="124"/>
      <c r="AC37" s="124"/>
      <c r="AD37" s="124"/>
      <c r="AE37" s="124"/>
      <c r="AF37" s="124"/>
    </row>
    <row r="38">
      <c r="A38" s="124"/>
      <c r="B38" s="151">
        <v>2022.0</v>
      </c>
      <c r="C38" s="148">
        <v>3.624E7</v>
      </c>
      <c r="D38" s="125"/>
      <c r="E38" s="125">
        <f t="shared" si="31"/>
        <v>31130160</v>
      </c>
      <c r="F38" s="125">
        <f t="shared" si="32"/>
        <v>5109840</v>
      </c>
      <c r="G38" s="124">
        <f t="shared" si="33"/>
        <v>498082.56</v>
      </c>
      <c r="H38" s="124">
        <f t="shared" si="34"/>
        <v>2303631.84</v>
      </c>
      <c r="I38" s="124">
        <f t="shared" si="35"/>
        <v>53997.6</v>
      </c>
      <c r="J38" s="124">
        <f t="shared" si="36"/>
        <v>67449.888</v>
      </c>
      <c r="K38" s="124"/>
      <c r="L38" s="124"/>
      <c r="M38" s="124"/>
      <c r="N38" s="124"/>
      <c r="O38" s="124"/>
      <c r="P38" s="124"/>
      <c r="Q38" s="124"/>
      <c r="R38" s="124"/>
      <c r="S38" s="124"/>
      <c r="T38" s="124"/>
      <c r="U38" s="124"/>
      <c r="V38" s="124"/>
      <c r="W38" s="124"/>
      <c r="X38" s="124"/>
      <c r="Y38" s="124"/>
      <c r="Z38" s="124"/>
      <c r="AA38" s="124"/>
      <c r="AB38" s="124"/>
      <c r="AC38" s="124"/>
      <c r="AD38" s="124"/>
      <c r="AE38" s="124"/>
      <c r="AF38" s="124"/>
    </row>
    <row r="39">
      <c r="A39" s="124"/>
      <c r="B39" s="124"/>
      <c r="C39" s="124"/>
      <c r="D39" s="125"/>
      <c r="E39" s="125"/>
      <c r="F39" s="125"/>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4"/>
      <c r="AF39" s="124"/>
    </row>
    <row r="40">
      <c r="A40" s="124"/>
      <c r="B40" s="124"/>
      <c r="C40" s="124"/>
      <c r="D40" s="125"/>
      <c r="E40" s="125"/>
      <c r="F40" s="125"/>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c r="AE40" s="124"/>
      <c r="AF40" s="124"/>
    </row>
    <row r="41">
      <c r="A41" s="124"/>
      <c r="B41" s="124"/>
      <c r="C41" s="124"/>
      <c r="D41" s="125"/>
      <c r="E41" s="125"/>
      <c r="F41" s="125"/>
      <c r="G41" s="124"/>
      <c r="H41" s="124"/>
      <c r="I41" s="124"/>
      <c r="J41" s="124"/>
      <c r="K41" s="124"/>
      <c r="L41" s="124"/>
      <c r="M41" s="124" t="s">
        <v>13</v>
      </c>
      <c r="N41" s="124"/>
      <c r="O41" s="124" t="s">
        <v>14</v>
      </c>
      <c r="P41" s="128" t="s">
        <v>92</v>
      </c>
      <c r="Q41" s="128" t="s">
        <v>78</v>
      </c>
      <c r="R41" s="124" t="s">
        <v>93</v>
      </c>
      <c r="S41" s="124" t="s">
        <v>94</v>
      </c>
      <c r="T41" s="124" t="s">
        <v>95</v>
      </c>
      <c r="U41" s="124" t="s">
        <v>96</v>
      </c>
      <c r="V41" s="124"/>
      <c r="W41" s="124"/>
      <c r="X41" s="124"/>
      <c r="Y41" s="124"/>
      <c r="Z41" s="124"/>
      <c r="AA41" s="124"/>
      <c r="AB41" s="124"/>
      <c r="AC41" s="124"/>
      <c r="AD41" s="124"/>
      <c r="AE41" s="124"/>
      <c r="AF41" s="124"/>
    </row>
    <row r="42">
      <c r="A42" s="124"/>
      <c r="B42" s="128" t="s">
        <v>97</v>
      </c>
      <c r="C42" s="128" t="s">
        <v>83</v>
      </c>
      <c r="D42" s="129"/>
      <c r="E42" s="129" t="s">
        <v>84</v>
      </c>
      <c r="F42" s="129" t="s">
        <v>85</v>
      </c>
      <c r="G42" s="128" t="s">
        <v>79</v>
      </c>
      <c r="H42" s="124" t="s">
        <v>80</v>
      </c>
      <c r="I42" s="124" t="s">
        <v>81</v>
      </c>
      <c r="J42" s="124" t="s">
        <v>82</v>
      </c>
      <c r="K42" s="124"/>
      <c r="L42" s="124"/>
      <c r="M42" s="132">
        <f t="shared" ref="M42:M49" si="37">65.12*Q42/100</f>
        <v>17542863.04</v>
      </c>
      <c r="N42" s="124"/>
      <c r="O42" s="132">
        <f t="shared" ref="O42:O49" si="38">34.88*Q42/100</f>
        <v>9396422.957</v>
      </c>
      <c r="P42" s="130">
        <v>2015.0</v>
      </c>
      <c r="Q42" s="131">
        <v>2.6939286E7</v>
      </c>
      <c r="R42" s="132">
        <f t="shared" ref="R42:R49" si="39">Q42*65.12*1.6/10000</f>
        <v>280685.8087</v>
      </c>
      <c r="S42" s="132">
        <f t="shared" ref="S42:S49" si="40">7.4*65.12*Q42/10000</f>
        <v>1298171.865</v>
      </c>
      <c r="T42" s="132">
        <f t="shared" ref="T42:T49" si="41">1*34.88*Q42/10000</f>
        <v>93964.22957</v>
      </c>
      <c r="U42" s="132">
        <f t="shared" ref="U42:U49" si="42">13.2*34.88*Q42/10000</f>
        <v>1240327.83</v>
      </c>
      <c r="V42" s="124"/>
      <c r="W42" s="124"/>
      <c r="X42" s="124"/>
      <c r="Y42" s="124"/>
      <c r="Z42" s="124"/>
      <c r="AA42" s="124"/>
      <c r="AB42" s="124"/>
      <c r="AC42" s="124"/>
      <c r="AD42" s="124"/>
      <c r="AE42" s="124"/>
      <c r="AF42" s="124"/>
    </row>
    <row r="43">
      <c r="A43" s="124"/>
      <c r="B43" s="130">
        <v>2015.0</v>
      </c>
      <c r="C43" s="131">
        <v>6.4919427E7</v>
      </c>
      <c r="D43" s="133"/>
      <c r="E43" s="133">
        <f t="shared" ref="E43:E50" si="43">57.4*C43/100</f>
        <v>37263751.1</v>
      </c>
      <c r="F43" s="133">
        <f t="shared" ref="F43:F50" si="44">42.6*C43/100</f>
        <v>27655675.9</v>
      </c>
      <c r="G43" s="130">
        <f t="shared" ref="G43:G50" si="45">C43*1.6*57.4/10000</f>
        <v>596220.0176</v>
      </c>
      <c r="H43" s="132">
        <f t="shared" ref="H43:H50" si="46">C43*7.4*57.4/10000</f>
        <v>2757517.581</v>
      </c>
      <c r="I43" s="132">
        <f t="shared" ref="I43:I50" si="47">C43*42.6*1/10000</f>
        <v>276556.759</v>
      </c>
      <c r="J43" s="132">
        <f t="shared" ref="J43:J50" si="48">C43*13.2*42.6/10000</f>
        <v>3650549.219</v>
      </c>
      <c r="K43" s="124"/>
      <c r="L43" s="124"/>
      <c r="M43" s="132">
        <f t="shared" si="37"/>
        <v>17798039.02</v>
      </c>
      <c r="N43" s="124"/>
      <c r="O43" s="132">
        <f t="shared" si="38"/>
        <v>9533101.981</v>
      </c>
      <c r="P43" s="130">
        <v>2016.0</v>
      </c>
      <c r="Q43" s="131">
        <v>2.7331141E7</v>
      </c>
      <c r="R43" s="132">
        <f t="shared" si="39"/>
        <v>284768.6243</v>
      </c>
      <c r="S43" s="132">
        <f t="shared" si="40"/>
        <v>1317054.887</v>
      </c>
      <c r="T43" s="132">
        <f t="shared" si="41"/>
        <v>95331.01981</v>
      </c>
      <c r="U43" s="132">
        <f t="shared" si="42"/>
        <v>1258369.461</v>
      </c>
      <c r="V43" s="124"/>
      <c r="W43" s="124"/>
      <c r="X43" s="124"/>
      <c r="Y43" s="124"/>
      <c r="Z43" s="124"/>
      <c r="AA43" s="124"/>
      <c r="AB43" s="124"/>
      <c r="AC43" s="124"/>
      <c r="AD43" s="124"/>
      <c r="AE43" s="124"/>
      <c r="AF43" s="124"/>
    </row>
    <row r="44">
      <c r="A44" s="124"/>
      <c r="B44" s="130">
        <v>2016.0</v>
      </c>
      <c r="C44" s="131">
        <v>6.6032362E7</v>
      </c>
      <c r="D44" s="133"/>
      <c r="E44" s="133">
        <f t="shared" si="43"/>
        <v>37902575.79</v>
      </c>
      <c r="F44" s="133">
        <f t="shared" si="44"/>
        <v>28129786.21</v>
      </c>
      <c r="G44" s="130">
        <f t="shared" si="45"/>
        <v>606441.2126</v>
      </c>
      <c r="H44" s="132">
        <f t="shared" si="46"/>
        <v>2804790.608</v>
      </c>
      <c r="I44" s="132">
        <f t="shared" si="47"/>
        <v>281297.8621</v>
      </c>
      <c r="J44" s="132">
        <f t="shared" si="48"/>
        <v>3713131.78</v>
      </c>
      <c r="K44" s="124"/>
      <c r="L44" s="124"/>
      <c r="M44" s="132">
        <f t="shared" si="37"/>
        <v>18051748.49</v>
      </c>
      <c r="N44" s="124"/>
      <c r="O44" s="132">
        <f t="shared" si="38"/>
        <v>9668995.507</v>
      </c>
      <c r="P44" s="130">
        <v>2017.0</v>
      </c>
      <c r="Q44" s="131">
        <v>2.7720744E7</v>
      </c>
      <c r="R44" s="132">
        <f t="shared" si="39"/>
        <v>288827.9759</v>
      </c>
      <c r="S44" s="132">
        <f t="shared" si="40"/>
        <v>1335829.388</v>
      </c>
      <c r="T44" s="132">
        <f t="shared" si="41"/>
        <v>96689.95507</v>
      </c>
      <c r="U44" s="132">
        <f t="shared" si="42"/>
        <v>1276307.407</v>
      </c>
      <c r="V44" s="124"/>
      <c r="W44" s="124"/>
      <c r="X44" s="124"/>
      <c r="Y44" s="124"/>
      <c r="Z44" s="124"/>
      <c r="AA44" s="124"/>
      <c r="AB44" s="124"/>
      <c r="AC44" s="124"/>
      <c r="AD44" s="124"/>
      <c r="AE44" s="124"/>
      <c r="AF44" s="124"/>
    </row>
    <row r="45">
      <c r="A45" s="124"/>
      <c r="B45" s="130">
        <v>2017.0</v>
      </c>
      <c r="C45" s="131">
        <v>6.7141736E7</v>
      </c>
      <c r="D45" s="133"/>
      <c r="E45" s="133">
        <f t="shared" si="43"/>
        <v>38539356.46</v>
      </c>
      <c r="F45" s="133">
        <f t="shared" si="44"/>
        <v>28602379.54</v>
      </c>
      <c r="G45" s="130">
        <f t="shared" si="45"/>
        <v>616629.7034</v>
      </c>
      <c r="H45" s="132">
        <f t="shared" si="46"/>
        <v>2851912.378</v>
      </c>
      <c r="I45" s="132">
        <f t="shared" si="47"/>
        <v>286023.7954</v>
      </c>
      <c r="J45" s="132">
        <f t="shared" si="48"/>
        <v>3775514.099</v>
      </c>
      <c r="K45" s="124"/>
      <c r="L45" s="124"/>
      <c r="M45" s="132">
        <f t="shared" si="37"/>
        <v>18303928.95</v>
      </c>
      <c r="N45" s="124"/>
      <c r="O45" s="132">
        <f t="shared" si="38"/>
        <v>9804070.051</v>
      </c>
      <c r="P45" s="130">
        <v>2018.0</v>
      </c>
      <c r="Q45" s="131">
        <v>2.8107999E7</v>
      </c>
      <c r="R45" s="132">
        <f t="shared" si="39"/>
        <v>292862.8632</v>
      </c>
      <c r="S45" s="132">
        <f t="shared" si="40"/>
        <v>1354490.742</v>
      </c>
      <c r="T45" s="132">
        <f t="shared" si="41"/>
        <v>98040.70051</v>
      </c>
      <c r="U45" s="132">
        <f t="shared" si="42"/>
        <v>1294137.247</v>
      </c>
      <c r="V45" s="124"/>
      <c r="W45" s="124"/>
      <c r="X45" s="124"/>
      <c r="Y45" s="124"/>
      <c r="Z45" s="124"/>
      <c r="AA45" s="124"/>
      <c r="AB45" s="124"/>
      <c r="AC45" s="124"/>
      <c r="AD45" s="124"/>
      <c r="AE45" s="124"/>
      <c r="AF45" s="124"/>
    </row>
    <row r="46">
      <c r="A46" s="124"/>
      <c r="B46" s="130">
        <v>2018.0</v>
      </c>
      <c r="C46" s="131">
        <v>6.8247188E7</v>
      </c>
      <c r="D46" s="133"/>
      <c r="E46" s="133">
        <f t="shared" si="43"/>
        <v>39173885.91</v>
      </c>
      <c r="F46" s="133">
        <f t="shared" si="44"/>
        <v>29073302.09</v>
      </c>
      <c r="G46" s="130">
        <f t="shared" si="45"/>
        <v>626782.1746</v>
      </c>
      <c r="H46" s="132">
        <f t="shared" si="46"/>
        <v>2898867.557</v>
      </c>
      <c r="I46" s="132">
        <f t="shared" si="47"/>
        <v>290733.0209</v>
      </c>
      <c r="J46" s="132">
        <f t="shared" si="48"/>
        <v>3837675.876</v>
      </c>
      <c r="K46" s="124"/>
      <c r="L46" s="124"/>
      <c r="M46" s="132">
        <f t="shared" si="37"/>
        <v>18554517.87</v>
      </c>
      <c r="N46" s="124"/>
      <c r="O46" s="132">
        <f t="shared" si="38"/>
        <v>9938292.128</v>
      </c>
      <c r="P46" s="130">
        <v>2019.0</v>
      </c>
      <c r="Q46" s="131">
        <v>2.849281E7</v>
      </c>
      <c r="R46" s="132">
        <f t="shared" si="39"/>
        <v>296872.286</v>
      </c>
      <c r="S46" s="132">
        <f t="shared" si="40"/>
        <v>1373034.323</v>
      </c>
      <c r="T46" s="132">
        <f t="shared" si="41"/>
        <v>99382.92128</v>
      </c>
      <c r="U46" s="132">
        <f t="shared" si="42"/>
        <v>1311854.561</v>
      </c>
      <c r="V46" s="124"/>
      <c r="W46" s="124"/>
      <c r="X46" s="124"/>
      <c r="Y46" s="124"/>
      <c r="Z46" s="124"/>
      <c r="AA46" s="124"/>
      <c r="AB46" s="124"/>
      <c r="AC46" s="124"/>
      <c r="AD46" s="124"/>
      <c r="AE46" s="124"/>
      <c r="AF46" s="124"/>
    </row>
    <row r="47">
      <c r="A47" s="124"/>
      <c r="B47" s="130">
        <v>2019.0</v>
      </c>
      <c r="C47" s="131">
        <v>6.9348367E7</v>
      </c>
      <c r="D47" s="133"/>
      <c r="E47" s="133">
        <f t="shared" si="43"/>
        <v>39805962.66</v>
      </c>
      <c r="F47" s="133">
        <f t="shared" si="44"/>
        <v>29542404.34</v>
      </c>
      <c r="G47" s="130">
        <f t="shared" si="45"/>
        <v>636895.4025</v>
      </c>
      <c r="H47" s="132">
        <f t="shared" si="46"/>
        <v>2945641.237</v>
      </c>
      <c r="I47" s="132">
        <f t="shared" si="47"/>
        <v>295424.0434</v>
      </c>
      <c r="J47" s="132">
        <f t="shared" si="48"/>
        <v>3899597.373</v>
      </c>
      <c r="K47" s="124"/>
      <c r="L47" s="124"/>
      <c r="M47" s="132">
        <f t="shared" si="37"/>
        <v>18803456.65</v>
      </c>
      <c r="N47" s="124"/>
      <c r="O47" s="132">
        <f t="shared" si="38"/>
        <v>10071630.35</v>
      </c>
      <c r="P47" s="130">
        <v>2020.0</v>
      </c>
      <c r="Q47" s="131">
        <v>2.8875087E7</v>
      </c>
      <c r="R47" s="132">
        <f t="shared" si="39"/>
        <v>300855.3065</v>
      </c>
      <c r="S47" s="132">
        <f t="shared" si="40"/>
        <v>1391455.792</v>
      </c>
      <c r="T47" s="132">
        <f t="shared" si="41"/>
        <v>100716.3035</v>
      </c>
      <c r="U47" s="132">
        <f t="shared" si="42"/>
        <v>1329455.206</v>
      </c>
      <c r="V47" s="124"/>
      <c r="W47" s="124"/>
      <c r="X47" s="124"/>
      <c r="Y47" s="124"/>
      <c r="Z47" s="124"/>
      <c r="AA47" s="124"/>
      <c r="AB47" s="124"/>
      <c r="AC47" s="124"/>
      <c r="AD47" s="124"/>
      <c r="AE47" s="124"/>
      <c r="AF47" s="124"/>
    </row>
    <row r="48">
      <c r="A48" s="124"/>
      <c r="B48" s="130">
        <v>2020.0</v>
      </c>
      <c r="C48" s="131">
        <v>7.0444935E7</v>
      </c>
      <c r="D48" s="133"/>
      <c r="E48" s="133">
        <f t="shared" si="43"/>
        <v>40435392.69</v>
      </c>
      <c r="F48" s="133">
        <f t="shared" si="44"/>
        <v>30009542.31</v>
      </c>
      <c r="G48" s="130">
        <f t="shared" si="45"/>
        <v>646966.283</v>
      </c>
      <c r="H48" s="132">
        <f t="shared" si="46"/>
        <v>2992219.059</v>
      </c>
      <c r="I48" s="132">
        <f t="shared" si="47"/>
        <v>300095.4231</v>
      </c>
      <c r="J48" s="132">
        <f t="shared" si="48"/>
        <v>3961259.585</v>
      </c>
      <c r="K48" s="124"/>
      <c r="L48" s="124"/>
      <c r="M48" s="132">
        <f t="shared" si="37"/>
        <v>19050689.94</v>
      </c>
      <c r="N48" s="124"/>
      <c r="O48" s="132">
        <f t="shared" si="38"/>
        <v>10204055.06</v>
      </c>
      <c r="P48" s="134">
        <v>2021.0</v>
      </c>
      <c r="Q48" s="135">
        <v>2.9254745E7</v>
      </c>
      <c r="R48" s="132">
        <f t="shared" si="39"/>
        <v>304811.0391</v>
      </c>
      <c r="S48" s="132">
        <f t="shared" si="40"/>
        <v>1409751.056</v>
      </c>
      <c r="T48" s="132">
        <f t="shared" si="41"/>
        <v>102040.5506</v>
      </c>
      <c r="U48" s="132">
        <f t="shared" si="42"/>
        <v>1346935.267</v>
      </c>
      <c r="V48" s="124"/>
      <c r="W48" s="124"/>
      <c r="X48" s="124"/>
      <c r="Y48" s="124"/>
      <c r="Z48" s="124"/>
      <c r="AA48" s="124"/>
      <c r="AB48" s="124"/>
      <c r="AC48" s="124"/>
      <c r="AD48" s="124"/>
      <c r="AE48" s="124"/>
      <c r="AF48" s="124"/>
    </row>
    <row r="49">
      <c r="A49" s="124"/>
      <c r="B49" s="134">
        <v>2021.0</v>
      </c>
      <c r="C49" s="137">
        <v>7.1536564E7</v>
      </c>
      <c r="D49" s="138"/>
      <c r="E49" s="133">
        <f t="shared" si="43"/>
        <v>41061987.74</v>
      </c>
      <c r="F49" s="139">
        <f t="shared" si="44"/>
        <v>30474576.26</v>
      </c>
      <c r="G49" s="134">
        <f t="shared" si="45"/>
        <v>656991.8038</v>
      </c>
      <c r="H49" s="132">
        <f t="shared" si="46"/>
        <v>3038587.092</v>
      </c>
      <c r="I49" s="132">
        <f t="shared" si="47"/>
        <v>304745.7626</v>
      </c>
      <c r="J49" s="132">
        <f t="shared" si="48"/>
        <v>4022644.067</v>
      </c>
      <c r="K49" s="124"/>
      <c r="L49" s="124"/>
      <c r="M49" s="124">
        <f t="shared" si="37"/>
        <v>19822528</v>
      </c>
      <c r="N49" s="124"/>
      <c r="O49" s="124">
        <f t="shared" si="38"/>
        <v>10617472</v>
      </c>
      <c r="P49" s="140">
        <v>2022.0</v>
      </c>
      <c r="Q49" s="152">
        <v>3.044E7</v>
      </c>
      <c r="R49" s="124">
        <f t="shared" si="39"/>
        <v>317160.448</v>
      </c>
      <c r="S49" s="124">
        <f t="shared" si="40"/>
        <v>1466867.072</v>
      </c>
      <c r="T49" s="124">
        <f t="shared" si="41"/>
        <v>106174.72</v>
      </c>
      <c r="U49" s="124">
        <f t="shared" si="42"/>
        <v>1401506.304</v>
      </c>
      <c r="V49" s="124"/>
      <c r="W49" s="124"/>
      <c r="X49" s="124"/>
      <c r="Y49" s="124"/>
      <c r="Z49" s="124"/>
      <c r="AA49" s="124"/>
      <c r="AB49" s="124"/>
      <c r="AC49" s="124"/>
      <c r="AD49" s="124"/>
      <c r="AE49" s="124"/>
      <c r="AF49" s="124"/>
    </row>
    <row r="50">
      <c r="A50" s="124"/>
      <c r="B50" s="140">
        <v>2022.0</v>
      </c>
      <c r="C50" s="153">
        <v>7.176E7</v>
      </c>
      <c r="D50" s="125"/>
      <c r="E50" s="125">
        <f t="shared" si="43"/>
        <v>41190240</v>
      </c>
      <c r="F50" s="125">
        <f t="shared" si="44"/>
        <v>30569760</v>
      </c>
      <c r="G50" s="124">
        <f t="shared" si="45"/>
        <v>659043.84</v>
      </c>
      <c r="H50" s="124">
        <f t="shared" si="46"/>
        <v>3048077.76</v>
      </c>
      <c r="I50" s="124">
        <f t="shared" si="47"/>
        <v>305697.6</v>
      </c>
      <c r="J50" s="124">
        <f t="shared" si="48"/>
        <v>4035208.32</v>
      </c>
      <c r="K50" s="124"/>
      <c r="L50" s="124"/>
      <c r="M50" s="124"/>
      <c r="N50" s="124"/>
      <c r="O50" s="124"/>
      <c r="P50" s="124"/>
      <c r="Q50" s="124"/>
      <c r="R50" s="124"/>
      <c r="S50" s="124"/>
      <c r="T50" s="124"/>
      <c r="U50" s="124"/>
      <c r="V50" s="124"/>
      <c r="W50" s="124"/>
      <c r="X50" s="124"/>
      <c r="Y50" s="124"/>
      <c r="Z50" s="124"/>
      <c r="AA50" s="124"/>
      <c r="AB50" s="124"/>
      <c r="AC50" s="124"/>
      <c r="AD50" s="124"/>
      <c r="AE50" s="124"/>
      <c r="AF50" s="124"/>
    </row>
    <row r="51">
      <c r="A51" s="124"/>
      <c r="B51" s="124"/>
      <c r="C51" s="124"/>
      <c r="D51" s="125"/>
      <c r="E51" s="125"/>
      <c r="F51" s="125"/>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row>
    <row r="52">
      <c r="A52" s="124"/>
      <c r="B52" s="128" t="s">
        <v>98</v>
      </c>
      <c r="C52" s="128" t="s">
        <v>83</v>
      </c>
      <c r="D52" s="129"/>
      <c r="E52" s="129" t="s">
        <v>84</v>
      </c>
      <c r="F52" s="129" t="s">
        <v>85</v>
      </c>
      <c r="G52" s="128" t="s">
        <v>79</v>
      </c>
      <c r="H52" s="124" t="s">
        <v>80</v>
      </c>
      <c r="I52" s="124" t="s">
        <v>81</v>
      </c>
      <c r="J52" s="124" t="s">
        <v>82</v>
      </c>
      <c r="K52" s="124"/>
      <c r="L52" s="146" t="s">
        <v>99</v>
      </c>
      <c r="M52" s="146" t="s">
        <v>84</v>
      </c>
      <c r="N52" s="129"/>
      <c r="O52" s="147" t="s">
        <v>85</v>
      </c>
      <c r="P52" s="147" t="s">
        <v>89</v>
      </c>
      <c r="Q52" s="128" t="s">
        <v>79</v>
      </c>
      <c r="R52" s="124" t="s">
        <v>80</v>
      </c>
      <c r="S52" s="124" t="s">
        <v>81</v>
      </c>
      <c r="T52" s="124" t="s">
        <v>82</v>
      </c>
      <c r="U52" s="124"/>
      <c r="V52" s="124"/>
      <c r="W52" s="124"/>
      <c r="X52" s="124"/>
      <c r="Y52" s="124"/>
      <c r="Z52" s="124"/>
      <c r="AA52" s="124"/>
      <c r="AB52" s="124"/>
      <c r="AC52" s="124"/>
      <c r="AD52" s="124"/>
      <c r="AE52" s="124"/>
      <c r="AF52" s="124"/>
    </row>
    <row r="53">
      <c r="A53" s="124"/>
      <c r="B53" s="130">
        <v>2015.0</v>
      </c>
      <c r="C53" s="131">
        <v>7155760.0</v>
      </c>
      <c r="D53" s="154"/>
      <c r="E53" s="154">
        <f t="shared" ref="E53:E60" si="49">89.97*C53/100</f>
        <v>6438037.272</v>
      </c>
      <c r="F53" s="154">
        <f t="shared" ref="F53:F60" si="50">10.03*C53/100</f>
        <v>717722.728</v>
      </c>
      <c r="G53" s="132">
        <f t="shared" ref="G53:G60" si="51">89.97*1.6*C53/10000</f>
        <v>103008.5964</v>
      </c>
      <c r="H53" s="130">
        <f t="shared" ref="H53:H60" si="52">7.4*C53*89.97/10000</f>
        <v>476414.7581</v>
      </c>
      <c r="I53" s="132">
        <f t="shared" ref="I53:I60" si="53">10.03*C53*1/10000</f>
        <v>7177.22728</v>
      </c>
      <c r="J53" s="132">
        <f t="shared" ref="J53:J60" si="54">10.03*C53*13.2/10000</f>
        <v>94739.4001</v>
      </c>
      <c r="K53" s="124"/>
      <c r="L53" s="130">
        <v>2015.0</v>
      </c>
      <c r="M53" s="155">
        <f t="shared" ref="M53:M60" si="55">75.95*P53/100</f>
        <v>27435401.03</v>
      </c>
      <c r="N53" s="130"/>
      <c r="O53" s="130">
        <f t="shared" ref="O53:O60" si="56">24.05*P53/100</f>
        <v>8687575.969</v>
      </c>
      <c r="P53" s="131">
        <v>3.6122977E7</v>
      </c>
      <c r="Q53" s="132">
        <f t="shared" ref="Q53:Q60" si="57">75.95*1.6*P53/10000</f>
        <v>438966.4165</v>
      </c>
      <c r="R53" s="132">
        <f t="shared" ref="R53:R60" si="58">P53*75.95*7.4/10000</f>
        <v>2030219.676</v>
      </c>
      <c r="S53" s="132">
        <f t="shared" ref="S53:S60" si="59">24.05*1*P53/10000</f>
        <v>86875.75969</v>
      </c>
      <c r="T53" s="132">
        <f t="shared" ref="T53:T60" si="60">24.75*13.2*P53/10000</f>
        <v>1180137.659</v>
      </c>
      <c r="U53" s="124"/>
      <c r="V53" s="124"/>
      <c r="W53" s="124"/>
      <c r="X53" s="124"/>
      <c r="Y53" s="124"/>
      <c r="Z53" s="124"/>
      <c r="AA53" s="124"/>
      <c r="AB53" s="124"/>
      <c r="AC53" s="124"/>
      <c r="AD53" s="124"/>
      <c r="AE53" s="124"/>
      <c r="AF53" s="124"/>
    </row>
    <row r="54">
      <c r="A54" s="124"/>
      <c r="B54" s="130">
        <v>2016.0</v>
      </c>
      <c r="C54" s="131">
        <v>7226762.0</v>
      </c>
      <c r="D54" s="154"/>
      <c r="E54" s="154">
        <f t="shared" si="49"/>
        <v>6501917.771</v>
      </c>
      <c r="F54" s="154">
        <f t="shared" si="50"/>
        <v>724844.2286</v>
      </c>
      <c r="G54" s="132">
        <f t="shared" si="51"/>
        <v>104030.6843</v>
      </c>
      <c r="H54" s="130">
        <f t="shared" si="52"/>
        <v>481141.9151</v>
      </c>
      <c r="I54" s="132">
        <f t="shared" si="53"/>
        <v>7248.442286</v>
      </c>
      <c r="J54" s="132">
        <f t="shared" si="54"/>
        <v>95679.43818</v>
      </c>
      <c r="K54" s="124"/>
      <c r="L54" s="130">
        <v>2016.0</v>
      </c>
      <c r="M54" s="155">
        <f t="shared" si="55"/>
        <v>28034007.79</v>
      </c>
      <c r="N54" s="130"/>
      <c r="O54" s="130">
        <f t="shared" si="56"/>
        <v>8877128.208</v>
      </c>
      <c r="P54" s="131">
        <v>3.6911136E7</v>
      </c>
      <c r="Q54" s="132">
        <f t="shared" si="57"/>
        <v>448544.1247</v>
      </c>
      <c r="R54" s="132">
        <f t="shared" si="58"/>
        <v>2074516.577</v>
      </c>
      <c r="S54" s="132">
        <f t="shared" si="59"/>
        <v>88771.28208</v>
      </c>
      <c r="T54" s="132">
        <f t="shared" si="60"/>
        <v>1205886.813</v>
      </c>
      <c r="U54" s="124"/>
      <c r="V54" s="124"/>
      <c r="W54" s="124"/>
      <c r="X54" s="124"/>
      <c r="Y54" s="124"/>
      <c r="Z54" s="124"/>
      <c r="AA54" s="124"/>
      <c r="AB54" s="124"/>
      <c r="AC54" s="124"/>
      <c r="AD54" s="124"/>
      <c r="AE54" s="124"/>
      <c r="AF54" s="124"/>
    </row>
    <row r="55">
      <c r="A55" s="124"/>
      <c r="B55" s="130">
        <v>2017.0</v>
      </c>
      <c r="C55" s="131">
        <v>7297034.0</v>
      </c>
      <c r="D55" s="154"/>
      <c r="E55" s="154">
        <f t="shared" si="49"/>
        <v>6565141.49</v>
      </c>
      <c r="F55" s="154">
        <f t="shared" si="50"/>
        <v>731892.5102</v>
      </c>
      <c r="G55" s="132">
        <f t="shared" si="51"/>
        <v>105042.2638</v>
      </c>
      <c r="H55" s="130">
        <f t="shared" si="52"/>
        <v>485820.4702</v>
      </c>
      <c r="I55" s="132">
        <f t="shared" si="53"/>
        <v>7318.925102</v>
      </c>
      <c r="J55" s="132">
        <f t="shared" si="54"/>
        <v>96609.81135</v>
      </c>
      <c r="K55" s="124"/>
      <c r="L55" s="130">
        <v>2017.0</v>
      </c>
      <c r="M55" s="155">
        <f t="shared" si="55"/>
        <v>28633442.41</v>
      </c>
      <c r="N55" s="130"/>
      <c r="O55" s="130">
        <f t="shared" si="56"/>
        <v>9066942.593</v>
      </c>
      <c r="P55" s="131">
        <v>3.7700385E7</v>
      </c>
      <c r="Q55" s="132">
        <f t="shared" si="57"/>
        <v>458135.0785</v>
      </c>
      <c r="R55" s="132">
        <f t="shared" si="58"/>
        <v>2118874.738</v>
      </c>
      <c r="S55" s="132">
        <f t="shared" si="59"/>
        <v>90669.42593</v>
      </c>
      <c r="T55" s="132">
        <f t="shared" si="60"/>
        <v>1231671.578</v>
      </c>
      <c r="U55" s="124"/>
      <c r="V55" s="124"/>
      <c r="W55" s="124"/>
      <c r="X55" s="124"/>
      <c r="Y55" s="124"/>
      <c r="Z55" s="124"/>
      <c r="AA55" s="124"/>
      <c r="AB55" s="124"/>
      <c r="AC55" s="124"/>
      <c r="AD55" s="124"/>
      <c r="AE55" s="124"/>
      <c r="AF55" s="124"/>
    </row>
    <row r="56">
      <c r="A56" s="124"/>
      <c r="B56" s="130">
        <v>2018.0</v>
      </c>
      <c r="C56" s="131">
        <v>7366571.0</v>
      </c>
      <c r="D56" s="154"/>
      <c r="E56" s="154">
        <f t="shared" si="49"/>
        <v>6627703.929</v>
      </c>
      <c r="F56" s="154">
        <f t="shared" si="50"/>
        <v>738867.0713</v>
      </c>
      <c r="G56" s="132">
        <f t="shared" si="51"/>
        <v>106043.2629</v>
      </c>
      <c r="H56" s="130">
        <f t="shared" si="52"/>
        <v>490450.0907</v>
      </c>
      <c r="I56" s="132">
        <f t="shared" si="53"/>
        <v>7388.670713</v>
      </c>
      <c r="J56" s="132">
        <f t="shared" si="54"/>
        <v>97530.45341</v>
      </c>
      <c r="K56" s="124"/>
      <c r="L56" s="130">
        <v>2018.0</v>
      </c>
      <c r="M56" s="155">
        <f t="shared" si="55"/>
        <v>29233448.93</v>
      </c>
      <c r="N56" s="130"/>
      <c r="O56" s="130">
        <f t="shared" si="56"/>
        <v>9256938.074</v>
      </c>
      <c r="P56" s="131">
        <v>3.8490387E7</v>
      </c>
      <c r="Q56" s="132">
        <f t="shared" si="57"/>
        <v>467735.1828</v>
      </c>
      <c r="R56" s="132">
        <f t="shared" si="58"/>
        <v>2163275.221</v>
      </c>
      <c r="S56" s="132">
        <f t="shared" si="59"/>
        <v>92569.38074</v>
      </c>
      <c r="T56" s="132">
        <f t="shared" si="60"/>
        <v>1257480.943</v>
      </c>
      <c r="U56" s="124"/>
      <c r="V56" s="124"/>
      <c r="W56" s="124"/>
      <c r="X56" s="124"/>
      <c r="Y56" s="124"/>
      <c r="Z56" s="124"/>
      <c r="AA56" s="124"/>
      <c r="AB56" s="124"/>
      <c r="AC56" s="124"/>
      <c r="AD56" s="124"/>
      <c r="AE56" s="124"/>
      <c r="AF56" s="124"/>
    </row>
    <row r="57">
      <c r="A57" s="124"/>
      <c r="B57" s="130">
        <v>2019.0</v>
      </c>
      <c r="C57" s="131">
        <v>7435366.0</v>
      </c>
      <c r="D57" s="154"/>
      <c r="E57" s="154">
        <f t="shared" si="49"/>
        <v>6689598.79</v>
      </c>
      <c r="F57" s="154">
        <f t="shared" si="50"/>
        <v>745767.2098</v>
      </c>
      <c r="G57" s="132">
        <f t="shared" si="51"/>
        <v>107033.5806</v>
      </c>
      <c r="H57" s="130">
        <f t="shared" si="52"/>
        <v>495030.3105</v>
      </c>
      <c r="I57" s="132">
        <f t="shared" si="53"/>
        <v>7457.672098</v>
      </c>
      <c r="J57" s="132">
        <f t="shared" si="54"/>
        <v>98441.27169</v>
      </c>
      <c r="K57" s="124"/>
      <c r="L57" s="130">
        <v>2019.0</v>
      </c>
      <c r="M57" s="155">
        <f t="shared" si="55"/>
        <v>29833776.71</v>
      </c>
      <c r="N57" s="130"/>
      <c r="O57" s="130">
        <f t="shared" si="56"/>
        <v>9447035.286</v>
      </c>
      <c r="P57" s="131">
        <v>3.9280812E7</v>
      </c>
      <c r="Q57" s="132">
        <f t="shared" si="57"/>
        <v>477340.4274</v>
      </c>
      <c r="R57" s="132">
        <f t="shared" si="58"/>
        <v>2207699.477</v>
      </c>
      <c r="S57" s="132">
        <f t="shared" si="59"/>
        <v>94470.35286</v>
      </c>
      <c r="T57" s="132">
        <f t="shared" si="60"/>
        <v>1283304.128</v>
      </c>
      <c r="U57" s="124"/>
      <c r="V57" s="124"/>
      <c r="W57" s="124"/>
      <c r="X57" s="124"/>
      <c r="Y57" s="124"/>
      <c r="Z57" s="124"/>
      <c r="AA57" s="124"/>
      <c r="AB57" s="124"/>
      <c r="AC57" s="124"/>
      <c r="AD57" s="124"/>
      <c r="AE57" s="124"/>
      <c r="AF57" s="124"/>
    </row>
    <row r="58">
      <c r="A58" s="124"/>
      <c r="B58" s="130">
        <v>2020.0</v>
      </c>
      <c r="C58" s="131">
        <v>7503415.0</v>
      </c>
      <c r="D58" s="154"/>
      <c r="E58" s="154">
        <f t="shared" si="49"/>
        <v>6750822.476</v>
      </c>
      <c r="F58" s="154">
        <f t="shared" si="50"/>
        <v>752592.5245</v>
      </c>
      <c r="G58" s="132">
        <f t="shared" si="51"/>
        <v>108013.1596</v>
      </c>
      <c r="H58" s="130">
        <f t="shared" si="52"/>
        <v>499560.8632</v>
      </c>
      <c r="I58" s="132">
        <f t="shared" si="53"/>
        <v>7525.925245</v>
      </c>
      <c r="J58" s="132">
        <f t="shared" si="54"/>
        <v>99342.21323</v>
      </c>
      <c r="K58" s="124"/>
      <c r="L58" s="130">
        <v>2020.0</v>
      </c>
      <c r="M58" s="155">
        <f t="shared" si="55"/>
        <v>30434179.69</v>
      </c>
      <c r="N58" s="130"/>
      <c r="O58" s="130">
        <f t="shared" si="56"/>
        <v>9637156.308</v>
      </c>
      <c r="P58" s="131">
        <v>4.0071336E7</v>
      </c>
      <c r="Q58" s="132">
        <f t="shared" si="57"/>
        <v>486946.8751</v>
      </c>
      <c r="R58" s="132">
        <f t="shared" si="58"/>
        <v>2252129.297</v>
      </c>
      <c r="S58" s="132">
        <f t="shared" si="59"/>
        <v>96371.56308</v>
      </c>
      <c r="T58" s="132">
        <f t="shared" si="60"/>
        <v>1309130.547</v>
      </c>
      <c r="U58" s="124"/>
      <c r="V58" s="124"/>
      <c r="W58" s="124"/>
      <c r="X58" s="124"/>
      <c r="Y58" s="124"/>
      <c r="Z58" s="124"/>
      <c r="AA58" s="124"/>
      <c r="AB58" s="124"/>
      <c r="AC58" s="124"/>
      <c r="AD58" s="124"/>
      <c r="AE58" s="124"/>
      <c r="AF58" s="124"/>
    </row>
    <row r="59">
      <c r="A59" s="124"/>
      <c r="B59" s="134">
        <v>2021.0</v>
      </c>
      <c r="C59" s="135">
        <v>7570713.0</v>
      </c>
      <c r="D59" s="154"/>
      <c r="E59" s="154">
        <f t="shared" si="49"/>
        <v>6811370.486</v>
      </c>
      <c r="F59" s="154">
        <f t="shared" si="50"/>
        <v>759342.5139</v>
      </c>
      <c r="G59" s="132">
        <f t="shared" si="51"/>
        <v>108981.9278</v>
      </c>
      <c r="H59" s="134">
        <f t="shared" si="52"/>
        <v>504041.416</v>
      </c>
      <c r="I59" s="132">
        <f t="shared" si="53"/>
        <v>7593.425139</v>
      </c>
      <c r="J59" s="132">
        <f t="shared" si="54"/>
        <v>100233.2118</v>
      </c>
      <c r="K59" s="124"/>
      <c r="L59" s="134">
        <v>2021.0</v>
      </c>
      <c r="M59" s="155">
        <f t="shared" si="55"/>
        <v>31034416.34</v>
      </c>
      <c r="N59" s="130"/>
      <c r="O59" s="130">
        <f t="shared" si="56"/>
        <v>9827224.661</v>
      </c>
      <c r="P59" s="135">
        <v>4.0861641E7</v>
      </c>
      <c r="Q59" s="132">
        <f t="shared" si="57"/>
        <v>496550.6614</v>
      </c>
      <c r="R59" s="132">
        <f t="shared" si="58"/>
        <v>2296546.809</v>
      </c>
      <c r="S59" s="132">
        <f t="shared" si="59"/>
        <v>98272.24661</v>
      </c>
      <c r="T59" s="132">
        <f t="shared" si="60"/>
        <v>1334949.811</v>
      </c>
      <c r="U59" s="124"/>
      <c r="V59" s="124"/>
      <c r="W59" s="124"/>
      <c r="X59" s="124"/>
      <c r="Y59" s="124"/>
      <c r="Z59" s="124"/>
      <c r="AA59" s="124"/>
      <c r="AB59" s="124"/>
      <c r="AC59" s="124"/>
      <c r="AD59" s="124"/>
      <c r="AE59" s="124"/>
      <c r="AF59" s="124"/>
    </row>
    <row r="60">
      <c r="A60" s="124"/>
      <c r="B60" s="140">
        <v>2022.0</v>
      </c>
      <c r="C60" s="148">
        <v>7690000.0</v>
      </c>
      <c r="D60" s="125"/>
      <c r="E60" s="125">
        <f t="shared" si="49"/>
        <v>6918693</v>
      </c>
      <c r="F60" s="125">
        <f t="shared" si="50"/>
        <v>771307</v>
      </c>
      <c r="G60" s="124">
        <f t="shared" si="51"/>
        <v>110699.088</v>
      </c>
      <c r="H60" s="124">
        <f t="shared" si="52"/>
        <v>511983.282</v>
      </c>
      <c r="I60" s="124">
        <f t="shared" si="53"/>
        <v>7713.07</v>
      </c>
      <c r="J60" s="124">
        <f t="shared" si="54"/>
        <v>101812.524</v>
      </c>
      <c r="K60" s="124"/>
      <c r="L60" s="140">
        <v>2022.0</v>
      </c>
      <c r="M60" s="141">
        <f t="shared" si="55"/>
        <v>31154690</v>
      </c>
      <c r="N60" s="124"/>
      <c r="O60" s="124">
        <f t="shared" si="56"/>
        <v>9865310</v>
      </c>
      <c r="P60" s="156">
        <v>4.102E7</v>
      </c>
      <c r="Q60" s="124">
        <f t="shared" si="57"/>
        <v>498475.04</v>
      </c>
      <c r="R60" s="124">
        <f t="shared" si="58"/>
        <v>2305447.06</v>
      </c>
      <c r="S60" s="124">
        <f t="shared" si="59"/>
        <v>98653.1</v>
      </c>
      <c r="T60" s="124">
        <f t="shared" si="60"/>
        <v>1340123.4</v>
      </c>
      <c r="U60" s="124"/>
      <c r="V60" s="124"/>
      <c r="W60" s="124"/>
      <c r="X60" s="124"/>
      <c r="Y60" s="124"/>
      <c r="Z60" s="124"/>
      <c r="AA60" s="124"/>
      <c r="AB60" s="124"/>
      <c r="AC60" s="124"/>
      <c r="AD60" s="124"/>
      <c r="AE60" s="124"/>
      <c r="AF60" s="124"/>
    </row>
    <row r="61">
      <c r="A61" s="124"/>
      <c r="B61" s="124"/>
      <c r="C61" s="124"/>
      <c r="D61" s="125"/>
      <c r="E61" s="125"/>
      <c r="F61" s="125"/>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row>
    <row r="62">
      <c r="A62" s="124"/>
      <c r="B62" s="124" t="s">
        <v>100</v>
      </c>
      <c r="C62" s="124"/>
      <c r="D62" s="125"/>
      <c r="E62" s="125"/>
      <c r="F62" s="125"/>
      <c r="G62" s="124"/>
      <c r="H62" s="124"/>
      <c r="I62" s="124"/>
      <c r="J62" s="124"/>
      <c r="K62" s="124"/>
      <c r="L62" s="124"/>
      <c r="M62" s="124"/>
      <c r="N62" s="124"/>
      <c r="O62" s="124"/>
      <c r="P62" s="124"/>
      <c r="Q62" s="124"/>
      <c r="R62" s="124"/>
      <c r="S62" s="124"/>
      <c r="T62" s="124"/>
      <c r="U62" s="124"/>
      <c r="V62" s="157" t="s">
        <v>101</v>
      </c>
      <c r="W62" s="124"/>
      <c r="X62" s="124"/>
      <c r="Y62" s="124"/>
      <c r="Z62" s="124"/>
      <c r="AA62" s="124"/>
      <c r="AB62" s="124"/>
      <c r="AC62" s="124"/>
      <c r="AD62" s="124"/>
      <c r="AE62" s="124"/>
      <c r="AF62" s="124"/>
    </row>
    <row r="63">
      <c r="A63" s="124"/>
      <c r="B63" s="128"/>
      <c r="C63" s="128" t="s">
        <v>83</v>
      </c>
      <c r="D63" s="129"/>
      <c r="E63" s="129" t="s">
        <v>84</v>
      </c>
      <c r="F63" s="129" t="s">
        <v>85</v>
      </c>
      <c r="G63" s="128" t="s">
        <v>79</v>
      </c>
      <c r="H63" s="124" t="s">
        <v>80</v>
      </c>
      <c r="I63" s="124" t="s">
        <v>81</v>
      </c>
      <c r="J63" s="124" t="s">
        <v>82</v>
      </c>
      <c r="K63" s="124"/>
      <c r="L63" s="128" t="s">
        <v>102</v>
      </c>
      <c r="M63" s="146" t="s">
        <v>84</v>
      </c>
      <c r="N63" s="129"/>
      <c r="O63" s="147" t="s">
        <v>85</v>
      </c>
      <c r="P63" s="147" t="s">
        <v>89</v>
      </c>
      <c r="Q63" s="128" t="s">
        <v>79</v>
      </c>
      <c r="R63" s="124" t="s">
        <v>80</v>
      </c>
      <c r="S63" s="124" t="s">
        <v>81</v>
      </c>
      <c r="T63" s="124" t="s">
        <v>82</v>
      </c>
      <c r="U63" s="158"/>
      <c r="V63" s="159" t="s">
        <v>103</v>
      </c>
      <c r="W63" s="160" t="s">
        <v>104</v>
      </c>
      <c r="X63" s="160" t="s">
        <v>105</v>
      </c>
      <c r="Y63" s="160" t="s">
        <v>106</v>
      </c>
      <c r="Z63" s="146" t="s">
        <v>89</v>
      </c>
      <c r="AA63" s="140" t="s">
        <v>84</v>
      </c>
      <c r="AB63" s="140" t="s">
        <v>85</v>
      </c>
      <c r="AC63" s="124"/>
      <c r="AD63" s="124"/>
      <c r="AE63" s="124"/>
      <c r="AF63" s="124"/>
    </row>
    <row r="64">
      <c r="A64" s="124"/>
      <c r="B64" s="130">
        <v>2015.0</v>
      </c>
      <c r="C64" s="131">
        <v>6.4921845E7</v>
      </c>
      <c r="D64" s="133"/>
      <c r="E64" s="133">
        <f t="shared" ref="E64:E71" si="61">61.33*C64/100</f>
        <v>39816567.54</v>
      </c>
      <c r="F64" s="133">
        <f t="shared" ref="F64:F71" si="62">38.67*C64/100</f>
        <v>25105277.46</v>
      </c>
      <c r="G64" s="130">
        <f t="shared" ref="G64:G71" si="63">61.33*1.6*C64/10000</f>
        <v>637065.0806</v>
      </c>
      <c r="H64" s="132">
        <f t="shared" ref="H64:H71" si="64">61.3*7.4*C64/10000</f>
        <v>2944984.733</v>
      </c>
      <c r="I64" s="132">
        <f t="shared" ref="I64:I71" si="65">38.67*1*C64/10000</f>
        <v>251052.7746</v>
      </c>
      <c r="J64" s="132">
        <f t="shared" ref="J64:J71" si="66">38.67*13.2*C64/10000</f>
        <v>3313896.625</v>
      </c>
      <c r="K64" s="124"/>
      <c r="L64" s="130">
        <v>2015.0</v>
      </c>
      <c r="M64" s="155">
        <f t="shared" ref="M64:M71" si="67">52.3*P64/100</f>
        <v>17778944.63</v>
      </c>
      <c r="N64" s="155"/>
      <c r="O64" s="155">
        <f t="shared" ref="O64:O71" si="68">47.7*P64/100</f>
        <v>16215213.37</v>
      </c>
      <c r="P64" s="131">
        <v>3.3994158E7</v>
      </c>
      <c r="Q64" s="130">
        <f t="shared" ref="Q64:Q71" si="69">52.3*1.6*P64/10000</f>
        <v>284463.1141</v>
      </c>
      <c r="R64" s="132">
        <f t="shared" ref="R64:R71" si="70">52.3*7.4*P64/10000</f>
        <v>1315641.903</v>
      </c>
      <c r="S64" s="132">
        <f t="shared" ref="S64:S71" si="71">47.7*1*P64/10000</f>
        <v>162152.1337</v>
      </c>
      <c r="T64" s="132">
        <f t="shared" ref="T64:T71" si="72">47.7*13.2*P64/10000</f>
        <v>2140408.164</v>
      </c>
      <c r="U64" s="158"/>
      <c r="V64" s="161">
        <v>1034600.445</v>
      </c>
      <c r="W64" s="161">
        <v>4785027.0596568</v>
      </c>
      <c r="X64" s="161">
        <v>533778.661668</v>
      </c>
      <c r="Y64" s="161">
        <v>7045878.3340176</v>
      </c>
      <c r="Z64" s="131">
        <v>1.18040394E8</v>
      </c>
      <c r="AA64" s="162">
        <f t="shared" ref="AA64:AA71" si="73">54.78*Z64/100</f>
        <v>64662527.83</v>
      </c>
      <c r="AB64" s="162">
        <f t="shared" ref="AB64:AB71" si="74">45.22*Z64/100</f>
        <v>53377866.17</v>
      </c>
      <c r="AC64" s="124"/>
      <c r="AD64" s="124"/>
      <c r="AE64" s="124"/>
      <c r="AF64" s="124"/>
    </row>
    <row r="65">
      <c r="A65" s="124"/>
      <c r="B65" s="130">
        <v>2016.0</v>
      </c>
      <c r="C65" s="131">
        <v>6.5866188E7</v>
      </c>
      <c r="D65" s="133"/>
      <c r="E65" s="133">
        <f t="shared" si="61"/>
        <v>40395733.1</v>
      </c>
      <c r="F65" s="133">
        <f t="shared" si="62"/>
        <v>25470454.9</v>
      </c>
      <c r="G65" s="130">
        <f t="shared" si="63"/>
        <v>646331.7296</v>
      </c>
      <c r="H65" s="132">
        <f t="shared" si="64"/>
        <v>2987822.02</v>
      </c>
      <c r="I65" s="132">
        <f t="shared" si="65"/>
        <v>254704.549</v>
      </c>
      <c r="J65" s="132">
        <f t="shared" si="66"/>
        <v>3362100.047</v>
      </c>
      <c r="K65" s="124"/>
      <c r="L65" s="130">
        <v>2016.0</v>
      </c>
      <c r="M65" s="155">
        <f t="shared" si="67"/>
        <v>17852833.03</v>
      </c>
      <c r="N65" s="155"/>
      <c r="O65" s="155">
        <f t="shared" si="68"/>
        <v>16282602.97</v>
      </c>
      <c r="P65" s="131">
        <v>3.4135436E7</v>
      </c>
      <c r="Q65" s="130">
        <f t="shared" si="69"/>
        <v>285645.3284</v>
      </c>
      <c r="R65" s="132">
        <f t="shared" si="70"/>
        <v>1321109.644</v>
      </c>
      <c r="S65" s="132">
        <f t="shared" si="71"/>
        <v>162826.0297</v>
      </c>
      <c r="T65" s="132">
        <f t="shared" si="72"/>
        <v>2149303.592</v>
      </c>
      <c r="U65" s="158"/>
      <c r="V65" s="161">
        <v>1046768.7574080002</v>
      </c>
      <c r="W65" s="161">
        <v>4841305.503012001</v>
      </c>
      <c r="X65" s="161">
        <v>540056.62662</v>
      </c>
      <c r="Y65" s="161">
        <v>7128747.471384</v>
      </c>
      <c r="Z65" s="131">
        <v>1.1942871E8</v>
      </c>
      <c r="AA65" s="162">
        <f t="shared" si="73"/>
        <v>65423047.34</v>
      </c>
      <c r="AB65" s="162">
        <f t="shared" si="74"/>
        <v>54005662.66</v>
      </c>
      <c r="AC65" s="124"/>
      <c r="AD65" s="124"/>
      <c r="AE65" s="124"/>
      <c r="AF65" s="124"/>
    </row>
    <row r="66">
      <c r="A66" s="124"/>
      <c r="B66" s="130">
        <v>2017.0</v>
      </c>
      <c r="C66" s="131">
        <v>6.6805106E7</v>
      </c>
      <c r="D66" s="133"/>
      <c r="E66" s="133">
        <f t="shared" si="61"/>
        <v>40971571.51</v>
      </c>
      <c r="F66" s="133">
        <f t="shared" si="62"/>
        <v>25833534.49</v>
      </c>
      <c r="G66" s="130">
        <f t="shared" si="63"/>
        <v>655545.1442</v>
      </c>
      <c r="H66" s="132">
        <f t="shared" si="64"/>
        <v>3030413.218</v>
      </c>
      <c r="I66" s="132">
        <f t="shared" si="65"/>
        <v>258335.3449</v>
      </c>
      <c r="J66" s="132">
        <f t="shared" si="66"/>
        <v>3410026.553</v>
      </c>
      <c r="K66" s="124"/>
      <c r="L66" s="130">
        <v>2017.0</v>
      </c>
      <c r="M66" s="155">
        <f t="shared" si="67"/>
        <v>17925544.67</v>
      </c>
      <c r="N66" s="155"/>
      <c r="O66" s="155">
        <f t="shared" si="68"/>
        <v>16348919.33</v>
      </c>
      <c r="P66" s="131">
        <v>3.4274464E7</v>
      </c>
      <c r="Q66" s="130">
        <f t="shared" si="69"/>
        <v>286808.7148</v>
      </c>
      <c r="R66" s="132">
        <f t="shared" si="70"/>
        <v>1326490.306</v>
      </c>
      <c r="S66" s="132">
        <f t="shared" si="71"/>
        <v>163489.1933</v>
      </c>
      <c r="T66" s="132">
        <f t="shared" si="72"/>
        <v>2158057.351</v>
      </c>
      <c r="U66" s="158"/>
      <c r="V66" s="161">
        <v>1058833.9516128001</v>
      </c>
      <c r="W66" s="161">
        <v>4897107.026209201</v>
      </c>
      <c r="X66" s="161">
        <v>546281.390242</v>
      </c>
      <c r="Y66" s="161">
        <v>7210914.3511944</v>
      </c>
      <c r="Z66" s="131">
        <v>1.20805261E8</v>
      </c>
      <c r="AA66" s="162">
        <f t="shared" si="73"/>
        <v>66177121.98</v>
      </c>
      <c r="AB66" s="162">
        <f t="shared" si="74"/>
        <v>54628139.02</v>
      </c>
      <c r="AC66" s="124"/>
      <c r="AD66" s="124"/>
      <c r="AE66" s="124"/>
      <c r="AF66" s="124"/>
    </row>
    <row r="67">
      <c r="A67" s="124"/>
      <c r="B67" s="130">
        <v>2018.0</v>
      </c>
      <c r="C67" s="131">
        <v>6.7738363E7</v>
      </c>
      <c r="D67" s="133"/>
      <c r="E67" s="133">
        <f t="shared" si="61"/>
        <v>41543938.03</v>
      </c>
      <c r="F67" s="133">
        <f t="shared" si="62"/>
        <v>26194424.97</v>
      </c>
      <c r="G67" s="130">
        <f t="shared" si="63"/>
        <v>664703.0084</v>
      </c>
      <c r="H67" s="132">
        <f t="shared" si="64"/>
        <v>3072747.622</v>
      </c>
      <c r="I67" s="132">
        <f t="shared" si="65"/>
        <v>261944.2497</v>
      </c>
      <c r="J67" s="132">
        <f t="shared" si="66"/>
        <v>3457664.096</v>
      </c>
      <c r="K67" s="124"/>
      <c r="L67" s="130">
        <v>2018.0</v>
      </c>
      <c r="M67" s="155">
        <f t="shared" si="67"/>
        <v>17997092.64</v>
      </c>
      <c r="N67" s="155"/>
      <c r="O67" s="155">
        <f t="shared" si="68"/>
        <v>16414174.36</v>
      </c>
      <c r="P67" s="131">
        <v>3.4411267E7</v>
      </c>
      <c r="Q67" s="130">
        <f t="shared" si="69"/>
        <v>287953.4823</v>
      </c>
      <c r="R67" s="132">
        <f t="shared" si="70"/>
        <v>1331784.855</v>
      </c>
      <c r="S67" s="132">
        <f t="shared" si="71"/>
        <v>164141.7436</v>
      </c>
      <c r="T67" s="132">
        <f t="shared" si="72"/>
        <v>2166671.015</v>
      </c>
      <c r="U67" s="158"/>
      <c r="V67" s="161">
        <v>1070794.1259840003</v>
      </c>
      <c r="W67" s="161">
        <v>4952422.832676001</v>
      </c>
      <c r="X67" s="161">
        <v>552451.9712599999</v>
      </c>
      <c r="Y67" s="161">
        <v>7292366.020631999</v>
      </c>
      <c r="Z67" s="131">
        <v>1.2216983E8</v>
      </c>
      <c r="AA67" s="162">
        <f t="shared" si="73"/>
        <v>66924632.87</v>
      </c>
      <c r="AB67" s="162">
        <f t="shared" si="74"/>
        <v>55245197.13</v>
      </c>
      <c r="AC67" s="124"/>
      <c r="AD67" s="124"/>
      <c r="AE67" s="124"/>
      <c r="AF67" s="124"/>
    </row>
    <row r="68">
      <c r="A68" s="124"/>
      <c r="B68" s="130">
        <v>2019.0</v>
      </c>
      <c r="C68" s="131">
        <v>6.8665731E7</v>
      </c>
      <c r="D68" s="133"/>
      <c r="E68" s="133">
        <f t="shared" si="61"/>
        <v>42112692.82</v>
      </c>
      <c r="F68" s="133">
        <f t="shared" si="62"/>
        <v>26553038.18</v>
      </c>
      <c r="G68" s="130">
        <f t="shared" si="63"/>
        <v>673803.0852</v>
      </c>
      <c r="H68" s="132">
        <f t="shared" si="64"/>
        <v>3114814.89</v>
      </c>
      <c r="I68" s="132">
        <f t="shared" si="65"/>
        <v>265530.3818</v>
      </c>
      <c r="J68" s="132">
        <f t="shared" si="66"/>
        <v>3505001.039</v>
      </c>
      <c r="K68" s="124"/>
      <c r="L68" s="130">
        <v>2019.0</v>
      </c>
      <c r="M68" s="155">
        <f t="shared" si="67"/>
        <v>18067488.96</v>
      </c>
      <c r="N68" s="155"/>
      <c r="O68" s="155">
        <f t="shared" si="68"/>
        <v>16478379.04</v>
      </c>
      <c r="P68" s="131">
        <v>3.4545868E7</v>
      </c>
      <c r="Q68" s="130">
        <f t="shared" si="69"/>
        <v>289079.8234</v>
      </c>
      <c r="R68" s="132">
        <f t="shared" si="70"/>
        <v>1336994.183</v>
      </c>
      <c r="S68" s="132">
        <f t="shared" si="71"/>
        <v>164783.7904</v>
      </c>
      <c r="T68" s="132">
        <f t="shared" si="72"/>
        <v>2175146.033</v>
      </c>
      <c r="U68" s="158"/>
      <c r="V68" s="161">
        <v>1082647.5012672</v>
      </c>
      <c r="W68" s="161">
        <v>5007244.6933608</v>
      </c>
      <c r="X68" s="161">
        <v>558567.451708</v>
      </c>
      <c r="Y68" s="161">
        <v>7373090.362545599</v>
      </c>
      <c r="Z68" s="131">
        <v>1.23522214E8</v>
      </c>
      <c r="AA68" s="162">
        <f t="shared" si="73"/>
        <v>67665468.83</v>
      </c>
      <c r="AB68" s="162">
        <f t="shared" si="74"/>
        <v>55856745.17</v>
      </c>
      <c r="AC68" s="124"/>
      <c r="AD68" s="124"/>
      <c r="AE68" s="124"/>
      <c r="AF68" s="124"/>
    </row>
    <row r="69">
      <c r="A69" s="124"/>
      <c r="B69" s="130">
        <v>2020.0</v>
      </c>
      <c r="C69" s="131">
        <v>6.9586993E7</v>
      </c>
      <c r="D69" s="133"/>
      <c r="E69" s="133">
        <f t="shared" si="61"/>
        <v>42677702.81</v>
      </c>
      <c r="F69" s="133">
        <f t="shared" si="62"/>
        <v>26909290.19</v>
      </c>
      <c r="G69" s="130">
        <f t="shared" si="63"/>
        <v>682843.2449</v>
      </c>
      <c r="H69" s="132">
        <f t="shared" si="64"/>
        <v>3156605.176</v>
      </c>
      <c r="I69" s="132">
        <f t="shared" si="65"/>
        <v>269092.9019</v>
      </c>
      <c r="J69" s="132">
        <f t="shared" si="66"/>
        <v>3552026.305</v>
      </c>
      <c r="K69" s="124"/>
      <c r="L69" s="130">
        <v>2020.0</v>
      </c>
      <c r="M69" s="155">
        <f t="shared" si="67"/>
        <v>18136747.76</v>
      </c>
      <c r="N69" s="155"/>
      <c r="O69" s="155">
        <f t="shared" si="68"/>
        <v>16541546.24</v>
      </c>
      <c r="P69" s="131">
        <v>3.4678294E7</v>
      </c>
      <c r="Q69" s="130">
        <f t="shared" si="69"/>
        <v>290187.9642</v>
      </c>
      <c r="R69" s="132">
        <f t="shared" si="70"/>
        <v>1342119.334</v>
      </c>
      <c r="S69" s="132">
        <f t="shared" si="71"/>
        <v>165415.4624</v>
      </c>
      <c r="T69" s="132">
        <f t="shared" si="72"/>
        <v>2183484.103</v>
      </c>
      <c r="U69" s="158"/>
      <c r="V69" s="161">
        <v>1094392.3858560002</v>
      </c>
      <c r="W69" s="161">
        <v>5061564.784584001</v>
      </c>
      <c r="X69" s="161">
        <v>564626.95884</v>
      </c>
      <c r="Y69" s="161">
        <v>7453075.856687999</v>
      </c>
      <c r="Z69" s="131">
        <v>1.2486222E8</v>
      </c>
      <c r="AA69" s="162">
        <f t="shared" si="73"/>
        <v>68399524.12</v>
      </c>
      <c r="AB69" s="162">
        <f t="shared" si="74"/>
        <v>56462695.88</v>
      </c>
      <c r="AC69" s="124"/>
      <c r="AD69" s="124"/>
      <c r="AE69" s="124"/>
      <c r="AF69" s="124"/>
    </row>
    <row r="70">
      <c r="A70" s="124"/>
      <c r="B70" s="134">
        <v>2021.0</v>
      </c>
      <c r="C70" s="135">
        <v>7.0501944E7</v>
      </c>
      <c r="D70" s="138"/>
      <c r="E70" s="133">
        <f t="shared" si="61"/>
        <v>43238842.26</v>
      </c>
      <c r="F70" s="133">
        <f t="shared" si="62"/>
        <v>27263101.74</v>
      </c>
      <c r="G70" s="134">
        <f t="shared" si="63"/>
        <v>691821.4761</v>
      </c>
      <c r="H70" s="132">
        <f t="shared" si="64"/>
        <v>3198109.184</v>
      </c>
      <c r="I70" s="132">
        <f t="shared" si="65"/>
        <v>272631.0174</v>
      </c>
      <c r="J70" s="132">
        <f t="shared" si="66"/>
        <v>3598729.43</v>
      </c>
      <c r="K70" s="124"/>
      <c r="L70" s="134">
        <v>2021.0</v>
      </c>
      <c r="M70" s="155">
        <f t="shared" si="67"/>
        <v>18204881.06</v>
      </c>
      <c r="N70" s="155"/>
      <c r="O70" s="155">
        <f t="shared" si="68"/>
        <v>16603686.94</v>
      </c>
      <c r="P70" s="135">
        <v>3.4808568E7</v>
      </c>
      <c r="Q70" s="134">
        <f t="shared" si="69"/>
        <v>291278.097</v>
      </c>
      <c r="R70" s="132">
        <f t="shared" si="70"/>
        <v>1347161.199</v>
      </c>
      <c r="S70" s="132">
        <f t="shared" si="71"/>
        <v>166036.8694</v>
      </c>
      <c r="T70" s="132">
        <f t="shared" si="72"/>
        <v>2191686.676</v>
      </c>
      <c r="U70" s="158"/>
      <c r="V70" s="161">
        <v>1106027.2459104003</v>
      </c>
      <c r="W70" s="161">
        <v>5115376.0123356</v>
      </c>
      <c r="X70" s="161">
        <v>570629.701306</v>
      </c>
      <c r="Y70" s="161">
        <v>7532312.057239198</v>
      </c>
      <c r="Z70" s="135">
        <v>1.26189673E8</v>
      </c>
      <c r="AA70" s="162">
        <f t="shared" si="73"/>
        <v>69126702.87</v>
      </c>
      <c r="AB70" s="162">
        <f t="shared" si="74"/>
        <v>57062970.13</v>
      </c>
      <c r="AC70" s="124"/>
      <c r="AD70" s="124"/>
      <c r="AE70" s="124"/>
      <c r="AF70" s="124"/>
    </row>
    <row r="71">
      <c r="A71" s="124"/>
      <c r="B71" s="163">
        <v>2022.0</v>
      </c>
      <c r="C71" s="148">
        <v>7.089E7</v>
      </c>
      <c r="D71" s="125"/>
      <c r="E71" s="125">
        <f t="shared" si="61"/>
        <v>43476837</v>
      </c>
      <c r="F71" s="125">
        <f t="shared" si="62"/>
        <v>27413163</v>
      </c>
      <c r="G71" s="124">
        <f t="shared" si="63"/>
        <v>695629.392</v>
      </c>
      <c r="H71" s="124">
        <f t="shared" si="64"/>
        <v>3215712.18</v>
      </c>
      <c r="I71" s="124">
        <f t="shared" si="65"/>
        <v>274131.63</v>
      </c>
      <c r="J71" s="124">
        <f t="shared" si="66"/>
        <v>3618537.516</v>
      </c>
      <c r="K71" s="124"/>
      <c r="L71" s="140">
        <v>2022.0</v>
      </c>
      <c r="M71" s="124">
        <f t="shared" si="67"/>
        <v>18289310</v>
      </c>
      <c r="N71" s="124"/>
      <c r="O71" s="124">
        <f t="shared" si="68"/>
        <v>16680690</v>
      </c>
      <c r="P71" s="164">
        <v>3.497E7</v>
      </c>
      <c r="Q71" s="124">
        <f t="shared" si="69"/>
        <v>292628.96</v>
      </c>
      <c r="R71" s="124">
        <f t="shared" si="70"/>
        <v>1353408.94</v>
      </c>
      <c r="S71" s="124">
        <f t="shared" si="71"/>
        <v>166806.9</v>
      </c>
      <c r="T71" s="124">
        <f t="shared" si="72"/>
        <v>2201851.08</v>
      </c>
      <c r="U71" s="158"/>
      <c r="V71" s="161">
        <f>1.6*AA71/100</f>
        <v>1140914.016</v>
      </c>
      <c r="W71" s="161">
        <f>7.4*AA71/100</f>
        <v>5276727.324</v>
      </c>
      <c r="X71" s="161">
        <f>1*AB71/100</f>
        <v>588628.74</v>
      </c>
      <c r="Y71" s="161">
        <f>13.2*AB71/100</f>
        <v>7769899.368</v>
      </c>
      <c r="Z71" s="164">
        <v>1.3017E8</v>
      </c>
      <c r="AA71" s="165">
        <f t="shared" si="73"/>
        <v>71307126</v>
      </c>
      <c r="AB71" s="124">
        <f t="shared" si="74"/>
        <v>58862874</v>
      </c>
      <c r="AC71" s="124"/>
      <c r="AD71" s="124"/>
      <c r="AE71" s="124"/>
      <c r="AF71" s="124"/>
    </row>
    <row r="72">
      <c r="A72" s="124"/>
      <c r="B72" s="124"/>
      <c r="C72" s="124"/>
      <c r="D72" s="125"/>
      <c r="E72" s="125"/>
      <c r="F72" s="125"/>
      <c r="G72" s="124"/>
      <c r="H72" s="124"/>
      <c r="I72" s="124"/>
      <c r="J72" s="124"/>
      <c r="K72" s="124"/>
      <c r="L72" s="124"/>
      <c r="M72" s="124"/>
      <c r="N72" s="124"/>
      <c r="O72" s="124"/>
      <c r="P72" s="124"/>
      <c r="Q72" s="124"/>
      <c r="R72" s="124"/>
      <c r="S72" s="124"/>
      <c r="T72" s="124"/>
      <c r="U72" s="124"/>
      <c r="V72" s="124"/>
      <c r="W72" s="124"/>
      <c r="X72" s="124"/>
      <c r="Y72" s="140"/>
      <c r="Z72" s="124"/>
      <c r="AA72" s="124"/>
      <c r="AB72" s="124"/>
      <c r="AC72" s="124"/>
      <c r="AD72" s="124"/>
      <c r="AE72" s="124"/>
      <c r="AF72" s="124"/>
    </row>
    <row r="73">
      <c r="A73" s="124"/>
      <c r="B73" s="124"/>
      <c r="C73" s="124"/>
      <c r="D73" s="125"/>
      <c r="E73" s="125"/>
      <c r="F73" s="125"/>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row>
    <row r="74">
      <c r="A74" s="124"/>
      <c r="B74" s="124"/>
      <c r="C74" s="124"/>
      <c r="D74" s="125"/>
      <c r="E74" s="125"/>
      <c r="F74" s="125"/>
      <c r="G74" s="124"/>
      <c r="H74" s="124"/>
      <c r="I74" s="124"/>
      <c r="J74" s="124"/>
      <c r="K74" s="124"/>
      <c r="L74" s="124" t="s">
        <v>107</v>
      </c>
      <c r="M74" s="124"/>
      <c r="N74" s="124"/>
      <c r="O74" s="124"/>
      <c r="P74" s="124"/>
      <c r="Q74" s="124"/>
      <c r="R74" s="124"/>
      <c r="S74" s="124"/>
      <c r="T74" s="124"/>
      <c r="U74" s="124"/>
      <c r="V74" s="124"/>
      <c r="W74" s="124"/>
      <c r="X74" s="128"/>
      <c r="Y74" s="128"/>
      <c r="Z74" s="124"/>
      <c r="AA74" s="124"/>
      <c r="AB74" s="124"/>
      <c r="AC74" s="124"/>
      <c r="AD74" s="124"/>
      <c r="AE74" s="124"/>
      <c r="AF74" s="124"/>
    </row>
    <row r="75">
      <c r="A75" s="124"/>
      <c r="B75" s="128" t="s">
        <v>108</v>
      </c>
      <c r="C75" s="128" t="s">
        <v>83</v>
      </c>
      <c r="D75" s="129"/>
      <c r="E75" s="129" t="s">
        <v>84</v>
      </c>
      <c r="F75" s="129" t="s">
        <v>85</v>
      </c>
      <c r="G75" s="128" t="s">
        <v>79</v>
      </c>
      <c r="H75" s="124" t="s">
        <v>80</v>
      </c>
      <c r="I75" s="124" t="s">
        <v>81</v>
      </c>
      <c r="J75" s="124" t="s">
        <v>82</v>
      </c>
      <c r="K75" s="124"/>
      <c r="L75" s="128"/>
      <c r="M75" s="146" t="s">
        <v>84</v>
      </c>
      <c r="N75" s="129"/>
      <c r="O75" s="147" t="s">
        <v>85</v>
      </c>
      <c r="P75" s="147" t="s">
        <v>89</v>
      </c>
      <c r="Q75" s="128" t="s">
        <v>79</v>
      </c>
      <c r="R75" s="124" t="s">
        <v>80</v>
      </c>
      <c r="S75" s="124" t="s">
        <v>81</v>
      </c>
      <c r="T75" s="124" t="s">
        <v>82</v>
      </c>
      <c r="U75" s="124"/>
      <c r="V75" s="124"/>
      <c r="W75" s="124"/>
      <c r="X75" s="131"/>
      <c r="Y75" s="131"/>
      <c r="Z75" s="128"/>
      <c r="AA75" s="124"/>
      <c r="AB75" s="124"/>
      <c r="AC75" s="124"/>
      <c r="AD75" s="124"/>
      <c r="AE75" s="124"/>
      <c r="AF75" s="124"/>
    </row>
    <row r="76">
      <c r="A76" s="124"/>
      <c r="B76" s="130">
        <v>2015.0</v>
      </c>
      <c r="C76" s="131">
        <v>7.8180854E7</v>
      </c>
      <c r="D76" s="133"/>
      <c r="E76" s="133">
        <f t="shared" ref="E76:E83" si="75">72.37*C76/100</f>
        <v>56579484.04</v>
      </c>
      <c r="F76" s="133">
        <f t="shared" ref="F76:F83" si="76">27.63*C76/100</f>
        <v>21601369.96</v>
      </c>
      <c r="G76" s="166">
        <f t="shared" ref="G76:G83" si="77">72.37*1.6*C76/10000</f>
        <v>905271.7446</v>
      </c>
      <c r="H76" s="132">
        <f t="shared" ref="H76:H83" si="78">72.37*C76*7.4/10000</f>
        <v>4186881.819</v>
      </c>
      <c r="I76" s="132">
        <f t="shared" ref="I76:I83" si="79">27.63*1*C76/10000</f>
        <v>216013.6996</v>
      </c>
      <c r="J76" s="132">
        <f t="shared" ref="J76:J83" si="80">27.63*13.2*C76/10000</f>
        <v>2851380.835</v>
      </c>
      <c r="K76" s="124"/>
      <c r="L76" s="130">
        <v>2015.0</v>
      </c>
      <c r="M76" s="130">
        <f t="shared" ref="M76:M83" si="81">70.79*P76/100</f>
        <v>2204283.089</v>
      </c>
      <c r="N76" s="130"/>
      <c r="O76" s="130">
        <f t="shared" ref="O76:O83" si="82">29.21*P76/100</f>
        <v>909550.9114</v>
      </c>
      <c r="P76" s="131">
        <v>3113834.0</v>
      </c>
      <c r="Q76" s="166">
        <f t="shared" ref="Q76:Q83" si="83">70.79*1.6*P76/10000</f>
        <v>35268.52942</v>
      </c>
      <c r="R76" s="132">
        <f t="shared" ref="R76:R83" si="84">70.76*7.4*P76/10000</f>
        <v>163047.8214</v>
      </c>
      <c r="S76" s="132">
        <f t="shared" ref="S76:S83" si="85">29.21*1*P76/10000</f>
        <v>9095.509114</v>
      </c>
      <c r="T76" s="132">
        <f t="shared" ref="T76:T83" si="86">29.27*13.2*P76/10000</f>
        <v>120307.336</v>
      </c>
      <c r="U76" s="124"/>
      <c r="V76" s="124"/>
      <c r="W76" s="124"/>
      <c r="X76" s="167"/>
      <c r="Y76" s="131"/>
      <c r="Z76" s="167"/>
      <c r="AA76" s="124"/>
      <c r="AB76" s="124"/>
      <c r="AC76" s="124"/>
      <c r="AD76" s="124"/>
      <c r="AE76" s="124"/>
      <c r="AF76" s="124"/>
    </row>
    <row r="77">
      <c r="A77" s="124"/>
      <c r="B77" s="130">
        <v>2016.0</v>
      </c>
      <c r="C77" s="131">
        <v>7.956256E7</v>
      </c>
      <c r="D77" s="133"/>
      <c r="E77" s="133">
        <f t="shared" si="75"/>
        <v>57579424.67</v>
      </c>
      <c r="F77" s="133">
        <f t="shared" si="76"/>
        <v>21983135.33</v>
      </c>
      <c r="G77" s="166">
        <f t="shared" si="77"/>
        <v>921270.7948</v>
      </c>
      <c r="H77" s="132">
        <f t="shared" si="78"/>
        <v>4260877.426</v>
      </c>
      <c r="I77" s="132">
        <f t="shared" si="79"/>
        <v>219831.3533</v>
      </c>
      <c r="J77" s="132">
        <f t="shared" si="80"/>
        <v>2901773.863</v>
      </c>
      <c r="K77" s="124"/>
      <c r="L77" s="130">
        <v>2016.0</v>
      </c>
      <c r="M77" s="130">
        <f t="shared" si="81"/>
        <v>2250087.05</v>
      </c>
      <c r="N77" s="130"/>
      <c r="O77" s="130">
        <f t="shared" si="82"/>
        <v>928450.9498</v>
      </c>
      <c r="P77" s="131">
        <v>3178538.0</v>
      </c>
      <c r="Q77" s="166">
        <f t="shared" si="83"/>
        <v>36001.3928</v>
      </c>
      <c r="R77" s="132">
        <f t="shared" si="84"/>
        <v>166435.8782</v>
      </c>
      <c r="S77" s="132">
        <f t="shared" si="85"/>
        <v>9284.509498</v>
      </c>
      <c r="T77" s="132">
        <f t="shared" si="86"/>
        <v>122807.2656</v>
      </c>
      <c r="U77" s="124"/>
      <c r="V77" s="124"/>
      <c r="W77" s="124"/>
      <c r="X77" s="167"/>
      <c r="Y77" s="131"/>
      <c r="Z77" s="167"/>
      <c r="AA77" s="124"/>
      <c r="AB77" s="124"/>
      <c r="AC77" s="124"/>
      <c r="AD77" s="124"/>
      <c r="AE77" s="124"/>
      <c r="AF77" s="124"/>
    </row>
    <row r="78">
      <c r="A78" s="124"/>
      <c r="B78" s="130">
        <v>2017.0</v>
      </c>
      <c r="C78" s="131">
        <v>8.0940564E7</v>
      </c>
      <c r="D78" s="133"/>
      <c r="E78" s="133">
        <f t="shared" si="75"/>
        <v>58576686.17</v>
      </c>
      <c r="F78" s="133">
        <f t="shared" si="76"/>
        <v>22363877.83</v>
      </c>
      <c r="G78" s="166">
        <f t="shared" si="77"/>
        <v>937226.9787</v>
      </c>
      <c r="H78" s="132">
        <f t="shared" si="78"/>
        <v>4334674.776</v>
      </c>
      <c r="I78" s="132">
        <f t="shared" si="79"/>
        <v>223638.7783</v>
      </c>
      <c r="J78" s="132">
        <f t="shared" si="80"/>
        <v>2952031.874</v>
      </c>
      <c r="K78" s="124"/>
      <c r="L78" s="130">
        <v>2017.0</v>
      </c>
      <c r="M78" s="130">
        <f t="shared" si="81"/>
        <v>2295908.709</v>
      </c>
      <c r="N78" s="130"/>
      <c r="O78" s="130">
        <f t="shared" si="82"/>
        <v>947358.2907</v>
      </c>
      <c r="P78" s="131">
        <v>3243267.0</v>
      </c>
      <c r="Q78" s="166">
        <f t="shared" si="83"/>
        <v>36734.53935</v>
      </c>
      <c r="R78" s="132">
        <f t="shared" si="84"/>
        <v>169825.244</v>
      </c>
      <c r="S78" s="132">
        <f t="shared" si="85"/>
        <v>9473.582907</v>
      </c>
      <c r="T78" s="132">
        <f t="shared" si="86"/>
        <v>125308.1611</v>
      </c>
      <c r="U78" s="124"/>
      <c r="V78" s="124"/>
      <c r="W78" s="124"/>
      <c r="X78" s="167"/>
      <c r="Y78" s="131"/>
      <c r="Z78" s="167"/>
      <c r="AA78" s="124"/>
      <c r="AB78" s="124"/>
      <c r="AC78" s="124"/>
      <c r="AD78" s="124"/>
      <c r="AE78" s="124"/>
      <c r="AF78" s="124"/>
    </row>
    <row r="79">
      <c r="A79" s="124"/>
      <c r="B79" s="130">
        <v>2018.0</v>
      </c>
      <c r="C79" s="131">
        <v>8.2314396E7</v>
      </c>
      <c r="D79" s="133"/>
      <c r="E79" s="133">
        <f t="shared" si="75"/>
        <v>59570928.39</v>
      </c>
      <c r="F79" s="133">
        <f t="shared" si="76"/>
        <v>22743467.61</v>
      </c>
      <c r="G79" s="166">
        <f t="shared" si="77"/>
        <v>953134.8542</v>
      </c>
      <c r="H79" s="132">
        <f t="shared" si="78"/>
        <v>4408248.701</v>
      </c>
      <c r="I79" s="132">
        <f t="shared" si="79"/>
        <v>227434.6761</v>
      </c>
      <c r="J79" s="132">
        <f t="shared" si="80"/>
        <v>3002137.725</v>
      </c>
      <c r="K79" s="124"/>
      <c r="L79" s="130">
        <v>2018.0</v>
      </c>
      <c r="M79" s="130">
        <f t="shared" si="81"/>
        <v>2341727.537</v>
      </c>
      <c r="N79" s="130"/>
      <c r="O79" s="130">
        <f t="shared" si="82"/>
        <v>966264.4632</v>
      </c>
      <c r="P79" s="131">
        <v>3307992.0</v>
      </c>
      <c r="Q79" s="166">
        <f t="shared" si="83"/>
        <v>37467.64059</v>
      </c>
      <c r="R79" s="132">
        <f t="shared" si="84"/>
        <v>173214.4003</v>
      </c>
      <c r="S79" s="132">
        <f t="shared" si="85"/>
        <v>9662.644632</v>
      </c>
      <c r="T79" s="132">
        <f t="shared" si="86"/>
        <v>127808.9021</v>
      </c>
      <c r="U79" s="124"/>
      <c r="V79" s="124"/>
      <c r="W79" s="124"/>
      <c r="X79" s="167"/>
      <c r="Y79" s="131"/>
      <c r="Z79" s="167"/>
      <c r="AA79" s="124"/>
      <c r="AB79" s="124"/>
      <c r="AC79" s="124"/>
      <c r="AD79" s="124"/>
      <c r="AE79" s="124"/>
      <c r="AF79" s="124"/>
    </row>
    <row r="80">
      <c r="A80" s="124"/>
      <c r="B80" s="130">
        <v>2019.0</v>
      </c>
      <c r="C80" s="131">
        <v>8.3683604E7</v>
      </c>
      <c r="D80" s="133"/>
      <c r="E80" s="133">
        <f t="shared" si="75"/>
        <v>60561824.21</v>
      </c>
      <c r="F80" s="133">
        <f t="shared" si="76"/>
        <v>23121779.79</v>
      </c>
      <c r="G80" s="166">
        <f t="shared" si="77"/>
        <v>968989.1874</v>
      </c>
      <c r="H80" s="132">
        <f t="shared" si="78"/>
        <v>4481574.992</v>
      </c>
      <c r="I80" s="132">
        <f t="shared" si="79"/>
        <v>231217.7979</v>
      </c>
      <c r="J80" s="132">
        <f t="shared" si="80"/>
        <v>3052074.932</v>
      </c>
      <c r="K80" s="124"/>
      <c r="L80" s="130">
        <v>2019.0</v>
      </c>
      <c r="M80" s="130">
        <f t="shared" si="81"/>
        <v>2387526.543</v>
      </c>
      <c r="N80" s="130"/>
      <c r="O80" s="130">
        <f t="shared" si="82"/>
        <v>985162.4569</v>
      </c>
      <c r="P80" s="131">
        <v>3372689.0</v>
      </c>
      <c r="Q80" s="166">
        <f t="shared" si="83"/>
        <v>38200.42469</v>
      </c>
      <c r="R80" s="132">
        <f t="shared" si="84"/>
        <v>176602.0905</v>
      </c>
      <c r="S80" s="132">
        <f t="shared" si="85"/>
        <v>9851.624569</v>
      </c>
      <c r="T80" s="132">
        <f t="shared" si="86"/>
        <v>130308.5613</v>
      </c>
      <c r="U80" s="124"/>
      <c r="V80" s="124"/>
      <c r="W80" s="124"/>
      <c r="X80" s="167"/>
      <c r="Y80" s="131"/>
      <c r="Z80" s="168"/>
      <c r="AA80" s="124"/>
      <c r="AB80" s="124"/>
      <c r="AC80" s="124"/>
      <c r="AD80" s="124"/>
      <c r="AE80" s="124"/>
      <c r="AF80" s="124"/>
    </row>
    <row r="81">
      <c r="A81" s="124"/>
      <c r="B81" s="130">
        <v>2020.0</v>
      </c>
      <c r="C81" s="131">
        <v>8.5047748E7</v>
      </c>
      <c r="D81" s="133"/>
      <c r="E81" s="133">
        <f t="shared" si="75"/>
        <v>61549055.23</v>
      </c>
      <c r="F81" s="133">
        <f t="shared" si="76"/>
        <v>23498692.77</v>
      </c>
      <c r="G81" s="166">
        <f t="shared" si="77"/>
        <v>984784.8836</v>
      </c>
      <c r="H81" s="132">
        <f t="shared" si="78"/>
        <v>4554630.087</v>
      </c>
      <c r="I81" s="132">
        <f t="shared" si="79"/>
        <v>234986.9277</v>
      </c>
      <c r="J81" s="132">
        <f t="shared" si="80"/>
        <v>3101827.446</v>
      </c>
      <c r="K81" s="124"/>
      <c r="L81" s="130">
        <v>2020.0</v>
      </c>
      <c r="M81" s="130">
        <f t="shared" si="81"/>
        <v>2433287.323</v>
      </c>
      <c r="N81" s="130"/>
      <c r="O81" s="130">
        <f t="shared" si="82"/>
        <v>1004044.677</v>
      </c>
      <c r="P81" s="131">
        <v>3437332.0</v>
      </c>
      <c r="Q81" s="166">
        <f t="shared" si="83"/>
        <v>38932.59716</v>
      </c>
      <c r="R81" s="132">
        <f t="shared" si="84"/>
        <v>179986.9531</v>
      </c>
      <c r="S81" s="132">
        <f t="shared" si="85"/>
        <v>10040.44677</v>
      </c>
      <c r="T81" s="132">
        <f t="shared" si="86"/>
        <v>132806.1341</v>
      </c>
      <c r="U81" s="124"/>
      <c r="V81" s="124"/>
      <c r="W81" s="124"/>
      <c r="X81" s="168"/>
      <c r="Y81" s="135"/>
      <c r="Z81" s="124"/>
      <c r="AA81" s="124"/>
      <c r="AB81" s="124"/>
      <c r="AC81" s="124"/>
      <c r="AD81" s="124"/>
      <c r="AE81" s="124"/>
      <c r="AF81" s="124"/>
    </row>
    <row r="82">
      <c r="A82" s="124"/>
      <c r="B82" s="134">
        <v>2021.0</v>
      </c>
      <c r="C82" s="135">
        <v>8.6406401E7</v>
      </c>
      <c r="D82" s="138"/>
      <c r="E82" s="133">
        <f t="shared" si="75"/>
        <v>62532312.4</v>
      </c>
      <c r="F82" s="133">
        <f t="shared" si="76"/>
        <v>23874088.6</v>
      </c>
      <c r="G82" s="169">
        <f t="shared" si="77"/>
        <v>1000516.998</v>
      </c>
      <c r="H82" s="132">
        <f t="shared" si="78"/>
        <v>4627391.118</v>
      </c>
      <c r="I82" s="132">
        <f t="shared" si="79"/>
        <v>238740.886</v>
      </c>
      <c r="J82" s="132">
        <f t="shared" si="80"/>
        <v>3151379.695</v>
      </c>
      <c r="K82" s="124"/>
      <c r="L82" s="134">
        <v>2021.0</v>
      </c>
      <c r="M82" s="130">
        <f t="shared" si="81"/>
        <v>2478992.886</v>
      </c>
      <c r="N82" s="130"/>
      <c r="O82" s="130">
        <f t="shared" si="82"/>
        <v>1022904.114</v>
      </c>
      <c r="P82" s="135">
        <v>3501897.0</v>
      </c>
      <c r="Q82" s="169">
        <f t="shared" si="83"/>
        <v>39663.88618</v>
      </c>
      <c r="R82" s="132">
        <f t="shared" si="84"/>
        <v>183367.7315</v>
      </c>
      <c r="S82" s="132">
        <f t="shared" si="85"/>
        <v>10229.04114</v>
      </c>
      <c r="T82" s="132">
        <f t="shared" si="86"/>
        <v>135300.6933</v>
      </c>
      <c r="U82" s="124"/>
      <c r="V82" s="124"/>
      <c r="W82" s="124"/>
      <c r="X82" s="124"/>
      <c r="Y82" s="124"/>
      <c r="Z82" s="124"/>
      <c r="AA82" s="124"/>
      <c r="AB82" s="124"/>
      <c r="AC82" s="124"/>
      <c r="AD82" s="124"/>
      <c r="AE82" s="124"/>
      <c r="AF82" s="124"/>
    </row>
    <row r="83">
      <c r="A83" s="124"/>
      <c r="B83" s="140">
        <v>2022.0</v>
      </c>
      <c r="C83" s="141">
        <v>8.77E7</v>
      </c>
      <c r="D83" s="125"/>
      <c r="E83" s="125">
        <f t="shared" si="75"/>
        <v>63468490</v>
      </c>
      <c r="F83" s="125">
        <f t="shared" si="76"/>
        <v>24231510</v>
      </c>
      <c r="G83" s="124">
        <f t="shared" si="77"/>
        <v>1015495.84</v>
      </c>
      <c r="H83" s="124">
        <f t="shared" si="78"/>
        <v>4696668.26</v>
      </c>
      <c r="I83" s="124">
        <f t="shared" si="79"/>
        <v>242315.1</v>
      </c>
      <c r="J83" s="124">
        <f t="shared" si="80"/>
        <v>3198559.32</v>
      </c>
      <c r="K83" s="124"/>
      <c r="L83" s="163">
        <v>2022.0</v>
      </c>
      <c r="M83" s="126">
        <f t="shared" si="81"/>
        <v>2534282</v>
      </c>
      <c r="N83" s="126"/>
      <c r="O83" s="126">
        <f t="shared" si="82"/>
        <v>1045718</v>
      </c>
      <c r="P83" s="141">
        <v>3580000.0</v>
      </c>
      <c r="Q83" s="124">
        <f t="shared" si="83"/>
        <v>40548.512</v>
      </c>
      <c r="R83" s="124">
        <f t="shared" si="84"/>
        <v>187457.392</v>
      </c>
      <c r="S83" s="124">
        <f t="shared" si="85"/>
        <v>10457.18</v>
      </c>
      <c r="T83" s="124">
        <f t="shared" si="86"/>
        <v>138318.312</v>
      </c>
      <c r="U83" s="124"/>
      <c r="V83" s="124"/>
      <c r="W83" s="124"/>
      <c r="X83" s="124"/>
      <c r="Y83" s="124"/>
      <c r="Z83" s="124"/>
      <c r="AA83" s="124"/>
      <c r="AB83" s="124"/>
      <c r="AC83" s="124"/>
      <c r="AD83" s="124"/>
      <c r="AE83" s="124"/>
      <c r="AF83" s="124"/>
    </row>
    <row r="84">
      <c r="A84" s="124"/>
      <c r="B84" s="124"/>
      <c r="C84" s="124"/>
      <c r="D84" s="125"/>
      <c r="E84" s="125"/>
      <c r="F84" s="125"/>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row>
    <row r="85">
      <c r="A85" s="124"/>
      <c r="B85" s="128" t="s">
        <v>109</v>
      </c>
      <c r="C85" s="128" t="s">
        <v>83</v>
      </c>
      <c r="D85" s="129"/>
      <c r="E85" s="129" t="s">
        <v>84</v>
      </c>
      <c r="F85" s="129" t="s">
        <v>85</v>
      </c>
      <c r="G85" s="128" t="s">
        <v>79</v>
      </c>
      <c r="H85" s="124" t="s">
        <v>80</v>
      </c>
      <c r="I85" s="124" t="s">
        <v>81</v>
      </c>
      <c r="J85" s="124" t="s">
        <v>82</v>
      </c>
      <c r="K85" s="124"/>
      <c r="L85" s="124" t="s">
        <v>110</v>
      </c>
      <c r="M85" s="124"/>
      <c r="N85" s="124"/>
      <c r="O85" s="124"/>
      <c r="P85" s="124"/>
      <c r="Q85" s="124"/>
      <c r="R85" s="124"/>
      <c r="S85" s="124"/>
      <c r="T85" s="124"/>
      <c r="U85" s="124"/>
      <c r="V85" s="124"/>
      <c r="W85" s="124"/>
      <c r="X85" s="124"/>
      <c r="Y85" s="124"/>
      <c r="Z85" s="124"/>
      <c r="AA85" s="124"/>
      <c r="AB85" s="124"/>
      <c r="AC85" s="124"/>
      <c r="AD85" s="124"/>
      <c r="AE85" s="124"/>
      <c r="AF85" s="124"/>
    </row>
    <row r="86">
      <c r="A86" s="124"/>
      <c r="B86" s="130">
        <v>2015.0</v>
      </c>
      <c r="C86" s="131">
        <v>3318820.0</v>
      </c>
      <c r="D86" s="133"/>
      <c r="E86" s="133">
        <f t="shared" ref="E86:E93" si="87">79.93*C86/100</f>
        <v>2652732.826</v>
      </c>
      <c r="F86" s="133">
        <f t="shared" ref="F86:F93" si="88">20.07*C86/100</f>
        <v>666087.174</v>
      </c>
      <c r="G86" s="170">
        <f t="shared" ref="G86:G93" si="89">79.93*1.6*C86/10000</f>
        <v>42443.72522</v>
      </c>
      <c r="H86" s="171">
        <f t="shared" ref="H86:H93" si="90">79.96*C86*7.4/10000</f>
        <v>196375.9069</v>
      </c>
      <c r="I86" s="171">
        <f t="shared" ref="I86:I93" si="91">20.07*1*C86/10000</f>
        <v>6660.87174</v>
      </c>
      <c r="J86" s="171">
        <f t="shared" ref="J86:J93" si="92">20.07*13.2*C86/10000</f>
        <v>87923.50697</v>
      </c>
      <c r="K86" s="124"/>
      <c r="L86" s="128"/>
      <c r="M86" s="146" t="s">
        <v>84</v>
      </c>
      <c r="N86" s="129"/>
      <c r="O86" s="147" t="s">
        <v>85</v>
      </c>
      <c r="P86" s="147" t="s">
        <v>89</v>
      </c>
      <c r="Q86" s="128" t="s">
        <v>79</v>
      </c>
      <c r="R86" s="124" t="s">
        <v>80</v>
      </c>
      <c r="S86" s="124" t="s">
        <v>81</v>
      </c>
      <c r="T86" s="124" t="s">
        <v>82</v>
      </c>
      <c r="U86" s="124"/>
      <c r="V86" s="124"/>
      <c r="W86" s="124"/>
      <c r="X86" s="124"/>
      <c r="Y86" s="124"/>
      <c r="Z86" s="124"/>
      <c r="AA86" s="124"/>
      <c r="AB86" s="124"/>
      <c r="AC86" s="124"/>
      <c r="AD86" s="124"/>
      <c r="AE86" s="124"/>
      <c r="AF86" s="124"/>
    </row>
    <row r="87">
      <c r="A87" s="124"/>
      <c r="B87" s="130">
        <v>2016.0</v>
      </c>
      <c r="C87" s="131">
        <v>3408474.0</v>
      </c>
      <c r="D87" s="133"/>
      <c r="E87" s="133">
        <f t="shared" si="87"/>
        <v>2724393.268</v>
      </c>
      <c r="F87" s="133">
        <f t="shared" si="88"/>
        <v>684080.7318</v>
      </c>
      <c r="G87" s="170">
        <f t="shared" si="89"/>
        <v>43590.29229</v>
      </c>
      <c r="H87" s="171">
        <f t="shared" si="90"/>
        <v>201680.77</v>
      </c>
      <c r="I87" s="171">
        <f t="shared" si="91"/>
        <v>6840.807318</v>
      </c>
      <c r="J87" s="171">
        <f t="shared" si="92"/>
        <v>90298.6566</v>
      </c>
      <c r="K87" s="124"/>
      <c r="L87" s="130">
        <v>2015.0</v>
      </c>
      <c r="M87" s="130">
        <f t="shared" ref="M87:M94" si="93">47.89*P87/100</f>
        <v>570482.4415</v>
      </c>
      <c r="N87" s="130"/>
      <c r="O87" s="130">
        <f t="shared" ref="O87:O94" si="94">52.11*P87/100</f>
        <v>620752.5585</v>
      </c>
      <c r="P87" s="131">
        <v>1191235.0</v>
      </c>
      <c r="Q87" s="130">
        <f t="shared" ref="Q87:Q94" si="95">47.89*P87*1.6/10000</f>
        <v>9127.719064</v>
      </c>
      <c r="R87" s="132">
        <f t="shared" ref="R87:R94" si="96">47.89*P87*7.4/10000</f>
        <v>42215.70067</v>
      </c>
      <c r="S87" s="132">
        <f t="shared" ref="S87:S94" si="97">52.11*1*P87/10000</f>
        <v>6207.525585</v>
      </c>
      <c r="T87" s="132">
        <f t="shared" ref="T87:T94" si="98">52.11*13.2*P87/10000</f>
        <v>81939.33772</v>
      </c>
      <c r="U87" s="124"/>
      <c r="V87" s="124"/>
      <c r="W87" s="124"/>
      <c r="X87" s="124"/>
      <c r="Y87" s="124"/>
      <c r="Z87" s="124"/>
      <c r="AA87" s="124"/>
      <c r="AB87" s="124"/>
      <c r="AC87" s="124"/>
      <c r="AD87" s="124"/>
      <c r="AE87" s="124"/>
      <c r="AF87" s="124"/>
    </row>
    <row r="88">
      <c r="A88" s="124"/>
      <c r="B88" s="130">
        <v>2017.0</v>
      </c>
      <c r="C88" s="131">
        <v>3498708.0</v>
      </c>
      <c r="D88" s="133"/>
      <c r="E88" s="133">
        <f t="shared" si="87"/>
        <v>2796517.304</v>
      </c>
      <c r="F88" s="133">
        <f t="shared" si="88"/>
        <v>702190.6956</v>
      </c>
      <c r="G88" s="170">
        <f t="shared" si="89"/>
        <v>44744.27687</v>
      </c>
      <c r="H88" s="171">
        <f t="shared" si="90"/>
        <v>207019.9518</v>
      </c>
      <c r="I88" s="171">
        <f t="shared" si="91"/>
        <v>7021.906956</v>
      </c>
      <c r="J88" s="171">
        <f t="shared" si="92"/>
        <v>92689.17182</v>
      </c>
      <c r="K88" s="124"/>
      <c r="L88" s="130">
        <v>2016.0</v>
      </c>
      <c r="M88" s="130">
        <f t="shared" si="93"/>
        <v>581744.2539</v>
      </c>
      <c r="N88" s="130"/>
      <c r="O88" s="130">
        <f t="shared" si="94"/>
        <v>633006.7461</v>
      </c>
      <c r="P88" s="131">
        <v>1214751.0</v>
      </c>
      <c r="Q88" s="130">
        <f t="shared" si="95"/>
        <v>9307.908062</v>
      </c>
      <c r="R88" s="132">
        <f t="shared" si="96"/>
        <v>43049.07479</v>
      </c>
      <c r="S88" s="132">
        <f t="shared" si="97"/>
        <v>6330.067461</v>
      </c>
      <c r="T88" s="132">
        <f t="shared" si="98"/>
        <v>83556.89049</v>
      </c>
      <c r="U88" s="124"/>
      <c r="V88" s="124"/>
      <c r="W88" s="124"/>
      <c r="X88" s="124"/>
      <c r="Y88" s="124"/>
      <c r="Z88" s="124"/>
      <c r="AA88" s="124"/>
      <c r="AB88" s="124"/>
      <c r="AC88" s="124"/>
      <c r="AD88" s="124"/>
      <c r="AE88" s="124"/>
      <c r="AF88" s="124"/>
    </row>
    <row r="89">
      <c r="A89" s="124"/>
      <c r="B89" s="130">
        <v>2018.0</v>
      </c>
      <c r="C89" s="131">
        <v>3589478.0</v>
      </c>
      <c r="D89" s="133"/>
      <c r="E89" s="133">
        <f t="shared" si="87"/>
        <v>2869069.765</v>
      </c>
      <c r="F89" s="133">
        <f t="shared" si="88"/>
        <v>720408.2346</v>
      </c>
      <c r="G89" s="170">
        <f t="shared" si="89"/>
        <v>45905.11625</v>
      </c>
      <c r="H89" s="171">
        <f t="shared" si="90"/>
        <v>212390.8491</v>
      </c>
      <c r="I89" s="171">
        <f t="shared" si="91"/>
        <v>7204.082346</v>
      </c>
      <c r="J89" s="171">
        <f t="shared" si="92"/>
        <v>95093.88697</v>
      </c>
      <c r="K89" s="124"/>
      <c r="L89" s="130">
        <v>2017.0</v>
      </c>
      <c r="M89" s="130">
        <f t="shared" si="93"/>
        <v>592998.4039</v>
      </c>
      <c r="N89" s="130"/>
      <c r="O89" s="130">
        <f t="shared" si="94"/>
        <v>645252.5961</v>
      </c>
      <c r="P89" s="131">
        <v>1238251.0</v>
      </c>
      <c r="Q89" s="130">
        <f t="shared" si="95"/>
        <v>9487.974462</v>
      </c>
      <c r="R89" s="132">
        <f t="shared" si="96"/>
        <v>43881.88189</v>
      </c>
      <c r="S89" s="132">
        <f t="shared" si="97"/>
        <v>6452.525961</v>
      </c>
      <c r="T89" s="132">
        <f t="shared" si="98"/>
        <v>85173.34269</v>
      </c>
      <c r="U89" s="124"/>
      <c r="V89" s="124"/>
      <c r="W89" s="124"/>
      <c r="X89" s="124"/>
      <c r="Y89" s="124"/>
      <c r="Z89" s="124"/>
      <c r="AA89" s="124"/>
      <c r="AB89" s="124"/>
      <c r="AC89" s="124"/>
      <c r="AD89" s="124"/>
      <c r="AE89" s="124"/>
      <c r="AF89" s="124"/>
    </row>
    <row r="90">
      <c r="A90" s="124"/>
      <c r="B90" s="130">
        <v>2019.0</v>
      </c>
      <c r="C90" s="131">
        <v>3680741.0</v>
      </c>
      <c r="D90" s="133"/>
      <c r="E90" s="133">
        <f t="shared" si="87"/>
        <v>2942016.281</v>
      </c>
      <c r="F90" s="133">
        <f t="shared" si="88"/>
        <v>738724.7187</v>
      </c>
      <c r="G90" s="170">
        <f t="shared" si="89"/>
        <v>47072.2605</v>
      </c>
      <c r="H90" s="171">
        <f t="shared" si="90"/>
        <v>217790.9173</v>
      </c>
      <c r="I90" s="171">
        <f t="shared" si="91"/>
        <v>7387.247187</v>
      </c>
      <c r="J90" s="171">
        <f t="shared" si="92"/>
        <v>97511.66287</v>
      </c>
      <c r="K90" s="124"/>
      <c r="L90" s="130">
        <v>2018.0</v>
      </c>
      <c r="M90" s="130">
        <f t="shared" si="93"/>
        <v>604241.5392</v>
      </c>
      <c r="N90" s="130"/>
      <c r="O90" s="130">
        <f t="shared" si="94"/>
        <v>657486.4608</v>
      </c>
      <c r="P90" s="131">
        <v>1261728.0</v>
      </c>
      <c r="Q90" s="130">
        <f t="shared" si="95"/>
        <v>9667.864627</v>
      </c>
      <c r="R90" s="132">
        <f t="shared" si="96"/>
        <v>44713.8739</v>
      </c>
      <c r="S90" s="132">
        <f t="shared" si="97"/>
        <v>6574.864608</v>
      </c>
      <c r="T90" s="132">
        <f t="shared" si="98"/>
        <v>86788.21283</v>
      </c>
      <c r="U90" s="124"/>
      <c r="V90" s="124"/>
      <c r="W90" s="124"/>
      <c r="X90" s="124"/>
      <c r="Y90" s="124"/>
      <c r="Z90" s="124"/>
      <c r="AA90" s="124"/>
      <c r="AB90" s="124"/>
      <c r="AC90" s="124"/>
      <c r="AD90" s="124"/>
      <c r="AE90" s="124"/>
      <c r="AF90" s="124"/>
    </row>
    <row r="91">
      <c r="A91" s="124"/>
      <c r="B91" s="130">
        <v>2020.0</v>
      </c>
      <c r="C91" s="131">
        <v>3772452.0</v>
      </c>
      <c r="D91" s="133"/>
      <c r="E91" s="133">
        <f t="shared" si="87"/>
        <v>3015320.884</v>
      </c>
      <c r="F91" s="133">
        <f t="shared" si="88"/>
        <v>757131.1164</v>
      </c>
      <c r="G91" s="170">
        <f t="shared" si="89"/>
        <v>48245.13414</v>
      </c>
      <c r="H91" s="171">
        <f t="shared" si="90"/>
        <v>223217.4938</v>
      </c>
      <c r="I91" s="171">
        <f t="shared" si="91"/>
        <v>7571.311164</v>
      </c>
      <c r="J91" s="171">
        <f t="shared" si="92"/>
        <v>99941.30736</v>
      </c>
      <c r="K91" s="124"/>
      <c r="L91" s="130">
        <v>2019.0</v>
      </c>
      <c r="M91" s="130">
        <f t="shared" si="93"/>
        <v>615467.913</v>
      </c>
      <c r="N91" s="130"/>
      <c r="O91" s="130">
        <f t="shared" si="94"/>
        <v>669702.087</v>
      </c>
      <c r="P91" s="131">
        <v>1285170.0</v>
      </c>
      <c r="Q91" s="130">
        <f t="shared" si="95"/>
        <v>9847.486608</v>
      </c>
      <c r="R91" s="132">
        <f t="shared" si="96"/>
        <v>45544.62556</v>
      </c>
      <c r="S91" s="132">
        <f t="shared" si="97"/>
        <v>6697.02087</v>
      </c>
      <c r="T91" s="132">
        <f t="shared" si="98"/>
        <v>88400.67548</v>
      </c>
      <c r="U91" s="124"/>
      <c r="V91" s="124"/>
      <c r="W91" s="124"/>
      <c r="X91" s="124"/>
      <c r="Y91" s="124"/>
      <c r="Z91" s="124"/>
      <c r="AA91" s="124"/>
      <c r="AB91" s="124"/>
      <c r="AC91" s="124"/>
      <c r="AD91" s="124"/>
      <c r="AE91" s="124"/>
      <c r="AF91" s="124"/>
    </row>
    <row r="92">
      <c r="A92" s="124"/>
      <c r="B92" s="134">
        <v>2021.0</v>
      </c>
      <c r="C92" s="135">
        <v>3864569.0</v>
      </c>
      <c r="D92" s="138"/>
      <c r="E92" s="133">
        <f t="shared" si="87"/>
        <v>3088950.002</v>
      </c>
      <c r="F92" s="133">
        <f t="shared" si="88"/>
        <v>775618.9983</v>
      </c>
      <c r="G92" s="172">
        <f t="shared" si="89"/>
        <v>49423.20003</v>
      </c>
      <c r="H92" s="171">
        <f t="shared" si="90"/>
        <v>228668.0936</v>
      </c>
      <c r="I92" s="171">
        <f t="shared" si="91"/>
        <v>7756.189983</v>
      </c>
      <c r="J92" s="171">
        <f t="shared" si="92"/>
        <v>102381.7078</v>
      </c>
      <c r="K92" s="124"/>
      <c r="L92" s="130">
        <v>2020.0</v>
      </c>
      <c r="M92" s="130">
        <f t="shared" si="93"/>
        <v>626674.6519</v>
      </c>
      <c r="N92" s="130"/>
      <c r="O92" s="130">
        <f t="shared" si="94"/>
        <v>681896.3481</v>
      </c>
      <c r="P92" s="131">
        <v>1308571.0</v>
      </c>
      <c r="Q92" s="130">
        <f t="shared" si="95"/>
        <v>10026.79443</v>
      </c>
      <c r="R92" s="132">
        <f t="shared" si="96"/>
        <v>46373.92424</v>
      </c>
      <c r="S92" s="132">
        <f t="shared" si="97"/>
        <v>6818.963481</v>
      </c>
      <c r="T92" s="132">
        <f t="shared" si="98"/>
        <v>90010.31795</v>
      </c>
      <c r="U92" s="124"/>
      <c r="V92" s="124"/>
      <c r="W92" s="124"/>
      <c r="X92" s="124"/>
      <c r="Y92" s="124"/>
      <c r="Z92" s="124"/>
      <c r="AA92" s="124"/>
      <c r="AB92" s="124"/>
      <c r="AC92" s="124"/>
      <c r="AD92" s="124"/>
      <c r="AE92" s="124"/>
      <c r="AF92" s="124"/>
    </row>
    <row r="93">
      <c r="A93" s="124"/>
      <c r="B93" s="124"/>
      <c r="C93" s="149">
        <v>3970000.0</v>
      </c>
      <c r="D93" s="125"/>
      <c r="E93" s="125">
        <f t="shared" si="87"/>
        <v>3173221</v>
      </c>
      <c r="F93" s="173">
        <f t="shared" si="88"/>
        <v>796779</v>
      </c>
      <c r="G93" s="124">
        <f t="shared" si="89"/>
        <v>50771.536</v>
      </c>
      <c r="H93" s="124">
        <f t="shared" si="90"/>
        <v>234906.488</v>
      </c>
      <c r="I93" s="124">
        <f t="shared" si="91"/>
        <v>7967.79</v>
      </c>
      <c r="J93" s="124">
        <f t="shared" si="92"/>
        <v>105174.828</v>
      </c>
      <c r="K93" s="124"/>
      <c r="L93" s="134">
        <v>2021.0</v>
      </c>
      <c r="M93" s="130">
        <f t="shared" si="93"/>
        <v>637856.9669</v>
      </c>
      <c r="N93" s="130"/>
      <c r="O93" s="130">
        <f t="shared" si="94"/>
        <v>694064.0331</v>
      </c>
      <c r="P93" s="135">
        <v>1331921.0</v>
      </c>
      <c r="Q93" s="134">
        <f t="shared" si="95"/>
        <v>10205.71147</v>
      </c>
      <c r="R93" s="132">
        <f t="shared" si="96"/>
        <v>47201.41555</v>
      </c>
      <c r="S93" s="132">
        <f t="shared" si="97"/>
        <v>6940.640331</v>
      </c>
      <c r="T93" s="132">
        <f t="shared" si="98"/>
        <v>91616.45237</v>
      </c>
      <c r="U93" s="124"/>
      <c r="V93" s="124"/>
      <c r="W93" s="124"/>
      <c r="X93" s="124"/>
      <c r="Y93" s="124"/>
      <c r="Z93" s="124"/>
      <c r="AA93" s="124"/>
      <c r="AB93" s="124"/>
      <c r="AC93" s="124"/>
      <c r="AD93" s="124"/>
      <c r="AE93" s="124"/>
      <c r="AF93" s="124"/>
    </row>
    <row r="94">
      <c r="A94" s="124"/>
      <c r="B94" s="124"/>
      <c r="C94" s="124"/>
      <c r="D94" s="125"/>
      <c r="E94" s="125"/>
      <c r="F94" s="125"/>
      <c r="G94" s="124"/>
      <c r="H94" s="124"/>
      <c r="I94" s="124"/>
      <c r="J94" s="124"/>
      <c r="K94" s="124"/>
      <c r="L94" s="163">
        <v>2022.0</v>
      </c>
      <c r="M94" s="126">
        <f t="shared" si="93"/>
        <v>646515</v>
      </c>
      <c r="N94" s="126"/>
      <c r="O94" s="126">
        <f t="shared" si="94"/>
        <v>703485</v>
      </c>
      <c r="P94" s="141">
        <v>1350000.0</v>
      </c>
      <c r="Q94" s="124">
        <f t="shared" si="95"/>
        <v>10344.24</v>
      </c>
      <c r="R94" s="124">
        <f t="shared" si="96"/>
        <v>47842.11</v>
      </c>
      <c r="S94" s="124">
        <f t="shared" si="97"/>
        <v>7034.85</v>
      </c>
      <c r="T94" s="124">
        <f t="shared" si="98"/>
        <v>92860.02</v>
      </c>
      <c r="U94" s="124"/>
      <c r="V94" s="124"/>
      <c r="W94" s="124"/>
      <c r="X94" s="124"/>
      <c r="Y94" s="124"/>
      <c r="Z94" s="124"/>
      <c r="AA94" s="124"/>
      <c r="AB94" s="124"/>
      <c r="AC94" s="124"/>
      <c r="AD94" s="124"/>
      <c r="AE94" s="124"/>
      <c r="AF94" s="124"/>
    </row>
    <row r="95">
      <c r="A95" s="124"/>
      <c r="B95" s="124"/>
      <c r="C95" s="124"/>
      <c r="D95" s="125"/>
      <c r="E95" s="125"/>
      <c r="F95" s="125"/>
      <c r="G95" s="124"/>
      <c r="H95" s="124"/>
      <c r="I95" s="124"/>
      <c r="J95" s="124"/>
      <c r="K95" s="124"/>
      <c r="L95" s="163"/>
      <c r="M95" s="126"/>
      <c r="N95" s="126"/>
      <c r="O95" s="126"/>
      <c r="P95" s="124"/>
      <c r="Q95" s="124"/>
      <c r="R95" s="124"/>
      <c r="S95" s="124"/>
      <c r="T95" s="124"/>
      <c r="U95" s="124"/>
      <c r="V95" s="124"/>
      <c r="W95" s="124"/>
      <c r="X95" s="124"/>
      <c r="Y95" s="124"/>
      <c r="Z95" s="124"/>
      <c r="AA95" s="124"/>
      <c r="AB95" s="124"/>
      <c r="AC95" s="124"/>
      <c r="AD95" s="124"/>
      <c r="AE95" s="124"/>
      <c r="AF95" s="124"/>
    </row>
    <row r="96">
      <c r="A96" s="124"/>
      <c r="B96" s="146" t="s">
        <v>111</v>
      </c>
      <c r="C96" s="128" t="s">
        <v>83</v>
      </c>
      <c r="D96" s="129"/>
      <c r="E96" s="129" t="s">
        <v>84</v>
      </c>
      <c r="F96" s="129" t="s">
        <v>85</v>
      </c>
      <c r="G96" s="128" t="s">
        <v>79</v>
      </c>
      <c r="H96" s="124" t="s">
        <v>80</v>
      </c>
      <c r="I96" s="124" t="s">
        <v>81</v>
      </c>
      <c r="J96" s="124" t="s">
        <v>82</v>
      </c>
      <c r="K96" s="124"/>
      <c r="L96" s="146" t="s">
        <v>112</v>
      </c>
      <c r="M96" s="146" t="s">
        <v>84</v>
      </c>
      <c r="N96" s="129"/>
      <c r="O96" s="147" t="s">
        <v>85</v>
      </c>
      <c r="P96" s="147" t="s">
        <v>89</v>
      </c>
      <c r="Q96" s="128" t="s">
        <v>79</v>
      </c>
      <c r="R96" s="124" t="s">
        <v>80</v>
      </c>
      <c r="S96" s="124" t="s">
        <v>81</v>
      </c>
      <c r="T96" s="124" t="s">
        <v>82</v>
      </c>
      <c r="U96" s="124"/>
      <c r="V96" s="124"/>
      <c r="W96" s="124"/>
      <c r="X96" s="124"/>
      <c r="Y96" s="124"/>
      <c r="Z96" s="124"/>
      <c r="AA96" s="124"/>
      <c r="AB96" s="124"/>
      <c r="AC96" s="124"/>
      <c r="AD96" s="124"/>
      <c r="AE96" s="124"/>
      <c r="AF96" s="124"/>
    </row>
    <row r="97">
      <c r="A97" s="124"/>
      <c r="B97" s="130">
        <v>2015.0</v>
      </c>
      <c r="C97" s="131">
        <v>2022112.0</v>
      </c>
      <c r="D97" s="133"/>
      <c r="E97" s="133">
        <f t="shared" ref="E97:E104" si="99">71.14*C97/100</f>
        <v>1438530.477</v>
      </c>
      <c r="F97" s="133">
        <f t="shared" ref="F97:F104" si="100">28.86*C97/100</f>
        <v>583581.5232</v>
      </c>
      <c r="G97" s="170">
        <f t="shared" ref="G97:G104" si="101">71.14*C97*1.6/10000</f>
        <v>23016.48763</v>
      </c>
      <c r="H97" s="171">
        <f t="shared" ref="H97:H104" si="102">71.14*7.4*C97/10000</f>
        <v>106451.2553</v>
      </c>
      <c r="I97" s="171">
        <f t="shared" ref="I97:I104" si="103">28.86*1*C97/10000</f>
        <v>5835.815232</v>
      </c>
      <c r="J97" s="171">
        <f t="shared" ref="J97:J104" si="104">28.86*13.2*C97/10000</f>
        <v>77032.76106</v>
      </c>
      <c r="K97" s="124"/>
      <c r="L97" s="130">
        <v>2015.0</v>
      </c>
      <c r="M97" s="155">
        <f t="shared" ref="M97:M104" si="105">83.31*P97/100</f>
        <v>36900338.34</v>
      </c>
      <c r="N97" s="130"/>
      <c r="O97" s="130">
        <f t="shared" ref="O97:O104" si="106">16.69*P97/100</f>
        <v>7392469.655</v>
      </c>
      <c r="P97" s="131">
        <v>4.4292808E7</v>
      </c>
      <c r="Q97" s="130">
        <f t="shared" ref="Q97:Q104" si="107">83.31*1.6*P97/10000</f>
        <v>590405.4135</v>
      </c>
      <c r="R97" s="132">
        <f t="shared" ref="R97:R104" si="108">83.31*7.4*P97/10000</f>
        <v>2730625.038</v>
      </c>
      <c r="S97" s="132">
        <f t="shared" ref="S97:S104" si="109">16.69*P97/10000</f>
        <v>73924.69655</v>
      </c>
      <c r="T97" s="132">
        <f t="shared" ref="T97:T104" si="110">16.69*13.2*P97/10000</f>
        <v>975805.9945</v>
      </c>
      <c r="U97" s="124"/>
      <c r="V97" s="124"/>
      <c r="W97" s="124"/>
      <c r="X97" s="124"/>
      <c r="Y97" s="124"/>
      <c r="Z97" s="124"/>
      <c r="AA97" s="124"/>
      <c r="AB97" s="124"/>
      <c r="AC97" s="124"/>
      <c r="AD97" s="124"/>
      <c r="AE97" s="124"/>
      <c r="AF97" s="124"/>
    </row>
    <row r="98">
      <c r="A98" s="124"/>
      <c r="B98" s="130">
        <v>2016.0</v>
      </c>
      <c r="C98" s="131">
        <v>2032616.0</v>
      </c>
      <c r="D98" s="133"/>
      <c r="E98" s="133">
        <f t="shared" si="99"/>
        <v>1446003.022</v>
      </c>
      <c r="F98" s="133">
        <f t="shared" si="100"/>
        <v>586612.9776</v>
      </c>
      <c r="G98" s="170">
        <f t="shared" si="101"/>
        <v>23136.04836</v>
      </c>
      <c r="H98" s="171">
        <f t="shared" si="102"/>
        <v>107004.2237</v>
      </c>
      <c r="I98" s="171">
        <f t="shared" si="103"/>
        <v>5866.129776</v>
      </c>
      <c r="J98" s="171">
        <f t="shared" si="104"/>
        <v>77432.91304</v>
      </c>
      <c r="K98" s="124"/>
      <c r="L98" s="130">
        <v>2016.0</v>
      </c>
      <c r="M98" s="155">
        <f t="shared" si="105"/>
        <v>37374976.24</v>
      </c>
      <c r="N98" s="130"/>
      <c r="O98" s="130">
        <f t="shared" si="106"/>
        <v>7487556.758</v>
      </c>
      <c r="P98" s="131">
        <v>4.4862533E7</v>
      </c>
      <c r="Q98" s="130">
        <f t="shared" si="107"/>
        <v>597999.6199</v>
      </c>
      <c r="R98" s="132">
        <f t="shared" si="108"/>
        <v>2765748.242</v>
      </c>
      <c r="S98" s="132">
        <f t="shared" si="109"/>
        <v>74875.56758</v>
      </c>
      <c r="T98" s="132">
        <f t="shared" si="110"/>
        <v>988357.492</v>
      </c>
      <c r="U98" s="124"/>
      <c r="V98" s="124"/>
      <c r="W98" s="124"/>
      <c r="X98" s="124"/>
      <c r="Y98" s="124"/>
      <c r="Z98" s="124"/>
      <c r="AA98" s="124"/>
      <c r="AB98" s="124"/>
      <c r="AC98" s="124"/>
      <c r="AD98" s="124"/>
      <c r="AE98" s="124"/>
      <c r="AF98" s="124"/>
    </row>
    <row r="99">
      <c r="A99" s="124"/>
      <c r="B99" s="130">
        <v>2017.0</v>
      </c>
      <c r="C99" s="131">
        <v>2042964.0</v>
      </c>
      <c r="D99" s="133"/>
      <c r="E99" s="133">
        <f t="shared" si="99"/>
        <v>1453364.59</v>
      </c>
      <c r="F99" s="133">
        <f t="shared" si="100"/>
        <v>589599.4104</v>
      </c>
      <c r="G99" s="170">
        <f t="shared" si="101"/>
        <v>23253.83343</v>
      </c>
      <c r="H99" s="171">
        <f t="shared" si="102"/>
        <v>107548.9796</v>
      </c>
      <c r="I99" s="171">
        <f t="shared" si="103"/>
        <v>5895.994104</v>
      </c>
      <c r="J99" s="171">
        <f t="shared" si="104"/>
        <v>77827.12217</v>
      </c>
      <c r="K99" s="124"/>
      <c r="L99" s="130">
        <v>2017.0</v>
      </c>
      <c r="M99" s="155">
        <f t="shared" si="105"/>
        <v>37846104.29</v>
      </c>
      <c r="N99" s="130"/>
      <c r="O99" s="130">
        <f t="shared" si="106"/>
        <v>7581940.711</v>
      </c>
      <c r="P99" s="131">
        <v>4.5428045E7</v>
      </c>
      <c r="Q99" s="130">
        <f t="shared" si="107"/>
        <v>605537.6686</v>
      </c>
      <c r="R99" s="132">
        <f t="shared" si="108"/>
        <v>2800611.717</v>
      </c>
      <c r="S99" s="132">
        <f t="shared" si="109"/>
        <v>75819.40711</v>
      </c>
      <c r="T99" s="132">
        <f t="shared" si="110"/>
        <v>1000816.174</v>
      </c>
      <c r="U99" s="124"/>
      <c r="V99" s="124"/>
      <c r="W99" s="124"/>
      <c r="X99" s="124"/>
      <c r="Y99" s="124"/>
      <c r="Z99" s="124"/>
      <c r="AA99" s="124"/>
      <c r="AB99" s="124"/>
      <c r="AC99" s="124"/>
      <c r="AD99" s="124"/>
      <c r="AE99" s="124"/>
      <c r="AF99" s="124"/>
    </row>
    <row r="100">
      <c r="A100" s="124"/>
      <c r="B100" s="130">
        <v>2018.0</v>
      </c>
      <c r="C100" s="131">
        <v>2053157.0</v>
      </c>
      <c r="D100" s="133"/>
      <c r="E100" s="133">
        <f t="shared" si="99"/>
        <v>1460615.89</v>
      </c>
      <c r="F100" s="133">
        <f t="shared" si="100"/>
        <v>592541.1102</v>
      </c>
      <c r="G100" s="170">
        <f t="shared" si="101"/>
        <v>23369.85424</v>
      </c>
      <c r="H100" s="171">
        <f t="shared" si="102"/>
        <v>108085.5758</v>
      </c>
      <c r="I100" s="171">
        <f t="shared" si="103"/>
        <v>5925.411102</v>
      </c>
      <c r="J100" s="171">
        <f t="shared" si="104"/>
        <v>78215.42655</v>
      </c>
      <c r="K100" s="124"/>
      <c r="L100" s="130">
        <v>2018.0</v>
      </c>
      <c r="M100" s="155">
        <f t="shared" si="105"/>
        <v>38313629.18</v>
      </c>
      <c r="N100" s="130"/>
      <c r="O100" s="130">
        <f t="shared" si="106"/>
        <v>7675602.821</v>
      </c>
      <c r="P100" s="131">
        <v>4.5989232E7</v>
      </c>
      <c r="Q100" s="130">
        <f t="shared" si="107"/>
        <v>613018.0669</v>
      </c>
      <c r="R100" s="132">
        <f t="shared" si="108"/>
        <v>2835208.559</v>
      </c>
      <c r="S100" s="132">
        <f t="shared" si="109"/>
        <v>76756.02821</v>
      </c>
      <c r="T100" s="132">
        <f t="shared" si="110"/>
        <v>1013179.572</v>
      </c>
      <c r="U100" s="124"/>
      <c r="V100" s="124"/>
      <c r="W100" s="124"/>
      <c r="X100" s="124"/>
      <c r="Y100" s="124"/>
      <c r="Z100" s="124"/>
      <c r="AA100" s="124"/>
      <c r="AB100" s="124"/>
      <c r="AC100" s="124"/>
      <c r="AD100" s="124"/>
      <c r="AE100" s="124"/>
      <c r="AF100" s="124"/>
    </row>
    <row r="101">
      <c r="A101" s="124"/>
      <c r="B101" s="130">
        <v>2019.0</v>
      </c>
      <c r="C101" s="131">
        <v>2063196.0</v>
      </c>
      <c r="D101" s="133"/>
      <c r="E101" s="133">
        <f t="shared" si="99"/>
        <v>1467757.634</v>
      </c>
      <c r="F101" s="133">
        <f t="shared" si="100"/>
        <v>595438.3656</v>
      </c>
      <c r="G101" s="170">
        <f t="shared" si="101"/>
        <v>23484.12215</v>
      </c>
      <c r="H101" s="171">
        <f t="shared" si="102"/>
        <v>108614.0649</v>
      </c>
      <c r="I101" s="171">
        <f t="shared" si="103"/>
        <v>5954.383656</v>
      </c>
      <c r="J101" s="171">
        <f t="shared" si="104"/>
        <v>78597.86426</v>
      </c>
      <c r="K101" s="124"/>
      <c r="L101" s="130">
        <v>2019.0</v>
      </c>
      <c r="M101" s="155">
        <f t="shared" si="105"/>
        <v>38777464.27</v>
      </c>
      <c r="N101" s="130"/>
      <c r="O101" s="130">
        <f t="shared" si="106"/>
        <v>7768525.731</v>
      </c>
      <c r="P101" s="131">
        <v>4.654599E7</v>
      </c>
      <c r="Q101" s="130">
        <f t="shared" si="107"/>
        <v>620439.4283</v>
      </c>
      <c r="R101" s="132">
        <f t="shared" si="108"/>
        <v>2869532.356</v>
      </c>
      <c r="S101" s="132">
        <f t="shared" si="109"/>
        <v>77685.25731</v>
      </c>
      <c r="T101" s="132">
        <f t="shared" si="110"/>
        <v>1025445.396</v>
      </c>
      <c r="U101" s="124"/>
      <c r="V101" s="124"/>
      <c r="W101" s="124"/>
      <c r="X101" s="124"/>
      <c r="Y101" s="124"/>
      <c r="Z101" s="124"/>
      <c r="AA101" s="124"/>
      <c r="AB101" s="124"/>
      <c r="AC101" s="124"/>
      <c r="AD101" s="124"/>
      <c r="AE101" s="124"/>
      <c r="AF101" s="124"/>
    </row>
    <row r="102">
      <c r="A102" s="124"/>
      <c r="B102" s="130">
        <v>2020.0</v>
      </c>
      <c r="C102" s="131">
        <v>2073082.0</v>
      </c>
      <c r="D102" s="133"/>
      <c r="E102" s="133">
        <f t="shared" si="99"/>
        <v>1474790.535</v>
      </c>
      <c r="F102" s="133">
        <f t="shared" si="100"/>
        <v>598291.4652</v>
      </c>
      <c r="G102" s="170">
        <f t="shared" si="101"/>
        <v>23596.64856</v>
      </c>
      <c r="H102" s="171">
        <f t="shared" si="102"/>
        <v>109134.4996</v>
      </c>
      <c r="I102" s="171">
        <f t="shared" si="103"/>
        <v>5982.914652</v>
      </c>
      <c r="J102" s="171">
        <f t="shared" si="104"/>
        <v>78974.47341</v>
      </c>
      <c r="K102" s="124"/>
      <c r="L102" s="130">
        <v>2020.0</v>
      </c>
      <c r="M102" s="155">
        <f t="shared" si="105"/>
        <v>39237525.42</v>
      </c>
      <c r="N102" s="130"/>
      <c r="O102" s="130">
        <f t="shared" si="106"/>
        <v>7860692.584</v>
      </c>
      <c r="P102" s="131">
        <v>4.7098218E7</v>
      </c>
      <c r="Q102" s="130">
        <f t="shared" si="107"/>
        <v>627800.4067</v>
      </c>
      <c r="R102" s="132">
        <f t="shared" si="108"/>
        <v>2903576.881</v>
      </c>
      <c r="S102" s="132">
        <f t="shared" si="109"/>
        <v>78606.92584</v>
      </c>
      <c r="T102" s="132">
        <f t="shared" si="110"/>
        <v>1037611.421</v>
      </c>
      <c r="U102" s="124"/>
      <c r="V102" s="124"/>
      <c r="W102" s="124"/>
      <c r="X102" s="124"/>
      <c r="Y102" s="124"/>
      <c r="Z102" s="124"/>
      <c r="AA102" s="124"/>
      <c r="AB102" s="124"/>
      <c r="AC102" s="124"/>
      <c r="AD102" s="124"/>
      <c r="AE102" s="124"/>
      <c r="AF102" s="124"/>
    </row>
    <row r="103">
      <c r="A103" s="124"/>
      <c r="B103" s="134">
        <v>2021.0</v>
      </c>
      <c r="C103" s="135">
        <v>2082817.0</v>
      </c>
      <c r="D103" s="139"/>
      <c r="E103" s="139">
        <f t="shared" si="99"/>
        <v>1481716.014</v>
      </c>
      <c r="F103" s="133">
        <f t="shared" si="100"/>
        <v>601100.9862</v>
      </c>
      <c r="G103" s="172">
        <f t="shared" si="101"/>
        <v>23707.45622</v>
      </c>
      <c r="H103" s="171">
        <f t="shared" si="102"/>
        <v>109646.985</v>
      </c>
      <c r="I103" s="171">
        <f t="shared" si="103"/>
        <v>6011.009862</v>
      </c>
      <c r="J103" s="171">
        <f t="shared" si="104"/>
        <v>79345.33018</v>
      </c>
      <c r="K103" s="124"/>
      <c r="L103" s="134">
        <v>2021.0</v>
      </c>
      <c r="M103" s="155">
        <f t="shared" si="105"/>
        <v>39693734.31</v>
      </c>
      <c r="N103" s="130"/>
      <c r="O103" s="130">
        <f t="shared" si="106"/>
        <v>7952087.692</v>
      </c>
      <c r="P103" s="135">
        <v>4.7645822E7</v>
      </c>
      <c r="Q103" s="134">
        <f t="shared" si="107"/>
        <v>635099.7489</v>
      </c>
      <c r="R103" s="132">
        <f t="shared" si="108"/>
        <v>2937336.339</v>
      </c>
      <c r="S103" s="132">
        <f t="shared" si="109"/>
        <v>79520.87692</v>
      </c>
      <c r="T103" s="132">
        <f t="shared" si="110"/>
        <v>1049675.575</v>
      </c>
      <c r="U103" s="124"/>
      <c r="V103" s="124"/>
      <c r="W103" s="124"/>
      <c r="X103" s="124"/>
      <c r="Y103" s="124"/>
      <c r="Z103" s="124"/>
      <c r="AA103" s="124"/>
      <c r="AB103" s="124"/>
      <c r="AC103" s="124"/>
      <c r="AD103" s="124"/>
      <c r="AE103" s="124"/>
      <c r="AF103" s="124"/>
    </row>
    <row r="104">
      <c r="A104" s="124"/>
      <c r="B104" s="140">
        <v>2022.0</v>
      </c>
      <c r="C104" s="140">
        <v>2094316.0</v>
      </c>
      <c r="D104" s="125"/>
      <c r="E104" s="125">
        <f t="shared" si="99"/>
        <v>1489896.402</v>
      </c>
      <c r="F104" s="125">
        <f t="shared" si="100"/>
        <v>604419.5976</v>
      </c>
      <c r="G104" s="124">
        <f t="shared" si="101"/>
        <v>23838.34244</v>
      </c>
      <c r="H104" s="124">
        <f t="shared" si="102"/>
        <v>110252.3338</v>
      </c>
      <c r="I104" s="124">
        <f t="shared" si="103"/>
        <v>6044.195976</v>
      </c>
      <c r="J104" s="124">
        <f t="shared" si="104"/>
        <v>79783.38688</v>
      </c>
      <c r="K104" s="124"/>
      <c r="L104" s="140">
        <v>2022.0</v>
      </c>
      <c r="M104" s="124">
        <f t="shared" si="105"/>
        <v>39922152</v>
      </c>
      <c r="N104" s="124"/>
      <c r="O104" s="124">
        <f t="shared" si="106"/>
        <v>7997848</v>
      </c>
      <c r="P104" s="141">
        <v>4.792E7</v>
      </c>
      <c r="Q104" s="152">
        <f t="shared" si="107"/>
        <v>638754.432</v>
      </c>
      <c r="R104" s="124">
        <f t="shared" si="108"/>
        <v>2954239.248</v>
      </c>
      <c r="S104" s="124">
        <f t="shared" si="109"/>
        <v>79978.48</v>
      </c>
      <c r="T104" s="124">
        <f t="shared" si="110"/>
        <v>1055715.936</v>
      </c>
      <c r="U104" s="124"/>
      <c r="V104" s="124"/>
      <c r="W104" s="124"/>
      <c r="X104" s="124"/>
      <c r="Y104" s="124"/>
      <c r="Z104" s="124"/>
      <c r="AA104" s="124"/>
      <c r="AB104" s="124"/>
      <c r="AC104" s="124"/>
      <c r="AD104" s="124"/>
      <c r="AE104" s="124"/>
      <c r="AF104" s="124"/>
    </row>
    <row r="105">
      <c r="A105" s="124"/>
      <c r="B105" s="124"/>
      <c r="C105" s="124"/>
      <c r="D105" s="125"/>
      <c r="E105" s="125"/>
      <c r="F105" s="125"/>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row>
    <row r="106">
      <c r="A106" s="124"/>
      <c r="B106" s="146" t="s">
        <v>113</v>
      </c>
      <c r="C106" s="128" t="s">
        <v>83</v>
      </c>
      <c r="D106" s="129"/>
      <c r="E106" s="129" t="s">
        <v>84</v>
      </c>
      <c r="F106" s="129" t="s">
        <v>85</v>
      </c>
      <c r="G106" s="128" t="s">
        <v>79</v>
      </c>
      <c r="H106" s="124" t="s">
        <v>80</v>
      </c>
      <c r="I106" s="124" t="s">
        <v>81</v>
      </c>
      <c r="J106" s="124" t="s">
        <v>82</v>
      </c>
      <c r="K106" s="124"/>
      <c r="L106" s="146" t="s">
        <v>114</v>
      </c>
      <c r="M106" s="146" t="s">
        <v>84</v>
      </c>
      <c r="N106" s="129"/>
      <c r="O106" s="147" t="s">
        <v>85</v>
      </c>
      <c r="P106" s="147" t="s">
        <v>89</v>
      </c>
      <c r="Q106" s="128" t="s">
        <v>79</v>
      </c>
      <c r="R106" s="124" t="s">
        <v>80</v>
      </c>
      <c r="S106" s="124" t="s">
        <v>81</v>
      </c>
      <c r="T106" s="124" t="s">
        <v>82</v>
      </c>
      <c r="U106" s="124"/>
      <c r="V106" s="124"/>
      <c r="W106" s="124"/>
      <c r="X106" s="124"/>
      <c r="Y106" s="124"/>
      <c r="Z106" s="124"/>
      <c r="AA106" s="124"/>
      <c r="AB106" s="124"/>
      <c r="AC106" s="124"/>
      <c r="AD106" s="124"/>
      <c r="AE106" s="124"/>
      <c r="AF106" s="124"/>
    </row>
    <row r="107">
      <c r="A107" s="124"/>
      <c r="B107" s="130">
        <v>2015.0</v>
      </c>
      <c r="C107" s="131">
        <v>2.897641E7</v>
      </c>
      <c r="D107" s="133"/>
      <c r="E107" s="133">
        <f t="shared" ref="E107:E114" si="111">62.52*C107/100</f>
        <v>18116051.53</v>
      </c>
      <c r="F107" s="133">
        <f t="shared" ref="F107:F114" si="112">37.48*C107/100</f>
        <v>10860358.47</v>
      </c>
      <c r="G107" s="130">
        <f t="shared" ref="G107:G114" si="113">65.52*1.6*C107/10000</f>
        <v>303765.5013</v>
      </c>
      <c r="H107" s="132">
        <f t="shared" ref="H107:H114" si="114">65.52*7.4*C107/10000</f>
        <v>1404915.444</v>
      </c>
      <c r="I107" s="132">
        <f t="shared" ref="I107:I114" si="115">37.48*1*C107/10000</f>
        <v>108603.5847</v>
      </c>
      <c r="J107" s="132">
        <f t="shared" ref="J107:J114" si="116">37.48*13.2*C107/10000</f>
        <v>1433567.318</v>
      </c>
      <c r="K107" s="124"/>
      <c r="L107" s="130">
        <v>2015.0</v>
      </c>
      <c r="M107" s="155">
        <f t="shared" ref="M107:M114" si="117">75.13*P107/100</f>
        <v>55198911.06</v>
      </c>
      <c r="N107" s="155"/>
      <c r="O107" s="155">
        <f t="shared" ref="O107:O114" si="118">24.87*P107/100</f>
        <v>18272286.94</v>
      </c>
      <c r="P107" s="131">
        <v>7.3471198E7</v>
      </c>
      <c r="Q107" s="130">
        <f t="shared" ref="Q107:Q114" si="119">75.13*1.6*P107/10000</f>
        <v>883182.5769</v>
      </c>
      <c r="R107" s="132">
        <f t="shared" ref="R107:R114" si="120">75.13*7.4*P107/10000</f>
        <v>4084719.418</v>
      </c>
      <c r="S107" s="132">
        <f t="shared" ref="S107:S114" si="121">24.87*1*P107/10000</f>
        <v>182722.8694</v>
      </c>
      <c r="T107" s="132">
        <f t="shared" ref="T107:T114" si="122">24.87*13.2*P107/10000</f>
        <v>2411941.876</v>
      </c>
      <c r="U107" s="124"/>
      <c r="V107" s="124"/>
      <c r="W107" s="124"/>
      <c r="X107" s="124"/>
      <c r="Y107" s="124"/>
      <c r="Z107" s="124"/>
      <c r="AA107" s="124"/>
      <c r="AB107" s="124"/>
      <c r="AC107" s="124"/>
      <c r="AD107" s="124"/>
      <c r="AE107" s="124"/>
      <c r="AF107" s="124"/>
    </row>
    <row r="108">
      <c r="A108" s="124"/>
      <c r="B108" s="130">
        <v>2016.0</v>
      </c>
      <c r="C108" s="131">
        <v>2.9277472E7</v>
      </c>
      <c r="D108" s="133"/>
      <c r="E108" s="133">
        <f t="shared" si="111"/>
        <v>18304275.49</v>
      </c>
      <c r="F108" s="133">
        <f t="shared" si="112"/>
        <v>10973196.51</v>
      </c>
      <c r="G108" s="130">
        <f t="shared" si="113"/>
        <v>306921.5945</v>
      </c>
      <c r="H108" s="132">
        <f t="shared" si="114"/>
        <v>1419512.374</v>
      </c>
      <c r="I108" s="132">
        <f t="shared" si="115"/>
        <v>109731.9651</v>
      </c>
      <c r="J108" s="132">
        <f t="shared" si="116"/>
        <v>1448461.939</v>
      </c>
      <c r="K108" s="124"/>
      <c r="L108" s="130">
        <v>2016.0</v>
      </c>
      <c r="M108" s="155">
        <f t="shared" si="117"/>
        <v>56116528.59</v>
      </c>
      <c r="N108" s="155"/>
      <c r="O108" s="155">
        <f t="shared" si="118"/>
        <v>18576042.41</v>
      </c>
      <c r="P108" s="131">
        <v>7.4692571E7</v>
      </c>
      <c r="Q108" s="130">
        <f t="shared" si="119"/>
        <v>897864.4575</v>
      </c>
      <c r="R108" s="132">
        <f t="shared" si="120"/>
        <v>4152623.116</v>
      </c>
      <c r="S108" s="132">
        <f t="shared" si="121"/>
        <v>185760.4241</v>
      </c>
      <c r="T108" s="132">
        <f t="shared" si="122"/>
        <v>2452037.598</v>
      </c>
      <c r="U108" s="124"/>
      <c r="V108" s="124"/>
      <c r="W108" s="124"/>
      <c r="X108" s="124"/>
      <c r="Y108" s="124"/>
      <c r="Z108" s="124"/>
      <c r="AA108" s="124"/>
      <c r="AB108" s="124"/>
      <c r="AC108" s="124"/>
      <c r="AD108" s="124"/>
      <c r="AE108" s="124"/>
      <c r="AF108" s="124"/>
    </row>
    <row r="109">
      <c r="A109" s="124"/>
      <c r="B109" s="130">
        <v>2017.0</v>
      </c>
      <c r="C109" s="131">
        <v>2.9575578E7</v>
      </c>
      <c r="D109" s="133"/>
      <c r="E109" s="133">
        <f t="shared" si="111"/>
        <v>18490651.37</v>
      </c>
      <c r="F109" s="133">
        <f t="shared" si="112"/>
        <v>11084926.63</v>
      </c>
      <c r="G109" s="130">
        <f t="shared" si="113"/>
        <v>310046.6993</v>
      </c>
      <c r="H109" s="132">
        <f t="shared" si="114"/>
        <v>1433965.984</v>
      </c>
      <c r="I109" s="132">
        <f t="shared" si="115"/>
        <v>110849.2663</v>
      </c>
      <c r="J109" s="132">
        <f t="shared" si="116"/>
        <v>1463210.316</v>
      </c>
      <c r="K109" s="124"/>
      <c r="L109" s="130">
        <v>2017.0</v>
      </c>
      <c r="M109" s="155">
        <f t="shared" si="117"/>
        <v>57030742.74</v>
      </c>
      <c r="N109" s="155"/>
      <c r="O109" s="155">
        <f t="shared" si="118"/>
        <v>18878671.26</v>
      </c>
      <c r="P109" s="131">
        <v>7.5909414E7</v>
      </c>
      <c r="Q109" s="130">
        <f t="shared" si="119"/>
        <v>912491.8838</v>
      </c>
      <c r="R109" s="132">
        <f t="shared" si="120"/>
        <v>4220274.963</v>
      </c>
      <c r="S109" s="132">
        <f t="shared" si="121"/>
        <v>188786.7126</v>
      </c>
      <c r="T109" s="132">
        <f t="shared" si="122"/>
        <v>2491984.607</v>
      </c>
      <c r="U109" s="124"/>
      <c r="V109" s="124"/>
      <c r="W109" s="124"/>
      <c r="X109" s="124"/>
      <c r="Y109" s="124"/>
      <c r="Z109" s="124"/>
      <c r="AA109" s="124"/>
      <c r="AB109" s="124"/>
      <c r="AC109" s="124"/>
      <c r="AD109" s="124"/>
      <c r="AE109" s="124"/>
      <c r="AF109" s="124"/>
    </row>
    <row r="110">
      <c r="A110" s="124"/>
      <c r="B110" s="130">
        <v>2018.0</v>
      </c>
      <c r="C110" s="131">
        <v>2.9870697E7</v>
      </c>
      <c r="D110" s="133"/>
      <c r="E110" s="133">
        <f t="shared" si="111"/>
        <v>18675159.76</v>
      </c>
      <c r="F110" s="133">
        <f t="shared" si="112"/>
        <v>11195537.24</v>
      </c>
      <c r="G110" s="130">
        <f t="shared" si="113"/>
        <v>313140.4908</v>
      </c>
      <c r="H110" s="132">
        <f t="shared" si="114"/>
        <v>1448274.77</v>
      </c>
      <c r="I110" s="132">
        <f t="shared" si="115"/>
        <v>111955.3724</v>
      </c>
      <c r="J110" s="132">
        <f t="shared" si="116"/>
        <v>1477810.915</v>
      </c>
      <c r="K110" s="124"/>
      <c r="L110" s="130">
        <v>2018.0</v>
      </c>
      <c r="M110" s="155">
        <f t="shared" si="117"/>
        <v>57941268.75</v>
      </c>
      <c r="N110" s="155"/>
      <c r="O110" s="155">
        <f t="shared" si="118"/>
        <v>19180079.25</v>
      </c>
      <c r="P110" s="131">
        <v>7.7121348E7</v>
      </c>
      <c r="Q110" s="130">
        <f t="shared" si="119"/>
        <v>927060.3</v>
      </c>
      <c r="R110" s="132">
        <f t="shared" si="120"/>
        <v>4287653.888</v>
      </c>
      <c r="S110" s="132">
        <f t="shared" si="121"/>
        <v>191800.7925</v>
      </c>
      <c r="T110" s="132">
        <f t="shared" si="122"/>
        <v>2531770.461</v>
      </c>
      <c r="U110" s="124"/>
      <c r="V110" s="124"/>
      <c r="W110" s="124"/>
      <c r="X110" s="124"/>
      <c r="Y110" s="124"/>
      <c r="Z110" s="124"/>
      <c r="AA110" s="124"/>
      <c r="AB110" s="124"/>
      <c r="AC110" s="124"/>
      <c r="AD110" s="124"/>
      <c r="AE110" s="124"/>
      <c r="AF110" s="124"/>
    </row>
    <row r="111">
      <c r="A111" s="124"/>
      <c r="B111" s="130">
        <v>2019.0</v>
      </c>
      <c r="C111" s="131">
        <v>3.0162799E7</v>
      </c>
      <c r="D111" s="133"/>
      <c r="E111" s="133">
        <f t="shared" si="111"/>
        <v>18857781.93</v>
      </c>
      <c r="F111" s="133">
        <f t="shared" si="112"/>
        <v>11305017.07</v>
      </c>
      <c r="G111" s="130">
        <f t="shared" si="113"/>
        <v>316202.6545</v>
      </c>
      <c r="H111" s="132">
        <f t="shared" si="114"/>
        <v>1462437.277</v>
      </c>
      <c r="I111" s="132">
        <f t="shared" si="115"/>
        <v>113050.1707</v>
      </c>
      <c r="J111" s="132">
        <f t="shared" si="116"/>
        <v>1492262.253</v>
      </c>
      <c r="K111" s="124"/>
      <c r="L111" s="130">
        <v>2019.0</v>
      </c>
      <c r="M111" s="155">
        <f t="shared" si="117"/>
        <v>58847830.16</v>
      </c>
      <c r="N111" s="155"/>
      <c r="O111" s="155">
        <f t="shared" si="118"/>
        <v>19480174.84</v>
      </c>
      <c r="P111" s="131">
        <v>7.8328005E7</v>
      </c>
      <c r="Q111" s="130">
        <f t="shared" si="119"/>
        <v>941565.2825</v>
      </c>
      <c r="R111" s="132">
        <f t="shared" si="120"/>
        <v>4354739.432</v>
      </c>
      <c r="S111" s="132">
        <f t="shared" si="121"/>
        <v>194801.7484</v>
      </c>
      <c r="T111" s="132">
        <f t="shared" si="122"/>
        <v>2571383.079</v>
      </c>
      <c r="U111" s="124"/>
      <c r="V111" s="124"/>
      <c r="W111" s="124"/>
      <c r="X111" s="124"/>
      <c r="Y111" s="124"/>
      <c r="Z111" s="124"/>
      <c r="AA111" s="124"/>
      <c r="AB111" s="124"/>
      <c r="AC111" s="124"/>
      <c r="AD111" s="124"/>
      <c r="AE111" s="124"/>
      <c r="AF111" s="124"/>
    </row>
    <row r="112">
      <c r="A112" s="124"/>
      <c r="B112" s="130">
        <v>2020.0</v>
      </c>
      <c r="C112" s="131">
        <v>3.0451858E7</v>
      </c>
      <c r="D112" s="133"/>
      <c r="E112" s="133">
        <f t="shared" si="111"/>
        <v>19038501.62</v>
      </c>
      <c r="F112" s="133">
        <f t="shared" si="112"/>
        <v>11413356.38</v>
      </c>
      <c r="G112" s="130">
        <f t="shared" si="113"/>
        <v>319232.9178</v>
      </c>
      <c r="H112" s="132">
        <f t="shared" si="114"/>
        <v>1476452.245</v>
      </c>
      <c r="I112" s="132">
        <f t="shared" si="115"/>
        <v>114133.5638</v>
      </c>
      <c r="J112" s="132">
        <f t="shared" si="116"/>
        <v>1506563.042</v>
      </c>
      <c r="K112" s="124"/>
      <c r="L112" s="130">
        <v>2020.0</v>
      </c>
      <c r="M112" s="155">
        <f t="shared" si="117"/>
        <v>59750160.99</v>
      </c>
      <c r="N112" s="155"/>
      <c r="O112" s="155">
        <f t="shared" si="118"/>
        <v>19778870.01</v>
      </c>
      <c r="P112" s="131">
        <v>7.9529031E7</v>
      </c>
      <c r="Q112" s="130">
        <f t="shared" si="119"/>
        <v>956002.5758</v>
      </c>
      <c r="R112" s="132">
        <f t="shared" si="120"/>
        <v>4421511.913</v>
      </c>
      <c r="S112" s="132">
        <f t="shared" si="121"/>
        <v>197788.7001</v>
      </c>
      <c r="T112" s="132">
        <f t="shared" si="122"/>
        <v>2610810.841</v>
      </c>
      <c r="U112" s="124"/>
      <c r="V112" s="124"/>
      <c r="W112" s="124"/>
      <c r="X112" s="124"/>
      <c r="Y112" s="124"/>
      <c r="Z112" s="124"/>
      <c r="AA112" s="124"/>
      <c r="AB112" s="124"/>
      <c r="AC112" s="124"/>
      <c r="AD112" s="124"/>
      <c r="AE112" s="124"/>
      <c r="AF112" s="124"/>
    </row>
    <row r="113">
      <c r="A113" s="124"/>
      <c r="B113" s="134">
        <v>2021.0</v>
      </c>
      <c r="C113" s="135">
        <v>3.0737851E7</v>
      </c>
      <c r="D113" s="138"/>
      <c r="E113" s="133">
        <f t="shared" si="111"/>
        <v>19217304.45</v>
      </c>
      <c r="F113" s="133">
        <f t="shared" si="112"/>
        <v>11520546.55</v>
      </c>
      <c r="G113" s="134">
        <f t="shared" si="113"/>
        <v>322231.0396</v>
      </c>
      <c r="H113" s="132">
        <f t="shared" si="114"/>
        <v>1490318.558</v>
      </c>
      <c r="I113" s="132">
        <f t="shared" si="115"/>
        <v>115205.4655</v>
      </c>
      <c r="J113" s="132">
        <f t="shared" si="116"/>
        <v>1520712.145</v>
      </c>
      <c r="K113" s="124"/>
      <c r="L113" s="134">
        <v>2021.0</v>
      </c>
      <c r="M113" s="155">
        <f t="shared" si="117"/>
        <v>60648004.31</v>
      </c>
      <c r="N113" s="155"/>
      <c r="O113" s="155">
        <f t="shared" si="118"/>
        <v>20076079.69</v>
      </c>
      <c r="P113" s="135">
        <v>8.0724084E7</v>
      </c>
      <c r="Q113" s="134">
        <f t="shared" si="119"/>
        <v>970368.0689</v>
      </c>
      <c r="R113" s="132">
        <f t="shared" si="120"/>
        <v>4487952.319</v>
      </c>
      <c r="S113" s="132">
        <f t="shared" si="121"/>
        <v>200760.7969</v>
      </c>
      <c r="T113" s="132">
        <f t="shared" si="122"/>
        <v>2650042.519</v>
      </c>
      <c r="U113" s="124"/>
      <c r="V113" s="124"/>
      <c r="W113" s="124"/>
      <c r="X113" s="124"/>
      <c r="Y113" s="124"/>
      <c r="Z113" s="124"/>
      <c r="AA113" s="124"/>
      <c r="AB113" s="124"/>
      <c r="AC113" s="124"/>
      <c r="AD113" s="124"/>
      <c r="AE113" s="124"/>
      <c r="AF113" s="124"/>
    </row>
    <row r="114">
      <c r="A114" s="124"/>
      <c r="B114" s="140">
        <v>2022.0</v>
      </c>
      <c r="C114" s="164">
        <v>3.107E7</v>
      </c>
      <c r="D114" s="125"/>
      <c r="E114" s="125">
        <f t="shared" si="111"/>
        <v>19424964</v>
      </c>
      <c r="F114" s="125">
        <f t="shared" si="112"/>
        <v>11645036</v>
      </c>
      <c r="G114" s="124">
        <f t="shared" si="113"/>
        <v>325713.024</v>
      </c>
      <c r="H114" s="124">
        <f t="shared" si="114"/>
        <v>1506422.736</v>
      </c>
      <c r="I114" s="124">
        <f t="shared" si="115"/>
        <v>116450.36</v>
      </c>
      <c r="J114" s="124">
        <f t="shared" si="116"/>
        <v>1537144.752</v>
      </c>
      <c r="K114" s="124"/>
      <c r="L114" s="140">
        <v>2022.0</v>
      </c>
      <c r="M114" s="124">
        <f t="shared" si="117"/>
        <v>60990534</v>
      </c>
      <c r="N114" s="124"/>
      <c r="O114" s="124">
        <f t="shared" si="118"/>
        <v>20189466</v>
      </c>
      <c r="P114" s="164">
        <v>8.118E7</v>
      </c>
      <c r="Q114" s="152">
        <f t="shared" si="119"/>
        <v>975848.544</v>
      </c>
      <c r="R114" s="124">
        <f t="shared" si="120"/>
        <v>4513299.516</v>
      </c>
      <c r="S114" s="124">
        <f t="shared" si="121"/>
        <v>201894.66</v>
      </c>
      <c r="T114" s="124">
        <f t="shared" si="122"/>
        <v>2665009.512</v>
      </c>
      <c r="U114" s="124"/>
      <c r="V114" s="124"/>
      <c r="W114" s="124"/>
      <c r="X114" s="124"/>
      <c r="Y114" s="124"/>
      <c r="Z114" s="124"/>
      <c r="AA114" s="124"/>
      <c r="AB114" s="124"/>
      <c r="AC114" s="124"/>
      <c r="AD114" s="124"/>
      <c r="AE114" s="124"/>
      <c r="AF114" s="124"/>
    </row>
    <row r="115">
      <c r="A115" s="124"/>
      <c r="B115" s="124"/>
      <c r="C115" s="124"/>
      <c r="D115" s="125"/>
      <c r="E115" s="125"/>
      <c r="F115" s="125"/>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c r="AF115" s="124"/>
    </row>
    <row r="116">
      <c r="A116" s="124"/>
      <c r="B116" s="146" t="s">
        <v>115</v>
      </c>
      <c r="C116" s="128" t="s">
        <v>83</v>
      </c>
      <c r="D116" s="129"/>
      <c r="E116" s="129" t="s">
        <v>84</v>
      </c>
      <c r="F116" s="129" t="s">
        <v>85</v>
      </c>
      <c r="G116" s="128" t="s">
        <v>79</v>
      </c>
      <c r="H116" s="124" t="s">
        <v>80</v>
      </c>
      <c r="I116" s="124" t="s">
        <v>81</v>
      </c>
      <c r="J116" s="124" t="s">
        <v>82</v>
      </c>
      <c r="K116" s="124"/>
      <c r="L116" s="146" t="s">
        <v>116</v>
      </c>
      <c r="M116" s="146" t="s">
        <v>84</v>
      </c>
      <c r="N116" s="129"/>
      <c r="O116" s="147" t="s">
        <v>85</v>
      </c>
      <c r="P116" s="147" t="s">
        <v>89</v>
      </c>
      <c r="Q116" s="128" t="s">
        <v>79</v>
      </c>
      <c r="R116" s="124" t="s">
        <v>80</v>
      </c>
      <c r="S116" s="124" t="s">
        <v>81</v>
      </c>
      <c r="T116" s="124" t="s">
        <v>82</v>
      </c>
      <c r="U116" s="124"/>
      <c r="V116" s="124"/>
      <c r="W116" s="124"/>
      <c r="X116" s="124"/>
      <c r="Y116" s="124"/>
      <c r="Z116" s="124"/>
      <c r="AA116" s="124"/>
      <c r="AB116" s="124"/>
      <c r="AC116" s="124"/>
      <c r="AD116" s="124"/>
      <c r="AE116" s="124"/>
      <c r="AF116" s="124"/>
    </row>
    <row r="117">
      <c r="A117" s="124"/>
      <c r="B117" s="130">
        <v>2015.0</v>
      </c>
      <c r="C117" s="131">
        <v>632216.0</v>
      </c>
      <c r="D117" s="133"/>
      <c r="E117" s="133">
        <f t="shared" ref="E117:E124" si="123">74.85*C117/100</f>
        <v>473213.676</v>
      </c>
      <c r="F117" s="133">
        <f t="shared" ref="F117:F124" si="124">25.15*C117/100</f>
        <v>159002.324</v>
      </c>
      <c r="G117" s="130">
        <f t="shared" ref="G117:G124" si="125">74.85*1.6*C117/10000</f>
        <v>7571.418816</v>
      </c>
      <c r="H117" s="132">
        <f t="shared" ref="H117:H124" si="126">74.85*7.4*C117/10000</f>
        <v>35017.81202</v>
      </c>
      <c r="I117" s="132">
        <f t="shared" ref="I117:I124" si="127">25.15*C117/10000</f>
        <v>1590.02324</v>
      </c>
      <c r="J117" s="132">
        <f t="shared" ref="J117:J124" si="128">25.15*C117*13.2/10000</f>
        <v>20988.30677</v>
      </c>
      <c r="K117" s="124"/>
      <c r="L117" s="130">
        <v>2015.0</v>
      </c>
      <c r="M117" s="155">
        <f t="shared" ref="M117:M124" si="129">51.6*P117/100</f>
        <v>39901362.55</v>
      </c>
      <c r="N117" s="155"/>
      <c r="O117" s="155">
        <f t="shared" ref="O117:O124" si="130">48.4*P117/100</f>
        <v>37426859.45</v>
      </c>
      <c r="P117" s="131">
        <v>7.7328222E7</v>
      </c>
      <c r="Q117" s="130">
        <f t="shared" ref="Q117:Q124" si="131">51.6*1.6*P117/10000</f>
        <v>638421.8008</v>
      </c>
      <c r="R117" s="132">
        <f t="shared" ref="R117:R124" si="132">51.6*7.4*P117/10000</f>
        <v>2952700.829</v>
      </c>
      <c r="S117" s="132">
        <f t="shared" ref="S117:S124" si="133">48.4*1*P117/10000</f>
        <v>374268.5945</v>
      </c>
      <c r="T117" s="132">
        <f t="shared" ref="T117:T124" si="134">48.4*13.2*P117/10000</f>
        <v>4940345.447</v>
      </c>
      <c r="U117" s="124"/>
      <c r="V117" s="124"/>
      <c r="W117" s="124"/>
      <c r="X117" s="124"/>
      <c r="Y117" s="124"/>
      <c r="Z117" s="124"/>
      <c r="AA117" s="124"/>
      <c r="AB117" s="124"/>
      <c r="AC117" s="124"/>
      <c r="AD117" s="124"/>
      <c r="AE117" s="124"/>
      <c r="AF117" s="124"/>
    </row>
    <row r="118">
      <c r="A118" s="124"/>
      <c r="B118" s="130">
        <v>2016.0</v>
      </c>
      <c r="C118" s="131">
        <v>637471.0</v>
      </c>
      <c r="D118" s="133"/>
      <c r="E118" s="133">
        <f t="shared" si="123"/>
        <v>477147.0435</v>
      </c>
      <c r="F118" s="133">
        <f t="shared" si="124"/>
        <v>160323.9565</v>
      </c>
      <c r="G118" s="130">
        <f t="shared" si="125"/>
        <v>7634.352696</v>
      </c>
      <c r="H118" s="132">
        <f t="shared" si="126"/>
        <v>35308.88122</v>
      </c>
      <c r="I118" s="132">
        <f t="shared" si="127"/>
        <v>1603.239565</v>
      </c>
      <c r="J118" s="132">
        <f t="shared" si="128"/>
        <v>21162.76226</v>
      </c>
      <c r="K118" s="124"/>
      <c r="L118" s="130">
        <v>2016.0</v>
      </c>
      <c r="M118" s="155">
        <f t="shared" si="129"/>
        <v>40564675.91</v>
      </c>
      <c r="N118" s="155"/>
      <c r="O118" s="155">
        <f t="shared" si="130"/>
        <v>38049037.09</v>
      </c>
      <c r="P118" s="131">
        <v>7.8613713E7</v>
      </c>
      <c r="Q118" s="130">
        <f t="shared" si="131"/>
        <v>649034.8145</v>
      </c>
      <c r="R118" s="132">
        <f t="shared" si="132"/>
        <v>3001786.017</v>
      </c>
      <c r="S118" s="132">
        <f t="shared" si="133"/>
        <v>380490.3709</v>
      </c>
      <c r="T118" s="132">
        <f t="shared" si="134"/>
        <v>5022472.896</v>
      </c>
      <c r="U118" s="124"/>
      <c r="V118" s="124"/>
      <c r="W118" s="124"/>
      <c r="X118" s="124"/>
      <c r="Y118" s="124"/>
      <c r="Z118" s="124"/>
      <c r="AA118" s="124"/>
      <c r="AB118" s="124"/>
      <c r="AC118" s="124"/>
      <c r="AD118" s="124"/>
      <c r="AE118" s="124"/>
      <c r="AF118" s="124"/>
    </row>
    <row r="119">
      <c r="A119" s="124"/>
      <c r="B119" s="130">
        <v>2017.0</v>
      </c>
      <c r="C119" s="131">
        <v>642664.0</v>
      </c>
      <c r="D119" s="133"/>
      <c r="E119" s="133">
        <f t="shared" si="123"/>
        <v>481034.004</v>
      </c>
      <c r="F119" s="133">
        <f t="shared" si="124"/>
        <v>161629.996</v>
      </c>
      <c r="G119" s="130">
        <f t="shared" si="125"/>
        <v>7696.544064</v>
      </c>
      <c r="H119" s="132">
        <f t="shared" si="126"/>
        <v>35596.5163</v>
      </c>
      <c r="I119" s="132">
        <f t="shared" si="127"/>
        <v>1616.29996</v>
      </c>
      <c r="J119" s="132">
        <f t="shared" si="128"/>
        <v>21335.15947</v>
      </c>
      <c r="K119" s="124"/>
      <c r="L119" s="130">
        <v>2017.0</v>
      </c>
      <c r="M119" s="155">
        <f t="shared" si="129"/>
        <v>41225529.49</v>
      </c>
      <c r="N119" s="155"/>
      <c r="O119" s="155">
        <f t="shared" si="130"/>
        <v>38668907.51</v>
      </c>
      <c r="P119" s="131">
        <v>7.9894437E7</v>
      </c>
      <c r="Q119" s="130">
        <f t="shared" si="131"/>
        <v>659608.4719</v>
      </c>
      <c r="R119" s="132">
        <f t="shared" si="132"/>
        <v>3050689.182</v>
      </c>
      <c r="S119" s="132">
        <f t="shared" si="133"/>
        <v>386689.0751</v>
      </c>
      <c r="T119" s="132">
        <f t="shared" si="134"/>
        <v>5104295.791</v>
      </c>
      <c r="U119" s="124"/>
      <c r="V119" s="124"/>
      <c r="W119" s="124"/>
      <c r="X119" s="124"/>
      <c r="Y119" s="124"/>
      <c r="Z119" s="124"/>
      <c r="AA119" s="124"/>
      <c r="AB119" s="124"/>
      <c r="AC119" s="124"/>
      <c r="AD119" s="124"/>
      <c r="AE119" s="124"/>
      <c r="AF119" s="124"/>
    </row>
    <row r="120">
      <c r="A120" s="124"/>
      <c r="B120" s="130">
        <v>2018.0</v>
      </c>
      <c r="C120" s="131">
        <v>647794.0</v>
      </c>
      <c r="D120" s="133"/>
      <c r="E120" s="133">
        <f t="shared" si="123"/>
        <v>484873.809</v>
      </c>
      <c r="F120" s="133">
        <f t="shared" si="124"/>
        <v>162920.191</v>
      </c>
      <c r="G120" s="130">
        <f t="shared" si="125"/>
        <v>7757.980944</v>
      </c>
      <c r="H120" s="132">
        <f t="shared" si="126"/>
        <v>35880.66187</v>
      </c>
      <c r="I120" s="132">
        <f t="shared" si="127"/>
        <v>1629.20191</v>
      </c>
      <c r="J120" s="132">
        <f t="shared" si="128"/>
        <v>21505.46521</v>
      </c>
      <c r="K120" s="124"/>
      <c r="L120" s="130">
        <v>2018.0</v>
      </c>
      <c r="M120" s="155">
        <f t="shared" si="129"/>
        <v>41883716.9</v>
      </c>
      <c r="N120" s="155"/>
      <c r="O120" s="155">
        <f t="shared" si="130"/>
        <v>39286277.1</v>
      </c>
      <c r="P120" s="131">
        <v>8.1169994E7</v>
      </c>
      <c r="Q120" s="130">
        <f t="shared" si="131"/>
        <v>670139.4705</v>
      </c>
      <c r="R120" s="132">
        <f t="shared" si="132"/>
        <v>3099395.051</v>
      </c>
      <c r="S120" s="132">
        <f t="shared" si="133"/>
        <v>392862.771</v>
      </c>
      <c r="T120" s="132">
        <f t="shared" si="134"/>
        <v>5185788.577</v>
      </c>
      <c r="U120" s="124"/>
      <c r="V120" s="124"/>
      <c r="W120" s="124"/>
      <c r="X120" s="124"/>
      <c r="Y120" s="124"/>
      <c r="Z120" s="124"/>
      <c r="AA120" s="124"/>
      <c r="AB120" s="124"/>
      <c r="AC120" s="124"/>
      <c r="AD120" s="124"/>
      <c r="AE120" s="124"/>
      <c r="AF120" s="124"/>
    </row>
    <row r="121">
      <c r="A121" s="124"/>
      <c r="B121" s="130">
        <v>2019.0</v>
      </c>
      <c r="C121" s="131">
        <v>652862.0</v>
      </c>
      <c r="D121" s="133"/>
      <c r="E121" s="133">
        <f t="shared" si="123"/>
        <v>488667.207</v>
      </c>
      <c r="F121" s="133">
        <f t="shared" si="124"/>
        <v>164194.793</v>
      </c>
      <c r="G121" s="130">
        <f t="shared" si="125"/>
        <v>7818.675312</v>
      </c>
      <c r="H121" s="132">
        <f t="shared" si="126"/>
        <v>36161.37332</v>
      </c>
      <c r="I121" s="132">
        <f t="shared" si="127"/>
        <v>1641.94793</v>
      </c>
      <c r="J121" s="132">
        <f t="shared" si="128"/>
        <v>21673.71268</v>
      </c>
      <c r="K121" s="124"/>
      <c r="L121" s="130">
        <v>2019.0</v>
      </c>
      <c r="M121" s="155">
        <f t="shared" si="129"/>
        <v>42539038.45</v>
      </c>
      <c r="N121" s="155"/>
      <c r="O121" s="155">
        <f t="shared" si="130"/>
        <v>39900958.55</v>
      </c>
      <c r="P121" s="131">
        <v>8.2439997E7</v>
      </c>
      <c r="Q121" s="130">
        <f t="shared" si="131"/>
        <v>680624.6152</v>
      </c>
      <c r="R121" s="132">
        <f t="shared" si="132"/>
        <v>3147888.845</v>
      </c>
      <c r="S121" s="132">
        <f t="shared" si="133"/>
        <v>399009.5855</v>
      </c>
      <c r="T121" s="132">
        <f t="shared" si="134"/>
        <v>5266926.528</v>
      </c>
      <c r="U121" s="124"/>
      <c r="V121" s="124"/>
      <c r="W121" s="124"/>
      <c r="X121" s="124"/>
      <c r="Y121" s="124"/>
      <c r="Z121" s="124"/>
      <c r="AA121" s="124"/>
      <c r="AB121" s="124"/>
      <c r="AC121" s="124"/>
      <c r="AD121" s="124"/>
      <c r="AE121" s="124"/>
      <c r="AF121" s="124"/>
    </row>
    <row r="122">
      <c r="A122" s="124"/>
      <c r="B122" s="130">
        <v>2020.0</v>
      </c>
      <c r="C122" s="131">
        <v>657867.0</v>
      </c>
      <c r="D122" s="133"/>
      <c r="E122" s="133">
        <f t="shared" si="123"/>
        <v>492413.4495</v>
      </c>
      <c r="F122" s="133">
        <f t="shared" si="124"/>
        <v>165453.5505</v>
      </c>
      <c r="G122" s="130">
        <f t="shared" si="125"/>
        <v>7878.615192</v>
      </c>
      <c r="H122" s="132">
        <f t="shared" si="126"/>
        <v>36438.59526</v>
      </c>
      <c r="I122" s="132">
        <f t="shared" si="127"/>
        <v>1654.535505</v>
      </c>
      <c r="J122" s="132">
        <f t="shared" si="128"/>
        <v>21839.86867</v>
      </c>
      <c r="K122" s="124"/>
      <c r="L122" s="130">
        <v>2020.0</v>
      </c>
      <c r="M122" s="155">
        <f t="shared" si="129"/>
        <v>43191302.18</v>
      </c>
      <c r="N122" s="155"/>
      <c r="O122" s="155">
        <f t="shared" si="130"/>
        <v>40512771.82</v>
      </c>
      <c r="P122" s="131">
        <v>8.3704074E7</v>
      </c>
      <c r="Q122" s="130">
        <f t="shared" si="131"/>
        <v>691060.8349</v>
      </c>
      <c r="R122" s="132">
        <f t="shared" si="132"/>
        <v>3196156.362</v>
      </c>
      <c r="S122" s="132">
        <f t="shared" si="133"/>
        <v>405127.7182</v>
      </c>
      <c r="T122" s="132">
        <f t="shared" si="134"/>
        <v>5347685.88</v>
      </c>
      <c r="U122" s="124"/>
      <c r="V122" s="124"/>
      <c r="W122" s="124"/>
      <c r="X122" s="124"/>
      <c r="Y122" s="124"/>
      <c r="Z122" s="124"/>
      <c r="AA122" s="124"/>
      <c r="AB122" s="124"/>
      <c r="AC122" s="124"/>
      <c r="AD122" s="124"/>
      <c r="AE122" s="124"/>
      <c r="AF122" s="124"/>
    </row>
    <row r="123">
      <c r="A123" s="124"/>
      <c r="B123" s="134">
        <v>2021.0</v>
      </c>
      <c r="C123" s="135">
        <v>662810.0</v>
      </c>
      <c r="D123" s="138"/>
      <c r="E123" s="133">
        <f t="shared" si="123"/>
        <v>496113.285</v>
      </c>
      <c r="F123" s="133">
        <f t="shared" si="124"/>
        <v>166696.715</v>
      </c>
      <c r="G123" s="134">
        <f t="shared" si="125"/>
        <v>7937.81256</v>
      </c>
      <c r="H123" s="132">
        <f t="shared" si="126"/>
        <v>36712.38309</v>
      </c>
      <c r="I123" s="132">
        <f t="shared" si="127"/>
        <v>1666.96715</v>
      </c>
      <c r="J123" s="132">
        <f t="shared" si="128"/>
        <v>22003.96638</v>
      </c>
      <c r="K123" s="124"/>
      <c r="L123" s="134">
        <v>2021.0</v>
      </c>
      <c r="M123" s="155">
        <f t="shared" si="129"/>
        <v>43840321.31</v>
      </c>
      <c r="N123" s="155"/>
      <c r="O123" s="155">
        <f t="shared" si="130"/>
        <v>41121541.69</v>
      </c>
      <c r="P123" s="135">
        <v>8.4961863E7</v>
      </c>
      <c r="Q123" s="134">
        <f t="shared" si="131"/>
        <v>701445.1409</v>
      </c>
      <c r="R123" s="132">
        <f t="shared" si="132"/>
        <v>3244183.777</v>
      </c>
      <c r="S123" s="132">
        <f t="shared" si="133"/>
        <v>411215.4169</v>
      </c>
      <c r="T123" s="132">
        <f t="shared" si="134"/>
        <v>5428043.503</v>
      </c>
      <c r="U123" s="124"/>
      <c r="V123" s="124"/>
      <c r="W123" s="124"/>
      <c r="X123" s="124"/>
      <c r="Y123" s="124"/>
      <c r="Z123" s="124"/>
      <c r="AA123" s="124"/>
      <c r="AB123" s="124"/>
      <c r="AC123" s="124"/>
      <c r="AD123" s="124"/>
      <c r="AE123" s="124"/>
      <c r="AF123" s="124"/>
    </row>
    <row r="124">
      <c r="A124" s="124"/>
      <c r="B124" s="140">
        <v>2022.0</v>
      </c>
      <c r="C124" s="141">
        <v>677800.0</v>
      </c>
      <c r="D124" s="125"/>
      <c r="E124" s="125">
        <f t="shared" si="123"/>
        <v>507333.3</v>
      </c>
      <c r="F124" s="125">
        <f t="shared" si="124"/>
        <v>170466.7</v>
      </c>
      <c r="G124" s="124">
        <f t="shared" si="125"/>
        <v>8117.3328</v>
      </c>
      <c r="H124" s="124">
        <f t="shared" si="126"/>
        <v>37542.6642</v>
      </c>
      <c r="I124" s="124">
        <f t="shared" si="127"/>
        <v>1704.667</v>
      </c>
      <c r="J124" s="124">
        <f t="shared" si="128"/>
        <v>22501.6044</v>
      </c>
      <c r="K124" s="124"/>
      <c r="L124" s="140">
        <v>2022.0</v>
      </c>
      <c r="M124" s="124">
        <f t="shared" si="129"/>
        <v>44014800</v>
      </c>
      <c r="N124" s="124"/>
      <c r="O124" s="124">
        <f t="shared" si="130"/>
        <v>41285200</v>
      </c>
      <c r="P124" s="152">
        <v>8.53E7</v>
      </c>
      <c r="Q124" s="124">
        <f t="shared" si="131"/>
        <v>704236.8</v>
      </c>
      <c r="R124" s="124">
        <f t="shared" si="132"/>
        <v>3257095.2</v>
      </c>
      <c r="S124" s="124">
        <f t="shared" si="133"/>
        <v>412852</v>
      </c>
      <c r="T124" s="124">
        <f t="shared" si="134"/>
        <v>5449646.4</v>
      </c>
      <c r="U124" s="124"/>
      <c r="V124" s="124"/>
      <c r="W124" s="124"/>
      <c r="X124" s="124"/>
      <c r="Y124" s="124"/>
      <c r="Z124" s="124"/>
      <c r="AA124" s="124"/>
      <c r="AB124" s="124"/>
      <c r="AC124" s="124"/>
      <c r="AD124" s="124"/>
      <c r="AE124" s="124"/>
      <c r="AF124" s="124"/>
    </row>
    <row r="125">
      <c r="A125" s="124"/>
      <c r="B125" s="124"/>
      <c r="C125" s="124"/>
      <c r="D125" s="125"/>
      <c r="E125" s="125"/>
      <c r="F125" s="125"/>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c r="AE125" s="124"/>
      <c r="AF125" s="124"/>
    </row>
    <row r="126">
      <c r="A126" s="124"/>
      <c r="B126" s="124" t="s">
        <v>75</v>
      </c>
      <c r="C126" s="124"/>
      <c r="D126" s="125"/>
      <c r="E126" s="125"/>
      <c r="F126" s="125"/>
      <c r="G126" s="124" t="s">
        <v>76</v>
      </c>
      <c r="H126" s="124"/>
      <c r="I126" s="124"/>
      <c r="J126" s="124"/>
      <c r="K126" s="124"/>
      <c r="L126" s="140" t="s">
        <v>117</v>
      </c>
      <c r="M126" s="124"/>
      <c r="N126" s="124"/>
      <c r="O126" s="124"/>
      <c r="P126" s="124"/>
      <c r="Q126" s="124" t="s">
        <v>76</v>
      </c>
      <c r="R126" s="124"/>
      <c r="S126" s="124"/>
      <c r="T126" s="124"/>
      <c r="U126" s="124"/>
      <c r="V126" s="124"/>
      <c r="W126" s="124"/>
      <c r="X126" s="124"/>
      <c r="Y126" s="124"/>
      <c r="Z126" s="124"/>
      <c r="AA126" s="124"/>
      <c r="AB126" s="124"/>
      <c r="AC126" s="124"/>
      <c r="AD126" s="124"/>
      <c r="AE126" s="124"/>
      <c r="AF126" s="124"/>
    </row>
    <row r="127">
      <c r="A127" s="124"/>
      <c r="B127" s="128"/>
      <c r="C127" s="128" t="s">
        <v>83</v>
      </c>
      <c r="D127" s="129"/>
      <c r="E127" s="129" t="s">
        <v>84</v>
      </c>
      <c r="F127" s="129" t="s">
        <v>85</v>
      </c>
      <c r="G127" s="128" t="s">
        <v>79</v>
      </c>
      <c r="H127" s="124" t="s">
        <v>80</v>
      </c>
      <c r="I127" s="124" t="s">
        <v>81</v>
      </c>
      <c r="J127" s="124" t="s">
        <v>82</v>
      </c>
      <c r="K127" s="124"/>
      <c r="L127" s="128"/>
      <c r="M127" s="128" t="s">
        <v>118</v>
      </c>
      <c r="N127" s="128" t="s">
        <v>84</v>
      </c>
      <c r="O127" s="128" t="s">
        <v>85</v>
      </c>
      <c r="P127" s="128" t="s">
        <v>119</v>
      </c>
      <c r="Q127" s="128" t="s">
        <v>79</v>
      </c>
      <c r="R127" s="124" t="s">
        <v>80</v>
      </c>
      <c r="S127" s="124" t="s">
        <v>81</v>
      </c>
      <c r="T127" s="124" t="s">
        <v>82</v>
      </c>
      <c r="U127" s="124"/>
      <c r="V127" s="124"/>
      <c r="W127" s="124"/>
      <c r="X127" s="124"/>
      <c r="Y127" s="124"/>
      <c r="Z127" s="124"/>
      <c r="AA127" s="124"/>
      <c r="AB127" s="124"/>
      <c r="AC127" s="124"/>
      <c r="AD127" s="124"/>
      <c r="AE127" s="124"/>
      <c r="AF127" s="124"/>
    </row>
    <row r="128">
      <c r="A128" s="124"/>
      <c r="B128" s="130">
        <v>2015.0</v>
      </c>
      <c r="C128" s="131">
        <v>8.7840571E7</v>
      </c>
      <c r="D128" s="133">
        <f t="shared" ref="D128:D135" si="135">58*C128/100</f>
        <v>50947531.18</v>
      </c>
      <c r="E128" s="133">
        <f t="shared" ref="E128:E135" si="136">66.64*D128/100</f>
        <v>33951434.78</v>
      </c>
      <c r="F128" s="133">
        <f t="shared" ref="F128:F135" si="137">33.36*D128/100</f>
        <v>16996096.4</v>
      </c>
      <c r="G128" s="174">
        <v>541266.571</v>
      </c>
      <c r="H128" s="175">
        <v>2503357.892</v>
      </c>
      <c r="I128" s="175">
        <v>169960.964</v>
      </c>
      <c r="J128" s="175">
        <v>2243484.725</v>
      </c>
      <c r="K128" s="124"/>
      <c r="L128" s="130">
        <v>2015.0</v>
      </c>
      <c r="M128" s="155">
        <f t="shared" ref="M128:M135" si="138">42*P128/100</f>
        <v>36893039.82</v>
      </c>
      <c r="N128" s="155">
        <f t="shared" ref="N128:N135" si="139">66.64*M128/100</f>
        <v>24585521.74</v>
      </c>
      <c r="O128" s="155">
        <f t="shared" ref="O128:O135" si="140">33.36*M128/100</f>
        <v>12307518.08</v>
      </c>
      <c r="P128" s="131">
        <v>8.7840571E7</v>
      </c>
      <c r="Q128" s="130">
        <f t="shared" ref="Q128:Q135" si="141">P128*1.6*66.4*42/1000000</f>
        <v>391951.655</v>
      </c>
      <c r="R128" s="132">
        <f t="shared" ref="R128:R135" si="142">P128*7.4*66.4*42/1000000</f>
        <v>1812776.405</v>
      </c>
      <c r="S128" s="132">
        <f t="shared" ref="S128:S135" si="143">P128*33.36*1*42/1000000</f>
        <v>123075.1808</v>
      </c>
      <c r="T128" s="132">
        <f t="shared" ref="T128:T135" si="144">P128*33.36*13.2*42/1000000</f>
        <v>1624592.387</v>
      </c>
      <c r="U128" s="124"/>
      <c r="V128" s="124"/>
      <c r="W128" s="124"/>
      <c r="X128" s="124"/>
      <c r="Y128" s="124"/>
      <c r="Z128" s="124"/>
      <c r="AA128" s="124"/>
      <c r="AB128" s="124"/>
      <c r="AC128" s="124"/>
      <c r="AD128" s="124"/>
      <c r="AE128" s="124"/>
      <c r="AF128" s="124"/>
    </row>
    <row r="129">
      <c r="A129" s="124"/>
      <c r="B129" s="130">
        <v>2016.0</v>
      </c>
      <c r="C129" s="131">
        <v>8.8633668E7</v>
      </c>
      <c r="D129" s="133">
        <f t="shared" si="135"/>
        <v>51407527.44</v>
      </c>
      <c r="E129" s="133">
        <f t="shared" si="136"/>
        <v>34257976.29</v>
      </c>
      <c r="F129" s="133">
        <f t="shared" si="137"/>
        <v>17149551.15</v>
      </c>
      <c r="G129" s="174">
        <v>546153.572</v>
      </c>
      <c r="H129" s="175">
        <v>2525960.268</v>
      </c>
      <c r="I129" s="175">
        <v>171495.512</v>
      </c>
      <c r="J129" s="176">
        <v>2263740.752</v>
      </c>
      <c r="K129" s="124"/>
      <c r="L129" s="130">
        <v>2016.0</v>
      </c>
      <c r="M129" s="155">
        <f t="shared" si="138"/>
        <v>37226140.56</v>
      </c>
      <c r="N129" s="155">
        <f t="shared" si="139"/>
        <v>24807500.07</v>
      </c>
      <c r="O129" s="155">
        <f t="shared" si="140"/>
        <v>12418640.49</v>
      </c>
      <c r="P129" s="131">
        <v>8.8633668E7</v>
      </c>
      <c r="Q129" s="130">
        <f t="shared" si="141"/>
        <v>395490.5173</v>
      </c>
      <c r="R129" s="132">
        <f t="shared" si="142"/>
        <v>1829143.643</v>
      </c>
      <c r="S129" s="132">
        <f t="shared" si="143"/>
        <v>124186.4049</v>
      </c>
      <c r="T129" s="132">
        <f t="shared" si="144"/>
        <v>1639260.545</v>
      </c>
      <c r="U129" s="124"/>
      <c r="V129" s="124"/>
      <c r="W129" s="124"/>
      <c r="X129" s="124"/>
      <c r="Y129" s="124"/>
      <c r="Z129" s="124"/>
      <c r="AA129" s="124"/>
      <c r="AB129" s="124"/>
      <c r="AC129" s="124"/>
      <c r="AD129" s="124"/>
      <c r="AE129" s="124"/>
      <c r="AF129" s="124"/>
    </row>
    <row r="130">
      <c r="A130" s="124"/>
      <c r="B130" s="130">
        <v>2017.0</v>
      </c>
      <c r="C130" s="131">
        <v>8.941792E7</v>
      </c>
      <c r="D130" s="133">
        <f t="shared" si="135"/>
        <v>51862393.6</v>
      </c>
      <c r="E130" s="133">
        <f t="shared" si="136"/>
        <v>34561099.1</v>
      </c>
      <c r="F130" s="133">
        <f t="shared" si="137"/>
        <v>17301294.5</v>
      </c>
      <c r="G130" s="174">
        <v>550986.07</v>
      </c>
      <c r="H130" s="175">
        <v>2548310.572</v>
      </c>
      <c r="I130" s="175">
        <v>173012.945</v>
      </c>
      <c r="J130" s="176">
        <v>2283770.875</v>
      </c>
      <c r="K130" s="124"/>
      <c r="L130" s="130">
        <v>2017.0</v>
      </c>
      <c r="M130" s="155">
        <f t="shared" si="138"/>
        <v>37555526.4</v>
      </c>
      <c r="N130" s="155">
        <f t="shared" si="139"/>
        <v>25027002.79</v>
      </c>
      <c r="O130" s="155">
        <f t="shared" si="140"/>
        <v>12528523.61</v>
      </c>
      <c r="P130" s="131">
        <v>8.941792E7</v>
      </c>
      <c r="Q130" s="130">
        <f t="shared" si="141"/>
        <v>398989.9125</v>
      </c>
      <c r="R130" s="132">
        <f t="shared" si="142"/>
        <v>1845328.345</v>
      </c>
      <c r="S130" s="132">
        <f t="shared" si="143"/>
        <v>125285.2361</v>
      </c>
      <c r="T130" s="132">
        <f t="shared" si="144"/>
        <v>1653765.116</v>
      </c>
      <c r="U130" s="124"/>
      <c r="V130" s="124"/>
      <c r="W130" s="124"/>
      <c r="X130" s="124"/>
      <c r="Y130" s="124"/>
      <c r="Z130" s="124"/>
      <c r="AA130" s="124"/>
      <c r="AB130" s="124"/>
      <c r="AC130" s="124"/>
      <c r="AD130" s="124"/>
      <c r="AE130" s="124"/>
      <c r="AF130" s="124"/>
    </row>
    <row r="131">
      <c r="A131" s="124"/>
      <c r="B131" s="130">
        <v>2018.0</v>
      </c>
      <c r="C131" s="131">
        <v>9.0193287E7</v>
      </c>
      <c r="D131" s="133">
        <f t="shared" si="135"/>
        <v>52312106.46</v>
      </c>
      <c r="E131" s="133">
        <f t="shared" si="136"/>
        <v>34860787.74</v>
      </c>
      <c r="F131" s="133">
        <f t="shared" si="137"/>
        <v>17451318.72</v>
      </c>
      <c r="G131" s="174">
        <v>555763.819</v>
      </c>
      <c r="H131" s="175">
        <v>2570407.663</v>
      </c>
      <c r="I131" s="175">
        <v>174513.187</v>
      </c>
      <c r="J131" s="176">
        <v>2303574.07</v>
      </c>
      <c r="K131" s="124"/>
      <c r="L131" s="130">
        <v>2018.0</v>
      </c>
      <c r="M131" s="155">
        <f t="shared" si="138"/>
        <v>37881180.54</v>
      </c>
      <c r="N131" s="155">
        <f t="shared" si="139"/>
        <v>25244018.71</v>
      </c>
      <c r="O131" s="155">
        <f t="shared" si="140"/>
        <v>12637161.83</v>
      </c>
      <c r="P131" s="131">
        <v>9.0193287E7</v>
      </c>
      <c r="Q131" s="130">
        <f t="shared" si="141"/>
        <v>402449.6621</v>
      </c>
      <c r="R131" s="132">
        <f t="shared" si="142"/>
        <v>1861329.687</v>
      </c>
      <c r="S131" s="132">
        <f t="shared" si="143"/>
        <v>126371.6183</v>
      </c>
      <c r="T131" s="132">
        <f t="shared" si="144"/>
        <v>1668105.361</v>
      </c>
      <c r="U131" s="124"/>
      <c r="V131" s="124"/>
      <c r="W131" s="124"/>
      <c r="X131" s="124"/>
      <c r="Y131" s="124"/>
      <c r="Z131" s="124"/>
      <c r="AA131" s="124"/>
      <c r="AB131" s="124"/>
      <c r="AC131" s="124"/>
      <c r="AD131" s="124"/>
      <c r="AE131" s="124"/>
      <c r="AF131" s="124"/>
    </row>
    <row r="132">
      <c r="A132" s="124"/>
      <c r="B132" s="130">
        <v>2019.0</v>
      </c>
      <c r="C132" s="131">
        <v>9.0959737E7</v>
      </c>
      <c r="D132" s="133">
        <f t="shared" si="135"/>
        <v>52756647.46</v>
      </c>
      <c r="E132" s="133">
        <f t="shared" si="136"/>
        <v>35157029.87</v>
      </c>
      <c r="F132" s="133">
        <f t="shared" si="137"/>
        <v>17599617.59</v>
      </c>
      <c r="G132" s="174">
        <v>560486.623</v>
      </c>
      <c r="H132" s="175">
        <v>2592250.63</v>
      </c>
      <c r="I132" s="175">
        <v>175996.176</v>
      </c>
      <c r="J132" s="176">
        <v>2323149.522</v>
      </c>
      <c r="K132" s="124"/>
      <c r="L132" s="130">
        <v>2019.0</v>
      </c>
      <c r="M132" s="155">
        <f t="shared" si="138"/>
        <v>38203089.54</v>
      </c>
      <c r="N132" s="155">
        <f t="shared" si="139"/>
        <v>25458538.87</v>
      </c>
      <c r="O132" s="155">
        <f t="shared" si="140"/>
        <v>12744550.67</v>
      </c>
      <c r="P132" s="131">
        <v>9.0959737E7</v>
      </c>
      <c r="Q132" s="130">
        <f t="shared" si="141"/>
        <v>405869.6233</v>
      </c>
      <c r="R132" s="132">
        <f t="shared" si="142"/>
        <v>1877147.008</v>
      </c>
      <c r="S132" s="132">
        <f t="shared" si="143"/>
        <v>127445.5067</v>
      </c>
      <c r="T132" s="132">
        <f t="shared" si="144"/>
        <v>1682280.689</v>
      </c>
      <c r="U132" s="124"/>
      <c r="V132" s="124"/>
      <c r="W132" s="124"/>
      <c r="X132" s="124"/>
      <c r="Y132" s="124"/>
      <c r="Z132" s="124"/>
      <c r="AA132" s="124"/>
      <c r="AB132" s="124"/>
      <c r="AC132" s="124"/>
      <c r="AD132" s="124"/>
      <c r="AE132" s="124"/>
      <c r="AF132" s="124"/>
    </row>
    <row r="133">
      <c r="A133" s="124"/>
      <c r="B133" s="130">
        <v>2020.0</v>
      </c>
      <c r="C133" s="131">
        <v>9.171724E7</v>
      </c>
      <c r="D133" s="133">
        <f t="shared" si="135"/>
        <v>53195999.2</v>
      </c>
      <c r="E133" s="133">
        <f t="shared" si="136"/>
        <v>35449813.87</v>
      </c>
      <c r="F133" s="133">
        <f t="shared" si="137"/>
        <v>17746185.33</v>
      </c>
      <c r="G133" s="174">
        <v>565154.296</v>
      </c>
      <c r="H133" s="175">
        <v>2613838.617</v>
      </c>
      <c r="I133" s="175">
        <v>177461.853</v>
      </c>
      <c r="J133" s="176">
        <v>2342496.464</v>
      </c>
      <c r="K133" s="124"/>
      <c r="L133" s="130">
        <v>2020.0</v>
      </c>
      <c r="M133" s="155">
        <f t="shared" si="138"/>
        <v>38521240.8</v>
      </c>
      <c r="N133" s="155">
        <f t="shared" si="139"/>
        <v>25670554.87</v>
      </c>
      <c r="O133" s="155">
        <f t="shared" si="140"/>
        <v>12850685.93</v>
      </c>
      <c r="P133" s="131">
        <v>9.171724E7</v>
      </c>
      <c r="Q133" s="130">
        <f t="shared" si="141"/>
        <v>409249.6623</v>
      </c>
      <c r="R133" s="132">
        <f t="shared" si="142"/>
        <v>1892779.688</v>
      </c>
      <c r="S133" s="132">
        <f t="shared" si="143"/>
        <v>128506.8593</v>
      </c>
      <c r="T133" s="132">
        <f t="shared" si="144"/>
        <v>1696290.543</v>
      </c>
      <c r="U133" s="124"/>
      <c r="V133" s="124"/>
      <c r="W133" s="124"/>
      <c r="X133" s="124"/>
      <c r="Y133" s="124"/>
      <c r="Z133" s="124"/>
      <c r="AA133" s="124"/>
      <c r="AB133" s="124"/>
      <c r="AC133" s="124"/>
      <c r="AD133" s="124"/>
      <c r="AE133" s="124"/>
      <c r="AF133" s="124"/>
    </row>
    <row r="134">
      <c r="A134" s="124"/>
      <c r="B134" s="134">
        <v>2021.0</v>
      </c>
      <c r="C134" s="135">
        <v>9.2465775E7</v>
      </c>
      <c r="D134" s="133">
        <f t="shared" si="135"/>
        <v>53630149.5</v>
      </c>
      <c r="E134" s="133">
        <f t="shared" si="136"/>
        <v>35739131.63</v>
      </c>
      <c r="F134" s="133">
        <f t="shared" si="137"/>
        <v>17891017.87</v>
      </c>
      <c r="G134" s="177">
        <v>569766.708</v>
      </c>
      <c r="H134" s="175">
        <v>2635171.026</v>
      </c>
      <c r="I134" s="175">
        <v>178910.179</v>
      </c>
      <c r="J134" s="176">
        <v>2361614.359</v>
      </c>
      <c r="K134" s="124"/>
      <c r="L134" s="134">
        <v>2021.0</v>
      </c>
      <c r="M134" s="155">
        <f t="shared" si="138"/>
        <v>38835625.5</v>
      </c>
      <c r="N134" s="155">
        <f t="shared" si="139"/>
        <v>25880060.83</v>
      </c>
      <c r="O134" s="155">
        <f t="shared" si="140"/>
        <v>12955564.67</v>
      </c>
      <c r="P134" s="135">
        <v>9.2465775E7</v>
      </c>
      <c r="Q134" s="134">
        <f t="shared" si="141"/>
        <v>412589.6853</v>
      </c>
      <c r="R134" s="132">
        <f t="shared" si="142"/>
        <v>1908227.295</v>
      </c>
      <c r="S134" s="132">
        <f t="shared" si="143"/>
        <v>129555.6467</v>
      </c>
      <c r="T134" s="132">
        <f t="shared" si="144"/>
        <v>1710134.536</v>
      </c>
      <c r="U134" s="124"/>
      <c r="V134" s="124"/>
      <c r="W134" s="124"/>
      <c r="X134" s="124"/>
      <c r="Y134" s="124"/>
      <c r="Z134" s="124"/>
      <c r="AA134" s="124"/>
      <c r="AB134" s="124"/>
      <c r="AC134" s="124"/>
      <c r="AD134" s="124"/>
      <c r="AE134" s="124"/>
      <c r="AF134" s="124"/>
    </row>
    <row r="135">
      <c r="A135" s="124"/>
      <c r="B135" s="140">
        <v>2022.0</v>
      </c>
      <c r="C135" s="178">
        <v>9.382E7</v>
      </c>
      <c r="D135" s="125">
        <f t="shared" si="135"/>
        <v>54415600</v>
      </c>
      <c r="E135" s="125">
        <f t="shared" si="136"/>
        <v>36262555.84</v>
      </c>
      <c r="F135" s="125">
        <f t="shared" si="137"/>
        <v>18153044.16</v>
      </c>
      <c r="G135" s="179">
        <v>578111.334</v>
      </c>
      <c r="H135" s="179">
        <v>2673764.922</v>
      </c>
      <c r="I135" s="175">
        <v>181530.442</v>
      </c>
      <c r="J135" s="176">
        <v>2396201.829</v>
      </c>
      <c r="K135" s="124"/>
      <c r="L135" s="140">
        <v>2022.0</v>
      </c>
      <c r="M135" s="124">
        <f t="shared" si="138"/>
        <v>39404400</v>
      </c>
      <c r="N135" s="124">
        <f t="shared" si="139"/>
        <v>26259092.16</v>
      </c>
      <c r="O135" s="124">
        <f t="shared" si="140"/>
        <v>13145307.84</v>
      </c>
      <c r="P135" s="143">
        <v>9.382E7</v>
      </c>
      <c r="Q135" s="124">
        <f t="shared" si="141"/>
        <v>418632.3456</v>
      </c>
      <c r="R135" s="124">
        <f t="shared" si="142"/>
        <v>1936174.598</v>
      </c>
      <c r="S135" s="124">
        <f t="shared" si="143"/>
        <v>131453.0784</v>
      </c>
      <c r="T135" s="124">
        <f t="shared" si="144"/>
        <v>1735180.635</v>
      </c>
      <c r="U135" s="124"/>
      <c r="V135" s="124"/>
      <c r="W135" s="124"/>
      <c r="X135" s="124"/>
      <c r="Y135" s="124"/>
      <c r="Z135" s="124"/>
      <c r="AA135" s="124"/>
      <c r="AB135" s="124"/>
      <c r="AC135" s="124"/>
      <c r="AD135" s="124"/>
      <c r="AE135" s="124"/>
      <c r="AF135" s="124"/>
    </row>
    <row r="136">
      <c r="A136" s="124"/>
      <c r="B136" s="124"/>
      <c r="C136" s="124"/>
      <c r="D136" s="125"/>
      <c r="E136" s="125"/>
      <c r="F136" s="125"/>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c r="AD136" s="124"/>
      <c r="AE136" s="124"/>
      <c r="AF136" s="124"/>
    </row>
    <row r="137">
      <c r="A137" s="124"/>
      <c r="B137" s="146" t="s">
        <v>120</v>
      </c>
      <c r="C137" s="128" t="s">
        <v>83</v>
      </c>
      <c r="D137" s="129" t="s">
        <v>84</v>
      </c>
      <c r="E137" s="129" t="s">
        <v>85</v>
      </c>
      <c r="F137" s="129"/>
      <c r="G137" s="128" t="s">
        <v>79</v>
      </c>
      <c r="H137" s="124" t="s">
        <v>80</v>
      </c>
      <c r="I137" s="124" t="s">
        <v>81</v>
      </c>
      <c r="J137" s="124" t="s">
        <v>82</v>
      </c>
      <c r="K137" s="124"/>
      <c r="L137" s="146" t="s">
        <v>121</v>
      </c>
      <c r="M137" s="146" t="s">
        <v>84</v>
      </c>
      <c r="N137" s="129"/>
      <c r="O137" s="147" t="s">
        <v>85</v>
      </c>
      <c r="P137" s="147" t="s">
        <v>89</v>
      </c>
      <c r="Q137" s="128" t="s">
        <v>79</v>
      </c>
      <c r="R137" s="124" t="s">
        <v>80</v>
      </c>
      <c r="S137" s="124" t="s">
        <v>81</v>
      </c>
      <c r="T137" s="124" t="s">
        <v>82</v>
      </c>
      <c r="U137" s="124"/>
      <c r="V137" s="124"/>
      <c r="W137" s="124"/>
      <c r="X137" s="124"/>
      <c r="Y137" s="124"/>
      <c r="Z137" s="124"/>
      <c r="AA137" s="124"/>
      <c r="AB137" s="124"/>
      <c r="AC137" s="124"/>
      <c r="AD137" s="124"/>
      <c r="AE137" s="124"/>
      <c r="AF137" s="124"/>
    </row>
    <row r="138">
      <c r="A138" s="124"/>
      <c r="B138" s="130">
        <v>2015.0</v>
      </c>
      <c r="C138" s="131">
        <v>3904023.0</v>
      </c>
      <c r="D138" s="133">
        <f t="shared" ref="D138:D145" si="145">73.83 *C138/100</f>
        <v>2882340.181</v>
      </c>
      <c r="E138" s="133">
        <f t="shared" ref="E138:E145" si="146">26.17*C138/100</f>
        <v>1021682.819</v>
      </c>
      <c r="F138" s="133"/>
      <c r="G138" s="130">
        <f t="shared" ref="G138:G145" si="147">73.83*1.6*C138/10000</f>
        <v>46117.44289</v>
      </c>
      <c r="H138" s="132">
        <f t="shared" ref="H138:H145" si="148">73.83*7.4*C138/10000</f>
        <v>213293.1734</v>
      </c>
      <c r="I138" s="132">
        <f t="shared" ref="I138:I145" si="149">26.17*1*C138/10000</f>
        <v>10216.82819</v>
      </c>
      <c r="J138" s="132">
        <f t="shared" ref="J138:J145" si="150">26.17*C138*13.2/10000</f>
        <v>134862.1321</v>
      </c>
      <c r="K138" s="124"/>
      <c r="L138" s="130">
        <v>2015.0</v>
      </c>
      <c r="M138" s="130">
        <f t="shared" ref="M138:M145" si="151">69.77*P138/100</f>
        <v>7542577.946</v>
      </c>
      <c r="N138" s="130">
        <f t="shared" ref="N138:N145" si="152">30.23*P138/100</f>
        <v>3268054.054</v>
      </c>
      <c r="O138" s="130"/>
      <c r="P138" s="131">
        <v>1.0810632E7</v>
      </c>
      <c r="Q138" s="130">
        <f t="shared" ref="Q138:Q145" si="153">69.77*P138*1.6/10000</f>
        <v>120681.2471</v>
      </c>
      <c r="R138" s="132">
        <f t="shared" ref="R138:R145" si="154">69.77*P138*7.4/10000</f>
        <v>558150.768</v>
      </c>
      <c r="S138" s="132">
        <f t="shared" ref="S138:S145" si="155">30.23*P138/10000</f>
        <v>32680.54054</v>
      </c>
      <c r="T138" s="132">
        <f t="shared" ref="T138:T145" si="156">30.23*13.2*P138/10000</f>
        <v>431383.1351</v>
      </c>
      <c r="U138" s="124"/>
      <c r="V138" s="124"/>
      <c r="W138" s="124"/>
      <c r="X138" s="124"/>
      <c r="Y138" s="124"/>
      <c r="Z138" s="124"/>
      <c r="AA138" s="124"/>
      <c r="AB138" s="124"/>
      <c r="AC138" s="124"/>
      <c r="AD138" s="124"/>
      <c r="AE138" s="124"/>
      <c r="AF138" s="124"/>
    </row>
    <row r="139">
      <c r="A139" s="124"/>
      <c r="B139" s="130">
        <v>2016.0</v>
      </c>
      <c r="C139" s="131">
        <v>3960811.0</v>
      </c>
      <c r="D139" s="133">
        <f t="shared" si="145"/>
        <v>2924266.761</v>
      </c>
      <c r="E139" s="133">
        <f t="shared" si="146"/>
        <v>1036544.239</v>
      </c>
      <c r="F139" s="133"/>
      <c r="G139" s="130">
        <f t="shared" si="147"/>
        <v>46788.26818</v>
      </c>
      <c r="H139" s="132">
        <f t="shared" si="148"/>
        <v>216395.7403</v>
      </c>
      <c r="I139" s="132">
        <f t="shared" si="149"/>
        <v>10365.44239</v>
      </c>
      <c r="J139" s="132">
        <f t="shared" si="150"/>
        <v>136823.8395</v>
      </c>
      <c r="K139" s="124"/>
      <c r="L139" s="130">
        <v>2016.0</v>
      </c>
      <c r="M139" s="130">
        <f t="shared" si="151"/>
        <v>7667965.102</v>
      </c>
      <c r="N139" s="130">
        <f t="shared" si="152"/>
        <v>3322381.898</v>
      </c>
      <c r="O139" s="130"/>
      <c r="P139" s="131">
        <v>1.0990347E7</v>
      </c>
      <c r="Q139" s="130">
        <f t="shared" si="153"/>
        <v>122687.4416</v>
      </c>
      <c r="R139" s="132">
        <f t="shared" si="154"/>
        <v>567429.4175</v>
      </c>
      <c r="S139" s="132">
        <f t="shared" si="155"/>
        <v>33223.81898</v>
      </c>
      <c r="T139" s="132">
        <f t="shared" si="156"/>
        <v>438554.4105</v>
      </c>
      <c r="U139" s="124"/>
      <c r="V139" s="124"/>
      <c r="W139" s="124"/>
      <c r="X139" s="124"/>
      <c r="Y139" s="124"/>
      <c r="Z139" s="124"/>
      <c r="AA139" s="124"/>
      <c r="AB139" s="124"/>
      <c r="AC139" s="124"/>
      <c r="AD139" s="124"/>
      <c r="AE139" s="124"/>
      <c r="AF139" s="124"/>
    </row>
    <row r="140">
      <c r="A140" s="124"/>
      <c r="B140" s="130">
        <v>2017.0</v>
      </c>
      <c r="C140" s="131">
        <v>4017272.0</v>
      </c>
      <c r="D140" s="133">
        <f t="shared" si="145"/>
        <v>2965951.918</v>
      </c>
      <c r="E140" s="133">
        <f t="shared" si="146"/>
        <v>1051320.082</v>
      </c>
      <c r="F140" s="133"/>
      <c r="G140" s="130">
        <f t="shared" si="147"/>
        <v>47455.23068</v>
      </c>
      <c r="H140" s="132">
        <f t="shared" si="148"/>
        <v>219480.4419</v>
      </c>
      <c r="I140" s="132">
        <f t="shared" si="149"/>
        <v>10513.20082</v>
      </c>
      <c r="J140" s="132">
        <f t="shared" si="150"/>
        <v>138774.2509</v>
      </c>
      <c r="K140" s="124"/>
      <c r="L140" s="130">
        <v>2017.0</v>
      </c>
      <c r="M140" s="130">
        <f t="shared" si="151"/>
        <v>7792886.194</v>
      </c>
      <c r="N140" s="130">
        <f t="shared" si="152"/>
        <v>3376507.806</v>
      </c>
      <c r="O140" s="130"/>
      <c r="P140" s="131">
        <v>1.1169394E7</v>
      </c>
      <c r="Q140" s="130">
        <f t="shared" si="153"/>
        <v>124686.1791</v>
      </c>
      <c r="R140" s="132">
        <f t="shared" si="154"/>
        <v>576673.5783</v>
      </c>
      <c r="S140" s="132">
        <f t="shared" si="155"/>
        <v>33765.07806</v>
      </c>
      <c r="T140" s="132">
        <f t="shared" si="156"/>
        <v>445699.0304</v>
      </c>
      <c r="U140" s="124"/>
      <c r="V140" s="124"/>
      <c r="W140" s="124"/>
      <c r="X140" s="124"/>
      <c r="Y140" s="124"/>
      <c r="Z140" s="124"/>
      <c r="AA140" s="124"/>
      <c r="AB140" s="124"/>
      <c r="AC140" s="124"/>
      <c r="AD140" s="124"/>
      <c r="AE140" s="124"/>
      <c r="AF140" s="124"/>
    </row>
    <row r="141">
      <c r="A141" s="124"/>
      <c r="B141" s="130">
        <v>2018.0</v>
      </c>
      <c r="C141" s="131">
        <v>4073392.0</v>
      </c>
      <c r="D141" s="133">
        <f t="shared" si="145"/>
        <v>3007385.314</v>
      </c>
      <c r="E141" s="133">
        <f t="shared" si="146"/>
        <v>1066006.686</v>
      </c>
      <c r="F141" s="133"/>
      <c r="G141" s="130">
        <f t="shared" si="147"/>
        <v>48118.16502</v>
      </c>
      <c r="H141" s="132">
        <f t="shared" si="148"/>
        <v>222546.5132</v>
      </c>
      <c r="I141" s="132">
        <f t="shared" si="149"/>
        <v>10660.06686</v>
      </c>
      <c r="J141" s="132">
        <f t="shared" si="150"/>
        <v>140712.8826</v>
      </c>
      <c r="K141" s="124"/>
      <c r="L141" s="130">
        <v>2018.0</v>
      </c>
      <c r="M141" s="130">
        <f t="shared" si="151"/>
        <v>7917303.546</v>
      </c>
      <c r="N141" s="130">
        <f t="shared" si="152"/>
        <v>3430415.454</v>
      </c>
      <c r="O141" s="130"/>
      <c r="P141" s="131">
        <v>1.1347719E7</v>
      </c>
      <c r="Q141" s="130">
        <f t="shared" si="153"/>
        <v>126676.8567</v>
      </c>
      <c r="R141" s="132">
        <f t="shared" si="154"/>
        <v>585880.4624</v>
      </c>
      <c r="S141" s="132">
        <f t="shared" si="155"/>
        <v>34304.15454</v>
      </c>
      <c r="T141" s="132">
        <f t="shared" si="156"/>
        <v>452814.8399</v>
      </c>
      <c r="U141" s="124"/>
      <c r="V141" s="124"/>
      <c r="W141" s="124"/>
      <c r="X141" s="124"/>
      <c r="Y141" s="124"/>
      <c r="Z141" s="124"/>
      <c r="AA141" s="124"/>
      <c r="AB141" s="124"/>
      <c r="AC141" s="124"/>
      <c r="AD141" s="124"/>
      <c r="AE141" s="124"/>
      <c r="AF141" s="124"/>
    </row>
    <row r="142">
      <c r="A142" s="124"/>
      <c r="B142" s="130">
        <v>2019.0</v>
      </c>
      <c r="C142" s="131">
        <v>4129159.0</v>
      </c>
      <c r="D142" s="133">
        <f t="shared" si="145"/>
        <v>3048558.09</v>
      </c>
      <c r="E142" s="133">
        <f t="shared" si="146"/>
        <v>1080600.91</v>
      </c>
      <c r="F142" s="133"/>
      <c r="G142" s="130">
        <f t="shared" si="147"/>
        <v>48776.92944</v>
      </c>
      <c r="H142" s="132">
        <f t="shared" si="148"/>
        <v>225593.2986</v>
      </c>
      <c r="I142" s="132">
        <f t="shared" si="149"/>
        <v>10806.0091</v>
      </c>
      <c r="J142" s="132">
        <f t="shared" si="150"/>
        <v>142639.3202</v>
      </c>
      <c r="K142" s="124"/>
      <c r="L142" s="130">
        <v>2019.0</v>
      </c>
      <c r="M142" s="130">
        <f t="shared" si="151"/>
        <v>8041179.484</v>
      </c>
      <c r="N142" s="130">
        <f t="shared" si="152"/>
        <v>3484088.516</v>
      </c>
      <c r="O142" s="130"/>
      <c r="P142" s="131">
        <v>1.1525268E7</v>
      </c>
      <c r="Q142" s="130">
        <f t="shared" si="153"/>
        <v>128658.8717</v>
      </c>
      <c r="R142" s="132">
        <f t="shared" si="154"/>
        <v>595047.2818</v>
      </c>
      <c r="S142" s="132">
        <f t="shared" si="155"/>
        <v>34840.88516</v>
      </c>
      <c r="T142" s="132">
        <f t="shared" si="156"/>
        <v>459899.6842</v>
      </c>
      <c r="U142" s="124"/>
      <c r="V142" s="124"/>
      <c r="W142" s="124"/>
      <c r="X142" s="124"/>
      <c r="Y142" s="124"/>
      <c r="Z142" s="124"/>
      <c r="AA142" s="124"/>
      <c r="AB142" s="124"/>
      <c r="AC142" s="124"/>
      <c r="AD142" s="124"/>
      <c r="AE142" s="124"/>
      <c r="AF142" s="124"/>
    </row>
    <row r="143">
      <c r="A143" s="124"/>
      <c r="B143" s="130">
        <v>2020.0</v>
      </c>
      <c r="C143" s="131">
        <v>4184558.0</v>
      </c>
      <c r="D143" s="133">
        <f t="shared" si="145"/>
        <v>3089459.171</v>
      </c>
      <c r="E143" s="133">
        <f t="shared" si="146"/>
        <v>1095098.829</v>
      </c>
      <c r="F143" s="133"/>
      <c r="G143" s="130">
        <f t="shared" si="147"/>
        <v>49431.34674</v>
      </c>
      <c r="H143" s="132">
        <f t="shared" si="148"/>
        <v>228619.9787</v>
      </c>
      <c r="I143" s="132">
        <f t="shared" si="149"/>
        <v>10950.98829</v>
      </c>
      <c r="J143" s="132">
        <f t="shared" si="150"/>
        <v>144553.0454</v>
      </c>
      <c r="K143" s="124"/>
      <c r="L143" s="130">
        <v>2020.0</v>
      </c>
      <c r="M143" s="130">
        <f t="shared" si="151"/>
        <v>8164477.725</v>
      </c>
      <c r="N143" s="130">
        <f t="shared" si="152"/>
        <v>3537511.275</v>
      </c>
      <c r="O143" s="130"/>
      <c r="P143" s="131">
        <v>1.1701989E7</v>
      </c>
      <c r="Q143" s="130">
        <f t="shared" si="153"/>
        <v>130631.6436</v>
      </c>
      <c r="R143" s="132">
        <f t="shared" si="154"/>
        <v>604171.3517</v>
      </c>
      <c r="S143" s="132">
        <f t="shared" si="155"/>
        <v>35375.11275</v>
      </c>
      <c r="T143" s="132">
        <f t="shared" si="156"/>
        <v>466951.4883</v>
      </c>
      <c r="U143" s="124"/>
      <c r="V143" s="124"/>
      <c r="W143" s="124"/>
      <c r="X143" s="124"/>
      <c r="Y143" s="124"/>
      <c r="Z143" s="124"/>
      <c r="AA143" s="124"/>
      <c r="AB143" s="124"/>
      <c r="AC143" s="124"/>
      <c r="AD143" s="124"/>
      <c r="AE143" s="124"/>
      <c r="AF143" s="124"/>
    </row>
    <row r="144">
      <c r="A144" s="124"/>
      <c r="B144" s="134">
        <v>2021.0</v>
      </c>
      <c r="C144" s="135">
        <v>4239578.0</v>
      </c>
      <c r="D144" s="133">
        <f t="shared" si="145"/>
        <v>3130080.437</v>
      </c>
      <c r="E144" s="133">
        <f t="shared" si="146"/>
        <v>1109497.563</v>
      </c>
      <c r="F144" s="139"/>
      <c r="G144" s="134">
        <f t="shared" si="147"/>
        <v>50081.287</v>
      </c>
      <c r="H144" s="132">
        <f t="shared" si="148"/>
        <v>231625.9524</v>
      </c>
      <c r="I144" s="132">
        <f t="shared" si="149"/>
        <v>11094.97563</v>
      </c>
      <c r="J144" s="132">
        <f t="shared" si="150"/>
        <v>146453.6783</v>
      </c>
      <c r="K144" s="124"/>
      <c r="L144" s="134">
        <v>2021.0</v>
      </c>
      <c r="M144" s="130">
        <f t="shared" si="151"/>
        <v>8287161.991</v>
      </c>
      <c r="N144" s="130">
        <f t="shared" si="152"/>
        <v>3590668.009</v>
      </c>
      <c r="O144" s="134"/>
      <c r="P144" s="135">
        <v>1.187783E7</v>
      </c>
      <c r="Q144" s="134">
        <f t="shared" si="153"/>
        <v>132594.5919</v>
      </c>
      <c r="R144" s="132">
        <f t="shared" si="154"/>
        <v>613249.9873</v>
      </c>
      <c r="S144" s="132">
        <f t="shared" si="155"/>
        <v>35906.68009</v>
      </c>
      <c r="T144" s="132">
        <f t="shared" si="156"/>
        <v>473968.1772</v>
      </c>
      <c r="U144" s="124"/>
      <c r="V144" s="124"/>
      <c r="W144" s="124"/>
      <c r="X144" s="124"/>
      <c r="Y144" s="124"/>
      <c r="Z144" s="124"/>
      <c r="AA144" s="124"/>
      <c r="AB144" s="124"/>
      <c r="AC144" s="124"/>
      <c r="AD144" s="124"/>
      <c r="AE144" s="124"/>
      <c r="AF144" s="124"/>
    </row>
    <row r="145">
      <c r="A145" s="124"/>
      <c r="B145" s="151">
        <v>2022.0</v>
      </c>
      <c r="C145" s="180">
        <v>4250000.0</v>
      </c>
      <c r="D145" s="125">
        <f t="shared" si="145"/>
        <v>3137775</v>
      </c>
      <c r="E145" s="125">
        <f t="shared" si="146"/>
        <v>1112225</v>
      </c>
      <c r="F145" s="125"/>
      <c r="G145" s="124">
        <f t="shared" si="147"/>
        <v>50204.4</v>
      </c>
      <c r="H145" s="124">
        <f t="shared" si="148"/>
        <v>232195.35</v>
      </c>
      <c r="I145" s="124">
        <f t="shared" si="149"/>
        <v>11122.25</v>
      </c>
      <c r="J145" s="124">
        <f t="shared" si="150"/>
        <v>146813.7</v>
      </c>
      <c r="K145" s="124"/>
      <c r="L145" s="140">
        <v>2022.0</v>
      </c>
      <c r="M145" s="165">
        <f t="shared" si="151"/>
        <v>8393331</v>
      </c>
      <c r="N145" s="124">
        <f t="shared" si="152"/>
        <v>3636669</v>
      </c>
      <c r="O145" s="124"/>
      <c r="P145" s="152">
        <v>1.203E7</v>
      </c>
      <c r="Q145" s="124">
        <f t="shared" si="153"/>
        <v>134293.296</v>
      </c>
      <c r="R145" s="124">
        <f t="shared" si="154"/>
        <v>621106.494</v>
      </c>
      <c r="S145" s="124">
        <f t="shared" si="155"/>
        <v>36366.69</v>
      </c>
      <c r="T145" s="124">
        <f t="shared" si="156"/>
        <v>480040.308</v>
      </c>
      <c r="U145" s="124"/>
      <c r="V145" s="124"/>
      <c r="W145" s="124"/>
      <c r="X145" s="124"/>
      <c r="Y145" s="124"/>
      <c r="Z145" s="124"/>
      <c r="AA145" s="124"/>
      <c r="AB145" s="124"/>
      <c r="AC145" s="124"/>
      <c r="AD145" s="124"/>
      <c r="AE145" s="124"/>
      <c r="AF145" s="124"/>
    </row>
    <row r="146">
      <c r="A146" s="124"/>
      <c r="B146" s="124"/>
      <c r="C146" s="124"/>
      <c r="D146" s="125"/>
      <c r="E146" s="125"/>
      <c r="F146" s="125"/>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c r="AE146" s="124"/>
      <c r="AF146" s="124"/>
    </row>
    <row r="147">
      <c r="A147" s="124"/>
      <c r="B147" s="146" t="s">
        <v>122</v>
      </c>
      <c r="C147" s="128" t="s">
        <v>83</v>
      </c>
      <c r="D147" s="129" t="s">
        <v>84</v>
      </c>
      <c r="E147" s="129" t="s">
        <v>85</v>
      </c>
      <c r="F147" s="129"/>
      <c r="G147" s="128" t="s">
        <v>79</v>
      </c>
      <c r="H147" s="124" t="s">
        <v>80</v>
      </c>
      <c r="I147" s="124" t="s">
        <v>81</v>
      </c>
      <c r="J147" s="124" t="s">
        <v>82</v>
      </c>
      <c r="K147" s="124"/>
      <c r="L147" s="146" t="s">
        <v>123</v>
      </c>
      <c r="M147" s="128" t="s">
        <v>84</v>
      </c>
      <c r="N147" s="128" t="s">
        <v>85</v>
      </c>
      <c r="O147" s="128"/>
      <c r="P147" s="128" t="s">
        <v>83</v>
      </c>
      <c r="Q147" s="128" t="s">
        <v>79</v>
      </c>
      <c r="R147" s="124" t="s">
        <v>80</v>
      </c>
      <c r="S147" s="124" t="s">
        <v>81</v>
      </c>
      <c r="T147" s="124" t="s">
        <v>82</v>
      </c>
      <c r="U147" s="124"/>
      <c r="V147" s="124"/>
      <c r="W147" s="124"/>
      <c r="X147" s="124"/>
      <c r="Y147" s="124"/>
      <c r="Z147" s="124"/>
      <c r="AA147" s="124"/>
      <c r="AB147" s="124"/>
      <c r="AC147" s="124"/>
      <c r="AD147" s="124"/>
      <c r="AE147" s="124"/>
      <c r="AF147" s="124"/>
    </row>
    <row r="148">
      <c r="A148" s="124"/>
      <c r="B148" s="130">
        <v>2015.0</v>
      </c>
      <c r="C148" s="131">
        <v>2.14032922E8</v>
      </c>
      <c r="D148" s="133">
        <f t="shared" ref="D148:D155" si="157">77.73*C148/100</f>
        <v>166367790.3</v>
      </c>
      <c r="E148" s="133">
        <f t="shared" ref="E148:E155" si="158">22.27*C148/100</f>
        <v>47665131.73</v>
      </c>
      <c r="F148" s="133"/>
      <c r="G148" s="130">
        <f t="shared" ref="G148:G155" si="159">77.73*C148*1.6/10000</f>
        <v>2661884.644</v>
      </c>
      <c r="H148" s="132">
        <f t="shared" ref="H148:H155" si="160">77.76*7.4*C148/10000</f>
        <v>12315968.01</v>
      </c>
      <c r="I148" s="132">
        <f t="shared" ref="I148:I155" si="161">22.27*C148/10000</f>
        <v>476651.3173</v>
      </c>
      <c r="J148" s="132">
        <f t="shared" ref="J148:J155" si="162">22.27*13.2*C148/10000</f>
        <v>6291797.388</v>
      </c>
      <c r="K148" s="124"/>
      <c r="L148" s="130">
        <v>2015.0</v>
      </c>
      <c r="M148" s="155">
        <f t="shared" ref="M148:M155" si="163">68.13*P148/100</f>
        <v>65155646.55</v>
      </c>
      <c r="N148" s="155">
        <f t="shared" ref="N148:N155" si="164">31.87*P148/100</f>
        <v>30478650.45</v>
      </c>
      <c r="O148" s="130"/>
      <c r="P148" s="131">
        <v>9.5634297E7</v>
      </c>
      <c r="Q148" s="130">
        <f t="shared" ref="Q148:Q155" si="165">68.13*1.6*P148/10000</f>
        <v>1042490.345</v>
      </c>
      <c r="R148" s="132">
        <f t="shared" ref="R148:R155" si="166">68.13*7.4*P148/10000</f>
        <v>4821517.844</v>
      </c>
      <c r="S148" s="132">
        <f t="shared" ref="S148:S155" si="167">31.87*1*P148/10000</f>
        <v>304786.5045</v>
      </c>
      <c r="T148" s="132">
        <f t="shared" ref="T148:T155" si="168">31.87*13.2*P148/10000</f>
        <v>4023181.86</v>
      </c>
      <c r="U148" s="124"/>
      <c r="V148" s="124"/>
      <c r="W148" s="124"/>
      <c r="X148" s="124"/>
      <c r="Y148" s="124"/>
      <c r="Z148" s="124"/>
      <c r="AA148" s="124"/>
      <c r="AB148" s="124"/>
      <c r="AC148" s="124"/>
      <c r="AD148" s="124"/>
      <c r="AE148" s="124"/>
      <c r="AF148" s="124"/>
    </row>
    <row r="149">
      <c r="A149" s="124"/>
      <c r="B149" s="130">
        <v>2016.0</v>
      </c>
      <c r="C149" s="131">
        <v>2.17559836E8</v>
      </c>
      <c r="D149" s="133">
        <f t="shared" si="157"/>
        <v>169109260.5</v>
      </c>
      <c r="E149" s="133">
        <f t="shared" si="158"/>
        <v>48450575.48</v>
      </c>
      <c r="F149" s="133"/>
      <c r="G149" s="130">
        <f t="shared" si="159"/>
        <v>2705748.168</v>
      </c>
      <c r="H149" s="132">
        <f t="shared" si="160"/>
        <v>12518915.11</v>
      </c>
      <c r="I149" s="132">
        <f t="shared" si="161"/>
        <v>484505.7548</v>
      </c>
      <c r="J149" s="132">
        <f t="shared" si="162"/>
        <v>6395475.963</v>
      </c>
      <c r="K149" s="124"/>
      <c r="L149" s="130">
        <v>2016.0</v>
      </c>
      <c r="M149" s="155">
        <f t="shared" si="163"/>
        <v>65882025.44</v>
      </c>
      <c r="N149" s="155">
        <f t="shared" si="164"/>
        <v>30818437.56</v>
      </c>
      <c r="O149" s="130"/>
      <c r="P149" s="131">
        <v>9.6700463E7</v>
      </c>
      <c r="Q149" s="130">
        <f t="shared" si="165"/>
        <v>1054112.407</v>
      </c>
      <c r="R149" s="132">
        <f t="shared" si="166"/>
        <v>4875269.883</v>
      </c>
      <c r="S149" s="132">
        <f t="shared" si="167"/>
        <v>308184.3756</v>
      </c>
      <c r="T149" s="132">
        <f t="shared" si="168"/>
        <v>4068033.758</v>
      </c>
      <c r="U149" s="124"/>
      <c r="V149" s="124"/>
      <c r="W149" s="124"/>
      <c r="X149" s="124"/>
      <c r="Y149" s="124"/>
      <c r="Z149" s="124"/>
      <c r="AA149" s="124"/>
      <c r="AB149" s="124"/>
      <c r="AC149" s="124"/>
      <c r="AD149" s="124"/>
      <c r="AE149" s="124"/>
      <c r="AF149" s="124"/>
    </row>
    <row r="150">
      <c r="A150" s="124"/>
      <c r="B150" s="130">
        <v>2017.0</v>
      </c>
      <c r="C150" s="131">
        <v>2.21073168E8</v>
      </c>
      <c r="D150" s="133">
        <f t="shared" si="157"/>
        <v>171840173.5</v>
      </c>
      <c r="E150" s="133">
        <f t="shared" si="158"/>
        <v>49232994.51</v>
      </c>
      <c r="F150" s="133"/>
      <c r="G150" s="130">
        <f t="shared" si="159"/>
        <v>2749442.776</v>
      </c>
      <c r="H150" s="132">
        <f t="shared" si="160"/>
        <v>12721080.66</v>
      </c>
      <c r="I150" s="132">
        <f t="shared" si="161"/>
        <v>492329.9451</v>
      </c>
      <c r="J150" s="132">
        <f t="shared" si="162"/>
        <v>6498755.276</v>
      </c>
      <c r="K150" s="124"/>
      <c r="L150" s="130">
        <v>2017.0</v>
      </c>
      <c r="M150" s="155">
        <f t="shared" si="163"/>
        <v>66601812.08</v>
      </c>
      <c r="N150" s="155">
        <f t="shared" si="164"/>
        <v>31155140.92</v>
      </c>
      <c r="O150" s="130"/>
      <c r="P150" s="131">
        <v>9.7756953E7</v>
      </c>
      <c r="Q150" s="130">
        <f t="shared" si="165"/>
        <v>1065628.993</v>
      </c>
      <c r="R150" s="132">
        <f t="shared" si="166"/>
        <v>4928534.094</v>
      </c>
      <c r="S150" s="132">
        <f t="shared" si="167"/>
        <v>311551.4092</v>
      </c>
      <c r="T150" s="132">
        <f t="shared" si="168"/>
        <v>4112478.602</v>
      </c>
      <c r="U150" s="124"/>
      <c r="V150" s="124"/>
      <c r="W150" s="124"/>
      <c r="X150" s="124"/>
      <c r="Y150" s="124"/>
      <c r="Z150" s="124"/>
      <c r="AA150" s="124"/>
      <c r="AB150" s="124"/>
      <c r="AC150" s="124"/>
      <c r="AD150" s="124"/>
      <c r="AE150" s="124"/>
      <c r="AF150" s="124"/>
    </row>
    <row r="151">
      <c r="A151" s="124"/>
      <c r="B151" s="130">
        <v>2018.0</v>
      </c>
      <c r="C151" s="131">
        <v>2.24571834E8</v>
      </c>
      <c r="D151" s="133">
        <f t="shared" si="157"/>
        <v>174559686.6</v>
      </c>
      <c r="E151" s="133">
        <f t="shared" si="158"/>
        <v>50012147.43</v>
      </c>
      <c r="F151" s="133"/>
      <c r="G151" s="130">
        <f t="shared" si="159"/>
        <v>2792954.985</v>
      </c>
      <c r="H151" s="132">
        <f t="shared" si="160"/>
        <v>12922402.3</v>
      </c>
      <c r="I151" s="132">
        <f t="shared" si="161"/>
        <v>500121.4743</v>
      </c>
      <c r="J151" s="132">
        <f t="shared" si="162"/>
        <v>6601603.461</v>
      </c>
      <c r="K151" s="124"/>
      <c r="L151" s="130">
        <v>2018.0</v>
      </c>
      <c r="M151" s="155">
        <f t="shared" si="163"/>
        <v>67314909.71</v>
      </c>
      <c r="N151" s="155">
        <f t="shared" si="164"/>
        <v>31488715.29</v>
      </c>
      <c r="O151" s="130"/>
      <c r="P151" s="131">
        <v>9.8803625E7</v>
      </c>
      <c r="Q151" s="130">
        <f t="shared" si="165"/>
        <v>1077038.555</v>
      </c>
      <c r="R151" s="132">
        <f t="shared" si="166"/>
        <v>4981303.319</v>
      </c>
      <c r="S151" s="132">
        <f t="shared" si="167"/>
        <v>314887.1529</v>
      </c>
      <c r="T151" s="132">
        <f t="shared" si="168"/>
        <v>4156510.418</v>
      </c>
      <c r="U151" s="124"/>
      <c r="V151" s="124"/>
      <c r="W151" s="124"/>
      <c r="X151" s="124"/>
      <c r="Y151" s="124"/>
      <c r="Z151" s="124"/>
      <c r="AA151" s="124"/>
      <c r="AB151" s="124"/>
      <c r="AC151" s="124"/>
      <c r="AD151" s="124"/>
      <c r="AE151" s="124"/>
      <c r="AF151" s="124"/>
    </row>
    <row r="152">
      <c r="A152" s="124"/>
      <c r="B152" s="130">
        <v>2019.0</v>
      </c>
      <c r="C152" s="131">
        <v>2.28054788E8</v>
      </c>
      <c r="D152" s="133">
        <f t="shared" si="157"/>
        <v>177266986.7</v>
      </c>
      <c r="E152" s="133">
        <f t="shared" si="158"/>
        <v>50787801.29</v>
      </c>
      <c r="F152" s="133"/>
      <c r="G152" s="130">
        <f t="shared" si="159"/>
        <v>2836271.787</v>
      </c>
      <c r="H152" s="132">
        <f t="shared" si="160"/>
        <v>13122819.83</v>
      </c>
      <c r="I152" s="132">
        <f t="shared" si="161"/>
        <v>507878.0129</v>
      </c>
      <c r="J152" s="132">
        <f t="shared" si="162"/>
        <v>6703989.77</v>
      </c>
      <c r="K152" s="124"/>
      <c r="L152" s="130">
        <v>2019.0</v>
      </c>
      <c r="M152" s="155">
        <f t="shared" si="163"/>
        <v>68021227.73</v>
      </c>
      <c r="N152" s="155">
        <f t="shared" si="164"/>
        <v>31819118.27</v>
      </c>
      <c r="O152" s="130"/>
      <c r="P152" s="131">
        <v>9.9840346E7</v>
      </c>
      <c r="Q152" s="130">
        <f t="shared" si="165"/>
        <v>1088339.644</v>
      </c>
      <c r="R152" s="132">
        <f t="shared" si="166"/>
        <v>5033570.852</v>
      </c>
      <c r="S152" s="132">
        <f t="shared" si="167"/>
        <v>318191.1827</v>
      </c>
      <c r="T152" s="132">
        <f t="shared" si="168"/>
        <v>4200123.612</v>
      </c>
      <c r="U152" s="124"/>
      <c r="V152" s="124"/>
      <c r="W152" s="124"/>
      <c r="X152" s="124"/>
      <c r="Y152" s="124"/>
      <c r="Z152" s="124"/>
      <c r="AA152" s="124"/>
      <c r="AB152" s="124"/>
      <c r="AC152" s="124"/>
      <c r="AD152" s="124"/>
      <c r="AE152" s="124"/>
      <c r="AF152" s="124"/>
    </row>
    <row r="153">
      <c r="A153" s="124"/>
      <c r="B153" s="130">
        <v>2020.0</v>
      </c>
      <c r="C153" s="131">
        <v>2.31521022E8</v>
      </c>
      <c r="D153" s="133">
        <f t="shared" si="157"/>
        <v>179961290.4</v>
      </c>
      <c r="E153" s="133">
        <f t="shared" si="158"/>
        <v>51559731.6</v>
      </c>
      <c r="F153" s="133"/>
      <c r="G153" s="130">
        <f t="shared" si="159"/>
        <v>2879380.646</v>
      </c>
      <c r="H153" s="132">
        <f t="shared" si="160"/>
        <v>13322275.26</v>
      </c>
      <c r="I153" s="132">
        <f t="shared" si="161"/>
        <v>515597.316</v>
      </c>
      <c r="J153" s="132">
        <f t="shared" si="162"/>
        <v>6805884.571</v>
      </c>
      <c r="K153" s="124"/>
      <c r="L153" s="130">
        <v>2020.0</v>
      </c>
      <c r="M153" s="155">
        <f t="shared" si="163"/>
        <v>68720682.33</v>
      </c>
      <c r="N153" s="155">
        <f t="shared" si="164"/>
        <v>32146310.67</v>
      </c>
      <c r="O153" s="130"/>
      <c r="P153" s="131">
        <v>1.00866993E8</v>
      </c>
      <c r="Q153" s="130">
        <f t="shared" si="165"/>
        <v>1099530.917</v>
      </c>
      <c r="R153" s="132">
        <f t="shared" si="166"/>
        <v>5085330.492</v>
      </c>
      <c r="S153" s="132">
        <f t="shared" si="167"/>
        <v>321463.1067</v>
      </c>
      <c r="T153" s="132">
        <f t="shared" si="168"/>
        <v>4243313.008</v>
      </c>
      <c r="U153" s="124"/>
      <c r="V153" s="124"/>
      <c r="W153" s="124"/>
      <c r="X153" s="124"/>
      <c r="Y153" s="124"/>
      <c r="Z153" s="124"/>
      <c r="AA153" s="124"/>
      <c r="AB153" s="124"/>
      <c r="AC153" s="124"/>
      <c r="AD153" s="124"/>
      <c r="AE153" s="124"/>
      <c r="AF153" s="124"/>
    </row>
    <row r="154">
      <c r="A154" s="124"/>
      <c r="B154" s="134">
        <v>2021.0</v>
      </c>
      <c r="C154" s="135">
        <v>2.34969561E8</v>
      </c>
      <c r="D154" s="133">
        <f t="shared" si="157"/>
        <v>182641839.8</v>
      </c>
      <c r="E154" s="139">
        <f t="shared" si="158"/>
        <v>52327721.23</v>
      </c>
      <c r="F154" s="139"/>
      <c r="G154" s="134">
        <f t="shared" si="159"/>
        <v>2922269.436</v>
      </c>
      <c r="H154" s="132">
        <f t="shared" si="160"/>
        <v>13520712.47</v>
      </c>
      <c r="I154" s="132">
        <f t="shared" si="161"/>
        <v>523277.2123</v>
      </c>
      <c r="J154" s="132">
        <f t="shared" si="162"/>
        <v>6907259.203</v>
      </c>
      <c r="K154" s="124"/>
      <c r="L154" s="134">
        <v>2021.0</v>
      </c>
      <c r="M154" s="181">
        <f t="shared" si="163"/>
        <v>69413196.53</v>
      </c>
      <c r="N154" s="155">
        <f t="shared" si="164"/>
        <v>32470256.47</v>
      </c>
      <c r="O154" s="134"/>
      <c r="P154" s="135">
        <v>1.01883453E8</v>
      </c>
      <c r="Q154" s="134">
        <f t="shared" si="165"/>
        <v>1110611.144</v>
      </c>
      <c r="R154" s="132">
        <f t="shared" si="166"/>
        <v>5136576.543</v>
      </c>
      <c r="S154" s="132">
        <f t="shared" si="167"/>
        <v>324702.5647</v>
      </c>
      <c r="T154" s="132">
        <f t="shared" si="168"/>
        <v>4286073.854</v>
      </c>
      <c r="U154" s="124"/>
      <c r="V154" s="124"/>
      <c r="W154" s="124"/>
      <c r="X154" s="124"/>
      <c r="Y154" s="124"/>
      <c r="Z154" s="124"/>
      <c r="AA154" s="124"/>
      <c r="AB154" s="124"/>
      <c r="AC154" s="124"/>
      <c r="AD154" s="124"/>
      <c r="AE154" s="124"/>
      <c r="AF154" s="124"/>
    </row>
    <row r="155">
      <c r="A155" s="124"/>
      <c r="B155" s="140">
        <v>2022.0</v>
      </c>
      <c r="C155" s="152">
        <v>2.383E8</v>
      </c>
      <c r="D155" s="125">
        <f t="shared" si="157"/>
        <v>185230590</v>
      </c>
      <c r="E155" s="125">
        <f t="shared" si="158"/>
        <v>53069410</v>
      </c>
      <c r="F155" s="125"/>
      <c r="G155" s="124">
        <f t="shared" si="159"/>
        <v>2963689.44</v>
      </c>
      <c r="H155" s="124">
        <f t="shared" si="160"/>
        <v>13712353.92</v>
      </c>
      <c r="I155" s="124">
        <f t="shared" si="161"/>
        <v>530694.1</v>
      </c>
      <c r="J155" s="124">
        <f t="shared" si="162"/>
        <v>7005162.12</v>
      </c>
      <c r="K155" s="124"/>
      <c r="L155" s="140">
        <v>2022.0</v>
      </c>
      <c r="M155" s="124">
        <f t="shared" si="163"/>
        <v>70344225</v>
      </c>
      <c r="N155" s="165">
        <f t="shared" si="164"/>
        <v>32905775</v>
      </c>
      <c r="O155" s="124"/>
      <c r="P155" s="152">
        <v>1.0325E8</v>
      </c>
      <c r="Q155" s="124">
        <f t="shared" si="165"/>
        <v>1125507.6</v>
      </c>
      <c r="R155" s="124">
        <f t="shared" si="166"/>
        <v>5205472.65</v>
      </c>
      <c r="S155" s="124">
        <f t="shared" si="167"/>
        <v>329057.75</v>
      </c>
      <c r="T155" s="124">
        <f t="shared" si="168"/>
        <v>4343562.3</v>
      </c>
      <c r="U155" s="124"/>
      <c r="V155" s="124"/>
      <c r="W155" s="124"/>
      <c r="X155" s="124"/>
      <c r="Y155" s="124"/>
      <c r="Z155" s="124"/>
      <c r="AA155" s="124"/>
      <c r="AB155" s="124"/>
      <c r="AC155" s="124"/>
      <c r="AD155" s="124"/>
      <c r="AE155" s="124"/>
      <c r="AF155" s="124"/>
    </row>
    <row r="156">
      <c r="A156" s="124"/>
      <c r="B156" s="124"/>
      <c r="C156" s="124"/>
      <c r="D156" s="125"/>
      <c r="E156" s="125"/>
      <c r="F156" s="125"/>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c r="AE156" s="124"/>
      <c r="AF156" s="124"/>
    </row>
    <row r="157">
      <c r="A157" s="124"/>
      <c r="B157" s="146" t="s">
        <v>124</v>
      </c>
      <c r="C157" s="128" t="s">
        <v>83</v>
      </c>
      <c r="D157" s="129" t="s">
        <v>84</v>
      </c>
      <c r="E157" s="129" t="s">
        <v>85</v>
      </c>
      <c r="F157" s="129"/>
      <c r="G157" s="128" t="s">
        <v>79</v>
      </c>
      <c r="H157" s="124" t="s">
        <v>80</v>
      </c>
      <c r="I157" s="124" t="s">
        <v>81</v>
      </c>
      <c r="J157" s="124" t="s">
        <v>82</v>
      </c>
      <c r="K157" s="124"/>
      <c r="L157" s="140" t="s">
        <v>125</v>
      </c>
      <c r="M157" s="124"/>
      <c r="N157" s="124"/>
      <c r="O157" s="124"/>
      <c r="P157" s="124"/>
      <c r="Q157" s="124"/>
      <c r="R157" s="124"/>
      <c r="S157" s="124"/>
      <c r="T157" s="124"/>
      <c r="U157" s="124"/>
      <c r="V157" s="124"/>
      <c r="W157" s="124"/>
      <c r="X157" s="124"/>
      <c r="Y157" s="124"/>
      <c r="Z157" s="124"/>
      <c r="AA157" s="124"/>
      <c r="AB157" s="124"/>
      <c r="AC157" s="124"/>
      <c r="AD157" s="124"/>
      <c r="AE157" s="124"/>
      <c r="AF157" s="124"/>
    </row>
    <row r="158">
      <c r="A158" s="124"/>
      <c r="B158" s="130">
        <v>2015.0</v>
      </c>
      <c r="C158" s="131">
        <v>388970.0</v>
      </c>
      <c r="D158" s="133">
        <f t="shared" ref="D158:D165" si="169">62.3*C158/100</f>
        <v>242328.31</v>
      </c>
      <c r="E158" s="133">
        <f t="shared" ref="E158:E165" si="170">37.7*C158/100</f>
        <v>146641.69</v>
      </c>
      <c r="F158" s="133"/>
      <c r="G158" s="130">
        <f t="shared" ref="G158:G165" si="171">62.3*1.6*C158/10000</f>
        <v>3877.25296</v>
      </c>
      <c r="H158" s="132">
        <f t="shared" ref="H158:H165" si="172">62.3*7.4*C158/10000</f>
        <v>17932.29494</v>
      </c>
      <c r="I158" s="132">
        <f t="shared" ref="I158:I165" si="173">37.7*C158/10000</f>
        <v>1466.4169</v>
      </c>
      <c r="J158" s="132">
        <f t="shared" ref="J158:J165" si="174">37.7*13.2*C158/10000</f>
        <v>19356.70308</v>
      </c>
      <c r="K158" s="124"/>
      <c r="L158" s="128"/>
      <c r="M158" s="128" t="s">
        <v>84</v>
      </c>
      <c r="N158" s="128" t="s">
        <v>85</v>
      </c>
      <c r="O158" s="128"/>
      <c r="P158" s="128" t="s">
        <v>83</v>
      </c>
      <c r="Q158" s="128" t="s">
        <v>79</v>
      </c>
      <c r="R158" s="124" t="s">
        <v>80</v>
      </c>
      <c r="S158" s="124" t="s">
        <v>81</v>
      </c>
      <c r="T158" s="124" t="s">
        <v>82</v>
      </c>
      <c r="U158" s="124"/>
      <c r="V158" s="124"/>
      <c r="W158" s="124"/>
      <c r="X158" s="124"/>
      <c r="Y158" s="124"/>
      <c r="Z158" s="124"/>
      <c r="AA158" s="124"/>
      <c r="AB158" s="124"/>
      <c r="AC158" s="124"/>
      <c r="AD158" s="124"/>
      <c r="AE158" s="124"/>
      <c r="AF158" s="124"/>
    </row>
    <row r="159">
      <c r="A159" s="124"/>
      <c r="B159" s="130">
        <v>2016.0</v>
      </c>
      <c r="C159" s="131">
        <v>390990.0</v>
      </c>
      <c r="D159" s="133">
        <f t="shared" si="169"/>
        <v>243586.77</v>
      </c>
      <c r="E159" s="133">
        <f t="shared" si="170"/>
        <v>147403.23</v>
      </c>
      <c r="F159" s="133"/>
      <c r="G159" s="130">
        <f t="shared" si="171"/>
        <v>3897.38832</v>
      </c>
      <c r="H159" s="132">
        <f t="shared" si="172"/>
        <v>18025.42098</v>
      </c>
      <c r="I159" s="132">
        <f t="shared" si="173"/>
        <v>1474.0323</v>
      </c>
      <c r="J159" s="132">
        <f t="shared" si="174"/>
        <v>19457.22636</v>
      </c>
      <c r="K159" s="124"/>
      <c r="L159" s="130">
        <v>2015.0</v>
      </c>
      <c r="M159" s="130">
        <f t="shared" ref="M159:M166" si="175">2.75*P159/100</f>
        <v>30314.9</v>
      </c>
      <c r="N159" s="130">
        <f t="shared" ref="N159:N166" si="176">97.25*P159/100</f>
        <v>1072045.1</v>
      </c>
      <c r="O159" s="130"/>
      <c r="P159" s="131">
        <v>1102360.0</v>
      </c>
      <c r="Q159" s="130">
        <f t="shared" ref="Q159:Q166" si="177">2.75*1.6*P159/10000</f>
        <v>485.0384</v>
      </c>
      <c r="R159" s="132">
        <f t="shared" ref="R159:R166" si="178">2.75*7.4*P159/10000</f>
        <v>2243.3026</v>
      </c>
      <c r="S159" s="132">
        <f t="shared" ref="S159:S166" si="179">97.25*P159/10000</f>
        <v>10720.451</v>
      </c>
      <c r="T159" s="132">
        <f t="shared" ref="T159:T166" si="180">97.25*13.2*P159/10000</f>
        <v>141509.9532</v>
      </c>
      <c r="U159" s="124"/>
      <c r="V159" s="124"/>
      <c r="W159" s="124"/>
      <c r="X159" s="124"/>
      <c r="Y159" s="124"/>
      <c r="Z159" s="124"/>
      <c r="AA159" s="124"/>
      <c r="AB159" s="124"/>
      <c r="AC159" s="124"/>
      <c r="AD159" s="124"/>
      <c r="AE159" s="124"/>
      <c r="AF159" s="124"/>
    </row>
    <row r="160">
      <c r="A160" s="124"/>
      <c r="B160" s="130">
        <v>2017.0</v>
      </c>
      <c r="C160" s="131">
        <v>392981.0</v>
      </c>
      <c r="D160" s="133">
        <f t="shared" si="169"/>
        <v>244827.163</v>
      </c>
      <c r="E160" s="133">
        <f t="shared" si="170"/>
        <v>148153.837</v>
      </c>
      <c r="F160" s="133"/>
      <c r="G160" s="130">
        <f t="shared" si="171"/>
        <v>3917.234608</v>
      </c>
      <c r="H160" s="132">
        <f t="shared" si="172"/>
        <v>18117.21006</v>
      </c>
      <c r="I160" s="132">
        <f t="shared" si="173"/>
        <v>1481.53837</v>
      </c>
      <c r="J160" s="132">
        <f t="shared" si="174"/>
        <v>19556.30648</v>
      </c>
      <c r="K160" s="124"/>
      <c r="L160" s="130">
        <v>2016.0</v>
      </c>
      <c r="M160" s="130">
        <f t="shared" si="175"/>
        <v>30629.885</v>
      </c>
      <c r="N160" s="130">
        <f t="shared" si="176"/>
        <v>1083184.115</v>
      </c>
      <c r="O160" s="130"/>
      <c r="P160" s="131">
        <v>1113814.0</v>
      </c>
      <c r="Q160" s="130">
        <f t="shared" si="177"/>
        <v>490.07816</v>
      </c>
      <c r="R160" s="132">
        <f t="shared" si="178"/>
        <v>2266.61149</v>
      </c>
      <c r="S160" s="132">
        <f t="shared" si="179"/>
        <v>10831.84115</v>
      </c>
      <c r="T160" s="132">
        <f t="shared" si="180"/>
        <v>142980.3032</v>
      </c>
      <c r="U160" s="124"/>
      <c r="V160" s="124"/>
      <c r="W160" s="124"/>
      <c r="X160" s="124"/>
      <c r="Y160" s="124"/>
      <c r="Z160" s="124"/>
      <c r="AA160" s="124"/>
      <c r="AB160" s="124"/>
      <c r="AC160" s="124"/>
      <c r="AD160" s="124"/>
      <c r="AE160" s="124"/>
      <c r="AF160" s="124"/>
    </row>
    <row r="161">
      <c r="A161" s="124"/>
      <c r="B161" s="130">
        <v>2018.0</v>
      </c>
      <c r="C161" s="131">
        <v>394942.0</v>
      </c>
      <c r="D161" s="133">
        <f t="shared" si="169"/>
        <v>246048.866</v>
      </c>
      <c r="E161" s="133">
        <f t="shared" si="170"/>
        <v>148893.134</v>
      </c>
      <c r="F161" s="133"/>
      <c r="G161" s="130">
        <f t="shared" si="171"/>
        <v>3936.781856</v>
      </c>
      <c r="H161" s="132">
        <f t="shared" si="172"/>
        <v>18207.61608</v>
      </c>
      <c r="I161" s="132">
        <f t="shared" si="173"/>
        <v>1488.93134</v>
      </c>
      <c r="J161" s="132">
        <f t="shared" si="174"/>
        <v>19653.89369</v>
      </c>
      <c r="K161" s="124"/>
      <c r="L161" s="130">
        <v>2017.0</v>
      </c>
      <c r="M161" s="130">
        <f t="shared" si="175"/>
        <v>30941.7625</v>
      </c>
      <c r="N161" s="130">
        <f t="shared" si="176"/>
        <v>1094213.238</v>
      </c>
      <c r="O161" s="130"/>
      <c r="P161" s="131">
        <v>1125155.0</v>
      </c>
      <c r="Q161" s="130">
        <f t="shared" si="177"/>
        <v>495.0682</v>
      </c>
      <c r="R161" s="132">
        <f t="shared" si="178"/>
        <v>2289.690425</v>
      </c>
      <c r="S161" s="132">
        <f t="shared" si="179"/>
        <v>10942.13238</v>
      </c>
      <c r="T161" s="132">
        <f t="shared" si="180"/>
        <v>144436.1474</v>
      </c>
      <c r="U161" s="124"/>
      <c r="V161" s="124"/>
      <c r="W161" s="124"/>
      <c r="X161" s="124"/>
      <c r="Y161" s="124"/>
      <c r="Z161" s="124"/>
      <c r="AA161" s="124"/>
      <c r="AB161" s="124"/>
      <c r="AC161" s="124"/>
      <c r="AD161" s="124"/>
      <c r="AE161" s="124"/>
      <c r="AF161" s="124"/>
    </row>
    <row r="162">
      <c r="A162" s="124"/>
      <c r="B162" s="130">
        <v>2019.0</v>
      </c>
      <c r="C162" s="131">
        <v>396873.0</v>
      </c>
      <c r="D162" s="133">
        <f t="shared" si="169"/>
        <v>247251.879</v>
      </c>
      <c r="E162" s="133">
        <f t="shared" si="170"/>
        <v>149621.121</v>
      </c>
      <c r="F162" s="133"/>
      <c r="G162" s="130">
        <f t="shared" si="171"/>
        <v>3956.030064</v>
      </c>
      <c r="H162" s="132">
        <f t="shared" si="172"/>
        <v>18296.63905</v>
      </c>
      <c r="I162" s="132">
        <f t="shared" si="173"/>
        <v>1496.21121</v>
      </c>
      <c r="J162" s="132">
        <f t="shared" si="174"/>
        <v>19749.98797</v>
      </c>
      <c r="K162" s="124"/>
      <c r="L162" s="130">
        <v>2018.0</v>
      </c>
      <c r="M162" s="130">
        <f t="shared" si="175"/>
        <v>31250.505</v>
      </c>
      <c r="N162" s="130">
        <f t="shared" si="176"/>
        <v>1105131.495</v>
      </c>
      <c r="O162" s="130"/>
      <c r="P162" s="131">
        <v>1136382.0</v>
      </c>
      <c r="Q162" s="130">
        <f t="shared" si="177"/>
        <v>500.00808</v>
      </c>
      <c r="R162" s="132">
        <f t="shared" si="178"/>
        <v>2312.53737</v>
      </c>
      <c r="S162" s="132">
        <f t="shared" si="179"/>
        <v>11051.31495</v>
      </c>
      <c r="T162" s="132">
        <f t="shared" si="180"/>
        <v>145877.3573</v>
      </c>
      <c r="U162" s="124"/>
      <c r="V162" s="124"/>
      <c r="W162" s="124"/>
      <c r="X162" s="124"/>
      <c r="Y162" s="124"/>
      <c r="Z162" s="124"/>
      <c r="AA162" s="124"/>
      <c r="AB162" s="124"/>
      <c r="AC162" s="124"/>
      <c r="AD162" s="124"/>
      <c r="AE162" s="124"/>
      <c r="AF162" s="124"/>
    </row>
    <row r="163">
      <c r="A163" s="124"/>
      <c r="B163" s="130">
        <v>2020.0</v>
      </c>
      <c r="C163" s="131">
        <v>398774.0</v>
      </c>
      <c r="D163" s="133">
        <f t="shared" si="169"/>
        <v>248436.202</v>
      </c>
      <c r="E163" s="133">
        <f t="shared" si="170"/>
        <v>150337.798</v>
      </c>
      <c r="F163" s="133"/>
      <c r="G163" s="130">
        <f t="shared" si="171"/>
        <v>3974.979232</v>
      </c>
      <c r="H163" s="132">
        <f t="shared" si="172"/>
        <v>18384.27895</v>
      </c>
      <c r="I163" s="132">
        <f t="shared" si="173"/>
        <v>1503.37798</v>
      </c>
      <c r="J163" s="132">
        <f t="shared" si="174"/>
        <v>19844.58934</v>
      </c>
      <c r="K163" s="124"/>
      <c r="L163" s="130">
        <v>2019.0</v>
      </c>
      <c r="M163" s="130">
        <f t="shared" si="175"/>
        <v>31556.085</v>
      </c>
      <c r="N163" s="130">
        <f t="shared" si="176"/>
        <v>1115937.915</v>
      </c>
      <c r="O163" s="130"/>
      <c r="P163" s="131">
        <v>1147494.0</v>
      </c>
      <c r="Q163" s="130">
        <f t="shared" si="177"/>
        <v>504.89736</v>
      </c>
      <c r="R163" s="132">
        <f t="shared" si="178"/>
        <v>2335.15029</v>
      </c>
      <c r="S163" s="132">
        <f t="shared" si="179"/>
        <v>11159.37915</v>
      </c>
      <c r="T163" s="132">
        <f t="shared" si="180"/>
        <v>147303.8048</v>
      </c>
      <c r="U163" s="124"/>
      <c r="V163" s="124"/>
      <c r="W163" s="124"/>
      <c r="X163" s="124"/>
      <c r="Y163" s="124"/>
      <c r="Z163" s="124"/>
      <c r="AA163" s="124"/>
      <c r="AB163" s="124"/>
      <c r="AC163" s="124"/>
      <c r="AD163" s="124"/>
      <c r="AE163" s="124"/>
      <c r="AF163" s="124"/>
    </row>
    <row r="164">
      <c r="A164" s="124"/>
      <c r="B164" s="134">
        <v>2021.0</v>
      </c>
      <c r="C164" s="135">
        <v>400647.0</v>
      </c>
      <c r="D164" s="133">
        <f t="shared" si="169"/>
        <v>249603.081</v>
      </c>
      <c r="E164" s="133">
        <f t="shared" si="170"/>
        <v>151043.919</v>
      </c>
      <c r="F164" s="139"/>
      <c r="G164" s="134">
        <f t="shared" si="171"/>
        <v>3993.649296</v>
      </c>
      <c r="H164" s="132">
        <f t="shared" si="172"/>
        <v>18470.62799</v>
      </c>
      <c r="I164" s="132">
        <f t="shared" si="173"/>
        <v>1510.43919</v>
      </c>
      <c r="J164" s="132">
        <f t="shared" si="174"/>
        <v>19937.79731</v>
      </c>
      <c r="K164" s="124"/>
      <c r="L164" s="130">
        <v>2020.0</v>
      </c>
      <c r="M164" s="130">
        <f t="shared" si="175"/>
        <v>31858.5025</v>
      </c>
      <c r="N164" s="130">
        <f t="shared" si="176"/>
        <v>1126632.498</v>
      </c>
      <c r="O164" s="130"/>
      <c r="P164" s="131">
        <v>1158491.0</v>
      </c>
      <c r="Q164" s="130">
        <f t="shared" si="177"/>
        <v>509.73604</v>
      </c>
      <c r="R164" s="132">
        <f t="shared" si="178"/>
        <v>2357.529185</v>
      </c>
      <c r="S164" s="132">
        <f t="shared" si="179"/>
        <v>11266.32498</v>
      </c>
      <c r="T164" s="132">
        <f t="shared" si="180"/>
        <v>148715.4897</v>
      </c>
      <c r="U164" s="124"/>
      <c r="V164" s="124"/>
      <c r="W164" s="124"/>
      <c r="X164" s="124"/>
      <c r="Y164" s="124"/>
      <c r="Z164" s="124"/>
      <c r="AA164" s="124"/>
      <c r="AB164" s="124"/>
      <c r="AC164" s="124"/>
      <c r="AD164" s="124"/>
      <c r="AE164" s="124"/>
      <c r="AF164" s="124"/>
    </row>
    <row r="165">
      <c r="A165" s="124"/>
      <c r="B165" s="140">
        <v>2022.0</v>
      </c>
      <c r="C165" s="141">
        <v>407900.0</v>
      </c>
      <c r="D165" s="173">
        <f t="shared" si="169"/>
        <v>254121.7</v>
      </c>
      <c r="E165" s="125">
        <f t="shared" si="170"/>
        <v>153778.3</v>
      </c>
      <c r="F165" s="125"/>
      <c r="G165" s="124">
        <f t="shared" si="171"/>
        <v>4065.9472</v>
      </c>
      <c r="H165" s="124">
        <f t="shared" si="172"/>
        <v>18805.0058</v>
      </c>
      <c r="I165" s="124">
        <f t="shared" si="173"/>
        <v>1537.783</v>
      </c>
      <c r="J165" s="124">
        <f t="shared" si="174"/>
        <v>20298.7356</v>
      </c>
      <c r="K165" s="124"/>
      <c r="L165" s="134">
        <v>2021.0</v>
      </c>
      <c r="M165" s="130">
        <f t="shared" si="175"/>
        <v>32157.7025</v>
      </c>
      <c r="N165" s="130">
        <f t="shared" si="176"/>
        <v>1137213.298</v>
      </c>
      <c r="O165" s="134"/>
      <c r="P165" s="135">
        <v>1169371.0</v>
      </c>
      <c r="Q165" s="134">
        <f t="shared" si="177"/>
        <v>514.52324</v>
      </c>
      <c r="R165" s="132">
        <f t="shared" si="178"/>
        <v>2379.669985</v>
      </c>
      <c r="S165" s="132">
        <f t="shared" si="179"/>
        <v>11372.13298</v>
      </c>
      <c r="T165" s="132">
        <f t="shared" si="180"/>
        <v>150112.1553</v>
      </c>
      <c r="U165" s="124"/>
      <c r="V165" s="124"/>
      <c r="W165" s="124"/>
      <c r="X165" s="124"/>
      <c r="Y165" s="124"/>
      <c r="Z165" s="124"/>
      <c r="AA165" s="124"/>
      <c r="AB165" s="124"/>
      <c r="AC165" s="124"/>
      <c r="AD165" s="124"/>
      <c r="AE165" s="124"/>
      <c r="AF165" s="124"/>
    </row>
    <row r="166">
      <c r="A166" s="124"/>
      <c r="B166" s="124"/>
      <c r="C166" s="124"/>
      <c r="D166" s="125"/>
      <c r="E166" s="125"/>
      <c r="F166" s="125"/>
      <c r="G166" s="124"/>
      <c r="H166" s="124"/>
      <c r="I166" s="124"/>
      <c r="J166" s="124"/>
      <c r="K166" s="124"/>
      <c r="L166" s="163">
        <v>2022.0</v>
      </c>
      <c r="M166" s="126">
        <f t="shared" si="175"/>
        <v>33550</v>
      </c>
      <c r="N166" s="126">
        <f t="shared" si="176"/>
        <v>1186450</v>
      </c>
      <c r="O166" s="126"/>
      <c r="P166" s="141">
        <v>1220000.0</v>
      </c>
      <c r="Q166" s="124">
        <f t="shared" si="177"/>
        <v>536.8</v>
      </c>
      <c r="R166" s="124">
        <f t="shared" si="178"/>
        <v>2482.7</v>
      </c>
      <c r="S166" s="124">
        <f t="shared" si="179"/>
        <v>11864.5</v>
      </c>
      <c r="T166" s="124">
        <f t="shared" si="180"/>
        <v>156611.4</v>
      </c>
      <c r="U166" s="124"/>
      <c r="V166" s="124"/>
      <c r="W166" s="124"/>
      <c r="X166" s="124"/>
      <c r="Y166" s="124"/>
      <c r="Z166" s="124"/>
      <c r="AA166" s="124"/>
      <c r="AB166" s="124"/>
      <c r="AC166" s="124"/>
      <c r="AD166" s="124"/>
      <c r="AE166" s="124"/>
      <c r="AF166" s="124"/>
    </row>
    <row r="167">
      <c r="A167" s="124"/>
      <c r="B167" s="124"/>
      <c r="C167" s="124"/>
      <c r="D167" s="125"/>
      <c r="E167" s="125"/>
      <c r="F167" s="125"/>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c r="AC167" s="124"/>
      <c r="AD167" s="124"/>
      <c r="AE167" s="124"/>
      <c r="AF167" s="124"/>
    </row>
    <row r="168">
      <c r="A168" s="124"/>
      <c r="B168" s="140" t="s">
        <v>126</v>
      </c>
      <c r="C168" s="124"/>
      <c r="D168" s="125"/>
      <c r="E168" s="125"/>
      <c r="F168" s="125"/>
      <c r="G168" s="124"/>
      <c r="H168" s="124"/>
      <c r="I168" s="124"/>
      <c r="J168" s="124"/>
      <c r="K168" s="124"/>
      <c r="L168" s="146" t="s">
        <v>127</v>
      </c>
      <c r="M168" s="128"/>
      <c r="N168" s="128"/>
      <c r="O168" s="128"/>
      <c r="P168" s="128" t="s">
        <v>83</v>
      </c>
      <c r="Q168" s="128" t="s">
        <v>79</v>
      </c>
      <c r="R168" s="124" t="s">
        <v>80</v>
      </c>
      <c r="S168" s="124" t="s">
        <v>81</v>
      </c>
      <c r="T168" s="124" t="s">
        <v>82</v>
      </c>
      <c r="U168" s="124"/>
      <c r="V168" s="124"/>
      <c r="W168" s="124"/>
      <c r="X168" s="124"/>
      <c r="Y168" s="124"/>
      <c r="Z168" s="124"/>
      <c r="AA168" s="124"/>
      <c r="AB168" s="124"/>
      <c r="AC168" s="124"/>
      <c r="AD168" s="124"/>
      <c r="AE168" s="124"/>
      <c r="AF168" s="124"/>
    </row>
    <row r="169">
      <c r="A169" s="124"/>
      <c r="B169" s="128"/>
      <c r="C169" s="128" t="s">
        <v>83</v>
      </c>
      <c r="D169" s="129" t="s">
        <v>84</v>
      </c>
      <c r="E169" s="129" t="s">
        <v>85</v>
      </c>
      <c r="F169" s="129"/>
      <c r="G169" s="128" t="s">
        <v>79</v>
      </c>
      <c r="H169" s="124" t="s">
        <v>80</v>
      </c>
      <c r="I169" s="124" t="s">
        <v>81</v>
      </c>
      <c r="J169" s="124" t="s">
        <v>82</v>
      </c>
      <c r="K169" s="124"/>
      <c r="L169" s="130">
        <v>2015.0</v>
      </c>
      <c r="M169" s="130">
        <f t="shared" ref="M169:M176" si="181">72.62*P169/100</f>
        <v>9887992.939</v>
      </c>
      <c r="N169" s="130">
        <f t="shared" ref="N169:N176" si="182">27.38*P169/100</f>
        <v>3728081.061</v>
      </c>
      <c r="O169" s="130"/>
      <c r="P169" s="131">
        <v>1.3616074E7</v>
      </c>
      <c r="Q169" s="130">
        <f t="shared" ref="Q169:Q176" si="183">72.62*1.6*P169/10000</f>
        <v>158207.887</v>
      </c>
      <c r="R169" s="132">
        <f t="shared" ref="R169:R176" si="184">72.62*7.4*P169/10000</f>
        <v>731711.4775</v>
      </c>
      <c r="S169" s="132">
        <f t="shared" ref="S169:S176" si="185">27.38*P169/10000</f>
        <v>37280.81061</v>
      </c>
      <c r="T169" s="132">
        <f t="shared" ref="T169:T176" si="186">27.38*P169*13.2/10000</f>
        <v>492106.7001</v>
      </c>
      <c r="U169" s="124"/>
      <c r="V169" s="124"/>
      <c r="W169" s="124"/>
      <c r="X169" s="124"/>
      <c r="Y169" s="124"/>
      <c r="Z169" s="124"/>
      <c r="AA169" s="124"/>
      <c r="AB169" s="124"/>
      <c r="AC169" s="124"/>
      <c r="AD169" s="124"/>
      <c r="AE169" s="124"/>
      <c r="AF169" s="124"/>
    </row>
    <row r="170">
      <c r="A170" s="124"/>
      <c r="B170" s="130">
        <v>2015.0</v>
      </c>
      <c r="C170" s="131">
        <v>391060.0</v>
      </c>
      <c r="D170" s="133">
        <f t="shared" ref="D170:D177" si="187">53.28*C170/100</f>
        <v>208356.768</v>
      </c>
      <c r="E170" s="133">
        <f t="shared" ref="E170:E177" si="188">46.72*C170/100</f>
        <v>182703.232</v>
      </c>
      <c r="F170" s="133"/>
      <c r="G170" s="130">
        <f t="shared" ref="G170:G177" si="189">53.28*1.6*C170/10000</f>
        <v>3333.708288</v>
      </c>
      <c r="H170" s="132">
        <f t="shared" ref="H170:H177" si="190">53.38*C170*7.4/10000</f>
        <v>15447.33927</v>
      </c>
      <c r="I170" s="132">
        <f t="shared" ref="I170:I177" si="191">46.72*C170/10000</f>
        <v>1827.03232</v>
      </c>
      <c r="J170" s="132">
        <f t="shared" ref="J170:J177" si="192">46.72*C170*13.2/10000</f>
        <v>24116.82662</v>
      </c>
      <c r="K170" s="124"/>
      <c r="L170" s="130">
        <v>2016.0</v>
      </c>
      <c r="M170" s="130">
        <f t="shared" si="181"/>
        <v>10083189.69</v>
      </c>
      <c r="N170" s="130">
        <f t="shared" si="182"/>
        <v>3801676.311</v>
      </c>
      <c r="O170" s="130"/>
      <c r="P170" s="131">
        <v>1.3884866E7</v>
      </c>
      <c r="Q170" s="130">
        <f t="shared" si="183"/>
        <v>161331.035</v>
      </c>
      <c r="R170" s="132">
        <f t="shared" si="184"/>
        <v>746156.037</v>
      </c>
      <c r="S170" s="132">
        <f t="shared" si="185"/>
        <v>38016.76311</v>
      </c>
      <c r="T170" s="132">
        <f t="shared" si="186"/>
        <v>501821.273</v>
      </c>
      <c r="U170" s="124"/>
      <c r="V170" s="124"/>
      <c r="W170" s="124"/>
      <c r="X170" s="124"/>
      <c r="Y170" s="124"/>
      <c r="Z170" s="124"/>
      <c r="AA170" s="124"/>
      <c r="AB170" s="124"/>
      <c r="AC170" s="124"/>
      <c r="AD170" s="124"/>
      <c r="AE170" s="124"/>
      <c r="AF170" s="124"/>
    </row>
    <row r="171">
      <c r="A171" s="124"/>
      <c r="B171" s="130">
        <v>2016.0</v>
      </c>
      <c r="C171" s="131">
        <v>403249.0</v>
      </c>
      <c r="D171" s="133">
        <f t="shared" si="187"/>
        <v>214851.0672</v>
      </c>
      <c r="E171" s="133">
        <f t="shared" si="188"/>
        <v>188397.9328</v>
      </c>
      <c r="F171" s="133"/>
      <c r="G171" s="130">
        <f t="shared" si="189"/>
        <v>3437.617075</v>
      </c>
      <c r="H171" s="132">
        <f t="shared" si="190"/>
        <v>15928.8194</v>
      </c>
      <c r="I171" s="132">
        <f t="shared" si="191"/>
        <v>1883.979328</v>
      </c>
      <c r="J171" s="132">
        <f t="shared" si="192"/>
        <v>24868.52713</v>
      </c>
      <c r="K171" s="124"/>
      <c r="L171" s="130">
        <v>2017.0</v>
      </c>
      <c r="M171" s="130">
        <f t="shared" si="181"/>
        <v>10278259.35</v>
      </c>
      <c r="N171" s="130">
        <f t="shared" si="182"/>
        <v>3875223.645</v>
      </c>
      <c r="O171" s="130"/>
      <c r="P171" s="131">
        <v>1.4153483E7</v>
      </c>
      <c r="Q171" s="130">
        <f t="shared" si="183"/>
        <v>164452.1497</v>
      </c>
      <c r="R171" s="132">
        <f t="shared" si="184"/>
        <v>760591.1922</v>
      </c>
      <c r="S171" s="132">
        <f t="shared" si="185"/>
        <v>38752.23645</v>
      </c>
      <c r="T171" s="132">
        <f t="shared" si="186"/>
        <v>511529.5212</v>
      </c>
      <c r="U171" s="124"/>
      <c r="V171" s="124"/>
      <c r="W171" s="124"/>
      <c r="X171" s="124"/>
      <c r="Y171" s="124"/>
      <c r="Z171" s="124"/>
      <c r="AA171" s="124"/>
      <c r="AB171" s="124"/>
      <c r="AC171" s="124"/>
      <c r="AD171" s="124"/>
      <c r="AE171" s="124"/>
      <c r="AF171" s="124"/>
    </row>
    <row r="172">
      <c r="A172" s="124"/>
      <c r="B172" s="130">
        <v>2017.0</v>
      </c>
      <c r="C172" s="131">
        <v>415567.0</v>
      </c>
      <c r="D172" s="133">
        <f t="shared" si="187"/>
        <v>221414.0976</v>
      </c>
      <c r="E172" s="133">
        <f t="shared" si="188"/>
        <v>194152.9024</v>
      </c>
      <c r="F172" s="133"/>
      <c r="G172" s="130">
        <f t="shared" si="189"/>
        <v>3542.625562</v>
      </c>
      <c r="H172" s="132">
        <f t="shared" si="190"/>
        <v>16415.39518</v>
      </c>
      <c r="I172" s="132">
        <f t="shared" si="191"/>
        <v>1941.529024</v>
      </c>
      <c r="J172" s="132">
        <f t="shared" si="192"/>
        <v>25628.18312</v>
      </c>
      <c r="K172" s="124"/>
      <c r="L172" s="130">
        <v>2018.0</v>
      </c>
      <c r="M172" s="130">
        <f t="shared" si="181"/>
        <v>10473124.96</v>
      </c>
      <c r="N172" s="130">
        <f t="shared" si="182"/>
        <v>3948694.042</v>
      </c>
      <c r="O172" s="130"/>
      <c r="P172" s="131">
        <v>1.4421819E7</v>
      </c>
      <c r="Q172" s="130">
        <f t="shared" si="183"/>
        <v>167569.9993</v>
      </c>
      <c r="R172" s="132">
        <f t="shared" si="184"/>
        <v>775011.2469</v>
      </c>
      <c r="S172" s="132">
        <f t="shared" si="185"/>
        <v>39486.94042</v>
      </c>
      <c r="T172" s="132">
        <f t="shared" si="186"/>
        <v>521227.6136</v>
      </c>
      <c r="U172" s="124"/>
      <c r="V172" s="124"/>
      <c r="W172" s="124"/>
      <c r="X172" s="124"/>
      <c r="Y172" s="124"/>
      <c r="Z172" s="124"/>
      <c r="AA172" s="124"/>
      <c r="AB172" s="124"/>
      <c r="AC172" s="124"/>
      <c r="AD172" s="124"/>
      <c r="AE172" s="124"/>
      <c r="AF172" s="124"/>
    </row>
    <row r="173">
      <c r="A173" s="124"/>
      <c r="B173" s="130">
        <v>2018.0</v>
      </c>
      <c r="C173" s="131">
        <v>428007.0</v>
      </c>
      <c r="D173" s="133">
        <f t="shared" si="187"/>
        <v>228042.1296</v>
      </c>
      <c r="E173" s="133">
        <f t="shared" si="188"/>
        <v>199964.8704</v>
      </c>
      <c r="F173" s="133"/>
      <c r="G173" s="130">
        <f t="shared" si="189"/>
        <v>3648.674074</v>
      </c>
      <c r="H173" s="132">
        <f t="shared" si="190"/>
        <v>16906.79011</v>
      </c>
      <c r="I173" s="132">
        <f t="shared" si="191"/>
        <v>1999.648704</v>
      </c>
      <c r="J173" s="132">
        <f t="shared" si="192"/>
        <v>26395.36289</v>
      </c>
      <c r="K173" s="124"/>
      <c r="L173" s="130">
        <v>2019.0</v>
      </c>
      <c r="M173" s="130">
        <f t="shared" si="181"/>
        <v>10667714.61</v>
      </c>
      <c r="N173" s="130">
        <f t="shared" si="182"/>
        <v>4022060.395</v>
      </c>
      <c r="O173" s="130"/>
      <c r="P173" s="131">
        <v>1.4689775E7</v>
      </c>
      <c r="Q173" s="130">
        <f t="shared" si="183"/>
        <v>170683.4337</v>
      </c>
      <c r="R173" s="132">
        <f t="shared" si="184"/>
        <v>789410.8808</v>
      </c>
      <c r="S173" s="132">
        <f t="shared" si="185"/>
        <v>40220.60395</v>
      </c>
      <c r="T173" s="132">
        <f t="shared" si="186"/>
        <v>530911.9721</v>
      </c>
      <c r="U173" s="124"/>
      <c r="V173" s="124"/>
      <c r="W173" s="124"/>
      <c r="X173" s="124"/>
      <c r="Y173" s="124"/>
      <c r="Z173" s="124"/>
      <c r="AA173" s="124"/>
      <c r="AB173" s="124"/>
      <c r="AC173" s="124"/>
      <c r="AD173" s="124"/>
      <c r="AE173" s="124"/>
      <c r="AF173" s="124"/>
    </row>
    <row r="174">
      <c r="A174" s="124"/>
      <c r="B174" s="130">
        <v>2019.0</v>
      </c>
      <c r="C174" s="131">
        <v>440563.0</v>
      </c>
      <c r="D174" s="133">
        <f t="shared" si="187"/>
        <v>234731.9664</v>
      </c>
      <c r="E174" s="133">
        <f t="shared" si="188"/>
        <v>205831.0336</v>
      </c>
      <c r="F174" s="133"/>
      <c r="G174" s="130">
        <f t="shared" si="189"/>
        <v>3755.711462</v>
      </c>
      <c r="H174" s="132">
        <f t="shared" si="190"/>
        <v>17402.76718</v>
      </c>
      <c r="I174" s="132">
        <f t="shared" si="191"/>
        <v>2058.310336</v>
      </c>
      <c r="J174" s="132">
        <f t="shared" si="192"/>
        <v>27169.69644</v>
      </c>
      <c r="K174" s="124"/>
      <c r="L174" s="130">
        <v>2020.0</v>
      </c>
      <c r="M174" s="130">
        <f t="shared" si="181"/>
        <v>10861955.68</v>
      </c>
      <c r="N174" s="130">
        <f t="shared" si="182"/>
        <v>4095295.324</v>
      </c>
      <c r="O174" s="130"/>
      <c r="P174" s="131">
        <v>1.4957251E7</v>
      </c>
      <c r="Q174" s="130">
        <f t="shared" si="183"/>
        <v>173791.2908</v>
      </c>
      <c r="R174" s="132">
        <f t="shared" si="184"/>
        <v>803784.72</v>
      </c>
      <c r="S174" s="132">
        <f t="shared" si="185"/>
        <v>40952.95324</v>
      </c>
      <c r="T174" s="132">
        <f t="shared" si="186"/>
        <v>540578.9827</v>
      </c>
      <c r="U174" s="124"/>
      <c r="V174" s="124"/>
      <c r="W174" s="124"/>
      <c r="X174" s="124"/>
      <c r="Y174" s="124"/>
      <c r="Z174" s="124"/>
      <c r="AA174" s="124"/>
      <c r="AB174" s="124"/>
      <c r="AC174" s="124"/>
      <c r="AD174" s="124"/>
      <c r="AE174" s="124"/>
      <c r="AF174" s="124"/>
    </row>
    <row r="175">
      <c r="A175" s="124"/>
      <c r="B175" s="130">
        <v>2020.0</v>
      </c>
      <c r="C175" s="131">
        <v>453229.0</v>
      </c>
      <c r="D175" s="133">
        <f t="shared" si="187"/>
        <v>241480.4112</v>
      </c>
      <c r="E175" s="133">
        <f t="shared" si="188"/>
        <v>211748.5888</v>
      </c>
      <c r="F175" s="133"/>
      <c r="G175" s="130">
        <f t="shared" si="189"/>
        <v>3863.686579</v>
      </c>
      <c r="H175" s="132">
        <f t="shared" si="190"/>
        <v>17903.08937</v>
      </c>
      <c r="I175" s="132">
        <f t="shared" si="191"/>
        <v>2117.485888</v>
      </c>
      <c r="J175" s="132">
        <f t="shared" si="192"/>
        <v>27950.81372</v>
      </c>
      <c r="K175" s="124"/>
      <c r="L175" s="134">
        <v>2021.0</v>
      </c>
      <c r="M175" s="130">
        <f t="shared" si="181"/>
        <v>11055777.73</v>
      </c>
      <c r="N175" s="130">
        <f t="shared" si="182"/>
        <v>4168372.27</v>
      </c>
      <c r="O175" s="134"/>
      <c r="P175" s="135">
        <v>1.522415E7</v>
      </c>
      <c r="Q175" s="134">
        <f t="shared" si="183"/>
        <v>176892.4437</v>
      </c>
      <c r="R175" s="132">
        <f t="shared" si="184"/>
        <v>818127.552</v>
      </c>
      <c r="S175" s="132">
        <f t="shared" si="185"/>
        <v>41683.7227</v>
      </c>
      <c r="T175" s="132">
        <f t="shared" si="186"/>
        <v>550225.1396</v>
      </c>
      <c r="U175" s="124"/>
      <c r="V175" s="124"/>
      <c r="W175" s="124"/>
      <c r="X175" s="124"/>
      <c r="Y175" s="124"/>
      <c r="Z175" s="124"/>
      <c r="AA175" s="124"/>
      <c r="AB175" s="124"/>
      <c r="AC175" s="124"/>
      <c r="AD175" s="124"/>
      <c r="AE175" s="124"/>
      <c r="AF175" s="124"/>
    </row>
    <row r="176">
      <c r="A176" s="124"/>
      <c r="B176" s="134">
        <v>2021.0</v>
      </c>
      <c r="C176" s="135">
        <v>465999.0</v>
      </c>
      <c r="D176" s="133">
        <f t="shared" si="187"/>
        <v>248284.2672</v>
      </c>
      <c r="E176" s="133">
        <f t="shared" si="188"/>
        <v>217714.7328</v>
      </c>
      <c r="F176" s="139"/>
      <c r="G176" s="134">
        <f t="shared" si="189"/>
        <v>3972.548275</v>
      </c>
      <c r="H176" s="132">
        <f t="shared" si="190"/>
        <v>18407.5197</v>
      </c>
      <c r="I176" s="132">
        <f t="shared" si="191"/>
        <v>2177.147328</v>
      </c>
      <c r="J176" s="132">
        <f t="shared" si="192"/>
        <v>28738.34473</v>
      </c>
      <c r="K176" s="124"/>
      <c r="L176" s="140">
        <v>2022.0</v>
      </c>
      <c r="M176" s="124">
        <f t="shared" si="181"/>
        <v>11168956</v>
      </c>
      <c r="N176" s="124">
        <f t="shared" si="182"/>
        <v>4211044</v>
      </c>
      <c r="O176" s="124"/>
      <c r="P176" s="141">
        <v>1.538E7</v>
      </c>
      <c r="Q176" s="152">
        <f t="shared" si="183"/>
        <v>178703.296</v>
      </c>
      <c r="R176" s="124">
        <f t="shared" si="184"/>
        <v>826502.744</v>
      </c>
      <c r="S176" s="124">
        <f t="shared" si="185"/>
        <v>42110.44</v>
      </c>
      <c r="T176" s="124">
        <f t="shared" si="186"/>
        <v>555857.808</v>
      </c>
      <c r="U176" s="124"/>
      <c r="V176" s="124"/>
      <c r="W176" s="124"/>
      <c r="X176" s="124"/>
      <c r="Y176" s="124"/>
      <c r="Z176" s="124"/>
      <c r="AA176" s="124"/>
      <c r="AB176" s="124"/>
      <c r="AC176" s="124"/>
      <c r="AD176" s="124"/>
      <c r="AE176" s="124"/>
      <c r="AF176" s="124"/>
    </row>
    <row r="177">
      <c r="A177" s="124"/>
      <c r="B177" s="163">
        <v>2022.0</v>
      </c>
      <c r="C177" s="141">
        <v>506900.0</v>
      </c>
      <c r="D177" s="173">
        <f t="shared" si="187"/>
        <v>270076.32</v>
      </c>
      <c r="E177" s="125">
        <f t="shared" si="188"/>
        <v>236823.68</v>
      </c>
      <c r="F177" s="125"/>
      <c r="G177" s="124">
        <f t="shared" si="189"/>
        <v>4321.22112</v>
      </c>
      <c r="H177" s="124">
        <f t="shared" si="190"/>
        <v>20023.15828</v>
      </c>
      <c r="I177" s="124">
        <f t="shared" si="191"/>
        <v>2368.2368</v>
      </c>
      <c r="J177" s="124">
        <f t="shared" si="192"/>
        <v>31260.72576</v>
      </c>
      <c r="K177" s="124"/>
      <c r="L177" s="124"/>
      <c r="M177" s="124"/>
      <c r="N177" s="124"/>
      <c r="O177" s="124"/>
      <c r="P177" s="124"/>
      <c r="Q177" s="124"/>
      <c r="R177" s="124"/>
      <c r="S177" s="124"/>
      <c r="T177" s="124"/>
      <c r="U177" s="124"/>
      <c r="V177" s="124"/>
      <c r="W177" s="124"/>
      <c r="X177" s="124"/>
      <c r="Y177" s="124"/>
      <c r="Z177" s="124"/>
      <c r="AA177" s="124"/>
      <c r="AB177" s="124"/>
      <c r="AC177" s="124"/>
      <c r="AD177" s="124"/>
      <c r="AE177" s="124"/>
      <c r="AF177" s="124"/>
    </row>
    <row r="178">
      <c r="A178" s="124"/>
      <c r="B178" s="124"/>
      <c r="C178" s="124"/>
      <c r="D178" s="125"/>
      <c r="E178" s="125"/>
      <c r="F178" s="125"/>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c r="AC178" s="124"/>
      <c r="AD178" s="124"/>
      <c r="AE178" s="124"/>
      <c r="AF178" s="124"/>
    </row>
    <row r="179">
      <c r="A179" s="124"/>
      <c r="B179" s="146" t="s">
        <v>128</v>
      </c>
      <c r="C179" s="128" t="s">
        <v>83</v>
      </c>
      <c r="D179" s="129" t="s">
        <v>84</v>
      </c>
      <c r="E179" s="129" t="s">
        <v>85</v>
      </c>
      <c r="F179" s="129"/>
      <c r="G179" s="128" t="s">
        <v>79</v>
      </c>
      <c r="H179" s="124" t="s">
        <v>80</v>
      </c>
      <c r="I179" s="124" t="s">
        <v>81</v>
      </c>
      <c r="J179" s="124" t="s">
        <v>82</v>
      </c>
      <c r="K179" s="124"/>
      <c r="L179" s="124"/>
      <c r="M179" s="124"/>
      <c r="N179" s="124"/>
      <c r="O179" s="124"/>
      <c r="P179" s="124"/>
      <c r="Q179" s="124"/>
      <c r="R179" s="124"/>
      <c r="S179" s="124"/>
      <c r="T179" s="124"/>
      <c r="U179" s="124"/>
      <c r="V179" s="124"/>
      <c r="W179" s="124"/>
      <c r="X179" s="124"/>
      <c r="Y179" s="124"/>
      <c r="Z179" s="124"/>
      <c r="AA179" s="124"/>
      <c r="AB179" s="124"/>
      <c r="AC179" s="124"/>
      <c r="AD179" s="124"/>
      <c r="AE179" s="124"/>
      <c r="AF179" s="124"/>
    </row>
    <row r="180">
      <c r="A180" s="124"/>
      <c r="B180" s="130">
        <v>2015.0</v>
      </c>
      <c r="C180" s="131">
        <v>276758.0</v>
      </c>
      <c r="D180" s="154">
        <f t="shared" ref="D180:D187" si="193">24.83*C180/100</f>
        <v>68719.0114</v>
      </c>
      <c r="E180" s="154">
        <f t="shared" ref="E180:E187" si="194">75.17*C180/100</f>
        <v>208038.9886</v>
      </c>
      <c r="F180" s="154"/>
      <c r="G180" s="132">
        <f t="shared" ref="G180:G187" si="195">24.83*1.6*C180/10000</f>
        <v>1099.504182</v>
      </c>
      <c r="H180" s="132">
        <f t="shared" ref="H180:H187" si="196">((24.83*7.4)*C180)/10000</f>
        <v>5085.206844</v>
      </c>
      <c r="I180" s="132">
        <f t="shared" ref="I180:I187" si="197">75.17*C180/10000</f>
        <v>2080.389886</v>
      </c>
      <c r="J180" s="132">
        <f t="shared" ref="J180:J187" si="198">75.17*13.2*C180/10000</f>
        <v>27461.1465</v>
      </c>
      <c r="K180" s="124"/>
      <c r="L180" s="146" t="s">
        <v>129</v>
      </c>
      <c r="M180" s="128"/>
      <c r="N180" s="128"/>
      <c r="O180" s="128"/>
      <c r="P180" s="128" t="s">
        <v>83</v>
      </c>
      <c r="Q180" s="128" t="s">
        <v>79</v>
      </c>
      <c r="R180" s="124" t="s">
        <v>80</v>
      </c>
      <c r="S180" s="124" t="s">
        <v>81</v>
      </c>
      <c r="T180" s="124" t="s">
        <v>82</v>
      </c>
      <c r="U180" s="124"/>
      <c r="V180" s="124"/>
      <c r="W180" s="124"/>
      <c r="X180" s="124"/>
      <c r="Y180" s="124"/>
      <c r="Z180" s="124"/>
      <c r="AA180" s="124"/>
      <c r="AB180" s="124"/>
      <c r="AC180" s="124"/>
      <c r="AD180" s="124"/>
      <c r="AE180" s="124"/>
      <c r="AF180" s="124"/>
    </row>
    <row r="181">
      <c r="A181" s="124"/>
      <c r="B181" s="130">
        <v>2016.0</v>
      </c>
      <c r="C181" s="131">
        <v>285384.0</v>
      </c>
      <c r="D181" s="154">
        <f t="shared" si="193"/>
        <v>70860.8472</v>
      </c>
      <c r="E181" s="154">
        <f t="shared" si="194"/>
        <v>214523.1528</v>
      </c>
      <c r="F181" s="154"/>
      <c r="G181" s="132">
        <f t="shared" si="195"/>
        <v>1133.773555</v>
      </c>
      <c r="H181" s="132">
        <f t="shared" si="196"/>
        <v>5243.702693</v>
      </c>
      <c r="I181" s="132">
        <f t="shared" si="197"/>
        <v>2145.231528</v>
      </c>
      <c r="J181" s="132">
        <f t="shared" si="198"/>
        <v>28317.05617</v>
      </c>
      <c r="K181" s="124"/>
      <c r="L181" s="130">
        <v>2015.0</v>
      </c>
      <c r="M181" s="130">
        <f t="shared" ref="M181:M188" si="199">31.67*P181/100</f>
        <v>449674.7292</v>
      </c>
      <c r="N181" s="130">
        <f t="shared" ref="N181:N188" si="200">68.33*P181/100</f>
        <v>970201.2708</v>
      </c>
      <c r="O181" s="130"/>
      <c r="P181" s="131">
        <v>1419876.0</v>
      </c>
      <c r="Q181" s="132">
        <f t="shared" ref="Q181:Q188" si="201">31.67*1.6*P181/10000</f>
        <v>7194.795667</v>
      </c>
      <c r="R181" s="132">
        <f t="shared" ref="R181:R188" si="202">31.67*P181*7.4/10000</f>
        <v>33275.92996</v>
      </c>
      <c r="S181" s="132">
        <f t="shared" ref="S181:S188" si="203">68.33*P181/10000</f>
        <v>9702.012708</v>
      </c>
      <c r="T181" s="132">
        <f t="shared" ref="T181:T188" si="204">68.33*P181*13.2/10000</f>
        <v>128066.5677</v>
      </c>
      <c r="U181" s="124"/>
      <c r="V181" s="124"/>
      <c r="W181" s="124"/>
      <c r="X181" s="124"/>
      <c r="Y181" s="124"/>
      <c r="Z181" s="124"/>
      <c r="AA181" s="124"/>
      <c r="AB181" s="124"/>
      <c r="AC181" s="124"/>
      <c r="AD181" s="124"/>
      <c r="AE181" s="124"/>
      <c r="AF181" s="124"/>
    </row>
    <row r="182">
      <c r="A182" s="124"/>
      <c r="B182" s="130">
        <v>2017.0</v>
      </c>
      <c r="C182" s="131">
        <v>294102.0</v>
      </c>
      <c r="D182" s="154">
        <f t="shared" si="193"/>
        <v>73025.5266</v>
      </c>
      <c r="E182" s="154">
        <f t="shared" si="194"/>
        <v>221076.4734</v>
      </c>
      <c r="F182" s="154"/>
      <c r="G182" s="132">
        <f t="shared" si="195"/>
        <v>1168.408426</v>
      </c>
      <c r="H182" s="132">
        <f t="shared" si="196"/>
        <v>5403.888968</v>
      </c>
      <c r="I182" s="132">
        <f t="shared" si="197"/>
        <v>2210.764734</v>
      </c>
      <c r="J182" s="132">
        <f t="shared" si="198"/>
        <v>29182.09449</v>
      </c>
      <c r="K182" s="124"/>
      <c r="L182" s="130">
        <v>2016.0</v>
      </c>
      <c r="M182" s="130">
        <f t="shared" si="199"/>
        <v>463690.9211</v>
      </c>
      <c r="N182" s="130">
        <f t="shared" si="200"/>
        <v>1000442.079</v>
      </c>
      <c r="O182" s="130"/>
      <c r="P182" s="131">
        <v>1464133.0</v>
      </c>
      <c r="Q182" s="132">
        <f t="shared" si="201"/>
        <v>7419.054738</v>
      </c>
      <c r="R182" s="132">
        <f t="shared" si="202"/>
        <v>34313.12816</v>
      </c>
      <c r="S182" s="132">
        <f t="shared" si="203"/>
        <v>10004.42079</v>
      </c>
      <c r="T182" s="132">
        <f t="shared" si="204"/>
        <v>132058.3544</v>
      </c>
      <c r="U182" s="124"/>
      <c r="V182" s="124"/>
      <c r="W182" s="124"/>
      <c r="X182" s="124"/>
      <c r="Y182" s="124"/>
      <c r="Z182" s="124"/>
      <c r="AA182" s="124"/>
      <c r="AB182" s="124"/>
      <c r="AC182" s="124"/>
      <c r="AD182" s="124"/>
      <c r="AE182" s="124"/>
      <c r="AF182" s="124"/>
    </row>
    <row r="183">
      <c r="A183" s="124"/>
      <c r="B183" s="130">
        <v>2018.0</v>
      </c>
      <c r="C183" s="131">
        <v>302906.0</v>
      </c>
      <c r="D183" s="154">
        <f t="shared" si="193"/>
        <v>75211.5598</v>
      </c>
      <c r="E183" s="154">
        <f t="shared" si="194"/>
        <v>227694.4402</v>
      </c>
      <c r="F183" s="154"/>
      <c r="G183" s="132">
        <f t="shared" si="195"/>
        <v>1203.384957</v>
      </c>
      <c r="H183" s="132">
        <f t="shared" si="196"/>
        <v>5565.655425</v>
      </c>
      <c r="I183" s="132">
        <f t="shared" si="197"/>
        <v>2276.944402</v>
      </c>
      <c r="J183" s="132">
        <f t="shared" si="198"/>
        <v>30055.66611</v>
      </c>
      <c r="K183" s="124"/>
      <c r="L183" s="130">
        <v>2017.0</v>
      </c>
      <c r="M183" s="130">
        <f t="shared" si="199"/>
        <v>477855.0119</v>
      </c>
      <c r="N183" s="130">
        <f t="shared" si="200"/>
        <v>1031001.988</v>
      </c>
      <c r="O183" s="130"/>
      <c r="P183" s="131">
        <v>1508857.0</v>
      </c>
      <c r="Q183" s="132">
        <f t="shared" si="201"/>
        <v>7645.68019</v>
      </c>
      <c r="R183" s="132">
        <f t="shared" si="202"/>
        <v>35361.27088</v>
      </c>
      <c r="S183" s="132">
        <f t="shared" si="203"/>
        <v>10310.01988</v>
      </c>
      <c r="T183" s="132">
        <f t="shared" si="204"/>
        <v>136092.2624</v>
      </c>
      <c r="U183" s="124"/>
      <c r="V183" s="124"/>
      <c r="W183" s="124"/>
      <c r="X183" s="124"/>
      <c r="Y183" s="124"/>
      <c r="Z183" s="124"/>
      <c r="AA183" s="124"/>
      <c r="AB183" s="124"/>
      <c r="AC183" s="124"/>
      <c r="AD183" s="124"/>
      <c r="AE183" s="124"/>
      <c r="AF183" s="124"/>
    </row>
    <row r="184">
      <c r="A184" s="124"/>
      <c r="B184" s="130">
        <v>2019.0</v>
      </c>
      <c r="C184" s="131">
        <v>311792.0</v>
      </c>
      <c r="D184" s="154">
        <f t="shared" si="193"/>
        <v>77417.9536</v>
      </c>
      <c r="E184" s="154">
        <f t="shared" si="194"/>
        <v>234374.0464</v>
      </c>
      <c r="F184" s="154"/>
      <c r="G184" s="132">
        <f t="shared" si="195"/>
        <v>1238.687258</v>
      </c>
      <c r="H184" s="132">
        <f t="shared" si="196"/>
        <v>5728.928566</v>
      </c>
      <c r="I184" s="132">
        <f t="shared" si="197"/>
        <v>2343.740464</v>
      </c>
      <c r="J184" s="132">
        <f t="shared" si="198"/>
        <v>30937.37412</v>
      </c>
      <c r="K184" s="124"/>
      <c r="L184" s="130">
        <v>2018.0</v>
      </c>
      <c r="M184" s="130">
        <f t="shared" si="199"/>
        <v>492159.7175</v>
      </c>
      <c r="N184" s="130">
        <f t="shared" si="200"/>
        <v>1061865.283</v>
      </c>
      <c r="O184" s="130"/>
      <c r="P184" s="131">
        <v>1554025.0</v>
      </c>
      <c r="Q184" s="132">
        <f t="shared" si="201"/>
        <v>7874.55548</v>
      </c>
      <c r="R184" s="132">
        <f t="shared" si="202"/>
        <v>36419.8191</v>
      </c>
      <c r="S184" s="132">
        <f t="shared" si="203"/>
        <v>10618.65283</v>
      </c>
      <c r="T184" s="132">
        <f t="shared" si="204"/>
        <v>140166.2173</v>
      </c>
      <c r="U184" s="124"/>
      <c r="V184" s="124"/>
      <c r="W184" s="124"/>
      <c r="X184" s="124"/>
      <c r="Y184" s="124"/>
      <c r="Z184" s="124"/>
      <c r="AA184" s="124"/>
      <c r="AB184" s="124"/>
      <c r="AC184" s="124"/>
      <c r="AD184" s="124"/>
      <c r="AE184" s="124"/>
      <c r="AF184" s="124"/>
    </row>
    <row r="185">
      <c r="A185" s="124"/>
      <c r="B185" s="130">
        <v>2020.0</v>
      </c>
      <c r="C185" s="131">
        <v>320756.0</v>
      </c>
      <c r="D185" s="154">
        <f t="shared" si="193"/>
        <v>79643.7148</v>
      </c>
      <c r="E185" s="154">
        <f t="shared" si="194"/>
        <v>241112.2852</v>
      </c>
      <c r="F185" s="154"/>
      <c r="G185" s="132">
        <f t="shared" si="195"/>
        <v>1274.299437</v>
      </c>
      <c r="H185" s="132">
        <f t="shared" si="196"/>
        <v>5893.634895</v>
      </c>
      <c r="I185" s="132">
        <f t="shared" si="197"/>
        <v>2411.122852</v>
      </c>
      <c r="J185" s="132">
        <f t="shared" si="198"/>
        <v>31826.82165</v>
      </c>
      <c r="K185" s="124"/>
      <c r="L185" s="130">
        <v>2019.0</v>
      </c>
      <c r="M185" s="130">
        <f t="shared" si="199"/>
        <v>506598.0705</v>
      </c>
      <c r="N185" s="130">
        <f t="shared" si="200"/>
        <v>1093016.93</v>
      </c>
      <c r="O185" s="130"/>
      <c r="P185" s="131">
        <v>1599615.0</v>
      </c>
      <c r="Q185" s="132">
        <f t="shared" si="201"/>
        <v>8105.569128</v>
      </c>
      <c r="R185" s="132">
        <f t="shared" si="202"/>
        <v>37488.25722</v>
      </c>
      <c r="S185" s="132">
        <f t="shared" si="203"/>
        <v>10930.1693</v>
      </c>
      <c r="T185" s="132">
        <f t="shared" si="204"/>
        <v>144278.2347</v>
      </c>
      <c r="U185" s="124"/>
      <c r="V185" s="124"/>
      <c r="W185" s="124"/>
      <c r="X185" s="124"/>
      <c r="Y185" s="124"/>
      <c r="Z185" s="124"/>
      <c r="AA185" s="124"/>
      <c r="AB185" s="124"/>
      <c r="AC185" s="124"/>
      <c r="AD185" s="124"/>
      <c r="AE185" s="124"/>
      <c r="AF185" s="124"/>
    </row>
    <row r="186">
      <c r="A186" s="124"/>
      <c r="B186" s="134">
        <v>2021.0</v>
      </c>
      <c r="C186" s="135">
        <v>329793.0</v>
      </c>
      <c r="D186" s="154">
        <f t="shared" si="193"/>
        <v>81887.6019</v>
      </c>
      <c r="E186" s="154">
        <f t="shared" si="194"/>
        <v>247905.3981</v>
      </c>
      <c r="F186" s="154"/>
      <c r="G186" s="132">
        <f t="shared" si="195"/>
        <v>1310.20163</v>
      </c>
      <c r="H186" s="132">
        <f t="shared" si="196"/>
        <v>6059.682541</v>
      </c>
      <c r="I186" s="132">
        <f t="shared" si="197"/>
        <v>2479.053981</v>
      </c>
      <c r="J186" s="132">
        <f t="shared" si="198"/>
        <v>32723.51255</v>
      </c>
      <c r="K186" s="124"/>
      <c r="L186" s="130">
        <v>2020.0</v>
      </c>
      <c r="M186" s="130">
        <f t="shared" si="199"/>
        <v>521162.7868</v>
      </c>
      <c r="N186" s="130">
        <f t="shared" si="200"/>
        <v>1124441.213</v>
      </c>
      <c r="O186" s="130"/>
      <c r="P186" s="131">
        <v>1645604.0</v>
      </c>
      <c r="Q186" s="132">
        <f t="shared" si="201"/>
        <v>8338.604589</v>
      </c>
      <c r="R186" s="132">
        <f t="shared" si="202"/>
        <v>38566.04622</v>
      </c>
      <c r="S186" s="132">
        <f t="shared" si="203"/>
        <v>11244.41213</v>
      </c>
      <c r="T186" s="132">
        <f t="shared" si="204"/>
        <v>148426.2401</v>
      </c>
      <c r="U186" s="124"/>
      <c r="V186" s="124"/>
      <c r="W186" s="124"/>
      <c r="X186" s="124"/>
      <c r="Y186" s="124"/>
      <c r="Z186" s="124"/>
      <c r="AA186" s="124"/>
      <c r="AB186" s="124"/>
      <c r="AC186" s="124"/>
      <c r="AD186" s="124"/>
      <c r="AE186" s="124"/>
      <c r="AF186" s="124"/>
    </row>
    <row r="187">
      <c r="A187" s="124"/>
      <c r="B187" s="140">
        <v>2022.0</v>
      </c>
      <c r="C187" s="152">
        <v>376600.0</v>
      </c>
      <c r="D187" s="125">
        <f t="shared" si="193"/>
        <v>93509.78</v>
      </c>
      <c r="E187" s="125">
        <f t="shared" si="194"/>
        <v>283090.22</v>
      </c>
      <c r="F187" s="125"/>
      <c r="G187" s="124">
        <f t="shared" si="195"/>
        <v>1496.15648</v>
      </c>
      <c r="H187" s="124">
        <f t="shared" si="196"/>
        <v>6919.72372</v>
      </c>
      <c r="I187" s="124">
        <f t="shared" si="197"/>
        <v>2830.9022</v>
      </c>
      <c r="J187" s="124">
        <f t="shared" si="198"/>
        <v>37367.90904</v>
      </c>
      <c r="K187" s="124"/>
      <c r="L187" s="134">
        <v>2021.0</v>
      </c>
      <c r="M187" s="130">
        <f t="shared" si="199"/>
        <v>535846.5823</v>
      </c>
      <c r="N187" s="130">
        <f t="shared" si="200"/>
        <v>1156122.418</v>
      </c>
      <c r="O187" s="134"/>
      <c r="P187" s="135">
        <v>1691969.0</v>
      </c>
      <c r="Q187" s="132">
        <f t="shared" si="201"/>
        <v>8573.545317</v>
      </c>
      <c r="R187" s="132">
        <f t="shared" si="202"/>
        <v>39652.64709</v>
      </c>
      <c r="S187" s="132">
        <f t="shared" si="203"/>
        <v>11561.22418</v>
      </c>
      <c r="T187" s="132">
        <f t="shared" si="204"/>
        <v>152608.1591</v>
      </c>
      <c r="U187" s="124"/>
      <c r="V187" s="124"/>
      <c r="W187" s="124"/>
      <c r="X187" s="124"/>
      <c r="Y187" s="124"/>
      <c r="Z187" s="124"/>
      <c r="AA187" s="124"/>
      <c r="AB187" s="124"/>
      <c r="AC187" s="124"/>
      <c r="AD187" s="124"/>
      <c r="AE187" s="124"/>
      <c r="AF187" s="124"/>
    </row>
    <row r="188">
      <c r="A188" s="124"/>
      <c r="B188" s="140"/>
      <c r="C188" s="152"/>
      <c r="D188" s="125"/>
      <c r="E188" s="125"/>
      <c r="F188" s="125"/>
      <c r="G188" s="124"/>
      <c r="H188" s="124"/>
      <c r="I188" s="124"/>
      <c r="J188" s="124"/>
      <c r="K188" s="124"/>
      <c r="L188" s="182"/>
      <c r="M188" s="182">
        <f t="shared" si="199"/>
        <v>538390</v>
      </c>
      <c r="N188" s="182">
        <f t="shared" si="200"/>
        <v>1161610</v>
      </c>
      <c r="O188" s="182"/>
      <c r="P188" s="148">
        <v>1700000.0</v>
      </c>
      <c r="Q188" s="132">
        <f t="shared" si="201"/>
        <v>8614.24</v>
      </c>
      <c r="R188" s="132">
        <f t="shared" si="202"/>
        <v>39840.86</v>
      </c>
      <c r="S188" s="132">
        <f t="shared" si="203"/>
        <v>11616.1</v>
      </c>
      <c r="T188" s="132">
        <f t="shared" si="204"/>
        <v>153332.52</v>
      </c>
      <c r="U188" s="124"/>
      <c r="V188" s="124"/>
      <c r="W188" s="124"/>
      <c r="X188" s="124"/>
      <c r="Y188" s="124"/>
      <c r="Z188" s="124"/>
      <c r="AA188" s="124"/>
      <c r="AB188" s="124"/>
      <c r="AC188" s="124"/>
      <c r="AD188" s="124"/>
      <c r="AE188" s="124"/>
      <c r="AF188" s="124"/>
    </row>
    <row r="189">
      <c r="A189" s="124"/>
      <c r="B189" s="124"/>
      <c r="C189" s="128" t="s">
        <v>83</v>
      </c>
      <c r="D189" s="129" t="s">
        <v>84</v>
      </c>
      <c r="E189" s="129" t="s">
        <v>85</v>
      </c>
      <c r="F189" s="129"/>
      <c r="G189" s="128" t="s">
        <v>79</v>
      </c>
      <c r="H189" s="124" t="s">
        <v>80</v>
      </c>
      <c r="I189" s="124" t="s">
        <v>81</v>
      </c>
      <c r="J189" s="124" t="s">
        <v>82</v>
      </c>
      <c r="K189" s="124"/>
      <c r="L189" s="124"/>
      <c r="M189" s="124"/>
      <c r="N189" s="124"/>
      <c r="O189" s="124"/>
      <c r="P189" s="124"/>
      <c r="Q189" s="124"/>
      <c r="R189" s="124"/>
      <c r="S189" s="124"/>
      <c r="T189" s="140" t="s">
        <v>130</v>
      </c>
      <c r="U189" s="124"/>
      <c r="V189" s="124"/>
      <c r="W189" s="124"/>
      <c r="X189" s="124"/>
      <c r="Y189" s="124"/>
      <c r="Z189" s="124"/>
      <c r="AA189" s="124"/>
      <c r="AB189" s="124"/>
      <c r="AC189" s="124"/>
      <c r="AD189" s="124"/>
      <c r="AE189" s="124"/>
      <c r="AF189" s="124"/>
    </row>
    <row r="190">
      <c r="A190" s="124"/>
      <c r="B190" s="124" t="s">
        <v>131</v>
      </c>
      <c r="C190" s="130">
        <v>2015.0</v>
      </c>
      <c r="D190" s="154">
        <f t="shared" ref="D190:D197" si="206">SUM(D180,D170)</f>
        <v>277075.7794</v>
      </c>
      <c r="E190" s="154">
        <f t="shared" ref="E190:E197" si="207">SUM(E170,E180)</f>
        <v>390742.2206</v>
      </c>
      <c r="F190" s="154"/>
      <c r="G190" s="132">
        <f t="shared" ref="G190:J190" si="205">G170+G180</f>
        <v>4433.21247</v>
      </c>
      <c r="H190" s="132">
        <f t="shared" si="205"/>
        <v>20532.54612</v>
      </c>
      <c r="I190" s="132">
        <f t="shared" si="205"/>
        <v>3907.422206</v>
      </c>
      <c r="J190" s="132">
        <f t="shared" si="205"/>
        <v>51577.97312</v>
      </c>
      <c r="K190" s="124"/>
      <c r="L190" s="124"/>
      <c r="M190" s="124"/>
      <c r="N190" s="124"/>
      <c r="O190" s="124"/>
      <c r="P190" s="124"/>
      <c r="Q190" s="124"/>
      <c r="R190" s="124"/>
      <c r="S190" s="124"/>
      <c r="T190" s="124"/>
      <c r="U190" s="124"/>
      <c r="V190" s="124"/>
      <c r="W190" s="124"/>
      <c r="X190" s="124"/>
      <c r="Y190" s="124"/>
      <c r="Z190" s="124"/>
      <c r="AA190" s="124"/>
      <c r="AB190" s="124"/>
      <c r="AC190" s="124"/>
      <c r="AD190" s="124"/>
      <c r="AE190" s="124"/>
      <c r="AF190" s="124"/>
    </row>
    <row r="191">
      <c r="A191" s="124"/>
      <c r="B191" s="124"/>
      <c r="C191" s="130">
        <v>2016.0</v>
      </c>
      <c r="D191" s="154">
        <f t="shared" si="206"/>
        <v>285711.9144</v>
      </c>
      <c r="E191" s="154">
        <f t="shared" si="207"/>
        <v>402921.0856</v>
      </c>
      <c r="F191" s="154"/>
      <c r="G191" s="132">
        <f t="shared" ref="G191:J191" si="208">G171+G181</f>
        <v>4571.39063</v>
      </c>
      <c r="H191" s="132">
        <f t="shared" si="208"/>
        <v>21172.52209</v>
      </c>
      <c r="I191" s="132">
        <f t="shared" si="208"/>
        <v>4029.210856</v>
      </c>
      <c r="J191" s="132">
        <f t="shared" si="208"/>
        <v>53185.5833</v>
      </c>
      <c r="K191" s="124"/>
      <c r="L191" s="124"/>
      <c r="M191" s="124"/>
      <c r="N191" s="124"/>
      <c r="O191" s="124"/>
      <c r="P191" s="124"/>
      <c r="Q191" s="124"/>
      <c r="R191" s="124"/>
      <c r="S191" s="124"/>
      <c r="T191" s="124"/>
      <c r="U191" s="124"/>
      <c r="V191" s="124"/>
      <c r="W191" s="124"/>
      <c r="X191" s="124"/>
      <c r="Y191" s="124"/>
      <c r="Z191" s="124"/>
      <c r="AA191" s="124"/>
      <c r="AB191" s="124"/>
      <c r="AC191" s="124"/>
      <c r="AD191" s="124"/>
      <c r="AE191" s="124"/>
      <c r="AF191" s="124"/>
    </row>
    <row r="192">
      <c r="A192" s="124"/>
      <c r="B192" s="124"/>
      <c r="C192" s="130">
        <v>2017.0</v>
      </c>
      <c r="D192" s="154">
        <f t="shared" si="206"/>
        <v>294439.6242</v>
      </c>
      <c r="E192" s="154">
        <f t="shared" si="207"/>
        <v>415229.3758</v>
      </c>
      <c r="F192" s="154"/>
      <c r="G192" s="132">
        <f t="shared" ref="G192:J192" si="209">G172+G182</f>
        <v>4711.033987</v>
      </c>
      <c r="H192" s="132">
        <f t="shared" si="209"/>
        <v>21819.28415</v>
      </c>
      <c r="I192" s="132">
        <f t="shared" si="209"/>
        <v>4152.293758</v>
      </c>
      <c r="J192" s="132">
        <f t="shared" si="209"/>
        <v>54810.27761</v>
      </c>
      <c r="K192" s="124"/>
      <c r="L192" s="124"/>
      <c r="M192" s="124"/>
      <c r="N192" s="124"/>
      <c r="O192" s="124"/>
      <c r="P192" s="124"/>
      <c r="Q192" s="124"/>
      <c r="R192" s="124"/>
      <c r="S192" s="124"/>
      <c r="T192" s="124"/>
      <c r="U192" s="124"/>
      <c r="V192" s="124"/>
      <c r="W192" s="124"/>
      <c r="X192" s="124"/>
      <c r="Y192" s="124"/>
      <c r="Z192" s="124"/>
      <c r="AA192" s="124"/>
      <c r="AB192" s="124"/>
      <c r="AC192" s="124"/>
      <c r="AD192" s="124"/>
      <c r="AE192" s="124"/>
      <c r="AF192" s="124"/>
    </row>
    <row r="193">
      <c r="A193" s="124"/>
      <c r="B193" s="124"/>
      <c r="C193" s="130">
        <v>2018.0</v>
      </c>
      <c r="D193" s="154">
        <f t="shared" si="206"/>
        <v>303253.6894</v>
      </c>
      <c r="E193" s="154">
        <f t="shared" si="207"/>
        <v>427659.3106</v>
      </c>
      <c r="F193" s="154"/>
      <c r="G193" s="132">
        <f t="shared" ref="G193:J193" si="210">G173+G183</f>
        <v>4852.05903</v>
      </c>
      <c r="H193" s="132">
        <f t="shared" si="210"/>
        <v>22472.44553</v>
      </c>
      <c r="I193" s="132">
        <f t="shared" si="210"/>
        <v>4276.593106</v>
      </c>
      <c r="J193" s="132">
        <f t="shared" si="210"/>
        <v>56451.029</v>
      </c>
      <c r="K193" s="124"/>
      <c r="L193" s="124"/>
      <c r="M193" s="124"/>
      <c r="N193" s="124"/>
      <c r="O193" s="124"/>
      <c r="P193" s="124"/>
      <c r="Q193" s="124"/>
      <c r="R193" s="124"/>
      <c r="S193" s="124"/>
      <c r="T193" s="124"/>
      <c r="U193" s="124"/>
      <c r="V193" s="124"/>
      <c r="W193" s="124"/>
      <c r="X193" s="124"/>
      <c r="Y193" s="124"/>
      <c r="Z193" s="124"/>
      <c r="AA193" s="124"/>
      <c r="AB193" s="124"/>
      <c r="AC193" s="124"/>
      <c r="AD193" s="124"/>
      <c r="AE193" s="124"/>
      <c r="AF193" s="124"/>
    </row>
    <row r="194">
      <c r="A194" s="124"/>
      <c r="B194" s="124"/>
      <c r="C194" s="130">
        <v>2019.0</v>
      </c>
      <c r="D194" s="154">
        <f t="shared" si="206"/>
        <v>312149.92</v>
      </c>
      <c r="E194" s="154">
        <f t="shared" si="207"/>
        <v>440205.08</v>
      </c>
      <c r="F194" s="154"/>
      <c r="G194" s="132">
        <f t="shared" ref="G194:J194" si="211">G174+G184</f>
        <v>4994.39872</v>
      </c>
      <c r="H194" s="132">
        <f t="shared" si="211"/>
        <v>23131.69574</v>
      </c>
      <c r="I194" s="132">
        <f t="shared" si="211"/>
        <v>4402.0508</v>
      </c>
      <c r="J194" s="132">
        <f t="shared" si="211"/>
        <v>58107.07056</v>
      </c>
      <c r="K194" s="124"/>
      <c r="L194" s="124"/>
      <c r="M194" s="124"/>
      <c r="N194" s="124"/>
      <c r="O194" s="124"/>
      <c r="P194" s="124"/>
      <c r="Q194" s="124"/>
      <c r="R194" s="124"/>
      <c r="S194" s="124"/>
      <c r="T194" s="124"/>
      <c r="U194" s="124"/>
      <c r="V194" s="124"/>
      <c r="W194" s="124"/>
      <c r="X194" s="124"/>
      <c r="Y194" s="124"/>
      <c r="Z194" s="124"/>
      <c r="AA194" s="124"/>
      <c r="AB194" s="124"/>
      <c r="AC194" s="124"/>
      <c r="AD194" s="124"/>
      <c r="AE194" s="124"/>
      <c r="AF194" s="124"/>
    </row>
    <row r="195">
      <c r="A195" s="124"/>
      <c r="B195" s="124"/>
      <c r="C195" s="130">
        <v>2020.0</v>
      </c>
      <c r="D195" s="154">
        <f t="shared" si="206"/>
        <v>321124.126</v>
      </c>
      <c r="E195" s="154">
        <f t="shared" si="207"/>
        <v>452860.874</v>
      </c>
      <c r="F195" s="154"/>
      <c r="G195" s="132">
        <f t="shared" ref="G195:J195" si="212">G175+G185</f>
        <v>5137.986016</v>
      </c>
      <c r="H195" s="132">
        <f t="shared" si="212"/>
        <v>23796.72427</v>
      </c>
      <c r="I195" s="132">
        <f t="shared" si="212"/>
        <v>4528.60874</v>
      </c>
      <c r="J195" s="132">
        <f t="shared" si="212"/>
        <v>59777.63537</v>
      </c>
      <c r="K195" s="124"/>
      <c r="L195" s="124"/>
      <c r="M195" s="124"/>
      <c r="N195" s="124"/>
      <c r="O195" s="124"/>
      <c r="P195" s="124"/>
      <c r="Q195" s="124"/>
      <c r="R195" s="124"/>
      <c r="S195" s="124"/>
      <c r="T195" s="124"/>
      <c r="U195" s="124"/>
      <c r="V195" s="124"/>
      <c r="W195" s="124"/>
      <c r="X195" s="124"/>
      <c r="Y195" s="124"/>
      <c r="Z195" s="124"/>
      <c r="AA195" s="124"/>
      <c r="AB195" s="124"/>
      <c r="AC195" s="124"/>
      <c r="AD195" s="124"/>
      <c r="AE195" s="124"/>
      <c r="AF195" s="124"/>
    </row>
    <row r="196">
      <c r="A196" s="124"/>
      <c r="B196" s="124"/>
      <c r="C196" s="134">
        <v>2021.0</v>
      </c>
      <c r="D196" s="154">
        <f t="shared" si="206"/>
        <v>330171.8691</v>
      </c>
      <c r="E196" s="154">
        <f t="shared" si="207"/>
        <v>465620.1309</v>
      </c>
      <c r="F196" s="154"/>
      <c r="G196" s="132">
        <f t="shared" ref="G196:J196" si="213">G176+G186</f>
        <v>5282.749906</v>
      </c>
      <c r="H196" s="132">
        <f t="shared" si="213"/>
        <v>24467.20224</v>
      </c>
      <c r="I196" s="132">
        <f t="shared" si="213"/>
        <v>4656.201309</v>
      </c>
      <c r="J196" s="132">
        <f t="shared" si="213"/>
        <v>61461.85728</v>
      </c>
      <c r="K196" s="124"/>
      <c r="L196" s="124"/>
      <c r="M196" s="124"/>
      <c r="N196" s="124"/>
      <c r="O196" s="124"/>
      <c r="P196" s="124"/>
      <c r="Q196" s="124"/>
      <c r="R196" s="124"/>
      <c r="S196" s="124"/>
      <c r="T196" s="124"/>
      <c r="U196" s="124"/>
      <c r="V196" s="124"/>
      <c r="W196" s="124"/>
      <c r="X196" s="124"/>
      <c r="Y196" s="124"/>
      <c r="Z196" s="124"/>
      <c r="AA196" s="124"/>
      <c r="AB196" s="124"/>
      <c r="AC196" s="124"/>
      <c r="AD196" s="124"/>
      <c r="AE196" s="124"/>
      <c r="AF196" s="124"/>
    </row>
    <row r="197">
      <c r="A197" s="124"/>
      <c r="B197" s="124"/>
      <c r="C197" s="124"/>
      <c r="D197" s="125">
        <f t="shared" si="206"/>
        <v>363586.1</v>
      </c>
      <c r="E197" s="125">
        <f t="shared" si="207"/>
        <v>519913.9</v>
      </c>
      <c r="F197" s="125"/>
      <c r="G197" s="124">
        <f>SUM(G187,G177)</f>
        <v>5817.3776</v>
      </c>
      <c r="H197" s="124">
        <f t="shared" ref="H197:J197" si="214">H177+H187</f>
        <v>26942.882</v>
      </c>
      <c r="I197" s="124">
        <f t="shared" si="214"/>
        <v>5199.139</v>
      </c>
      <c r="J197" s="124">
        <f t="shared" si="214"/>
        <v>68628.6348</v>
      </c>
      <c r="K197" s="124"/>
      <c r="L197" s="124"/>
      <c r="M197" s="124"/>
      <c r="N197" s="124"/>
      <c r="O197" s="124"/>
      <c r="P197" s="124"/>
      <c r="Q197" s="124"/>
      <c r="R197" s="124"/>
      <c r="S197" s="124"/>
      <c r="T197" s="124"/>
      <c r="U197" s="124"/>
      <c r="V197" s="124"/>
      <c r="W197" s="124"/>
      <c r="X197" s="124"/>
      <c r="Y197" s="124"/>
      <c r="Z197" s="124"/>
      <c r="AA197" s="124"/>
      <c r="AB197" s="124"/>
      <c r="AC197" s="124"/>
      <c r="AD197" s="124"/>
      <c r="AE197" s="124"/>
      <c r="AF197" s="12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