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HREYAN\Desktop\BDM\"/>
    </mc:Choice>
  </mc:AlternateContent>
  <xr:revisionPtr revIDLastSave="0" documentId="13_ncr:1_{8D2F3315-11A9-4392-AA7E-C49AD9F48F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Sheet1!$AN$10</definedName>
    <definedName name="_xlchart.v1.1" hidden="1">Sheet1!$AN$11</definedName>
    <definedName name="_xlchart.v1.10" hidden="1">Sheet1!$AO$10:$BH$10</definedName>
    <definedName name="_xlchart.v1.11" hidden="1">Sheet1!$AO$11:$BH$11</definedName>
    <definedName name="_xlchart.v1.12" hidden="1">Sheet1!$AO$12:$BH$12</definedName>
    <definedName name="_xlchart.v1.13" hidden="1">Sheet1!$AO$2:$BH$2</definedName>
    <definedName name="_xlchart.v1.14" hidden="1">Sheet1!$AO$3:$BH$3</definedName>
    <definedName name="_xlchart.v1.15" hidden="1">Sheet1!$AO$4:$BH$4</definedName>
    <definedName name="_xlchart.v1.16" hidden="1">Sheet1!$AO$5:$BH$5</definedName>
    <definedName name="_xlchart.v1.17" hidden="1">Sheet1!$AO$6:$BH$6</definedName>
    <definedName name="_xlchart.v1.18" hidden="1">Sheet1!$AO$7:$BH$7</definedName>
    <definedName name="_xlchart.v1.19" hidden="1">Sheet1!$AO$8:$BH$8</definedName>
    <definedName name="_xlchart.v1.2" hidden="1">Sheet1!$AN$12</definedName>
    <definedName name="_xlchart.v1.20" hidden="1">Sheet1!$AO$9:$BH$9</definedName>
    <definedName name="_xlchart.v1.3" hidden="1">Sheet1!$AN$3</definedName>
    <definedName name="_xlchart.v1.4" hidden="1">Sheet1!$AN$4</definedName>
    <definedName name="_xlchart.v1.5" hidden="1">Sheet1!$AN$5</definedName>
    <definedName name="_xlchart.v1.6" hidden="1">Sheet1!$AN$6</definedName>
    <definedName name="_xlchart.v1.7" hidden="1">Sheet1!$AN$7</definedName>
    <definedName name="_xlchart.v1.8" hidden="1">Sheet1!$AN$8</definedName>
    <definedName name="_xlchart.v1.9" hidden="1">Sheet1!$AN$9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3" i="1" l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AO13" i="1"/>
  <c r="BN3" i="1"/>
  <c r="BN11" i="1"/>
  <c r="BN12" i="1"/>
  <c r="BN10" i="1"/>
  <c r="BN5" i="1"/>
  <c r="AO17" i="1"/>
  <c r="BG31" i="1"/>
  <c r="BG32" i="1"/>
  <c r="BG33" i="1"/>
  <c r="BG34" i="1"/>
  <c r="BG35" i="1"/>
  <c r="BG36" i="1"/>
  <c r="BG37" i="1"/>
  <c r="BG38" i="1"/>
  <c r="BG39" i="1"/>
  <c r="BG40" i="1"/>
  <c r="BG17" i="1"/>
  <c r="BG18" i="1"/>
  <c r="BG19" i="1"/>
  <c r="BG20" i="1"/>
  <c r="BG21" i="1"/>
  <c r="BG22" i="1"/>
  <c r="BG23" i="1"/>
  <c r="BG24" i="1"/>
  <c r="BG53" i="1" s="1"/>
  <c r="BG25" i="1"/>
  <c r="BG54" i="1" s="1"/>
  <c r="BG26" i="1"/>
  <c r="AG35" i="1"/>
  <c r="AH35" i="1"/>
  <c r="AF35" i="1"/>
  <c r="BH12" i="1"/>
  <c r="BH11" i="1"/>
  <c r="BH10" i="1"/>
  <c r="BH9" i="1"/>
  <c r="BH8" i="1"/>
  <c r="BH7" i="1"/>
  <c r="BH6" i="1"/>
  <c r="BH5" i="1"/>
  <c r="BH4" i="1"/>
  <c r="BH3" i="1"/>
  <c r="BS20" i="1" s="1"/>
  <c r="BT20" i="1" l="1"/>
  <c r="BG51" i="1"/>
  <c r="BS17" i="1"/>
  <c r="BP20" i="1"/>
  <c r="BQ20" i="1"/>
  <c r="BR20" i="1"/>
  <c r="BG47" i="1"/>
  <c r="BG50" i="1"/>
  <c r="BG55" i="1"/>
  <c r="BG49" i="1"/>
  <c r="BG48" i="1"/>
  <c r="BG46" i="1"/>
  <c r="BG52" i="1"/>
  <c r="BF31" i="1"/>
  <c r="BF32" i="1"/>
  <c r="BF33" i="1"/>
  <c r="BF34" i="1"/>
  <c r="BF35" i="1"/>
  <c r="BF36" i="1"/>
  <c r="BF37" i="1"/>
  <c r="BF38" i="1"/>
  <c r="BF39" i="1"/>
  <c r="BF40" i="1"/>
  <c r="BE31" i="1"/>
  <c r="BE32" i="1"/>
  <c r="BE33" i="1"/>
  <c r="BE34" i="1"/>
  <c r="BE35" i="1"/>
  <c r="BE36" i="1"/>
  <c r="BE37" i="1"/>
  <c r="BE38" i="1"/>
  <c r="BE39" i="1"/>
  <c r="BE40" i="1"/>
  <c r="BD31" i="1"/>
  <c r="BD32" i="1"/>
  <c r="BD33" i="1"/>
  <c r="BD34" i="1"/>
  <c r="BD35" i="1"/>
  <c r="BD36" i="1"/>
  <c r="BD37" i="1"/>
  <c r="BD38" i="1"/>
  <c r="BD39" i="1"/>
  <c r="BD40" i="1"/>
  <c r="BC31" i="1"/>
  <c r="BC32" i="1"/>
  <c r="BC33" i="1"/>
  <c r="BC34" i="1"/>
  <c r="BC35" i="1"/>
  <c r="BC36" i="1"/>
  <c r="BC37" i="1"/>
  <c r="BC38" i="1"/>
  <c r="BC39" i="1"/>
  <c r="BC40" i="1"/>
  <c r="BB31" i="1"/>
  <c r="BB32" i="1"/>
  <c r="BB33" i="1"/>
  <c r="BB34" i="1"/>
  <c r="BB35" i="1"/>
  <c r="BB36" i="1"/>
  <c r="BB37" i="1"/>
  <c r="BB38" i="1"/>
  <c r="BB39" i="1"/>
  <c r="BB40" i="1"/>
  <c r="BA31" i="1"/>
  <c r="BA32" i="1"/>
  <c r="BA33" i="1"/>
  <c r="BA34" i="1"/>
  <c r="BA35" i="1"/>
  <c r="BA36" i="1"/>
  <c r="BA37" i="1"/>
  <c r="BA38" i="1"/>
  <c r="BA39" i="1"/>
  <c r="BA40" i="1"/>
  <c r="AZ31" i="1"/>
  <c r="AZ32" i="1"/>
  <c r="AZ33" i="1"/>
  <c r="AZ34" i="1"/>
  <c r="AZ35" i="1"/>
  <c r="AZ36" i="1"/>
  <c r="AZ37" i="1"/>
  <c r="AZ38" i="1"/>
  <c r="AZ39" i="1"/>
  <c r="AZ40" i="1"/>
  <c r="AY31" i="1"/>
  <c r="AY32" i="1"/>
  <c r="AY33" i="1"/>
  <c r="AY34" i="1"/>
  <c r="AY35" i="1"/>
  <c r="AY36" i="1"/>
  <c r="AY37" i="1"/>
  <c r="AY38" i="1"/>
  <c r="AY39" i="1"/>
  <c r="AY40" i="1"/>
  <c r="AX31" i="1"/>
  <c r="AX32" i="1"/>
  <c r="AX33" i="1"/>
  <c r="AX34" i="1"/>
  <c r="AX35" i="1"/>
  <c r="AX36" i="1"/>
  <c r="AX37" i="1"/>
  <c r="AX38" i="1"/>
  <c r="AX39" i="1"/>
  <c r="AX40" i="1"/>
  <c r="AW31" i="1"/>
  <c r="AW32" i="1"/>
  <c r="AW33" i="1"/>
  <c r="AW34" i="1"/>
  <c r="AW35" i="1"/>
  <c r="AW36" i="1"/>
  <c r="AW37" i="1"/>
  <c r="AW38" i="1"/>
  <c r="AW39" i="1"/>
  <c r="AW40" i="1"/>
  <c r="AV31" i="1"/>
  <c r="AV32" i="1"/>
  <c r="AV33" i="1"/>
  <c r="AV34" i="1"/>
  <c r="AV35" i="1"/>
  <c r="AV36" i="1"/>
  <c r="AV37" i="1"/>
  <c r="AV38" i="1"/>
  <c r="AV39" i="1"/>
  <c r="AV40" i="1"/>
  <c r="AU31" i="1"/>
  <c r="AU32" i="1"/>
  <c r="AU33" i="1"/>
  <c r="AU34" i="1"/>
  <c r="AU35" i="1"/>
  <c r="AU36" i="1"/>
  <c r="AU37" i="1"/>
  <c r="AU38" i="1"/>
  <c r="AU39" i="1"/>
  <c r="AU40" i="1"/>
  <c r="AT31" i="1"/>
  <c r="AT32" i="1"/>
  <c r="AT33" i="1"/>
  <c r="AT34" i="1"/>
  <c r="AT35" i="1"/>
  <c r="AT36" i="1"/>
  <c r="AT37" i="1"/>
  <c r="AT38" i="1"/>
  <c r="AT39" i="1"/>
  <c r="AT40" i="1"/>
  <c r="AS31" i="1"/>
  <c r="AS32" i="1"/>
  <c r="AS33" i="1"/>
  <c r="AS34" i="1"/>
  <c r="AS35" i="1"/>
  <c r="AS36" i="1"/>
  <c r="AS37" i="1"/>
  <c r="AS38" i="1"/>
  <c r="AS39" i="1"/>
  <c r="AS40" i="1"/>
  <c r="AR31" i="1"/>
  <c r="AR32" i="1"/>
  <c r="AR33" i="1"/>
  <c r="AR34" i="1"/>
  <c r="AR35" i="1"/>
  <c r="AR36" i="1"/>
  <c r="AR37" i="1"/>
  <c r="AR38" i="1"/>
  <c r="AR39" i="1"/>
  <c r="AR40" i="1"/>
  <c r="AQ31" i="1"/>
  <c r="AQ32" i="1"/>
  <c r="AQ33" i="1"/>
  <c r="AQ34" i="1"/>
  <c r="AQ35" i="1"/>
  <c r="AQ36" i="1"/>
  <c r="AQ37" i="1"/>
  <c r="AQ38" i="1"/>
  <c r="AQ39" i="1"/>
  <c r="AQ40" i="1"/>
  <c r="AP31" i="1"/>
  <c r="AP32" i="1"/>
  <c r="AP33" i="1"/>
  <c r="AP34" i="1"/>
  <c r="AP35" i="1"/>
  <c r="AP36" i="1"/>
  <c r="AP37" i="1"/>
  <c r="AP38" i="1"/>
  <c r="AP39" i="1"/>
  <c r="AP40" i="1"/>
  <c r="AO31" i="1"/>
  <c r="AO46" i="1" s="1"/>
  <c r="AO32" i="1"/>
  <c r="AO33" i="1"/>
  <c r="AO34" i="1"/>
  <c r="AO35" i="1"/>
  <c r="AO36" i="1"/>
  <c r="AO37" i="1"/>
  <c r="AO38" i="1"/>
  <c r="AO39" i="1"/>
  <c r="AO40" i="1"/>
  <c r="BF17" i="1"/>
  <c r="BF18" i="1"/>
  <c r="BF19" i="1"/>
  <c r="BF20" i="1"/>
  <c r="BF21" i="1"/>
  <c r="BF22" i="1"/>
  <c r="BF23" i="1"/>
  <c r="BF24" i="1"/>
  <c r="BF25" i="1"/>
  <c r="BF26" i="1"/>
  <c r="BE17" i="1"/>
  <c r="BE18" i="1"/>
  <c r="BE19" i="1"/>
  <c r="BE20" i="1"/>
  <c r="BE21" i="1"/>
  <c r="BE22" i="1"/>
  <c r="BE23" i="1"/>
  <c r="BE24" i="1"/>
  <c r="BE25" i="1"/>
  <c r="BE26" i="1"/>
  <c r="BD17" i="1"/>
  <c r="BD18" i="1"/>
  <c r="BD19" i="1"/>
  <c r="BD20" i="1"/>
  <c r="BD21" i="1"/>
  <c r="BD22" i="1"/>
  <c r="BD23" i="1"/>
  <c r="BD24" i="1"/>
  <c r="BD25" i="1"/>
  <c r="BD26" i="1"/>
  <c r="BC17" i="1"/>
  <c r="BC18" i="1"/>
  <c r="BC19" i="1"/>
  <c r="BC20" i="1"/>
  <c r="BC21" i="1"/>
  <c r="BC22" i="1"/>
  <c r="BC23" i="1"/>
  <c r="BC24" i="1"/>
  <c r="BC25" i="1"/>
  <c r="BC26" i="1"/>
  <c r="BB17" i="1"/>
  <c r="BB18" i="1"/>
  <c r="BB19" i="1"/>
  <c r="BB20" i="1"/>
  <c r="BB21" i="1"/>
  <c r="BB22" i="1"/>
  <c r="BB23" i="1"/>
  <c r="BB24" i="1"/>
  <c r="BB25" i="1"/>
  <c r="BB26" i="1"/>
  <c r="BA17" i="1"/>
  <c r="BA18" i="1"/>
  <c r="BA19" i="1"/>
  <c r="BA20" i="1"/>
  <c r="BA21" i="1"/>
  <c r="BA22" i="1"/>
  <c r="BA23" i="1"/>
  <c r="BA24" i="1"/>
  <c r="BA25" i="1"/>
  <c r="BA26" i="1"/>
  <c r="AZ17" i="1"/>
  <c r="AZ18" i="1"/>
  <c r="AZ19" i="1"/>
  <c r="AZ20" i="1"/>
  <c r="AZ21" i="1"/>
  <c r="AZ22" i="1"/>
  <c r="AZ23" i="1"/>
  <c r="AZ24" i="1"/>
  <c r="AZ25" i="1"/>
  <c r="AZ26" i="1"/>
  <c r="AY17" i="1"/>
  <c r="AY18" i="1"/>
  <c r="AY19" i="1"/>
  <c r="AY20" i="1"/>
  <c r="AY21" i="1"/>
  <c r="AY22" i="1"/>
  <c r="AY23" i="1"/>
  <c r="AY24" i="1"/>
  <c r="AY25" i="1"/>
  <c r="AY26" i="1"/>
  <c r="AX17" i="1"/>
  <c r="AX18" i="1"/>
  <c r="AX19" i="1"/>
  <c r="AX20" i="1"/>
  <c r="AX21" i="1"/>
  <c r="AX22" i="1"/>
  <c r="AX23" i="1"/>
  <c r="AX24" i="1"/>
  <c r="AX25" i="1"/>
  <c r="AX26" i="1"/>
  <c r="AW17" i="1"/>
  <c r="AW18" i="1"/>
  <c r="AW19" i="1"/>
  <c r="AW20" i="1"/>
  <c r="AW21" i="1"/>
  <c r="AW22" i="1"/>
  <c r="AW23" i="1"/>
  <c r="AW24" i="1"/>
  <c r="AW25" i="1"/>
  <c r="AW26" i="1"/>
  <c r="AV17" i="1"/>
  <c r="AV18" i="1"/>
  <c r="AV19" i="1"/>
  <c r="AV20" i="1"/>
  <c r="AV21" i="1"/>
  <c r="AV22" i="1"/>
  <c r="AV23" i="1"/>
  <c r="AV24" i="1"/>
  <c r="AV25" i="1"/>
  <c r="AV26" i="1"/>
  <c r="AU17" i="1"/>
  <c r="AU18" i="1"/>
  <c r="AU19" i="1"/>
  <c r="AU20" i="1"/>
  <c r="AU21" i="1"/>
  <c r="AU22" i="1"/>
  <c r="AU23" i="1"/>
  <c r="AU24" i="1"/>
  <c r="AU25" i="1"/>
  <c r="AU26" i="1"/>
  <c r="AT17" i="1"/>
  <c r="AT18" i="1"/>
  <c r="AT19" i="1"/>
  <c r="AT20" i="1"/>
  <c r="AT21" i="1"/>
  <c r="AT22" i="1"/>
  <c r="AT23" i="1"/>
  <c r="AT24" i="1"/>
  <c r="AT25" i="1"/>
  <c r="AT26" i="1"/>
  <c r="AS17" i="1"/>
  <c r="AS18" i="1"/>
  <c r="AS19" i="1"/>
  <c r="AS20" i="1"/>
  <c r="AS21" i="1"/>
  <c r="AS22" i="1"/>
  <c r="AS23" i="1"/>
  <c r="AS24" i="1"/>
  <c r="AS25" i="1"/>
  <c r="AS26" i="1"/>
  <c r="AR17" i="1"/>
  <c r="AR18" i="1"/>
  <c r="AR19" i="1"/>
  <c r="AR20" i="1"/>
  <c r="AR21" i="1"/>
  <c r="AR22" i="1"/>
  <c r="AR23" i="1"/>
  <c r="AR24" i="1"/>
  <c r="AR25" i="1"/>
  <c r="AR26" i="1"/>
  <c r="AQ17" i="1"/>
  <c r="AQ18" i="1"/>
  <c r="AQ19" i="1"/>
  <c r="AQ20" i="1"/>
  <c r="AQ21" i="1"/>
  <c r="AQ22" i="1"/>
  <c r="AQ23" i="1"/>
  <c r="AQ24" i="1"/>
  <c r="AQ25" i="1"/>
  <c r="AQ26" i="1"/>
  <c r="AP17" i="1"/>
  <c r="AP18" i="1"/>
  <c r="AP19" i="1"/>
  <c r="AP20" i="1"/>
  <c r="AP21" i="1"/>
  <c r="AP22" i="1"/>
  <c r="AP23" i="1"/>
  <c r="AP24" i="1"/>
  <c r="AP25" i="1"/>
  <c r="AP26" i="1"/>
  <c r="AO18" i="1"/>
  <c r="AO47" i="1" s="1"/>
  <c r="AO19" i="1"/>
  <c r="AO20" i="1"/>
  <c r="AO49" i="1" s="1"/>
  <c r="AO21" i="1"/>
  <c r="AO22" i="1"/>
  <c r="AO51" i="1" s="1"/>
  <c r="AO23" i="1"/>
  <c r="AO52" i="1" s="1"/>
  <c r="AO24" i="1"/>
  <c r="AO53" i="1" s="1"/>
  <c r="AO25" i="1"/>
  <c r="AO54" i="1" s="1"/>
  <c r="AO26" i="1"/>
  <c r="AO55" i="1" s="1"/>
  <c r="BN4" i="1"/>
  <c r="BP17" i="1" s="1"/>
  <c r="BN6" i="1"/>
  <c r="BN7" i="1"/>
  <c r="BN8" i="1"/>
  <c r="BN9" i="1"/>
  <c r="BR17" i="1" s="1"/>
  <c r="BT17" i="1" l="1"/>
  <c r="AO50" i="1"/>
  <c r="AO48" i="1"/>
  <c r="AO56" i="1" s="1"/>
  <c r="BO20" i="1"/>
  <c r="AQ48" i="1"/>
  <c r="AT46" i="1"/>
  <c r="AT56" i="1" s="1"/>
  <c r="AW52" i="1"/>
  <c r="AZ50" i="1"/>
  <c r="BC48" i="1"/>
  <c r="BF46" i="1"/>
  <c r="AP53" i="1"/>
  <c r="AQ55" i="1"/>
  <c r="AQ47" i="1"/>
  <c r="AR49" i="1"/>
  <c r="AS51" i="1"/>
  <c r="AT53" i="1"/>
  <c r="AU55" i="1"/>
  <c r="AU47" i="1"/>
  <c r="AV49" i="1"/>
  <c r="AW51" i="1"/>
  <c r="AX53" i="1"/>
  <c r="AY55" i="1"/>
  <c r="AY47" i="1"/>
  <c r="AZ49" i="1"/>
  <c r="BA51" i="1"/>
  <c r="BB53" i="1"/>
  <c r="BC55" i="1"/>
  <c r="BC47" i="1"/>
  <c r="BD49" i="1"/>
  <c r="BE51" i="1"/>
  <c r="BF53" i="1"/>
  <c r="AP46" i="1"/>
  <c r="AR50" i="1"/>
  <c r="AT54" i="1"/>
  <c r="AV50" i="1"/>
  <c r="AX46" i="1"/>
  <c r="BA52" i="1"/>
  <c r="BB54" i="1"/>
  <c r="BD50" i="1"/>
  <c r="BE52" i="1"/>
  <c r="AQ54" i="1"/>
  <c r="AQ46" i="1"/>
  <c r="AR48" i="1"/>
  <c r="AS50" i="1"/>
  <c r="AT52" i="1"/>
  <c r="AU54" i="1"/>
  <c r="AU46" i="1"/>
  <c r="AU56" i="1" s="1"/>
  <c r="AV48" i="1"/>
  <c r="AW50" i="1"/>
  <c r="AX52" i="1"/>
  <c r="AY54" i="1"/>
  <c r="AY46" i="1"/>
  <c r="AZ48" i="1"/>
  <c r="BA50" i="1"/>
  <c r="BB52" i="1"/>
  <c r="BC54" i="1"/>
  <c r="BC46" i="1"/>
  <c r="BD48" i="1"/>
  <c r="BE50" i="1"/>
  <c r="BF52" i="1"/>
  <c r="AP54" i="1"/>
  <c r="AS52" i="1"/>
  <c r="AU48" i="1"/>
  <c r="AX54" i="1"/>
  <c r="AY48" i="1"/>
  <c r="BB46" i="1"/>
  <c r="BF54" i="1"/>
  <c r="AP52" i="1"/>
  <c r="AP55" i="1"/>
  <c r="AP47" i="1"/>
  <c r="AQ49" i="1"/>
  <c r="AR51" i="1"/>
  <c r="AS53" i="1"/>
  <c r="AT55" i="1"/>
  <c r="AT47" i="1"/>
  <c r="AU49" i="1"/>
  <c r="AV51" i="1"/>
  <c r="AW53" i="1"/>
  <c r="AX55" i="1"/>
  <c r="AX47" i="1"/>
  <c r="AY49" i="1"/>
  <c r="AZ51" i="1"/>
  <c r="BA53" i="1"/>
  <c r="BB55" i="1"/>
  <c r="BB47" i="1"/>
  <c r="BC49" i="1"/>
  <c r="BD51" i="1"/>
  <c r="BE53" i="1"/>
  <c r="BF55" i="1"/>
  <c r="BF47" i="1"/>
  <c r="AP51" i="1"/>
  <c r="AR55" i="1"/>
  <c r="AS49" i="1"/>
  <c r="AU53" i="1"/>
  <c r="AV47" i="1"/>
  <c r="AW49" i="1"/>
  <c r="AY53" i="1"/>
  <c r="AZ55" i="1"/>
  <c r="BA49" i="1"/>
  <c r="BB51" i="1"/>
  <c r="BC53" i="1"/>
  <c r="BD55" i="1"/>
  <c r="BD47" i="1"/>
  <c r="BE49" i="1"/>
  <c r="BF51" i="1"/>
  <c r="AP50" i="1"/>
  <c r="AR54" i="1"/>
  <c r="AS48" i="1"/>
  <c r="AU52" i="1"/>
  <c r="AV46" i="1"/>
  <c r="AW48" i="1"/>
  <c r="AY52" i="1"/>
  <c r="AZ46" i="1"/>
  <c r="BB50" i="1"/>
  <c r="BD54" i="1"/>
  <c r="BE48" i="1"/>
  <c r="BQ17" i="1"/>
  <c r="BO17" i="1" s="1"/>
  <c r="AP49" i="1"/>
  <c r="AQ51" i="1"/>
  <c r="AR53" i="1"/>
  <c r="AS55" i="1"/>
  <c r="AS47" i="1"/>
  <c r="AT49" i="1"/>
  <c r="AU51" i="1"/>
  <c r="AV53" i="1"/>
  <c r="AW55" i="1"/>
  <c r="AW47" i="1"/>
  <c r="AX49" i="1"/>
  <c r="AY51" i="1"/>
  <c r="AZ53" i="1"/>
  <c r="BA55" i="1"/>
  <c r="BA47" i="1"/>
  <c r="BB49" i="1"/>
  <c r="BC51" i="1"/>
  <c r="BD53" i="1"/>
  <c r="BE55" i="1"/>
  <c r="BE47" i="1"/>
  <c r="BF49" i="1"/>
  <c r="AQ53" i="1"/>
  <c r="AR47" i="1"/>
  <c r="AT51" i="1"/>
  <c r="AV55" i="1"/>
  <c r="AX51" i="1"/>
  <c r="AZ47" i="1"/>
  <c r="AQ52" i="1"/>
  <c r="AR46" i="1"/>
  <c r="AT50" i="1"/>
  <c r="AV54" i="1"/>
  <c r="AX50" i="1"/>
  <c r="AZ54" i="1"/>
  <c r="BA48" i="1"/>
  <c r="BC52" i="1"/>
  <c r="BD46" i="1"/>
  <c r="BF50" i="1"/>
  <c r="AP48" i="1"/>
  <c r="AQ50" i="1"/>
  <c r="AR52" i="1"/>
  <c r="AS54" i="1"/>
  <c r="AS46" i="1"/>
  <c r="AS56" i="1" s="1"/>
  <c r="AT48" i="1"/>
  <c r="AU50" i="1"/>
  <c r="AV52" i="1"/>
  <c r="AW54" i="1"/>
  <c r="AW46" i="1"/>
  <c r="AX48" i="1"/>
  <c r="AY50" i="1"/>
  <c r="AZ52" i="1"/>
  <c r="BA54" i="1"/>
  <c r="BA46" i="1"/>
  <c r="BB48" i="1"/>
  <c r="BC50" i="1"/>
  <c r="BD52" i="1"/>
  <c r="BE54" i="1"/>
  <c r="BE46" i="1"/>
  <c r="BE56" i="1" s="1"/>
  <c r="BF48" i="1"/>
  <c r="BH17" i="1"/>
  <c r="BH25" i="1"/>
  <c r="BH23" i="1"/>
  <c r="BH32" i="1"/>
  <c r="BK16" i="1" s="1"/>
  <c r="BO4" i="1" s="1"/>
  <c r="BP4" i="1" s="1"/>
  <c r="BH22" i="1"/>
  <c r="BH39" i="1"/>
  <c r="BK65" i="1" s="1"/>
  <c r="BO11" i="1" s="1"/>
  <c r="BP11" i="1" s="1"/>
  <c r="BH21" i="1"/>
  <c r="BH38" i="1"/>
  <c r="BK58" i="1" s="1"/>
  <c r="BO10" i="1" s="1"/>
  <c r="BP10" i="1" s="1"/>
  <c r="BH40" i="1"/>
  <c r="BK72" i="1" s="1"/>
  <c r="BO12" i="1" s="1"/>
  <c r="BP12" i="1" s="1"/>
  <c r="BH37" i="1"/>
  <c r="BK51" i="1" s="1"/>
  <c r="BO9" i="1" s="1"/>
  <c r="BP9" i="1" s="1"/>
  <c r="BH33" i="1"/>
  <c r="BK23" i="1" s="1"/>
  <c r="BO5" i="1" s="1"/>
  <c r="BP5" i="1" s="1"/>
  <c r="BH20" i="1"/>
  <c r="BH36" i="1"/>
  <c r="BK44" i="1" s="1"/>
  <c r="BO8" i="1" s="1"/>
  <c r="BP8" i="1" s="1"/>
  <c r="BH24" i="1"/>
  <c r="BH34" i="1"/>
  <c r="BK30" i="1" s="1"/>
  <c r="BO6" i="1" s="1"/>
  <c r="BP6" i="1" s="1"/>
  <c r="BH31" i="1"/>
  <c r="BK9" i="1" s="1"/>
  <c r="BO3" i="1" s="1"/>
  <c r="BH26" i="1"/>
  <c r="BH18" i="1"/>
  <c r="BH19" i="1"/>
  <c r="BH35" i="1"/>
  <c r="BK37" i="1" s="1"/>
  <c r="BO7" i="1" s="1"/>
  <c r="BP7" i="1" s="1"/>
  <c r="AW56" i="1" l="1"/>
  <c r="AY56" i="1"/>
  <c r="AX56" i="1"/>
  <c r="AR56" i="1"/>
  <c r="BB56" i="1"/>
  <c r="AQ56" i="1"/>
  <c r="BF56" i="1"/>
  <c r="AV56" i="1"/>
  <c r="BA56" i="1"/>
  <c r="BD56" i="1"/>
  <c r="AZ56" i="1"/>
  <c r="BC56" i="1"/>
  <c r="BP3" i="1"/>
  <c r="BR18" i="1"/>
  <c r="BP18" i="1"/>
  <c r="BT18" i="1"/>
  <c r="BQ18" i="1"/>
  <c r="BS18" i="1"/>
  <c r="AP56" i="1"/>
  <c r="BR19" i="1" l="1"/>
  <c r="BT19" i="1"/>
  <c r="BS19" i="1"/>
  <c r="BQ19" i="1"/>
  <c r="BO19" i="1" s="1"/>
  <c r="BP19" i="1"/>
  <c r="BO18" i="1"/>
</calcChain>
</file>

<file path=xl/sharedStrings.xml><?xml version="1.0" encoding="utf-8"?>
<sst xmlns="http://schemas.openxmlformats.org/spreadsheetml/2006/main" count="256" uniqueCount="76">
  <si>
    <t>REVENUE</t>
  </si>
  <si>
    <t>Date</t>
  </si>
  <si>
    <t>Revenue</t>
  </si>
  <si>
    <t>Name</t>
  </si>
  <si>
    <t>Market Price</t>
  </si>
  <si>
    <t>Selling Price</t>
  </si>
  <si>
    <t>Buying Cost</t>
  </si>
  <si>
    <t>Chilli</t>
  </si>
  <si>
    <t>Orange</t>
  </si>
  <si>
    <t>Onion</t>
  </si>
  <si>
    <t xml:space="preserve">Carrot </t>
  </si>
  <si>
    <t>Potato</t>
  </si>
  <si>
    <t>Beetroot</t>
  </si>
  <si>
    <t>Mango</t>
  </si>
  <si>
    <t>Brinjal</t>
  </si>
  <si>
    <t>Beans</t>
  </si>
  <si>
    <t>Capsicum</t>
  </si>
  <si>
    <t>Cabbage</t>
  </si>
  <si>
    <t>Cauliflower</t>
  </si>
  <si>
    <t>Pumpkin</t>
  </si>
  <si>
    <t>Spinach</t>
  </si>
  <si>
    <t>Peas</t>
  </si>
  <si>
    <t>Tomato</t>
  </si>
  <si>
    <t>Mushroom</t>
  </si>
  <si>
    <t>Corn</t>
  </si>
  <si>
    <t>Garlic</t>
  </si>
  <si>
    <t>Ginger</t>
  </si>
  <si>
    <t>Papaya</t>
  </si>
  <si>
    <t>Pomegranate</t>
  </si>
  <si>
    <t>Grape</t>
  </si>
  <si>
    <t>Coconut</t>
  </si>
  <si>
    <t>Watermelon</t>
  </si>
  <si>
    <t>Cucumber</t>
  </si>
  <si>
    <t>PRICE CHART(₹/Kg)(Avg.)</t>
  </si>
  <si>
    <t>EXPENDITURE</t>
  </si>
  <si>
    <t>March</t>
  </si>
  <si>
    <t>Electric Bill</t>
  </si>
  <si>
    <t>Labour</t>
  </si>
  <si>
    <t>Store Rent</t>
  </si>
  <si>
    <t>0thers</t>
  </si>
  <si>
    <t>April</t>
  </si>
  <si>
    <t>Others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</si>
  <si>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</si>
  <si>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</si>
  <si>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</si>
  <si>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</si>
  <si>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</si>
  <si>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</si>
  <si>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</si>
  <si>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</si>
  <si>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</si>
  <si>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Expenditure</t>
  </si>
  <si>
    <t>Profit</t>
  </si>
  <si>
    <t>Month</t>
  </si>
  <si>
    <t>Carrot</t>
  </si>
  <si>
    <t>Pointed Gourd</t>
  </si>
  <si>
    <t>Radish</t>
  </si>
  <si>
    <t>Okra</t>
  </si>
  <si>
    <t>Ridge Gourd</t>
  </si>
  <si>
    <t>TOTAL</t>
  </si>
  <si>
    <t>Raw Mat.</t>
  </si>
  <si>
    <t>Avg</t>
  </si>
  <si>
    <t>AVERAGE COST /ITEM /MONTH</t>
  </si>
  <si>
    <t>AVERAGE REVENUE /ITEM /MONTH</t>
  </si>
  <si>
    <t xml:space="preserve">AMOUNT(in Kg) OF EACH ITEM SOLD PER MONTH </t>
  </si>
  <si>
    <t>PROFIT /ITEM /MONTH</t>
  </si>
  <si>
    <t>MIN</t>
  </si>
  <si>
    <t>MAX</t>
  </si>
  <si>
    <t>MEAN</t>
  </si>
  <si>
    <t>STD. DEV.</t>
  </si>
  <si>
    <t>VARIANCE</t>
  </si>
  <si>
    <t>RANGE</t>
  </si>
  <si>
    <t>STATS</t>
  </si>
  <si>
    <t>Quantity</t>
  </si>
  <si>
    <t>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</si>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</sst>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1" xfId="0" applyNumberFormat="1" applyBorder="1"/>
    <xf numFmtId="0" fontId="0" fillId="0" borderId="1" xfId="0" applyBorder="1"/>
    <xf numFmtId="14" fontId="0" fillId="0" borderId="0" xfId="0" applyNumberFormat="1"/>
    <xf numFmtId="0" fontId="2" fillId="0" borderId="1" xfId="0" applyFont="1" applyBorder="1"/>
    <xf numFmtId="0" fontId="7" fillId="0" borderId="1" xfId="0" applyFont="1" applyBorder="1" applyAlignment="1">
      <alignment vertical="center"/>
    </xf>
    <xf numFmtId="164" fontId="0" fillId="0" borderId="0" xfId="0" applyNumberFormat="1"/>
    <xf numFmtId="164" fontId="0" fillId="0" borderId="1" xfId="0" applyNumberFormat="1" applyBorder="1"/>
    <xf numFmtId="0" fontId="6" fillId="2" borderId="9" xfId="0" applyFont="1" applyFill="1" applyBorder="1"/>
    <xf numFmtId="0" fontId="6" fillId="2" borderId="11" xfId="0" applyFont="1" applyFill="1" applyBorder="1"/>
    <xf numFmtId="0" fontId="6" fillId="2" borderId="10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4" fillId="3" borderId="10" xfId="0" applyFont="1" applyFill="1" applyBorder="1"/>
    <xf numFmtId="0" fontId="4" fillId="0" borderId="9" xfId="0" applyFont="1" applyBorder="1" applyAlignment="1">
      <alignment vertical="center"/>
    </xf>
    <xf numFmtId="0" fontId="4" fillId="0" borderId="11" xfId="0" applyFont="1" applyBorder="1"/>
    <xf numFmtId="0" fontId="4" fillId="3" borderId="9" xfId="0" applyFont="1" applyFill="1" applyBorder="1" applyAlignment="1">
      <alignment vertical="center"/>
    </xf>
    <xf numFmtId="44" fontId="0" fillId="0" borderId="1" xfId="1" applyFont="1" applyBorder="1"/>
    <xf numFmtId="44" fontId="0" fillId="0" borderId="2" xfId="1" applyFont="1" applyBorder="1"/>
    <xf numFmtId="44" fontId="0" fillId="0" borderId="0" xfId="0" applyNumberFormat="1"/>
    <xf numFmtId="44" fontId="0" fillId="0" borderId="0" xfId="1" applyFont="1"/>
    <xf numFmtId="0" fontId="0" fillId="0" borderId="2" xfId="0" applyBorder="1"/>
    <xf numFmtId="164" fontId="0" fillId="0" borderId="0" xfId="1" applyNumberFormat="1" applyFont="1"/>
    <xf numFmtId="0" fontId="4" fillId="0" borderId="0" xfId="0" applyFont="1"/>
    <xf numFmtId="2" fontId="0" fillId="0" borderId="0" xfId="0" applyNumberForma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7">
    <dxf>
      <numFmt numFmtId="0" formatCode="General"/>
    </dxf>
    <dxf>
      <numFmt numFmtId="0" formatCode="General"/>
    </dxf>
    <dxf>
      <numFmt numFmtId="34" formatCode="_ &quot;₹&quot;\ * #,##0.00_ ;_ &quot;₹&quot;\ * \-#,##0.00_ ;_ &quot;₹&quot;\ * &quot;-&quot;??_ ;_ @_ "/>
    </dxf>
    <dxf>
      <numFmt numFmtId="0" formatCode="General"/>
    </dxf>
    <dxf>
      <numFmt numFmtId="0" formatCode="General"/>
    </dxf>
    <dxf>
      <numFmt numFmtId="34" formatCode="_ &quot;₹&quot;\ * #,##0.00_ ;_ &quot;₹&quot;\ * \-#,##0.00_ ;_ &quot;₹&quot;\ * &quot;-&quot;??_ ;_ @_ "/>
    </dxf>
    <dxf>
      <numFmt numFmtId="0" formatCode="General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4" formatCode="_ &quot;₹&quot;\ * #,##0.00_ ;_ &quot;₹&quot;\ * \-#,##0.00_ ;_ &quot;₹&quot;\ * &quot;-&quot;??_ ;_ @_ 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AMOUNT(KG) SOLD /ITEM 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Sheet1!$AO$2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Sheet1!$AO$3:$AO$12</c:f>
              <c:numCache>
                <c:formatCode>General</c:formatCode>
                <c:ptCount val="10"/>
                <c:pt idx="0">
                  <c:v>1743</c:v>
                </c:pt>
                <c:pt idx="1">
                  <c:v>1828</c:v>
                </c:pt>
                <c:pt idx="2">
                  <c:v>1765</c:v>
                </c:pt>
                <c:pt idx="3">
                  <c:v>1731</c:v>
                </c:pt>
                <c:pt idx="4">
                  <c:v>1750</c:v>
                </c:pt>
                <c:pt idx="5">
                  <c:v>1764</c:v>
                </c:pt>
                <c:pt idx="6">
                  <c:v>1787</c:v>
                </c:pt>
                <c:pt idx="7">
                  <c:v>2646</c:v>
                </c:pt>
                <c:pt idx="8">
                  <c:v>1798</c:v>
                </c:pt>
                <c:pt idx="9">
                  <c:v>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D-4AFB-ABF1-838C895D0A03}"/>
            </c:ext>
          </c:extLst>
        </c:ser>
        <c:ser>
          <c:idx val="1"/>
          <c:order val="1"/>
          <c:tx>
            <c:strRef>
              <c:f>Sheet1!$AP$2</c:f>
              <c:strCache>
                <c:ptCount val="1"/>
                <c:pt idx="0">
                  <c:v>Onion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Sheet1!$AP$3:$AP$12</c:f>
              <c:numCache>
                <c:formatCode>General</c:formatCode>
                <c:ptCount val="10"/>
                <c:pt idx="0">
                  <c:v>1312</c:v>
                </c:pt>
                <c:pt idx="1">
                  <c:v>1592</c:v>
                </c:pt>
                <c:pt idx="2">
                  <c:v>1388</c:v>
                </c:pt>
                <c:pt idx="3">
                  <c:v>1293</c:v>
                </c:pt>
                <c:pt idx="4">
                  <c:v>1322</c:v>
                </c:pt>
                <c:pt idx="5">
                  <c:v>1385</c:v>
                </c:pt>
                <c:pt idx="6">
                  <c:v>1378</c:v>
                </c:pt>
                <c:pt idx="7">
                  <c:v>2131</c:v>
                </c:pt>
                <c:pt idx="8">
                  <c:v>1395</c:v>
                </c:pt>
                <c:pt idx="9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D-4AFB-ABF1-838C895D0A03}"/>
            </c:ext>
          </c:extLst>
        </c:ser>
        <c:ser>
          <c:idx val="2"/>
          <c:order val="2"/>
          <c:tx>
            <c:strRef>
              <c:f>Sheet1!$AQ$2</c:f>
              <c:strCache>
                <c:ptCount val="1"/>
                <c:pt idx="0">
                  <c:v>Garlic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Sheet1!$AQ$3:$AQ$12</c:f>
              <c:numCache>
                <c:formatCode>General</c:formatCode>
                <c:ptCount val="10"/>
                <c:pt idx="0">
                  <c:v>658</c:v>
                </c:pt>
                <c:pt idx="1">
                  <c:v>733</c:v>
                </c:pt>
                <c:pt idx="2">
                  <c:v>696</c:v>
                </c:pt>
                <c:pt idx="3">
                  <c:v>629</c:v>
                </c:pt>
                <c:pt idx="4">
                  <c:v>597</c:v>
                </c:pt>
                <c:pt idx="5">
                  <c:v>584</c:v>
                </c:pt>
                <c:pt idx="6">
                  <c:v>538</c:v>
                </c:pt>
                <c:pt idx="7">
                  <c:v>987</c:v>
                </c:pt>
                <c:pt idx="8">
                  <c:v>458</c:v>
                </c:pt>
                <c:pt idx="9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D-4AFB-ABF1-838C895D0A03}"/>
            </c:ext>
          </c:extLst>
        </c:ser>
        <c:ser>
          <c:idx val="3"/>
          <c:order val="3"/>
          <c:tx>
            <c:strRef>
              <c:f>Sheet1!$AR$2</c:f>
              <c:strCache>
                <c:ptCount val="1"/>
                <c:pt idx="0">
                  <c:v>Ginger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Sheet1!$AR$3:$AR$12</c:f>
              <c:numCache>
                <c:formatCode>General</c:formatCode>
                <c:ptCount val="10"/>
                <c:pt idx="0">
                  <c:v>610</c:v>
                </c:pt>
                <c:pt idx="1">
                  <c:v>671</c:v>
                </c:pt>
                <c:pt idx="2">
                  <c:v>633</c:v>
                </c:pt>
                <c:pt idx="3">
                  <c:v>622</c:v>
                </c:pt>
                <c:pt idx="4">
                  <c:v>645</c:v>
                </c:pt>
                <c:pt idx="5">
                  <c:v>655</c:v>
                </c:pt>
                <c:pt idx="6">
                  <c:v>678</c:v>
                </c:pt>
                <c:pt idx="7">
                  <c:v>821</c:v>
                </c:pt>
                <c:pt idx="8">
                  <c:v>692</c:v>
                </c:pt>
                <c:pt idx="9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8D-4AFB-ABF1-838C895D0A03}"/>
            </c:ext>
          </c:extLst>
        </c:ser>
        <c:ser>
          <c:idx val="4"/>
          <c:order val="4"/>
          <c:tx>
            <c:strRef>
              <c:f>Sheet1!$AS$2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Sheet1!$AS$3:$AS$12</c:f>
              <c:numCache>
                <c:formatCode>General</c:formatCode>
                <c:ptCount val="10"/>
                <c:pt idx="0">
                  <c:v>841</c:v>
                </c:pt>
                <c:pt idx="1">
                  <c:v>864</c:v>
                </c:pt>
                <c:pt idx="2">
                  <c:v>850</c:v>
                </c:pt>
                <c:pt idx="3">
                  <c:v>812</c:v>
                </c:pt>
                <c:pt idx="4">
                  <c:v>826</c:v>
                </c:pt>
                <c:pt idx="5">
                  <c:v>838</c:v>
                </c:pt>
                <c:pt idx="6">
                  <c:v>862</c:v>
                </c:pt>
                <c:pt idx="7">
                  <c:v>1753</c:v>
                </c:pt>
                <c:pt idx="8">
                  <c:v>885</c:v>
                </c:pt>
                <c:pt idx="9">
                  <c:v>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8D-4AFB-ABF1-838C895D0A03}"/>
            </c:ext>
          </c:extLst>
        </c:ser>
        <c:ser>
          <c:idx val="5"/>
          <c:order val="5"/>
          <c:tx>
            <c:strRef>
              <c:f>Sheet1!$AT$2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Sheet1!$AT$3:$AT$12</c:f>
              <c:numCache>
                <c:formatCode>General</c:formatCode>
                <c:ptCount val="10"/>
                <c:pt idx="0">
                  <c:v>682</c:v>
                </c:pt>
                <c:pt idx="1">
                  <c:v>668</c:v>
                </c:pt>
                <c:pt idx="2">
                  <c:v>610</c:v>
                </c:pt>
                <c:pt idx="3">
                  <c:v>624</c:v>
                </c:pt>
                <c:pt idx="4">
                  <c:v>631</c:v>
                </c:pt>
                <c:pt idx="5">
                  <c:v>627</c:v>
                </c:pt>
                <c:pt idx="6">
                  <c:v>643</c:v>
                </c:pt>
                <c:pt idx="7">
                  <c:v>1382</c:v>
                </c:pt>
                <c:pt idx="8">
                  <c:v>674</c:v>
                </c:pt>
                <c:pt idx="9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8D-4AFB-ABF1-838C895D0A03}"/>
            </c:ext>
          </c:extLst>
        </c:ser>
        <c:ser>
          <c:idx val="6"/>
          <c:order val="6"/>
          <c:tx>
            <c:strRef>
              <c:f>Sheet1!$AU$2</c:f>
              <c:strCache>
                <c:ptCount val="1"/>
                <c:pt idx="0">
                  <c:v>Brinjal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Sheet1!$AU$3:$AU$12</c:f>
              <c:numCache>
                <c:formatCode>General</c:formatCode>
                <c:ptCount val="10"/>
                <c:pt idx="0">
                  <c:v>588</c:v>
                </c:pt>
                <c:pt idx="1">
                  <c:v>604</c:v>
                </c:pt>
                <c:pt idx="2">
                  <c:v>592</c:v>
                </c:pt>
                <c:pt idx="3">
                  <c:v>528</c:v>
                </c:pt>
                <c:pt idx="4">
                  <c:v>533</c:v>
                </c:pt>
                <c:pt idx="5">
                  <c:v>527</c:v>
                </c:pt>
                <c:pt idx="6">
                  <c:v>549</c:v>
                </c:pt>
                <c:pt idx="7">
                  <c:v>953</c:v>
                </c:pt>
                <c:pt idx="8">
                  <c:v>587</c:v>
                </c:pt>
                <c:pt idx="9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8D-4AFB-ABF1-838C895D0A03}"/>
            </c:ext>
          </c:extLst>
        </c:ser>
        <c:ser>
          <c:idx val="7"/>
          <c:order val="7"/>
          <c:tx>
            <c:strRef>
              <c:f>Sheet1!$AV$2</c:f>
              <c:strCache>
                <c:ptCount val="1"/>
                <c:pt idx="0">
                  <c:v>Chilli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Sheet1!$AV$3:$AV$12</c:f>
              <c:numCache>
                <c:formatCode>General</c:formatCode>
                <c:ptCount val="10"/>
                <c:pt idx="0">
                  <c:v>472</c:v>
                </c:pt>
                <c:pt idx="1">
                  <c:v>484</c:v>
                </c:pt>
                <c:pt idx="2">
                  <c:v>465</c:v>
                </c:pt>
                <c:pt idx="3">
                  <c:v>458</c:v>
                </c:pt>
                <c:pt idx="4">
                  <c:v>437</c:v>
                </c:pt>
                <c:pt idx="5">
                  <c:v>455</c:v>
                </c:pt>
                <c:pt idx="6">
                  <c:v>413</c:v>
                </c:pt>
                <c:pt idx="7">
                  <c:v>964</c:v>
                </c:pt>
                <c:pt idx="8">
                  <c:v>441</c:v>
                </c:pt>
                <c:pt idx="9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8D-4AFB-ABF1-838C895D0A03}"/>
            </c:ext>
          </c:extLst>
        </c:ser>
        <c:ser>
          <c:idx val="8"/>
          <c:order val="8"/>
          <c:tx>
            <c:strRef>
              <c:f>Sheet1!$AW$2</c:f>
              <c:strCache>
                <c:ptCount val="1"/>
                <c:pt idx="0">
                  <c:v>Cauliflower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Sheet1!$AW$3:$AW$12</c:f>
              <c:numCache>
                <c:formatCode>General</c:formatCode>
                <c:ptCount val="10"/>
                <c:pt idx="0">
                  <c:v>78</c:v>
                </c:pt>
                <c:pt idx="1">
                  <c:v>54</c:v>
                </c:pt>
                <c:pt idx="2">
                  <c:v>37</c:v>
                </c:pt>
                <c:pt idx="3">
                  <c:v>38</c:v>
                </c:pt>
                <c:pt idx="4">
                  <c:v>32</c:v>
                </c:pt>
                <c:pt idx="5">
                  <c:v>49</c:v>
                </c:pt>
                <c:pt idx="6">
                  <c:v>86</c:v>
                </c:pt>
                <c:pt idx="7">
                  <c:v>583</c:v>
                </c:pt>
                <c:pt idx="8">
                  <c:v>639</c:v>
                </c:pt>
                <c:pt idx="9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8D-4AFB-ABF1-838C895D0A03}"/>
            </c:ext>
          </c:extLst>
        </c:ser>
        <c:ser>
          <c:idx val="9"/>
          <c:order val="9"/>
          <c:tx>
            <c:strRef>
              <c:f>Sheet1!$AX$2</c:f>
              <c:strCache>
                <c:ptCount val="1"/>
                <c:pt idx="0">
                  <c:v>Peas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Sheet1!$AX$3:$AX$12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</c:v>
                </c:pt>
                <c:pt idx="7">
                  <c:v>227</c:v>
                </c:pt>
                <c:pt idx="8">
                  <c:v>387</c:v>
                </c:pt>
                <c:pt idx="9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8D-4AFB-ABF1-838C895D0A03}"/>
            </c:ext>
          </c:extLst>
        </c:ser>
        <c:ser>
          <c:idx val="10"/>
          <c:order val="10"/>
          <c:tx>
            <c:strRef>
              <c:f>Sheet1!$AY$2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Sheet1!$AY$3:$AY$12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77</c:v>
                </c:pt>
                <c:pt idx="7">
                  <c:v>487</c:v>
                </c:pt>
                <c:pt idx="8">
                  <c:v>523</c:v>
                </c:pt>
                <c:pt idx="9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8D-4AFB-ABF1-838C895D0A03}"/>
            </c:ext>
          </c:extLst>
        </c:ser>
        <c:ser>
          <c:idx val="11"/>
          <c:order val="11"/>
          <c:tx>
            <c:strRef>
              <c:f>Sheet1!$AZ$2</c:f>
              <c:strCache>
                <c:ptCount val="1"/>
                <c:pt idx="0">
                  <c:v>Pointed Gourd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Sheet1!$AZ$3:$AZ$12</c:f>
              <c:numCache>
                <c:formatCode>General</c:formatCode>
                <c:ptCount val="10"/>
                <c:pt idx="0">
                  <c:v>677</c:v>
                </c:pt>
                <c:pt idx="1">
                  <c:v>668</c:v>
                </c:pt>
                <c:pt idx="2">
                  <c:v>672</c:v>
                </c:pt>
                <c:pt idx="3">
                  <c:v>582</c:v>
                </c:pt>
                <c:pt idx="4">
                  <c:v>611</c:v>
                </c:pt>
                <c:pt idx="5">
                  <c:v>598</c:v>
                </c:pt>
                <c:pt idx="6">
                  <c:v>559</c:v>
                </c:pt>
                <c:pt idx="7">
                  <c:v>898</c:v>
                </c:pt>
                <c:pt idx="8">
                  <c:v>541</c:v>
                </c:pt>
                <c:pt idx="9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8D-4AFB-ABF1-838C895D0A03}"/>
            </c:ext>
          </c:extLst>
        </c:ser>
        <c:ser>
          <c:idx val="12"/>
          <c:order val="12"/>
          <c:tx>
            <c:strRef>
              <c:f>Sheet1!$BA$2</c:f>
              <c:strCache>
                <c:ptCount val="1"/>
                <c:pt idx="0">
                  <c:v>Radish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Sheet1!$BA$3:$BA$12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98</c:v>
                </c:pt>
                <c:pt idx="6">
                  <c:v>113</c:v>
                </c:pt>
                <c:pt idx="7">
                  <c:v>538</c:v>
                </c:pt>
                <c:pt idx="8">
                  <c:v>554</c:v>
                </c:pt>
                <c:pt idx="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8D-4AFB-ABF1-838C895D0A03}"/>
            </c:ext>
          </c:extLst>
        </c:ser>
        <c:ser>
          <c:idx val="13"/>
          <c:order val="13"/>
          <c:tx>
            <c:strRef>
              <c:f>Sheet1!$BB$2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Sheet1!$BB$3:$BB$12</c:f>
              <c:numCache>
                <c:formatCode>General</c:formatCode>
                <c:ptCount val="10"/>
                <c:pt idx="0">
                  <c:v>487</c:v>
                </c:pt>
                <c:pt idx="1">
                  <c:v>1280</c:v>
                </c:pt>
                <c:pt idx="2">
                  <c:v>1752</c:v>
                </c:pt>
                <c:pt idx="3">
                  <c:v>1993</c:v>
                </c:pt>
                <c:pt idx="4">
                  <c:v>1678</c:v>
                </c:pt>
                <c:pt idx="5">
                  <c:v>388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8D-4AFB-ABF1-838C895D0A03}"/>
            </c:ext>
          </c:extLst>
        </c:ser>
        <c:ser>
          <c:idx val="14"/>
          <c:order val="14"/>
          <c:tx>
            <c:strRef>
              <c:f>Sheet1!$BC$2</c:f>
              <c:strCache>
                <c:ptCount val="1"/>
                <c:pt idx="0">
                  <c:v>Pumpkin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Sheet1!$BC$3:$BC$12</c:f>
              <c:numCache>
                <c:formatCode>General</c:formatCode>
                <c:ptCount val="10"/>
                <c:pt idx="0">
                  <c:v>631</c:v>
                </c:pt>
                <c:pt idx="1">
                  <c:v>686</c:v>
                </c:pt>
                <c:pt idx="2">
                  <c:v>649</c:v>
                </c:pt>
                <c:pt idx="3">
                  <c:v>639</c:v>
                </c:pt>
                <c:pt idx="4">
                  <c:v>653</c:v>
                </c:pt>
                <c:pt idx="5">
                  <c:v>649</c:v>
                </c:pt>
                <c:pt idx="6">
                  <c:v>634</c:v>
                </c:pt>
                <c:pt idx="7">
                  <c:v>923</c:v>
                </c:pt>
                <c:pt idx="8">
                  <c:v>681</c:v>
                </c:pt>
                <c:pt idx="9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8D-4AFB-ABF1-838C895D0A03}"/>
            </c:ext>
          </c:extLst>
        </c:ser>
        <c:ser>
          <c:idx val="15"/>
          <c:order val="15"/>
          <c:tx>
            <c:strRef>
              <c:f>Sheet1!$BD$2</c:f>
              <c:strCache>
                <c:ptCount val="1"/>
                <c:pt idx="0">
                  <c:v>Okra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Sheet1!$BD$3:$BD$12</c:f>
              <c:numCache>
                <c:formatCode>General</c:formatCode>
                <c:ptCount val="10"/>
                <c:pt idx="0">
                  <c:v>524</c:v>
                </c:pt>
                <c:pt idx="1">
                  <c:v>586</c:v>
                </c:pt>
                <c:pt idx="2">
                  <c:v>565</c:v>
                </c:pt>
                <c:pt idx="3">
                  <c:v>548</c:v>
                </c:pt>
                <c:pt idx="4">
                  <c:v>557</c:v>
                </c:pt>
                <c:pt idx="5">
                  <c:v>548</c:v>
                </c:pt>
                <c:pt idx="6">
                  <c:v>587</c:v>
                </c:pt>
                <c:pt idx="7">
                  <c:v>858</c:v>
                </c:pt>
                <c:pt idx="8">
                  <c:v>523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8D-4AFB-ABF1-838C895D0A03}"/>
            </c:ext>
          </c:extLst>
        </c:ser>
        <c:ser>
          <c:idx val="16"/>
          <c:order val="16"/>
          <c:tx>
            <c:strRef>
              <c:f>Sheet1!$BE$2</c:f>
              <c:strCache>
                <c:ptCount val="1"/>
                <c:pt idx="0">
                  <c:v>Ridge Gourd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Sheet1!$BE$3:$BE$12</c:f>
              <c:numCache>
                <c:formatCode>General</c:formatCode>
                <c:ptCount val="10"/>
                <c:pt idx="0">
                  <c:v>634</c:v>
                </c:pt>
                <c:pt idx="1">
                  <c:v>678</c:v>
                </c:pt>
                <c:pt idx="2">
                  <c:v>653</c:v>
                </c:pt>
                <c:pt idx="3">
                  <c:v>645</c:v>
                </c:pt>
                <c:pt idx="4">
                  <c:v>638</c:v>
                </c:pt>
                <c:pt idx="5">
                  <c:v>647</c:v>
                </c:pt>
                <c:pt idx="6">
                  <c:v>668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88D-4AFB-ABF1-838C895D0A03}"/>
            </c:ext>
          </c:extLst>
        </c:ser>
        <c:ser>
          <c:idx val="17"/>
          <c:order val="17"/>
          <c:tx>
            <c:strRef>
              <c:f>Sheet1!$BF$2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Sheet1!$BF$3:$BF$12</c:f>
              <c:numCache>
                <c:formatCode>General</c:formatCode>
                <c:ptCount val="10"/>
                <c:pt idx="0">
                  <c:v>683</c:v>
                </c:pt>
                <c:pt idx="1">
                  <c:v>758</c:v>
                </c:pt>
                <c:pt idx="2">
                  <c:v>712</c:v>
                </c:pt>
                <c:pt idx="3">
                  <c:v>701</c:v>
                </c:pt>
                <c:pt idx="4">
                  <c:v>722</c:v>
                </c:pt>
                <c:pt idx="5">
                  <c:v>718</c:v>
                </c:pt>
                <c:pt idx="6">
                  <c:v>740</c:v>
                </c:pt>
                <c:pt idx="7">
                  <c:v>1129</c:v>
                </c:pt>
                <c:pt idx="8">
                  <c:v>742</c:v>
                </c:pt>
                <c:pt idx="9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88D-4AFB-ABF1-838C895D0A03}"/>
            </c:ext>
          </c:extLst>
        </c:ser>
        <c:ser>
          <c:idx val="18"/>
          <c:order val="18"/>
          <c:tx>
            <c:strRef>
              <c:f>Sheet1!$BG$2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Sheet1!$BG$3:$BG$12</c:f>
              <c:numCache>
                <c:formatCode>General</c:formatCode>
                <c:ptCount val="10"/>
                <c:pt idx="0">
                  <c:v>342</c:v>
                </c:pt>
                <c:pt idx="1">
                  <c:v>367</c:v>
                </c:pt>
                <c:pt idx="2">
                  <c:v>354</c:v>
                </c:pt>
                <c:pt idx="3">
                  <c:v>378</c:v>
                </c:pt>
                <c:pt idx="4">
                  <c:v>353</c:v>
                </c:pt>
                <c:pt idx="5">
                  <c:v>384</c:v>
                </c:pt>
                <c:pt idx="6">
                  <c:v>337</c:v>
                </c:pt>
                <c:pt idx="7">
                  <c:v>784</c:v>
                </c:pt>
                <c:pt idx="8">
                  <c:v>407</c:v>
                </c:pt>
                <c:pt idx="9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88D-4AFB-ABF1-838C895D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43312"/>
        <c:axId val="2042121072"/>
      </c:barChart>
      <c:catAx>
        <c:axId val="3004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21072"/>
        <c:crosses val="autoZero"/>
        <c:auto val="1"/>
        <c:lblAlgn val="ctr"/>
        <c:lblOffset val="100"/>
        <c:noMultiLvlLbl val="0"/>
      </c:catAx>
      <c:valAx>
        <c:axId val="20421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  <a:r>
              <a:rPr lang="en-IN" b="1" baseline="0"/>
              <a:t> EARNED /ITEM 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Sheet1!$AO$16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Sheet1!$AO$17:$AO$26</c:f>
              <c:numCache>
                <c:formatCode>General</c:formatCode>
                <c:ptCount val="10"/>
                <c:pt idx="0">
                  <c:v>52290</c:v>
                </c:pt>
                <c:pt idx="1">
                  <c:v>54840</c:v>
                </c:pt>
                <c:pt idx="2">
                  <c:v>52950</c:v>
                </c:pt>
                <c:pt idx="3">
                  <c:v>51930</c:v>
                </c:pt>
                <c:pt idx="4">
                  <c:v>52500</c:v>
                </c:pt>
                <c:pt idx="5">
                  <c:v>52920</c:v>
                </c:pt>
                <c:pt idx="6">
                  <c:v>53610</c:v>
                </c:pt>
                <c:pt idx="7">
                  <c:v>79380</c:v>
                </c:pt>
                <c:pt idx="8">
                  <c:v>53940</c:v>
                </c:pt>
                <c:pt idx="9">
                  <c:v>58710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A-4EFC-9356-C416B9A4DEF6}"/>
            </c:ext>
          </c:extLst>
        </c:ser>
        <c:ser>
          <c:idx val="1"/>
          <c:order val="1"/>
          <c:tx>
            <c:strRef>
              <c:f>Sheet1!$AP$16</c:f>
              <c:strCache>
                <c:ptCount val="1"/>
                <c:pt idx="0">
                  <c:v>Onion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Sheet1!$AP$17:$AP$26</c:f>
              <c:numCache>
                <c:formatCode>General</c:formatCode>
                <c:ptCount val="10"/>
                <c:pt idx="0">
                  <c:v>32800</c:v>
                </c:pt>
                <c:pt idx="1">
                  <c:v>39800</c:v>
                </c:pt>
                <c:pt idx="2">
                  <c:v>34700</c:v>
                </c:pt>
                <c:pt idx="3">
                  <c:v>32325</c:v>
                </c:pt>
                <c:pt idx="4">
                  <c:v>33050</c:v>
                </c:pt>
                <c:pt idx="5">
                  <c:v>34625</c:v>
                </c:pt>
                <c:pt idx="6">
                  <c:v>34450</c:v>
                </c:pt>
                <c:pt idx="7">
                  <c:v>53275</c:v>
                </c:pt>
                <c:pt idx="8">
                  <c:v>34875</c:v>
                </c:pt>
                <c:pt idx="9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A-4EFC-9356-C416B9A4DEF6}"/>
            </c:ext>
          </c:extLst>
        </c:ser>
        <c:ser>
          <c:idx val="2"/>
          <c:order val="2"/>
          <c:tx>
            <c:strRef>
              <c:f>Sheet1!$AQ$16</c:f>
              <c:strCache>
                <c:ptCount val="1"/>
                <c:pt idx="0">
                  <c:v>Garlic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Sheet1!$AQ$17:$AQ$26</c:f>
              <c:numCache>
                <c:formatCode>General</c:formatCode>
                <c:ptCount val="10"/>
                <c:pt idx="0">
                  <c:v>69090</c:v>
                </c:pt>
                <c:pt idx="1">
                  <c:v>76965</c:v>
                </c:pt>
                <c:pt idx="2">
                  <c:v>73080</c:v>
                </c:pt>
                <c:pt idx="3">
                  <c:v>66045</c:v>
                </c:pt>
                <c:pt idx="4">
                  <c:v>62685</c:v>
                </c:pt>
                <c:pt idx="5">
                  <c:v>61320</c:v>
                </c:pt>
                <c:pt idx="6">
                  <c:v>56490</c:v>
                </c:pt>
                <c:pt idx="7">
                  <c:v>103635</c:v>
                </c:pt>
                <c:pt idx="8">
                  <c:v>48090</c:v>
                </c:pt>
                <c:pt idx="9">
                  <c:v>61110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A-4EFC-9356-C416B9A4DEF6}"/>
            </c:ext>
          </c:extLst>
        </c:ser>
        <c:ser>
          <c:idx val="3"/>
          <c:order val="3"/>
          <c:tx>
            <c:strRef>
              <c:f>Sheet1!$AR$16</c:f>
              <c:strCache>
                <c:ptCount val="1"/>
                <c:pt idx="0">
                  <c:v>Ginger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Sheet1!$AR$17:$AR$26</c:f>
              <c:numCache>
                <c:formatCode>General</c:formatCode>
                <c:ptCount val="10"/>
                <c:pt idx="0">
                  <c:v>85400</c:v>
                </c:pt>
                <c:pt idx="1">
                  <c:v>93940</c:v>
                </c:pt>
                <c:pt idx="2">
                  <c:v>88620</c:v>
                </c:pt>
                <c:pt idx="3">
                  <c:v>87080</c:v>
                </c:pt>
                <c:pt idx="4">
                  <c:v>90300</c:v>
                </c:pt>
                <c:pt idx="5">
                  <c:v>91700</c:v>
                </c:pt>
                <c:pt idx="6">
                  <c:v>94920</c:v>
                </c:pt>
                <c:pt idx="7">
                  <c:v>114940</c:v>
                </c:pt>
                <c:pt idx="8">
                  <c:v>96880</c:v>
                </c:pt>
                <c:pt idx="9">
                  <c:v>100520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A-4EFC-9356-C416B9A4DEF6}"/>
            </c:ext>
          </c:extLst>
        </c:ser>
        <c:ser>
          <c:idx val="4"/>
          <c:order val="4"/>
          <c:tx>
            <c:strRef>
              <c:f>Sheet1!$AS$16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Sheet1!$AS$17:$AS$26</c:f>
              <c:numCache>
                <c:formatCode>General</c:formatCode>
                <c:ptCount val="10"/>
                <c:pt idx="0">
                  <c:v>37845</c:v>
                </c:pt>
                <c:pt idx="1">
                  <c:v>38880</c:v>
                </c:pt>
                <c:pt idx="2">
                  <c:v>38250</c:v>
                </c:pt>
                <c:pt idx="3">
                  <c:v>36540</c:v>
                </c:pt>
                <c:pt idx="4">
                  <c:v>37170</c:v>
                </c:pt>
                <c:pt idx="5">
                  <c:v>37710</c:v>
                </c:pt>
                <c:pt idx="6">
                  <c:v>38790</c:v>
                </c:pt>
                <c:pt idx="7">
                  <c:v>78885</c:v>
                </c:pt>
                <c:pt idx="8">
                  <c:v>39825</c:v>
                </c:pt>
                <c:pt idx="9">
                  <c:v>38835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A-4EFC-9356-C416B9A4DEF6}"/>
            </c:ext>
          </c:extLst>
        </c:ser>
        <c:ser>
          <c:idx val="5"/>
          <c:order val="5"/>
          <c:tx>
            <c:strRef>
              <c:f>Sheet1!$AT$16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Sheet1!$AT$17:$AT$26</c:f>
              <c:numCache>
                <c:formatCode>General</c:formatCode>
                <c:ptCount val="10"/>
                <c:pt idx="0">
                  <c:v>47740</c:v>
                </c:pt>
                <c:pt idx="1">
                  <c:v>46760</c:v>
                </c:pt>
                <c:pt idx="2">
                  <c:v>42700</c:v>
                </c:pt>
                <c:pt idx="3">
                  <c:v>43680</c:v>
                </c:pt>
                <c:pt idx="4">
                  <c:v>44170</c:v>
                </c:pt>
                <c:pt idx="5">
                  <c:v>43890</c:v>
                </c:pt>
                <c:pt idx="6">
                  <c:v>45010</c:v>
                </c:pt>
                <c:pt idx="7">
                  <c:v>96740</c:v>
                </c:pt>
                <c:pt idx="8">
                  <c:v>47180</c:v>
                </c:pt>
                <c:pt idx="9">
                  <c:v>47740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DA-4EFC-9356-C416B9A4DEF6}"/>
            </c:ext>
          </c:extLst>
        </c:ser>
        <c:ser>
          <c:idx val="6"/>
          <c:order val="6"/>
          <c:tx>
            <c:strRef>
              <c:f>Sheet1!$AU$16</c:f>
              <c:strCache>
                <c:ptCount val="1"/>
                <c:pt idx="0">
                  <c:v>Brinjal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Sheet1!$AU$17:$AU$26</c:f>
              <c:numCache>
                <c:formatCode>General</c:formatCode>
                <c:ptCount val="10"/>
                <c:pt idx="0">
                  <c:v>44100</c:v>
                </c:pt>
                <c:pt idx="1">
                  <c:v>45300</c:v>
                </c:pt>
                <c:pt idx="2">
                  <c:v>44400</c:v>
                </c:pt>
                <c:pt idx="3">
                  <c:v>39600</c:v>
                </c:pt>
                <c:pt idx="4">
                  <c:v>39975</c:v>
                </c:pt>
                <c:pt idx="5">
                  <c:v>39525</c:v>
                </c:pt>
                <c:pt idx="6">
                  <c:v>41175</c:v>
                </c:pt>
                <c:pt idx="7">
                  <c:v>71475</c:v>
                </c:pt>
                <c:pt idx="8">
                  <c:v>44025</c:v>
                </c:pt>
                <c:pt idx="9">
                  <c:v>43050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DA-4EFC-9356-C416B9A4DEF6}"/>
            </c:ext>
          </c:extLst>
        </c:ser>
        <c:ser>
          <c:idx val="7"/>
          <c:order val="7"/>
          <c:tx>
            <c:strRef>
              <c:f>Sheet1!$AV$16</c:f>
              <c:strCache>
                <c:ptCount val="1"/>
                <c:pt idx="0">
                  <c:v>Chilli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Sheet1!$AV$17:$AV$26</c:f>
              <c:numCache>
                <c:formatCode>General</c:formatCode>
                <c:ptCount val="10"/>
                <c:pt idx="0">
                  <c:v>47200</c:v>
                </c:pt>
                <c:pt idx="1">
                  <c:v>48400</c:v>
                </c:pt>
                <c:pt idx="2">
                  <c:v>46500</c:v>
                </c:pt>
                <c:pt idx="3">
                  <c:v>45800</c:v>
                </c:pt>
                <c:pt idx="4">
                  <c:v>43700</c:v>
                </c:pt>
                <c:pt idx="5">
                  <c:v>45500</c:v>
                </c:pt>
                <c:pt idx="6">
                  <c:v>41300</c:v>
                </c:pt>
                <c:pt idx="7">
                  <c:v>96400</c:v>
                </c:pt>
                <c:pt idx="8">
                  <c:v>44100</c:v>
                </c:pt>
                <c:pt idx="9">
                  <c:v>47800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DA-4EFC-9356-C416B9A4DEF6}"/>
            </c:ext>
          </c:extLst>
        </c:ser>
        <c:ser>
          <c:idx val="8"/>
          <c:order val="8"/>
          <c:tx>
            <c:strRef>
              <c:f>Sheet1!$AW$16</c:f>
              <c:strCache>
                <c:ptCount val="1"/>
                <c:pt idx="0">
                  <c:v>Cauliflower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Sheet1!$AW$17:$AW$26</c:f>
              <c:numCache>
                <c:formatCode>General</c:formatCode>
                <c:ptCount val="10"/>
                <c:pt idx="0">
                  <c:v>10140</c:v>
                </c:pt>
                <c:pt idx="1">
                  <c:v>7020</c:v>
                </c:pt>
                <c:pt idx="2">
                  <c:v>4810</c:v>
                </c:pt>
                <c:pt idx="3">
                  <c:v>4940</c:v>
                </c:pt>
                <c:pt idx="4">
                  <c:v>4160</c:v>
                </c:pt>
                <c:pt idx="5">
                  <c:v>6370</c:v>
                </c:pt>
                <c:pt idx="6">
                  <c:v>11180</c:v>
                </c:pt>
                <c:pt idx="7">
                  <c:v>75790</c:v>
                </c:pt>
                <c:pt idx="8">
                  <c:v>83070</c:v>
                </c:pt>
                <c:pt idx="9">
                  <c:v>97760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DA-4EFC-9356-C416B9A4DEF6}"/>
            </c:ext>
          </c:extLst>
        </c:ser>
        <c:ser>
          <c:idx val="9"/>
          <c:order val="9"/>
          <c:tx>
            <c:strRef>
              <c:f>Sheet1!$AX$16</c:f>
              <c:strCache>
                <c:ptCount val="1"/>
                <c:pt idx="0">
                  <c:v>Peas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Sheet1!$AX$17:$AX$26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15520</c:v>
                </c:pt>
                <c:pt idx="7">
                  <c:v>36320</c:v>
                </c:pt>
                <c:pt idx="8">
                  <c:v>61920</c:v>
                </c:pt>
                <c:pt idx="9">
                  <c:v>98080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DA-4EFC-9356-C416B9A4DEF6}"/>
            </c:ext>
          </c:extLst>
        </c:ser>
        <c:ser>
          <c:idx val="10"/>
          <c:order val="10"/>
          <c:tx>
            <c:strRef>
              <c:f>Sheet1!$AY$16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Sheet1!$AY$17:$AY$26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8470</c:v>
                </c:pt>
                <c:pt idx="7">
                  <c:v>53570</c:v>
                </c:pt>
                <c:pt idx="8">
                  <c:v>57530</c:v>
                </c:pt>
                <c:pt idx="9">
                  <c:v>74690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DA-4EFC-9356-C416B9A4DEF6}"/>
            </c:ext>
          </c:extLst>
        </c:ser>
        <c:ser>
          <c:idx val="11"/>
          <c:order val="11"/>
          <c:tx>
            <c:strRef>
              <c:f>Sheet1!$AZ$16</c:f>
              <c:strCache>
                <c:ptCount val="1"/>
                <c:pt idx="0">
                  <c:v>Pointed Gourd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Sheet1!$AZ$17:$AZ$26</c:f>
              <c:numCache>
                <c:formatCode>General</c:formatCode>
                <c:ptCount val="10"/>
                <c:pt idx="0">
                  <c:v>16925</c:v>
                </c:pt>
                <c:pt idx="1">
                  <c:v>16700</c:v>
                </c:pt>
                <c:pt idx="2">
                  <c:v>16800</c:v>
                </c:pt>
                <c:pt idx="3">
                  <c:v>14550</c:v>
                </c:pt>
                <c:pt idx="4">
                  <c:v>15275</c:v>
                </c:pt>
                <c:pt idx="5">
                  <c:v>14950</c:v>
                </c:pt>
                <c:pt idx="6">
                  <c:v>13975</c:v>
                </c:pt>
                <c:pt idx="7">
                  <c:v>22450</c:v>
                </c:pt>
                <c:pt idx="8">
                  <c:v>13525</c:v>
                </c:pt>
                <c:pt idx="9">
                  <c:v>13825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DA-4EFC-9356-C416B9A4DEF6}"/>
            </c:ext>
          </c:extLst>
        </c:ser>
        <c:ser>
          <c:idx val="12"/>
          <c:order val="12"/>
          <c:tx>
            <c:strRef>
              <c:f>Sheet1!$BA$16</c:f>
              <c:strCache>
                <c:ptCount val="1"/>
                <c:pt idx="0">
                  <c:v>Radish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Sheet1!$BA$17:$BA$26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2352</c:v>
                </c:pt>
                <c:pt idx="6">
                  <c:v>2712</c:v>
                </c:pt>
                <c:pt idx="7">
                  <c:v>12912</c:v>
                </c:pt>
                <c:pt idx="8">
                  <c:v>13296</c:v>
                </c:pt>
                <c:pt idx="9">
                  <c:v>15552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DA-4EFC-9356-C416B9A4DEF6}"/>
            </c:ext>
          </c:extLst>
        </c:ser>
        <c:ser>
          <c:idx val="13"/>
          <c:order val="13"/>
          <c:tx>
            <c:strRef>
              <c:f>Sheet1!$BB$16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Sheet1!$BB$17:$BB$26</c:f>
              <c:numCache>
                <c:formatCode>General</c:formatCode>
                <c:ptCount val="10"/>
                <c:pt idx="0">
                  <c:v>63310</c:v>
                </c:pt>
                <c:pt idx="1">
                  <c:v>166400</c:v>
                </c:pt>
                <c:pt idx="2">
                  <c:v>227760</c:v>
                </c:pt>
                <c:pt idx="3">
                  <c:v>259090</c:v>
                </c:pt>
                <c:pt idx="4">
                  <c:v>218140</c:v>
                </c:pt>
                <c:pt idx="5">
                  <c:v>50440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DA-4EFC-9356-C416B9A4DEF6}"/>
            </c:ext>
          </c:extLst>
        </c:ser>
        <c:ser>
          <c:idx val="14"/>
          <c:order val="14"/>
          <c:tx>
            <c:strRef>
              <c:f>Sheet1!$BC$16</c:f>
              <c:strCache>
                <c:ptCount val="1"/>
                <c:pt idx="0">
                  <c:v>Pumpkin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Sheet1!$BC$17:$BC$26</c:f>
              <c:numCache>
                <c:formatCode>General</c:formatCode>
                <c:ptCount val="10"/>
                <c:pt idx="0">
                  <c:v>25240</c:v>
                </c:pt>
                <c:pt idx="1">
                  <c:v>27440</c:v>
                </c:pt>
                <c:pt idx="2">
                  <c:v>25960</c:v>
                </c:pt>
                <c:pt idx="3">
                  <c:v>25560</c:v>
                </c:pt>
                <c:pt idx="4">
                  <c:v>26120</c:v>
                </c:pt>
                <c:pt idx="5">
                  <c:v>25960</c:v>
                </c:pt>
                <c:pt idx="6">
                  <c:v>25360</c:v>
                </c:pt>
                <c:pt idx="7">
                  <c:v>36920</c:v>
                </c:pt>
                <c:pt idx="8">
                  <c:v>27240</c:v>
                </c:pt>
                <c:pt idx="9">
                  <c:v>27120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DA-4EFC-9356-C416B9A4DEF6}"/>
            </c:ext>
          </c:extLst>
        </c:ser>
        <c:ser>
          <c:idx val="15"/>
          <c:order val="15"/>
          <c:tx>
            <c:strRef>
              <c:f>Sheet1!$BD$16</c:f>
              <c:strCache>
                <c:ptCount val="1"/>
                <c:pt idx="0">
                  <c:v>Okra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Sheet1!$BD$17:$BD$26</c:f>
              <c:numCache>
                <c:formatCode>General</c:formatCode>
                <c:ptCount val="10"/>
                <c:pt idx="0">
                  <c:v>15720</c:v>
                </c:pt>
                <c:pt idx="1">
                  <c:v>17580</c:v>
                </c:pt>
                <c:pt idx="2">
                  <c:v>16950</c:v>
                </c:pt>
                <c:pt idx="3">
                  <c:v>16440</c:v>
                </c:pt>
                <c:pt idx="4">
                  <c:v>16710</c:v>
                </c:pt>
                <c:pt idx="5">
                  <c:v>16440</c:v>
                </c:pt>
                <c:pt idx="6">
                  <c:v>17610</c:v>
                </c:pt>
                <c:pt idx="7">
                  <c:v>25740</c:v>
                </c:pt>
                <c:pt idx="8">
                  <c:v>15690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DA-4EFC-9356-C416B9A4DEF6}"/>
            </c:ext>
          </c:extLst>
        </c:ser>
        <c:ser>
          <c:idx val="16"/>
          <c:order val="16"/>
          <c:tx>
            <c:strRef>
              <c:f>Sheet1!$BE$16</c:f>
              <c:strCache>
                <c:ptCount val="1"/>
                <c:pt idx="0">
                  <c:v>Ridge Gourd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Sheet1!$BE$17:$BE$26</c:f>
              <c:numCache>
                <c:formatCode>General</c:formatCode>
                <c:ptCount val="10"/>
                <c:pt idx="0">
                  <c:v>19020</c:v>
                </c:pt>
                <c:pt idx="1">
                  <c:v>20340</c:v>
                </c:pt>
                <c:pt idx="2">
                  <c:v>19590</c:v>
                </c:pt>
                <c:pt idx="3">
                  <c:v>19350</c:v>
                </c:pt>
                <c:pt idx="4">
                  <c:v>19140</c:v>
                </c:pt>
                <c:pt idx="5">
                  <c:v>19410</c:v>
                </c:pt>
                <c:pt idx="6">
                  <c:v>20040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DA-4EFC-9356-C416B9A4DEF6}"/>
            </c:ext>
          </c:extLst>
        </c:ser>
        <c:ser>
          <c:idx val="17"/>
          <c:order val="17"/>
          <c:tx>
            <c:strRef>
              <c:f>Sheet1!$BF$16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Sheet1!$AN$17:$AN$26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Sheet1!$BF$17:$BF$26</c:f>
              <c:numCache>
                <c:formatCode>General</c:formatCode>
                <c:ptCount val="10"/>
                <c:pt idx="0">
                  <c:v>27320</c:v>
                </c:pt>
                <c:pt idx="1">
                  <c:v>30320</c:v>
                </c:pt>
                <c:pt idx="2">
                  <c:v>28480</c:v>
                </c:pt>
                <c:pt idx="3">
                  <c:v>28040</c:v>
                </c:pt>
                <c:pt idx="4">
                  <c:v>28880</c:v>
                </c:pt>
                <c:pt idx="5">
                  <c:v>28720</c:v>
                </c:pt>
                <c:pt idx="6">
                  <c:v>29600</c:v>
                </c:pt>
                <c:pt idx="7">
                  <c:v>45160</c:v>
                </c:pt>
                <c:pt idx="8">
                  <c:v>29680</c:v>
                </c:pt>
                <c:pt idx="9">
                  <c:v>31040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DA-4EFC-9356-C416B9A4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482016"/>
        <c:axId val="500618736"/>
        <c:extLst>
          <c:ext xmlns:c15="http://schemas.microsoft.com/office/drawing/2012/chart" uri="{02D57815-91ED-43cb-92C2-25804820EDAC}">
            <c15:filteredBarSeries>
              <c15:ser>
                <c:idx val="18"/>
                <c:order val="18"/>
                <c:tx>
                  <c:strRef>
                    <c:extLst>
                      <c:ext uri="{02D57815-91ED-43cb-92C2-25804820EDAC}">
                        <c15:formulaRef>
                          <c15:sqref>Sheet1!$BG$16</c15:sqref>
                        </c15:formulaRef>
                      </c:ext>
                    </c:extLst>
                    <c:strCache>
                      <c:ptCount val="1"/>
                      <c:pt idx="0">
                        <c:v>Others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Sheet1!$AN$17:$AN$26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Sheet1!$BG$17:$BG$26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49248</c:v>
                      </c:pt>
                      <c:pt idx="1">
                        <c:v>52848</c:v>
                      </c:pt>
                      <c:pt idx="2">
                        <c:v>50976</c:v>
                      </c:pt>
                      <c:pt idx="3">
                        <c:v>54432</c:v>
                      </c:pt>
                      <c:pt idx="4">
                        <c:v>50832</c:v>
                      </c:pt>
                      <c:pt idx="5">
                        <c:v>55296</c:v>
                      </c:pt>
                      <c:pt idx="6">
                        <c:v>48528</c:v>
                      </c:pt>
                      <c:pt idx="7">
                        <c:v>112896</c:v>
                      </c:pt>
                      <c:pt idx="8">
                        <c:v>58608</c:v>
                      </c:pt>
                      <c:pt idx="9">
                        <c:v>60912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6EDA-4EFC-9356-C416B9A4DEF6}"/>
                  </c:ext>
                </c:extLst>
              </c15:ser>
            </c15:filteredBarSeries>
          </c:ext>
        </c:extLst>
      </c:barChart>
      <c:catAx>
        <c:axId val="68348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18736"/>
        <c:crosses val="autoZero"/>
        <c:auto val="1"/>
        <c:lblAlgn val="ctr"/>
        <c:lblOffset val="100"/>
        <c:noMultiLvlLbl val="0"/>
      </c:catAx>
      <c:valAx>
        <c:axId val="500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8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652-4A33-87F4-DBFDF5C3CE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652-4A33-87F4-DBFDF5C3CE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652-4A33-87F4-DBFDF5C3CE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652-4A33-87F4-DBFDF5C3CE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652-4A33-87F4-DBFDF5C3CE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E652-4A33-87F4-DBFDF5C3CE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E652-4A33-87F4-DBFDF5C3CEAF}"/>
              </c:ext>
            </c:extLst>
          </c:dPt>
          <c:dPt>
            <c:idx val="7"/>
            <c:bubble3D val="0"/>
            <c:explosion val="3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BD20-4926-9BDA-DC378E949D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E652-4A33-87F4-DBFDF5C3CE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E652-4A33-87F4-DBFDF5C3CE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Sheet1!$BM$3:$BM$12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Sheet1!$BP$3:$BP$12</c:f>
              <c:numCache>
                <c:formatCode>_("₹"* #,##0.00_);_("₹"* \(#,##0.00\);_("₹"* "-"??_);_(@_)</c:formatCode>
                <c:ptCount val="10"/>
                <c:pt idx="0">
                  <c:v>80495</c:v>
                </c:pt>
                <c:pt idx="1">
                  <c:v>100589</c:v>
                </c:pt>
                <c:pt idx="2">
                  <c:v>109631</c:v>
                </c:pt>
                <c:pt idx="3">
                  <c:v>121251</c:v>
                </c:pt>
                <c:pt idx="4">
                  <c:v>103648</c:v>
                </c:pt>
                <c:pt idx="5">
                  <c:v>73706</c:v>
                </c:pt>
                <c:pt idx="6">
                  <c:v>69144</c:v>
                </c:pt>
                <c:pt idx="7">
                  <c:v>179911</c:v>
                </c:pt>
                <c:pt idx="8">
                  <c:v>86317</c:v>
                </c:pt>
                <c:pt idx="9">
                  <c:v>120930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0-4926-9BDA-DC378E949D7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  <a:r>
              <a:rPr lang="en-IN" b="1" baseline="0"/>
              <a:t> GENERATED /MONTH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Sheet1!$BM$3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Sheet1!$BN$3</c:f>
              <c:numCache>
                <c:formatCode>"₹"\ #,##0.00</c:formatCode>
                <c:ptCount val="1"/>
                <c:pt idx="0">
                  <c:v>651017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6-4D8C-8F72-374E8CA73423}"/>
            </c:ext>
          </c:extLst>
        </c:ser>
        <c:ser>
          <c:idx val="1"/>
          <c:order val="1"/>
          <c:tx>
            <c:strRef>
              <c:f>Sheet1!$BM$4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Sheet1!$BN$4</c:f>
              <c:numCache>
                <c:formatCode>"₹"\ #,##0.00</c:formatCode>
                <c:ptCount val="1"/>
                <c:pt idx="0">
                  <c:v>785174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6-4D8C-8F72-374E8CA73423}"/>
            </c:ext>
          </c:extLst>
        </c:ser>
        <c:ser>
          <c:idx val="2"/>
          <c:order val="2"/>
          <c:tx>
            <c:strRef>
              <c:f>Sheet1!$BM$5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Sheet1!$BN$5</c:f>
              <c:numCache>
                <c:formatCode>"₹"\ #,##0.00</c:formatCode>
                <c:ptCount val="1"/>
                <c:pt idx="0">
                  <c:v>818018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6-4D8C-8F72-374E8CA73423}"/>
            </c:ext>
          </c:extLst>
        </c:ser>
        <c:ser>
          <c:idx val="3"/>
          <c:order val="3"/>
          <c:tx>
            <c:strRef>
              <c:f>Sheet1!$BM$6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Sheet1!$BN$6</c:f>
              <c:numCache>
                <c:formatCode>"₹"\ #,##0.00</c:formatCode>
                <c:ptCount val="1"/>
                <c:pt idx="0">
                  <c:v>840825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6-4D8C-8F72-374E8CA73423}"/>
            </c:ext>
          </c:extLst>
        </c:ser>
        <c:ser>
          <c:idx val="4"/>
          <c:order val="4"/>
          <c:tx>
            <c:strRef>
              <c:f>Sheet1!$BM$7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Sheet1!$BN$7</c:f>
              <c:numCache>
                <c:formatCode>"₹"\ #,##0.00</c:formatCode>
                <c:ptCount val="1"/>
                <c:pt idx="0">
                  <c:v>788257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6-4D8C-8F72-374E8CA73423}"/>
            </c:ext>
          </c:extLst>
        </c:ser>
        <c:ser>
          <c:idx val="5"/>
          <c:order val="5"/>
          <c:tx>
            <c:strRef>
              <c:f>Sheet1!$BM$8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Sheet1!$BN$8</c:f>
              <c:numCache>
                <c:formatCode>"₹"\ #,##0.00</c:formatCode>
                <c:ptCount val="1"/>
                <c:pt idx="0">
                  <c:v>632415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6-4D8C-8F72-374E8CA73423}"/>
            </c:ext>
          </c:extLst>
        </c:ser>
        <c:ser>
          <c:idx val="6"/>
          <c:order val="6"/>
          <c:tx>
            <c:strRef>
              <c:f>Sheet1!$BM$9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Sheet1!$BN$9</c:f>
              <c:numCache>
                <c:formatCode>"₹"\ #,##0.00</c:formatCode>
                <c:ptCount val="1"/>
                <c:pt idx="0">
                  <c:v>604670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A6-4D8C-8F72-374E8CA73423}"/>
            </c:ext>
          </c:extLst>
        </c:ser>
        <c:ser>
          <c:idx val="7"/>
          <c:order val="7"/>
          <c:tx>
            <c:strRef>
              <c:f>Sheet1!$BM$10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Sheet1!$BN$10</c:f>
              <c:numCache>
                <c:formatCode>"₹"\ #,##0.00</c:formatCode>
                <c:ptCount val="1"/>
                <c:pt idx="0">
                  <c:v>1142495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A6-4D8C-8F72-374E8CA73423}"/>
            </c:ext>
          </c:extLst>
        </c:ser>
        <c:ser>
          <c:idx val="8"/>
          <c:order val="8"/>
          <c:tx>
            <c:strRef>
              <c:f>Sheet1!$BM$11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Sheet1!$BN$11</c:f>
              <c:numCache>
                <c:formatCode>"₹"\ #,##0.00</c:formatCode>
                <c:ptCount val="1"/>
                <c:pt idx="0">
                  <c:v>780405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A6-4D8C-8F72-374E8CA73423}"/>
            </c:ext>
          </c:extLst>
        </c:ser>
        <c:ser>
          <c:idx val="9"/>
          <c:order val="9"/>
          <c:tx>
            <c:strRef>
              <c:f>Sheet1!$BM$12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Sheet1!$BN$2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Sheet1!$BN$12</c:f>
              <c:numCache>
                <c:formatCode>"₹"\ #,##0.00</c:formatCode>
                <c:ptCount val="1"/>
                <c:pt idx="0">
                  <c:v>877358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A6-4D8C-8F72-374E8CA73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646128"/>
        <c:axId val="2033701856"/>
      </c:barChart>
      <c:catAx>
        <c:axId val="4786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01856"/>
        <c:crosses val="autoZero"/>
        <c:auto val="1"/>
        <c:lblAlgn val="ctr"/>
        <c:lblOffset val="100"/>
        <c:noMultiLvlLbl val="0"/>
      </c:catAx>
      <c:valAx>
        <c:axId val="20337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DEMAND/ITEM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Sheet1!$AO$2:$BF$2</c:f>
              <c:strCache>
                <c:ptCount val="18"/>
                <c:pt idx="0">
                  <c:v>Potato</c:v>
                </c:pt>
                <c:pt idx="1">
                  <c:v>Onion</c:v>
                </c:pt>
                <c:pt idx="2">
                  <c:v>Garlic</c:v>
                </c:pt>
                <c:pt idx="3">
                  <c:v>Ginger</c:v>
                </c:pt>
                <c:pt idx="4">
                  <c:v>Tomato</c:v>
                </c:pt>
                <c:pt idx="5">
                  <c:v>Carrot</c:v>
                </c:pt>
                <c:pt idx="6">
                  <c:v>Brinjal</c:v>
                </c:pt>
                <c:pt idx="7">
                  <c:v>Chilli</c:v>
                </c:pt>
                <c:pt idx="8">
                  <c:v>Cauliflower</c:v>
                </c:pt>
                <c:pt idx="9">
                  <c:v>Peas</c:v>
                </c:pt>
                <c:pt idx="10">
                  <c:v>Cabbage</c:v>
                </c:pt>
                <c:pt idx="11">
                  <c:v>Pointed Gourd</c:v>
                </c:pt>
                <c:pt idx="12">
                  <c:v>Radish</c:v>
                </c:pt>
                <c:pt idx="13">
                  <c:v>Mango</c:v>
                </c:pt>
                <c:pt idx="14">
                  <c:v>Pumpkin</c:v>
                </c:pt>
                <c:pt idx="15">
                  <c:v>Okra</c:v>
                </c:pt>
                <c:pt idx="16">
                  <c:v>Ridge Gourd</c:v>
                </c:pt>
                <c:pt idx="17">
                  <c:v>Cucumber</c:v>
                </c:pt>
              </c:strCache>
            </c:strRef>
          </c:cat>
          <c:val>
            <c:numRef>
              <c:f>Sheet1!$AO$13:$BF$13</c:f>
              <c:numCache>
                <c:formatCode>General</c:formatCode>
                <c:ptCount val="18"/>
                <c:pt idx="0">
                  <c:v>18769</c:v>
                </c:pt>
                <c:pt idx="1">
                  <c:v>14864</c:v>
                </c:pt>
                <c:pt idx="2">
                  <c:v>6462</c:v>
                </c:pt>
                <c:pt idx="3">
                  <c:v>6745</c:v>
                </c:pt>
                <c:pt idx="4">
                  <c:v>9394</c:v>
                </c:pt>
                <c:pt idx="5">
                  <c:v>7223</c:v>
                </c:pt>
                <c:pt idx="6">
                  <c:v>6035</c:v>
                </c:pt>
                <c:pt idx="7">
                  <c:v>5067</c:v>
                </c:pt>
                <c:pt idx="8">
                  <c:v>2348</c:v>
                </c:pt>
                <c:pt idx="9">
                  <c:v>1324</c:v>
                </c:pt>
                <c:pt idx="10">
                  <c:v>1766</c:v>
                </c:pt>
                <c:pt idx="11">
                  <c:v>6359</c:v>
                </c:pt>
                <c:pt idx="12">
                  <c:v>1951</c:v>
                </c:pt>
                <c:pt idx="13">
                  <c:v>7578</c:v>
                </c:pt>
                <c:pt idx="14">
                  <c:v>6823</c:v>
                </c:pt>
                <c:pt idx="15">
                  <c:v>5296</c:v>
                </c:pt>
                <c:pt idx="16">
                  <c:v>4563</c:v>
                </c:pt>
                <c:pt idx="17">
                  <c:v>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028-8A03-95B217E7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3558176"/>
        <c:axId val="2039159456"/>
        <c:axId val="0"/>
      </c:bar3DChart>
      <c:catAx>
        <c:axId val="2935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159456"/>
        <c:crosses val="autoZero"/>
        <c:auto val="1"/>
        <c:lblAlgn val="ctr"/>
        <c:lblOffset val="100"/>
        <c:noMultiLvlLbl val="0"/>
      </c:catAx>
      <c:valAx>
        <c:axId val="20391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PROFIT/ITEM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Sheet1!$AO$45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Sheet1!$AO$56</c:f>
              <c:numCache>
                <c:formatCode>General</c:formatCode>
                <c:ptCount val="1"/>
                <c:pt idx="0">
                  <c:v>187690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6-42E9-B6DA-0C199F6A1E91}"/>
            </c:ext>
          </c:extLst>
        </c:ser>
        <c:ser>
          <c:idx val="1"/>
          <c:order val="1"/>
          <c:tx>
            <c:strRef>
              <c:f>Sheet1!$AP$45</c:f>
              <c:strCache>
                <c:ptCount val="1"/>
                <c:pt idx="0">
                  <c:v>Onion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Sheet1!$AP$56</c:f>
              <c:numCache>
                <c:formatCode>General</c:formatCode>
                <c:ptCount val="1"/>
                <c:pt idx="0">
                  <c:v>74320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6-42E9-B6DA-0C199F6A1E91}"/>
            </c:ext>
          </c:extLst>
        </c:ser>
        <c:ser>
          <c:idx val="2"/>
          <c:order val="2"/>
          <c:tx>
            <c:strRef>
              <c:f>Sheet1!$AQ$45</c:f>
              <c:strCache>
                <c:ptCount val="1"/>
                <c:pt idx="0">
                  <c:v>Garlic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Sheet1!$AQ$56</c:f>
              <c:numCache>
                <c:formatCode>General</c:formatCode>
                <c:ptCount val="1"/>
                <c:pt idx="0">
                  <c:v>96930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B6-42E9-B6DA-0C199F6A1E91}"/>
            </c:ext>
          </c:extLst>
        </c:ser>
        <c:ser>
          <c:idx val="3"/>
          <c:order val="3"/>
          <c:tx>
            <c:strRef>
              <c:f>Sheet1!$AR$45</c:f>
              <c:strCache>
                <c:ptCount val="1"/>
                <c:pt idx="0">
                  <c:v>Ginger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Sheet1!$AR$56</c:f>
              <c:numCache>
                <c:formatCode>General</c:formatCode>
                <c:ptCount val="1"/>
                <c:pt idx="0">
                  <c:v>67450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B6-42E9-B6DA-0C199F6A1E91}"/>
            </c:ext>
          </c:extLst>
        </c:ser>
        <c:ser>
          <c:idx val="4"/>
          <c:order val="4"/>
          <c:tx>
            <c:strRef>
              <c:f>Sheet1!$AS$45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Sheet1!$AS$56</c:f>
              <c:numCache>
                <c:formatCode>General</c:formatCode>
                <c:ptCount val="1"/>
                <c:pt idx="0">
                  <c:v>84546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B6-42E9-B6DA-0C199F6A1E91}"/>
            </c:ext>
          </c:extLst>
        </c:ser>
        <c:ser>
          <c:idx val="5"/>
          <c:order val="5"/>
          <c:tx>
            <c:strRef>
              <c:f>Sheet1!$AT$45</c:f>
              <c:strCache>
                <c:ptCount val="1"/>
                <c:pt idx="0">
                  <c:v>Carrot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Sheet1!$AT$56</c:f>
              <c:numCache>
                <c:formatCode>General</c:formatCode>
                <c:ptCount val="1"/>
                <c:pt idx="0">
                  <c:v>72230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B6-42E9-B6DA-0C199F6A1E91}"/>
            </c:ext>
          </c:extLst>
        </c:ser>
        <c:ser>
          <c:idx val="6"/>
          <c:order val="6"/>
          <c:tx>
            <c:strRef>
              <c:f>Sheet1!$AU$45</c:f>
              <c:strCache>
                <c:ptCount val="1"/>
                <c:pt idx="0">
                  <c:v>Brinjal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Sheet1!$AU$56</c:f>
              <c:numCache>
                <c:formatCode>General</c:formatCode>
                <c:ptCount val="1"/>
                <c:pt idx="0">
                  <c:v>66385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B6-42E9-B6DA-0C199F6A1E91}"/>
            </c:ext>
          </c:extLst>
        </c:ser>
        <c:ser>
          <c:idx val="7"/>
          <c:order val="7"/>
          <c:tx>
            <c:strRef>
              <c:f>Sheet1!$AV$45</c:f>
              <c:strCache>
                <c:ptCount val="1"/>
                <c:pt idx="0">
                  <c:v>Chilli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Sheet1!$AV$56</c:f>
              <c:numCache>
                <c:formatCode>General</c:formatCode>
                <c:ptCount val="1"/>
                <c:pt idx="0">
                  <c:v>50670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B6-42E9-B6DA-0C199F6A1E91}"/>
            </c:ext>
          </c:extLst>
        </c:ser>
        <c:ser>
          <c:idx val="8"/>
          <c:order val="8"/>
          <c:tx>
            <c:strRef>
              <c:f>Sheet1!$AW$45</c:f>
              <c:strCache>
                <c:ptCount val="1"/>
                <c:pt idx="0">
                  <c:v>Cauliflower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Sheet1!$AW$56</c:f>
              <c:numCache>
                <c:formatCode>General</c:formatCode>
                <c:ptCount val="1"/>
                <c:pt idx="0">
                  <c:v>70440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B6-42E9-B6DA-0C199F6A1E91}"/>
            </c:ext>
          </c:extLst>
        </c:ser>
        <c:ser>
          <c:idx val="9"/>
          <c:order val="9"/>
          <c:tx>
            <c:strRef>
              <c:f>Sheet1!$AX$45</c:f>
              <c:strCache>
                <c:ptCount val="1"/>
                <c:pt idx="0">
                  <c:v>Peas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Sheet1!$AX$56</c:f>
              <c:numCache>
                <c:formatCode>General</c:formatCode>
                <c:ptCount val="1"/>
                <c:pt idx="0">
                  <c:v>19860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B6-42E9-B6DA-0C199F6A1E91}"/>
            </c:ext>
          </c:extLst>
        </c:ser>
        <c:ser>
          <c:idx val="10"/>
          <c:order val="10"/>
          <c:tx>
            <c:strRef>
              <c:f>Sheet1!$AY$45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Sheet1!$AY$56</c:f>
              <c:numCache>
                <c:formatCode>General</c:formatCode>
                <c:ptCount val="1"/>
                <c:pt idx="0">
                  <c:v>30022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B6-42E9-B6DA-0C199F6A1E91}"/>
            </c:ext>
          </c:extLst>
        </c:ser>
        <c:ser>
          <c:idx val="11"/>
          <c:order val="11"/>
          <c:tx>
            <c:strRef>
              <c:f>Sheet1!$AZ$45</c:f>
              <c:strCache>
                <c:ptCount val="1"/>
                <c:pt idx="0">
                  <c:v>Pointed Gourd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Sheet1!$AZ$56</c:f>
              <c:numCache>
                <c:formatCode>General</c:formatCode>
                <c:ptCount val="1"/>
                <c:pt idx="0">
                  <c:v>57231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B6-42E9-B6DA-0C199F6A1E91}"/>
            </c:ext>
          </c:extLst>
        </c:ser>
        <c:ser>
          <c:idx val="12"/>
          <c:order val="12"/>
          <c:tx>
            <c:strRef>
              <c:f>Sheet1!$BA$45</c:f>
              <c:strCache>
                <c:ptCount val="1"/>
                <c:pt idx="0">
                  <c:v>Radish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Sheet1!$BA$56</c:f>
              <c:numCache>
                <c:formatCode>General</c:formatCode>
                <c:ptCount val="1"/>
                <c:pt idx="0">
                  <c:v>13657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B6-42E9-B6DA-0C199F6A1E91}"/>
            </c:ext>
          </c:extLst>
        </c:ser>
        <c:ser>
          <c:idx val="13"/>
          <c:order val="13"/>
          <c:tx>
            <c:strRef>
              <c:f>Sheet1!$BB$45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Sheet1!$BB$56</c:f>
              <c:numCache>
                <c:formatCode>General</c:formatCode>
                <c:ptCount val="1"/>
                <c:pt idx="0">
                  <c:v>189450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B6-42E9-B6DA-0C199F6A1E91}"/>
            </c:ext>
          </c:extLst>
        </c:ser>
        <c:ser>
          <c:idx val="14"/>
          <c:order val="14"/>
          <c:tx>
            <c:strRef>
              <c:f>Sheet1!$BC$45</c:f>
              <c:strCache>
                <c:ptCount val="1"/>
                <c:pt idx="0">
                  <c:v>Pumpkin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Sheet1!$BC$56</c:f>
              <c:numCache>
                <c:formatCode>General</c:formatCode>
                <c:ptCount val="1"/>
                <c:pt idx="0">
                  <c:v>102345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B6-42E9-B6DA-0C199F6A1E91}"/>
            </c:ext>
          </c:extLst>
        </c:ser>
        <c:ser>
          <c:idx val="15"/>
          <c:order val="15"/>
          <c:tx>
            <c:strRef>
              <c:f>Sheet1!$BD$45</c:f>
              <c:strCache>
                <c:ptCount val="1"/>
                <c:pt idx="0">
                  <c:v>Okra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Sheet1!$BD$56</c:f>
              <c:numCache>
                <c:formatCode>General</c:formatCode>
                <c:ptCount val="1"/>
                <c:pt idx="0">
                  <c:v>52960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B6-42E9-B6DA-0C199F6A1E91}"/>
            </c:ext>
          </c:extLst>
        </c:ser>
        <c:ser>
          <c:idx val="16"/>
          <c:order val="16"/>
          <c:tx>
            <c:strRef>
              <c:f>Sheet1!$BE$45</c:f>
              <c:strCache>
                <c:ptCount val="1"/>
                <c:pt idx="0">
                  <c:v>Ridge Gourd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Sheet1!$BE$56</c:f>
              <c:numCache>
                <c:formatCode>General</c:formatCode>
                <c:ptCount val="1"/>
                <c:pt idx="0">
                  <c:v>45630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B6-42E9-B6DA-0C199F6A1E91}"/>
            </c:ext>
          </c:extLst>
        </c:ser>
        <c:ser>
          <c:idx val="17"/>
          <c:order val="17"/>
          <c:tx>
            <c:strRef>
              <c:f>Sheet1!$BF$45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Sheet1!$BF$56</c:f>
              <c:numCache>
                <c:formatCode>General</c:formatCode>
                <c:ptCount val="1"/>
                <c:pt idx="0">
                  <c:v>115215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B6-42E9-B6DA-0C199F6A1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09984"/>
        <c:axId val="2039155136"/>
      </c:barChart>
      <c:catAx>
        <c:axId val="1812609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9155136"/>
        <c:crosses val="autoZero"/>
        <c:auto val="1"/>
        <c:lblAlgn val="ctr"/>
        <c:lblOffset val="100"/>
        <c:noMultiLvlLbl val="0"/>
      </c:catAx>
      <c:valAx>
        <c:axId val="20391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NON-SEASONAL</a:t>
            </a:r>
            <a:r>
              <a:rPr lang="en-US" b="1" baseline="0"/>
              <a:t> ITEMS SOLD/MONTH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Sheet1!$AO$2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Sheet1!$AO$3:$AO$12</c:f>
              <c:numCache>
                <c:formatCode>General</c:formatCode>
                <c:ptCount val="10"/>
                <c:pt idx="0">
                  <c:v>1743</c:v>
                </c:pt>
                <c:pt idx="1">
                  <c:v>1828</c:v>
                </c:pt>
                <c:pt idx="2">
                  <c:v>1765</c:v>
                </c:pt>
                <c:pt idx="3">
                  <c:v>1731</c:v>
                </c:pt>
                <c:pt idx="4">
                  <c:v>1750</c:v>
                </c:pt>
                <c:pt idx="5">
                  <c:v>1764</c:v>
                </c:pt>
                <c:pt idx="6">
                  <c:v>1787</c:v>
                </c:pt>
                <c:pt idx="7">
                  <c:v>2646</c:v>
                </c:pt>
                <c:pt idx="8">
                  <c:v>1798</c:v>
                </c:pt>
                <c:pt idx="9">
                  <c:v>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D-4369-B24D-1C79D69EBDFF}"/>
            </c:ext>
          </c:extLst>
        </c:ser>
        <c:ser>
          <c:idx val="1"/>
          <c:order val="1"/>
          <c:tx>
            <c:strRef>
              <c:f>Sheet1!$AP$2</c:f>
              <c:strCache>
                <c:ptCount val="1"/>
                <c:pt idx="0">
                  <c:v>Onion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Sheet1!$AP$3:$AP$12</c:f>
              <c:numCache>
                <c:formatCode>General</c:formatCode>
                <c:ptCount val="10"/>
                <c:pt idx="0">
                  <c:v>1312</c:v>
                </c:pt>
                <c:pt idx="1">
                  <c:v>1592</c:v>
                </c:pt>
                <c:pt idx="2">
                  <c:v>1388</c:v>
                </c:pt>
                <c:pt idx="3">
                  <c:v>1293</c:v>
                </c:pt>
                <c:pt idx="4">
                  <c:v>1322</c:v>
                </c:pt>
                <c:pt idx="5">
                  <c:v>1385</c:v>
                </c:pt>
                <c:pt idx="6">
                  <c:v>1378</c:v>
                </c:pt>
                <c:pt idx="7">
                  <c:v>2131</c:v>
                </c:pt>
                <c:pt idx="8">
                  <c:v>1395</c:v>
                </c:pt>
                <c:pt idx="9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D-4369-B24D-1C79D69EBDFF}"/>
            </c:ext>
          </c:extLst>
        </c:ser>
        <c:ser>
          <c:idx val="2"/>
          <c:order val="2"/>
          <c:tx>
            <c:strRef>
              <c:f>Sheet1!$AQ$2</c:f>
              <c:strCache>
                <c:ptCount val="1"/>
                <c:pt idx="0">
                  <c:v>Garlic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Sheet1!$AQ$3:$AQ$12</c:f>
              <c:numCache>
                <c:formatCode>General</c:formatCode>
                <c:ptCount val="10"/>
                <c:pt idx="0">
                  <c:v>658</c:v>
                </c:pt>
                <c:pt idx="1">
                  <c:v>733</c:v>
                </c:pt>
                <c:pt idx="2">
                  <c:v>696</c:v>
                </c:pt>
                <c:pt idx="3">
                  <c:v>629</c:v>
                </c:pt>
                <c:pt idx="4">
                  <c:v>597</c:v>
                </c:pt>
                <c:pt idx="5">
                  <c:v>584</c:v>
                </c:pt>
                <c:pt idx="6">
                  <c:v>538</c:v>
                </c:pt>
                <c:pt idx="7">
                  <c:v>987</c:v>
                </c:pt>
                <c:pt idx="8">
                  <c:v>458</c:v>
                </c:pt>
                <c:pt idx="9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D-4369-B24D-1C79D69EBDFF}"/>
            </c:ext>
          </c:extLst>
        </c:ser>
        <c:ser>
          <c:idx val="3"/>
          <c:order val="3"/>
          <c:tx>
            <c:strRef>
              <c:f>Sheet1!$AR$2</c:f>
              <c:strCache>
                <c:ptCount val="1"/>
                <c:pt idx="0">
                  <c:v>Ginger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Sheet1!$AR$3:$AR$12</c:f>
              <c:numCache>
                <c:formatCode>General</c:formatCode>
                <c:ptCount val="10"/>
                <c:pt idx="0">
                  <c:v>610</c:v>
                </c:pt>
                <c:pt idx="1">
                  <c:v>671</c:v>
                </c:pt>
                <c:pt idx="2">
                  <c:v>633</c:v>
                </c:pt>
                <c:pt idx="3">
                  <c:v>622</c:v>
                </c:pt>
                <c:pt idx="4">
                  <c:v>645</c:v>
                </c:pt>
                <c:pt idx="5">
                  <c:v>655</c:v>
                </c:pt>
                <c:pt idx="6">
                  <c:v>678</c:v>
                </c:pt>
                <c:pt idx="7">
                  <c:v>821</c:v>
                </c:pt>
                <c:pt idx="8">
                  <c:v>692</c:v>
                </c:pt>
                <c:pt idx="9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D-4369-B24D-1C79D69EBDFF}"/>
            </c:ext>
          </c:extLst>
        </c:ser>
        <c:ser>
          <c:idx val="4"/>
          <c:order val="4"/>
          <c:tx>
            <c:strRef>
              <c:f>Sheet1!$AS$2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Sheet1!$AS$3:$AS$12</c:f>
              <c:numCache>
                <c:formatCode>General</c:formatCode>
                <c:ptCount val="10"/>
                <c:pt idx="0">
                  <c:v>841</c:v>
                </c:pt>
                <c:pt idx="1">
                  <c:v>864</c:v>
                </c:pt>
                <c:pt idx="2">
                  <c:v>850</c:v>
                </c:pt>
                <c:pt idx="3">
                  <c:v>812</c:v>
                </c:pt>
                <c:pt idx="4">
                  <c:v>826</c:v>
                </c:pt>
                <c:pt idx="5">
                  <c:v>838</c:v>
                </c:pt>
                <c:pt idx="6">
                  <c:v>862</c:v>
                </c:pt>
                <c:pt idx="7">
                  <c:v>1753</c:v>
                </c:pt>
                <c:pt idx="8">
                  <c:v>885</c:v>
                </c:pt>
                <c:pt idx="9">
                  <c:v>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D-4369-B24D-1C79D69EBDFF}"/>
            </c:ext>
          </c:extLst>
        </c:ser>
        <c:ser>
          <c:idx val="7"/>
          <c:order val="7"/>
          <c:tx>
            <c:strRef>
              <c:f>Sheet1!$AV$2</c:f>
              <c:strCache>
                <c:ptCount val="1"/>
                <c:pt idx="0">
                  <c:v>Chilli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Sheet1!$AV$3:$AV$12</c:f>
              <c:numCache>
                <c:formatCode>General</c:formatCode>
                <c:ptCount val="10"/>
                <c:pt idx="0">
                  <c:v>472</c:v>
                </c:pt>
                <c:pt idx="1">
                  <c:v>484</c:v>
                </c:pt>
                <c:pt idx="2">
                  <c:v>465</c:v>
                </c:pt>
                <c:pt idx="3">
                  <c:v>458</c:v>
                </c:pt>
                <c:pt idx="4">
                  <c:v>437</c:v>
                </c:pt>
                <c:pt idx="5">
                  <c:v>455</c:v>
                </c:pt>
                <c:pt idx="6">
                  <c:v>413</c:v>
                </c:pt>
                <c:pt idx="7">
                  <c:v>964</c:v>
                </c:pt>
                <c:pt idx="8">
                  <c:v>441</c:v>
                </c:pt>
                <c:pt idx="9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D-4369-B24D-1C79D69EBDFF}"/>
            </c:ext>
          </c:extLst>
        </c:ser>
        <c:ser>
          <c:idx val="17"/>
          <c:order val="17"/>
          <c:tx>
            <c:strRef>
              <c:f>Sheet1!$BF$2</c:f>
              <c:strCache>
                <c:ptCount val="1"/>
                <c:pt idx="0">
                  <c:v>Cucumber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Sheet1!$BF$3:$BF$12</c:f>
              <c:numCache>
                <c:formatCode>General</c:formatCode>
                <c:ptCount val="10"/>
                <c:pt idx="0">
                  <c:v>683</c:v>
                </c:pt>
                <c:pt idx="1">
                  <c:v>758</c:v>
                </c:pt>
                <c:pt idx="2">
                  <c:v>712</c:v>
                </c:pt>
                <c:pt idx="3">
                  <c:v>701</c:v>
                </c:pt>
                <c:pt idx="4">
                  <c:v>722</c:v>
                </c:pt>
                <c:pt idx="5">
                  <c:v>718</c:v>
                </c:pt>
                <c:pt idx="6">
                  <c:v>740</c:v>
                </c:pt>
                <c:pt idx="7">
                  <c:v>1129</c:v>
                </c:pt>
                <c:pt idx="8">
                  <c:v>742</c:v>
                </c:pt>
                <c:pt idx="9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AD-4369-B24D-1C79D69EB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43312"/>
        <c:axId val="204212107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Sheet1!$AT$2</c15:sqref>
                        </c15:formulaRef>
                      </c:ext>
                    </c:extLst>
                    <c:strCache>
                      <c:ptCount val="1"/>
                      <c:pt idx="0">
                        <c:v>Carrot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Sheet1!$AT$3:$AT$12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682</c:v>
                      </c:pt>
                      <c:pt idx="1">
                        <c:v>668</c:v>
                      </c:pt>
                      <c:pt idx="2">
                        <c:v>610</c:v>
                      </c:pt>
                      <c:pt idx="3">
                        <c:v>624</c:v>
                      </c:pt>
                      <c:pt idx="4">
                        <c:v>631</c:v>
                      </c:pt>
                      <c:pt idx="5">
                        <c:v>627</c:v>
                      </c:pt>
                      <c:pt idx="6">
                        <c:v>643</c:v>
                      </c:pt>
                      <c:pt idx="7">
                        <c:v>1382</c:v>
                      </c:pt>
                      <c:pt idx="8">
                        <c:v>674</c:v>
                      </c:pt>
                      <c:pt idx="9">
                        <c:v>682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AAD-4369-B24D-1C79D69EBDF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</c15:sqref>
                        </c15:formulaRef>
                      </c:ext>
                    </c:extLst>
                    <c:strCache>
                      <c:ptCount val="1"/>
                      <c:pt idx="0">
                        <c:v>Brinjal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Sheet1!$AU$3:$AU$12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588</c:v>
                      </c:pt>
                      <c:pt idx="1">
                        <c:v>604</c:v>
                      </c:pt>
                      <c:pt idx="2">
                        <c:v>592</c:v>
                      </c:pt>
                      <c:pt idx="3">
                        <c:v>528</c:v>
                      </c:pt>
                      <c:pt idx="4">
                        <c:v>533</c:v>
                      </c:pt>
                      <c:pt idx="5">
                        <c:v>527</c:v>
                      </c:pt>
                      <c:pt idx="6">
                        <c:v>549</c:v>
                      </c:pt>
                      <c:pt idx="7">
                        <c:v>953</c:v>
                      </c:pt>
                      <c:pt idx="8">
                        <c:v>587</c:v>
                      </c:pt>
                      <c:pt idx="9">
                        <c:v>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AD-4369-B24D-1C79D69EBDF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</c15:sqref>
                        </c15:formulaRef>
                      </c:ext>
                    </c:extLst>
                    <c:strCache>
                      <c:ptCount val="1"/>
                      <c:pt idx="0">
                        <c:v>Cauliflower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Sheet1!$AW$3:$AW$12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78</c:v>
                      </c:pt>
                      <c:pt idx="1">
                        <c:v>54</c:v>
                      </c:pt>
                      <c:pt idx="2">
                        <c:v>37</c:v>
                      </c:pt>
                      <c:pt idx="3">
                        <c:v>38</c:v>
                      </c:pt>
                      <c:pt idx="4">
                        <c:v>32</c:v>
                      </c:pt>
                      <c:pt idx="5">
                        <c:v>49</c:v>
                      </c:pt>
                      <c:pt idx="6">
                        <c:v>86</c:v>
                      </c:pt>
                      <c:pt idx="7">
                        <c:v>583</c:v>
                      </c:pt>
                      <c:pt idx="8">
                        <c:v>639</c:v>
                      </c:pt>
                      <c:pt idx="9">
                        <c:v>752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AAD-4369-B24D-1C79D69EBDF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Sheet1!$AX$2</c15:sqref>
                        </c15:formulaRef>
                      </c:ext>
                    </c:extLst>
                    <c:strCache>
                      <c:ptCount val="1"/>
                      <c:pt idx="0">
                        <c:v>Peas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Sheet1!$AX$3:$AX$12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97</c:v>
                      </c:pt>
                      <c:pt idx="7">
                        <c:v>227</c:v>
                      </c:pt>
                      <c:pt idx="8">
                        <c:v>387</c:v>
                      </c:pt>
                      <c:pt idx="9">
                        <c:v>613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AAD-4369-B24D-1C79D69EBDF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Sheet1!$AY$2</c15:sqref>
                        </c15:formulaRef>
                      </c:ext>
                    </c:extLst>
                    <c:strCache>
                      <c:ptCount val="1"/>
                      <c:pt idx="0">
                        <c:v>Cabbage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Sheet1!$AY$3:$AY$12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77</c:v>
                      </c:pt>
                      <c:pt idx="7">
                        <c:v>487</c:v>
                      </c:pt>
                      <c:pt idx="8">
                        <c:v>523</c:v>
                      </c:pt>
                      <c:pt idx="9">
                        <c:v>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AAD-4369-B24D-1C79D69EBDF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Sheet1!$AZ$2</c15:sqref>
                        </c15:formulaRef>
                      </c:ext>
                    </c:extLst>
                    <c:strCache>
                      <c:ptCount val="1"/>
                      <c:pt idx="0">
                        <c:v>Pointed Gourd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Sheet1!$AZ$3:$AZ$12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677</c:v>
                      </c:pt>
                      <c:pt idx="1">
                        <c:v>668</c:v>
                      </c:pt>
                      <c:pt idx="2">
                        <c:v>672</c:v>
                      </c:pt>
                      <c:pt idx="3">
                        <c:v>582</c:v>
                      </c:pt>
                      <c:pt idx="4">
                        <c:v>611</c:v>
                      </c:pt>
                      <c:pt idx="5">
                        <c:v>598</c:v>
                      </c:pt>
                      <c:pt idx="6">
                        <c:v>559</c:v>
                      </c:pt>
                      <c:pt idx="7">
                        <c:v>898</c:v>
                      </c:pt>
                      <c:pt idx="8">
                        <c:v>541</c:v>
                      </c:pt>
                      <c:pt idx="9">
                        <c:v>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AAD-4369-B24D-1C79D69EBDF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Sheet1!$BA$2</c15:sqref>
                        </c15:formulaRef>
                      </c:ext>
                    </c:extLst>
                    <c:strCache>
                      <c:ptCount val="1"/>
                      <c:pt idx="0">
                        <c:v>Radish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Sheet1!$BA$3:$BA$12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98</c:v>
                      </c:pt>
                      <c:pt idx="6">
                        <c:v>113</c:v>
                      </c:pt>
                      <c:pt idx="7">
                        <c:v>538</c:v>
                      </c:pt>
                      <c:pt idx="8">
                        <c:v>554</c:v>
                      </c:pt>
                      <c:pt idx="9">
                        <c:v>648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AAD-4369-B24D-1C79D69EBDF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Sheet1!$BB$2</c15:sqref>
                        </c15:formulaRef>
                      </c:ext>
                    </c:extLst>
                    <c:strCache>
                      <c:ptCount val="1"/>
                      <c:pt idx="0">
                        <c:v>Mango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Sheet1!$BB$3:$BB$12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487</c:v>
                      </c:pt>
                      <c:pt idx="1">
                        <c:v>1280</c:v>
                      </c:pt>
                      <c:pt idx="2">
                        <c:v>1752</c:v>
                      </c:pt>
                      <c:pt idx="3">
                        <c:v>1993</c:v>
                      </c:pt>
                      <c:pt idx="4">
                        <c:v>1678</c:v>
                      </c:pt>
                      <c:pt idx="5">
                        <c:v>388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AAD-4369-B24D-1C79D69EBDF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Sheet1!$BC$2</c15:sqref>
                        </c15:formulaRef>
                      </c:ext>
                    </c:extLst>
                    <c:strCache>
                      <c:ptCount val="1"/>
                      <c:pt idx="0">
                        <c:v>Pumpkin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Sheet1!$BC$3:$BC$12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631</c:v>
                      </c:pt>
                      <c:pt idx="1">
                        <c:v>686</c:v>
                      </c:pt>
                      <c:pt idx="2">
                        <c:v>649</c:v>
                      </c:pt>
                      <c:pt idx="3">
                        <c:v>639</c:v>
                      </c:pt>
                      <c:pt idx="4">
                        <c:v>653</c:v>
                      </c:pt>
                      <c:pt idx="5">
                        <c:v>649</c:v>
                      </c:pt>
                      <c:pt idx="6">
                        <c:v>634</c:v>
                      </c:pt>
                      <c:pt idx="7">
                        <c:v>923</c:v>
                      </c:pt>
                      <c:pt idx="8">
                        <c:v>681</c:v>
                      </c:pt>
                      <c:pt idx="9">
                        <c:v>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AAD-4369-B24D-1C79D69EBDF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Sheet1!$BD$2</c15:sqref>
                        </c15:formulaRef>
                      </c:ext>
                    </c:extLst>
                    <c:strCache>
                      <c:ptCount val="1"/>
                      <c:pt idx="0">
                        <c:v>Okra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Sheet1!$BD$3:$BD$12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524</c:v>
                      </c:pt>
                      <c:pt idx="1">
                        <c:v>586</c:v>
                      </c:pt>
                      <c:pt idx="2">
                        <c:v>565</c:v>
                      </c:pt>
                      <c:pt idx="3">
                        <c:v>548</c:v>
                      </c:pt>
                      <c:pt idx="4">
                        <c:v>557</c:v>
                      </c:pt>
                      <c:pt idx="5">
                        <c:v>548</c:v>
                      </c:pt>
                      <c:pt idx="6">
                        <c:v>587</c:v>
                      </c:pt>
                      <c:pt idx="7">
                        <c:v>858</c:v>
                      </c:pt>
                      <c:pt idx="8">
                        <c:v>523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AAD-4369-B24D-1C79D69EBDF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Sheet1!$BE$2</c15:sqref>
                        </c15:formulaRef>
                      </c:ext>
                    </c:extLst>
                    <c:strCache>
                      <c:ptCount val="1"/>
                      <c:pt idx="0">
                        <c:v>Ridge Gourd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Sheet1!$BE$3:$BE$12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634</c:v>
                      </c:pt>
                      <c:pt idx="1">
                        <c:v>678</c:v>
                      </c:pt>
                      <c:pt idx="2">
                        <c:v>653</c:v>
                      </c:pt>
                      <c:pt idx="3">
                        <c:v>645</c:v>
                      </c:pt>
                      <c:pt idx="4">
                        <c:v>638</c:v>
                      </c:pt>
                      <c:pt idx="5">
                        <c:v>647</c:v>
                      </c:pt>
                      <c:pt idx="6">
                        <c:v>668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AAD-4369-B24D-1C79D69EBDFF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Sheet1!$BG$2</c15:sqref>
                        </c15:formulaRef>
                      </c:ext>
                    </c:extLst>
                    <c:strCache>
                      <c:ptCount val="1"/>
                      <c:pt idx="0">
                        <c:v>Others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Sheet1!$BG$3:$BG$12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342</c:v>
                      </c:pt>
                      <c:pt idx="1">
                        <c:v>367</c:v>
                      </c:pt>
                      <c:pt idx="2">
                        <c:v>354</c:v>
                      </c:pt>
                      <c:pt idx="3">
                        <c:v>378</c:v>
                      </c:pt>
                      <c:pt idx="4">
                        <c:v>353</c:v>
                      </c:pt>
                      <c:pt idx="5">
                        <c:v>384</c:v>
                      </c:pt>
                      <c:pt idx="6">
                        <c:v>337</c:v>
                      </c:pt>
                      <c:pt idx="7">
                        <c:v>784</c:v>
                      </c:pt>
                      <c:pt idx="8">
                        <c:v>407</c:v>
                      </c:pt>
                      <c:pt idx="9">
                        <c:v>423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AAD-4369-B24D-1C79D69EBDFF}"/>
                  </c:ext>
                </c:extLst>
              </c15:ser>
            </c15:filteredBarSeries>
          </c:ext>
        </c:extLst>
      </c:barChart>
      <c:catAx>
        <c:axId val="3004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21072"/>
        <c:crosses val="autoZero"/>
        <c:auto val="1"/>
        <c:lblAlgn val="ctr"/>
        <c:lblOffset val="100"/>
        <c:noMultiLvlLbl val="0"/>
      </c:catAx>
      <c:valAx>
        <c:axId val="20421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AMOUNT(KG) SOLD /ITEM /MONTH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8"/>
          <c:tx>
            <c:strRef>
              <c:f>Sheet1!$AW$2</c:f>
              <c:strCache>
                <c:ptCount val="1"/>
                <c:pt idx="0">
                  <c:v>Cauliflower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Sheet1!$AW$3:$AW$12</c:f>
              <c:numCache>
                <c:formatCode>General</c:formatCode>
                <c:ptCount val="10"/>
                <c:pt idx="0">
                  <c:v>78</c:v>
                </c:pt>
                <c:pt idx="1">
                  <c:v>54</c:v>
                </c:pt>
                <c:pt idx="2">
                  <c:v>37</c:v>
                </c:pt>
                <c:pt idx="3">
                  <c:v>38</c:v>
                </c:pt>
                <c:pt idx="4">
                  <c:v>32</c:v>
                </c:pt>
                <c:pt idx="5">
                  <c:v>49</c:v>
                </c:pt>
                <c:pt idx="6">
                  <c:v>86</c:v>
                </c:pt>
                <c:pt idx="7">
                  <c:v>583</c:v>
                </c:pt>
                <c:pt idx="8">
                  <c:v>639</c:v>
                </c:pt>
                <c:pt idx="9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C4-4C9B-8B36-0354DF88D37C}"/>
            </c:ext>
          </c:extLst>
        </c:ser>
        <c:ser>
          <c:idx val="9"/>
          <c:order val="9"/>
          <c:tx>
            <c:strRef>
              <c:f>Sheet1!$AX$2</c:f>
              <c:strCache>
                <c:ptCount val="1"/>
                <c:pt idx="0">
                  <c:v>Peas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Sheet1!$AX$3:$AX$12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</c:v>
                </c:pt>
                <c:pt idx="7">
                  <c:v>227</c:v>
                </c:pt>
                <c:pt idx="8">
                  <c:v>387</c:v>
                </c:pt>
                <c:pt idx="9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C4-4C9B-8B36-0354DF88D37C}"/>
            </c:ext>
          </c:extLst>
        </c:ser>
        <c:ser>
          <c:idx val="10"/>
          <c:order val="10"/>
          <c:tx>
            <c:strRef>
              <c:f>Sheet1!$AY$2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Sheet1!$AY$3:$AY$12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77</c:v>
                </c:pt>
                <c:pt idx="7">
                  <c:v>487</c:v>
                </c:pt>
                <c:pt idx="8">
                  <c:v>523</c:v>
                </c:pt>
                <c:pt idx="9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C4-4C9B-8B36-0354DF88D37C}"/>
            </c:ext>
          </c:extLst>
        </c:ser>
        <c:ser>
          <c:idx val="12"/>
          <c:order val="12"/>
          <c:tx>
            <c:strRef>
              <c:f>Sheet1!$BA$2</c:f>
              <c:strCache>
                <c:ptCount val="1"/>
                <c:pt idx="0">
                  <c:v>Radish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Sheet1!$BA$3:$BA$12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98</c:v>
                </c:pt>
                <c:pt idx="6">
                  <c:v>113</c:v>
                </c:pt>
                <c:pt idx="7">
                  <c:v>538</c:v>
                </c:pt>
                <c:pt idx="8">
                  <c:v>554</c:v>
                </c:pt>
                <c:pt idx="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C4-4C9B-8B36-0354DF88D37C}"/>
            </c:ext>
          </c:extLst>
        </c:ser>
        <c:ser>
          <c:idx val="13"/>
          <c:order val="13"/>
          <c:tx>
            <c:strRef>
              <c:f>Sheet1!$BB$2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Sheet1!$AN$3:$AN$12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Sheet1!$BB$3:$BB$12</c:f>
              <c:numCache>
                <c:formatCode>General</c:formatCode>
                <c:ptCount val="10"/>
                <c:pt idx="0">
                  <c:v>487</c:v>
                </c:pt>
                <c:pt idx="1">
                  <c:v>1280</c:v>
                </c:pt>
                <c:pt idx="2">
                  <c:v>1752</c:v>
                </c:pt>
                <c:pt idx="3">
                  <c:v>1993</c:v>
                </c:pt>
                <c:pt idx="4">
                  <c:v>1678</c:v>
                </c:pt>
                <c:pt idx="5">
                  <c:v>388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C4-4C9B-8B36-0354DF88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43312"/>
        <c:axId val="20421210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Sheet1!$AO$2</c15:sqref>
                        </c15:formulaRef>
                      </c:ext>
                    </c:extLst>
                    <c:strCache>
                      <c:ptCount val="1"/>
                      <c:pt idx="0">
                        <c:v>Potato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Sheet1!$AO$3:$AO$12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1743</c:v>
                      </c:pt>
                      <c:pt idx="1">
                        <c:v>1828</c:v>
                      </c:pt>
                      <c:pt idx="2">
                        <c:v>1765</c:v>
                      </c:pt>
                      <c:pt idx="3">
                        <c:v>1731</c:v>
                      </c:pt>
                      <c:pt idx="4">
                        <c:v>1750</c:v>
                      </c:pt>
                      <c:pt idx="5">
                        <c:v>1764</c:v>
                      </c:pt>
                      <c:pt idx="6">
                        <c:v>1787</c:v>
                      </c:pt>
                      <c:pt idx="7">
                        <c:v>2646</c:v>
                      </c:pt>
                      <c:pt idx="8">
                        <c:v>1798</c:v>
                      </c:pt>
                      <c:pt idx="9">
                        <c:v>1957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C4-4C9B-8B36-0354DF88D3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Sheet1!$AP$2</c15:sqref>
                        </c15:formulaRef>
                      </c:ext>
                    </c:extLst>
                    <c:strCache>
                      <c:ptCount val="1"/>
                      <c:pt idx="0">
                        <c:v>Onion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Sheet1!$AP$3:$AP$12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1312</c:v>
                      </c:pt>
                      <c:pt idx="1">
                        <c:v>1592</c:v>
                      </c:pt>
                      <c:pt idx="2">
                        <c:v>1388</c:v>
                      </c:pt>
                      <c:pt idx="3">
                        <c:v>1293</c:v>
                      </c:pt>
                      <c:pt idx="4">
                        <c:v>1322</c:v>
                      </c:pt>
                      <c:pt idx="5">
                        <c:v>1385</c:v>
                      </c:pt>
                      <c:pt idx="6">
                        <c:v>1378</c:v>
                      </c:pt>
                      <c:pt idx="7">
                        <c:v>2131</c:v>
                      </c:pt>
                      <c:pt idx="8">
                        <c:v>1395</c:v>
                      </c:pt>
                      <c:pt idx="9">
                        <c:v>1668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C4-4C9B-8B36-0354DF88D37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Sheet1!$AQ$2</c15:sqref>
                        </c15:formulaRef>
                      </c:ext>
                    </c:extLst>
                    <c:strCache>
                      <c:ptCount val="1"/>
                      <c:pt idx="0">
                        <c:v>Garlic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Sheet1!$AQ$3:$AQ$12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658</c:v>
                      </c:pt>
                      <c:pt idx="1">
                        <c:v>733</c:v>
                      </c:pt>
                      <c:pt idx="2">
                        <c:v>696</c:v>
                      </c:pt>
                      <c:pt idx="3">
                        <c:v>629</c:v>
                      </c:pt>
                      <c:pt idx="4">
                        <c:v>597</c:v>
                      </c:pt>
                      <c:pt idx="5">
                        <c:v>584</c:v>
                      </c:pt>
                      <c:pt idx="6">
                        <c:v>538</c:v>
                      </c:pt>
                      <c:pt idx="7">
                        <c:v>987</c:v>
                      </c:pt>
                      <c:pt idx="8">
                        <c:v>458</c:v>
                      </c:pt>
                      <c:pt idx="9">
                        <c:v>582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C4-4C9B-8B36-0354DF88D3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</c15:sqref>
                        </c15:formulaRef>
                      </c:ext>
                    </c:extLst>
                    <c:strCache>
                      <c:ptCount val="1"/>
                      <c:pt idx="0">
                        <c:v>Ginger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Sheet1!$AR$3:$AR$12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610</c:v>
                      </c:pt>
                      <c:pt idx="1">
                        <c:v>671</c:v>
                      </c:pt>
                      <c:pt idx="2">
                        <c:v>633</c:v>
                      </c:pt>
                      <c:pt idx="3">
                        <c:v>622</c:v>
                      </c:pt>
                      <c:pt idx="4">
                        <c:v>645</c:v>
                      </c:pt>
                      <c:pt idx="5">
                        <c:v>655</c:v>
                      </c:pt>
                      <c:pt idx="6">
                        <c:v>678</c:v>
                      </c:pt>
                      <c:pt idx="7">
                        <c:v>821</c:v>
                      </c:pt>
                      <c:pt idx="8">
                        <c:v>692</c:v>
                      </c:pt>
                      <c:pt idx="9">
                        <c:v>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C4-4C9B-8B36-0354DF88D3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Sheet1!$AS$2</c15:sqref>
                        </c15:formulaRef>
                      </c:ext>
                    </c:extLst>
                    <c:strCache>
                      <c:ptCount val="1"/>
                      <c:pt idx="0">
                        <c:v>Tomato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Sheet1!$AS$3:$AS$12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841</c:v>
                      </c:pt>
                      <c:pt idx="1">
                        <c:v>864</c:v>
                      </c:pt>
                      <c:pt idx="2">
                        <c:v>850</c:v>
                      </c:pt>
                      <c:pt idx="3">
                        <c:v>812</c:v>
                      </c:pt>
                      <c:pt idx="4">
                        <c:v>826</c:v>
                      </c:pt>
                      <c:pt idx="5">
                        <c:v>838</c:v>
                      </c:pt>
                      <c:pt idx="6">
                        <c:v>862</c:v>
                      </c:pt>
                      <c:pt idx="7">
                        <c:v>1753</c:v>
                      </c:pt>
                      <c:pt idx="8">
                        <c:v>885</c:v>
                      </c:pt>
                      <c:pt idx="9">
                        <c:v>863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C4-4C9B-8B36-0354DF88D37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Sheet1!$AT$2</c15:sqref>
                        </c15:formulaRef>
                      </c:ext>
                    </c:extLst>
                    <c:strCache>
                      <c:ptCount val="1"/>
                      <c:pt idx="0">
                        <c:v>Carrot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Sheet1!$AT$3:$AT$12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682</c:v>
                      </c:pt>
                      <c:pt idx="1">
                        <c:v>668</c:v>
                      </c:pt>
                      <c:pt idx="2">
                        <c:v>610</c:v>
                      </c:pt>
                      <c:pt idx="3">
                        <c:v>624</c:v>
                      </c:pt>
                      <c:pt idx="4">
                        <c:v>631</c:v>
                      </c:pt>
                      <c:pt idx="5">
                        <c:v>627</c:v>
                      </c:pt>
                      <c:pt idx="6">
                        <c:v>643</c:v>
                      </c:pt>
                      <c:pt idx="7">
                        <c:v>1382</c:v>
                      </c:pt>
                      <c:pt idx="8">
                        <c:v>674</c:v>
                      </c:pt>
                      <c:pt idx="9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C4-4C9B-8B36-0354DF88D37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Sheet1!$AU$2</c15:sqref>
                        </c15:formulaRef>
                      </c:ext>
                    </c:extLst>
                    <c:strCache>
                      <c:ptCount val="1"/>
                      <c:pt idx="0">
                        <c:v>Brinjal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Sheet1!$AU$3:$AU$12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588</c:v>
                      </c:pt>
                      <c:pt idx="1">
                        <c:v>604</c:v>
                      </c:pt>
                      <c:pt idx="2">
                        <c:v>592</c:v>
                      </c:pt>
                      <c:pt idx="3">
                        <c:v>528</c:v>
                      </c:pt>
                      <c:pt idx="4">
                        <c:v>533</c:v>
                      </c:pt>
                      <c:pt idx="5">
                        <c:v>527</c:v>
                      </c:pt>
                      <c:pt idx="6">
                        <c:v>549</c:v>
                      </c:pt>
                      <c:pt idx="7">
                        <c:v>953</c:v>
                      </c:pt>
                      <c:pt idx="8">
                        <c:v>587</c:v>
                      </c:pt>
                      <c:pt idx="9">
                        <c:v>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C4-4C9B-8B36-0354DF88D37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Sheet1!$AV$2</c15:sqref>
                        </c15:formulaRef>
                      </c:ext>
                    </c:extLst>
                    <c:strCache>
                      <c:ptCount val="1"/>
                      <c:pt idx="0">
                        <c:v>Chilli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Sheet1!$AV$3:$AV$12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472</c:v>
                      </c:pt>
                      <c:pt idx="1">
                        <c:v>484</c:v>
                      </c:pt>
                      <c:pt idx="2">
                        <c:v>465</c:v>
                      </c:pt>
                      <c:pt idx="3">
                        <c:v>458</c:v>
                      </c:pt>
                      <c:pt idx="4">
                        <c:v>437</c:v>
                      </c:pt>
                      <c:pt idx="5">
                        <c:v>455</c:v>
                      </c:pt>
                      <c:pt idx="6">
                        <c:v>413</c:v>
                      </c:pt>
                      <c:pt idx="7">
                        <c:v>964</c:v>
                      </c:pt>
                      <c:pt idx="8">
                        <c:v>441</c:v>
                      </c:pt>
                      <c:pt idx="9">
                        <c:v>478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C4-4C9B-8B36-0354DF88D37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Sheet1!$AZ$2</c15:sqref>
                        </c15:formulaRef>
                      </c:ext>
                    </c:extLst>
                    <c:strCache>
                      <c:ptCount val="1"/>
                      <c:pt idx="0">
                        <c:v>Pointed Gourd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Sheet1!$AZ$3:$AZ$12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677</c:v>
                      </c:pt>
                      <c:pt idx="1">
                        <c:v>668</c:v>
                      </c:pt>
                      <c:pt idx="2">
                        <c:v>672</c:v>
                      </c:pt>
                      <c:pt idx="3">
                        <c:v>582</c:v>
                      </c:pt>
                      <c:pt idx="4">
                        <c:v>611</c:v>
                      </c:pt>
                      <c:pt idx="5">
                        <c:v>598</c:v>
                      </c:pt>
                      <c:pt idx="6">
                        <c:v>559</c:v>
                      </c:pt>
                      <c:pt idx="7">
                        <c:v>898</c:v>
                      </c:pt>
                      <c:pt idx="8">
                        <c:v>541</c:v>
                      </c:pt>
                      <c:pt idx="9">
                        <c:v>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C4-4C9B-8B36-0354DF88D37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Sheet1!$BC$2</c15:sqref>
                        </c15:formulaRef>
                      </c:ext>
                    </c:extLst>
                    <c:strCache>
                      <c:ptCount val="1"/>
                      <c:pt idx="0">
                        <c:v>Pumpkin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Sheet1!$BC$3:$BC$12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631</c:v>
                      </c:pt>
                      <c:pt idx="1">
                        <c:v>686</c:v>
                      </c:pt>
                      <c:pt idx="2">
                        <c:v>649</c:v>
                      </c:pt>
                      <c:pt idx="3">
                        <c:v>639</c:v>
                      </c:pt>
                      <c:pt idx="4">
                        <c:v>653</c:v>
                      </c:pt>
                      <c:pt idx="5">
                        <c:v>649</c:v>
                      </c:pt>
                      <c:pt idx="6">
                        <c:v>634</c:v>
                      </c:pt>
                      <c:pt idx="7">
                        <c:v>923</c:v>
                      </c:pt>
                      <c:pt idx="8">
                        <c:v>681</c:v>
                      </c:pt>
                      <c:pt idx="9">
                        <c:v>678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4C4-4C9B-8B36-0354DF88D37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Sheet1!$BD$2</c15:sqref>
                        </c15:formulaRef>
                      </c:ext>
                    </c:extLst>
                    <c:strCache>
                      <c:ptCount val="1"/>
                      <c:pt idx="0">
                        <c:v>Okra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Sheet1!$BD$3:$BD$12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524</c:v>
                      </c:pt>
                      <c:pt idx="1">
                        <c:v>586</c:v>
                      </c:pt>
                      <c:pt idx="2">
                        <c:v>565</c:v>
                      </c:pt>
                      <c:pt idx="3">
                        <c:v>548</c:v>
                      </c:pt>
                      <c:pt idx="4">
                        <c:v>557</c:v>
                      </c:pt>
                      <c:pt idx="5">
                        <c:v>548</c:v>
                      </c:pt>
                      <c:pt idx="6">
                        <c:v>587</c:v>
                      </c:pt>
                      <c:pt idx="7">
                        <c:v>858</c:v>
                      </c:pt>
                      <c:pt idx="8">
                        <c:v>523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4C4-4C9B-8B36-0354DF88D37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Sheet1!$BE$2</c15:sqref>
                        </c15:formulaRef>
                      </c:ext>
                    </c:extLst>
                    <c:strCache>
                      <c:ptCount val="1"/>
                      <c:pt idx="0">
                        <c:v>Ridge Gourd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Sheet1!$BE$3:$BE$12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634</c:v>
                      </c:pt>
                      <c:pt idx="1">
                        <c:v>678</c:v>
                      </c:pt>
                      <c:pt idx="2">
                        <c:v>653</c:v>
                      </c:pt>
                      <c:pt idx="3">
                        <c:v>645</c:v>
                      </c:pt>
                      <c:pt idx="4">
                        <c:v>638</c:v>
                      </c:pt>
                      <c:pt idx="5">
                        <c:v>647</c:v>
                      </c:pt>
                      <c:pt idx="6">
                        <c:v>668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4C4-4C9B-8B36-0354DF88D37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Sheet1!$BF$2</c15:sqref>
                        </c15:formulaRef>
                      </c:ext>
                    </c:extLst>
                    <c:strCache>
                      <c:ptCount val="1"/>
                      <c:pt idx="0">
                        <c:v>Cucumber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Sheet1!$BF$3:$BF$12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683</c:v>
                      </c:pt>
                      <c:pt idx="1">
                        <c:v>758</c:v>
                      </c:pt>
                      <c:pt idx="2">
                        <c:v>712</c:v>
                      </c:pt>
                      <c:pt idx="3">
                        <c:v>701</c:v>
                      </c:pt>
                      <c:pt idx="4">
                        <c:v>722</c:v>
                      </c:pt>
                      <c:pt idx="5">
                        <c:v>718</c:v>
                      </c:pt>
                      <c:pt idx="6">
                        <c:v>740</c:v>
                      </c:pt>
                      <c:pt idx="7">
                        <c:v>1129</c:v>
                      </c:pt>
                      <c:pt idx="8">
                        <c:v>742</c:v>
                      </c:pt>
                      <c:pt idx="9">
                        <c:v>776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4C4-4C9B-8B36-0354DF88D37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Sheet1!$BG$2</c15:sqref>
                        </c15:formulaRef>
                      </c:ext>
                    </c:extLst>
                    <c:strCache>
                      <c:ptCount val="1"/>
                      <c:pt idx="0">
                        <c:v>Others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Sheet1!$AN$3:$AN$12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August</c:v>
                      </c:pt>
                      <c:pt idx="6">
                        <c:v>September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Sheet1!$BG$3:$BG$12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342</c:v>
                      </c:pt>
                      <c:pt idx="1">
                        <c:v>367</c:v>
                      </c:pt>
                      <c:pt idx="2">
                        <c:v>354</c:v>
                      </c:pt>
                      <c:pt idx="3">
                        <c:v>378</c:v>
                      </c:pt>
                      <c:pt idx="4">
                        <c:v>353</c:v>
                      </c:pt>
                      <c:pt idx="5">
                        <c:v>384</c:v>
                      </c:pt>
                      <c:pt idx="6">
                        <c:v>337</c:v>
                      </c:pt>
                      <c:pt idx="7">
                        <c:v>784</c:v>
                      </c:pt>
                      <c:pt idx="8">
                        <c:v>407</c:v>
                      </c:pt>
                      <c:pt idx="9">
                        <c:v>423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4C4-4C9B-8B36-0354DF88D37C}"/>
                  </c:ext>
                </c:extLst>
              </c15:ser>
            </c15:filteredBarSeries>
          </c:ext>
        </c:extLst>
      </c:barChart>
      <c:catAx>
        <c:axId val="3004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21072"/>
        <c:crosses val="autoZero"/>
        <c:auto val="1"/>
        <c:lblAlgn val="ctr"/>
        <c:lblOffset val="100"/>
        <c:noMultiLvlLbl val="0"/>
      </c:catAx>
      <c:valAx>
        <c:axId val="20421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_xlchart.v1.13</cx:f>
      </cx:strDim>
      <cx:numDim type="val">
        <cx:f dir="row">_xlchart.v1.14</cx:f>
      </cx:numDim>
    </cx:data>
    <cx:data id="1">
      <cx:strDim type="cat">
        <cx:f dir="row">_xlchart.v1.13</cx:f>
      </cx:strDim>
      <cx:numDim type="val">
        <cx:f dir="row">_xlchart.v1.15</cx:f>
      </cx:numDim>
    </cx:data>
    <cx:data id="2">
      <cx:strDim type="cat">
        <cx:f dir="row">_xlchart.v1.13</cx:f>
      </cx:strDim>
      <cx:numDim type="val">
        <cx:f dir="row">_xlchart.v1.16</cx:f>
      </cx:numDim>
    </cx:data>
    <cx:data id="3">
      <cx:strDim type="cat">
        <cx:f dir="row">_xlchart.v1.13</cx:f>
      </cx:strDim>
      <cx:numDim type="val">
        <cx:f dir="row">_xlchart.v1.17</cx:f>
      </cx:numDim>
    </cx:data>
    <cx:data id="4">
      <cx:strDim type="cat">
        <cx:f dir="row">_xlchart.v1.13</cx:f>
      </cx:strDim>
      <cx:numDim type="val">
        <cx:f dir="row">_xlchart.v1.18</cx:f>
      </cx:numDim>
    </cx:data>
    <cx:data id="5">
      <cx:strDim type="cat">
        <cx:f dir="row">_xlchart.v1.13</cx:f>
      </cx:strDim>
      <cx:numDim type="val">
        <cx:f dir="row">_xlchart.v1.19</cx:f>
      </cx:numDim>
    </cx:data>
    <cx:data id="6">
      <cx:strDim type="cat">
        <cx:f dir="row">_xlchart.v1.13</cx:f>
      </cx:strDim>
      <cx:numDim type="val">
        <cx:f dir="row">_xlchart.v1.20</cx:f>
      </cx:numDim>
    </cx:data>
    <cx:data id="7">
      <cx:strDim type="cat">
        <cx:f dir="row">_xlchart.v1.13</cx:f>
      </cx:strDim>
      <cx:numDim type="val">
        <cx:f dir="row">_xlchart.v1.10</cx:f>
      </cx:numDim>
    </cx:data>
    <cx:data id="8">
      <cx:strDim type="cat">
        <cx:f dir="row">_xlchart.v1.13</cx:f>
      </cx:strDim>
      <cx:numDim type="val">
        <cx:f dir="row">_xlchart.v1.11</cx:f>
      </cx:numDim>
    </cx:data>
    <cx:data id="9">
      <cx:strDim type="cat">
        <cx:f dir="row">_xlchart.v1.13</cx:f>
      </cx:strDim>
      <cx:numDim type="val">
        <cx:f dir="row">_xlchart.v1.12</cx:f>
      </cx:numDim>
    </cx:data>
  </cx:chartData>
  <cx:chart>
    <cx:title pos="t" align="ctr" overlay="0"/>
    <cx:plotArea>
      <cx:plotAreaRegion>
        <cx:series layoutId="clusteredColumn" uniqueId="{61D160B7-47A2-4A4E-830B-AABDF9AAB84F}" formatIdx="0">
          <cx:tx>
            <cx:txData>
              <cx:f>_xlchart.v1.3</cx:f>
              <cx:v>March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FE7CE68-9629-4027-BAA4-98724014F1D0}" formatIdx="1">
          <cx:axisId val="2"/>
        </cx:series>
        <cx:series layoutId="clusteredColumn" hidden="1" uniqueId="{D6F7F8D9-41D1-424F-8E91-918A45AB44A4}" formatIdx="2">
          <cx:tx>
            <cx:txData>
              <cx:f>_xlchart.v1.4</cx:f>
              <cx:v>April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EC72292-E57E-4BC6-B067-E692E046D28E}" formatIdx="3">
          <cx:axisId val="2"/>
        </cx:series>
        <cx:series layoutId="clusteredColumn" hidden="1" uniqueId="{7732B904-AF27-4D43-9B10-B8AD9761D9D7}" formatIdx="4">
          <cx:tx>
            <cx:txData>
              <cx:f>_xlchart.v1.5</cx:f>
              <cx:v>May</cx:v>
            </cx:txData>
          </cx:tx>
          <cx:dataId val="2"/>
          <cx:layoutPr>
            <cx:aggregation/>
          </cx:layoutPr>
          <cx:axisId val="1"/>
        </cx:series>
        <cx:series layoutId="paretoLine" ownerIdx="4" uniqueId="{B0FCE4EA-0A2B-4E54-BB85-8D941D56BAFD}" formatIdx="5">
          <cx:axisId val="2"/>
        </cx:series>
        <cx:series layoutId="clusteredColumn" hidden="1" uniqueId="{C9CD5E54-7FB0-43EB-9927-66C71CDAD5C5}" formatIdx="6">
          <cx:tx>
            <cx:txData>
              <cx:f>_xlchart.v1.6</cx:f>
              <cx:v>June</cx:v>
            </cx:txData>
          </cx:tx>
          <cx:dataId val="3"/>
          <cx:layoutPr>
            <cx:aggregation/>
          </cx:layoutPr>
          <cx:axisId val="1"/>
        </cx:series>
        <cx:series layoutId="paretoLine" ownerIdx="6" uniqueId="{0A4A3EC9-68D3-41DC-8484-396B4EDAD3D0}" formatIdx="7">
          <cx:axisId val="2"/>
        </cx:series>
        <cx:series layoutId="clusteredColumn" hidden="1" uniqueId="{0C70306B-3436-4F67-A917-704FDF8E8C69}" formatIdx="8">
          <cx:tx>
            <cx:txData>
              <cx:f>_xlchart.v1.7</cx:f>
              <cx:v>July</cx:v>
            </cx:txData>
          </cx:tx>
          <cx:dataId val="4"/>
          <cx:layoutPr>
            <cx:aggregation/>
          </cx:layoutPr>
          <cx:axisId val="1"/>
        </cx:series>
        <cx:series layoutId="paretoLine" ownerIdx="8" uniqueId="{7F820EB7-4AE1-491D-9453-0C8EE092BB8F}" formatIdx="9">
          <cx:axisId val="2"/>
        </cx:series>
        <cx:series layoutId="clusteredColumn" hidden="1" uniqueId="{B0EED81D-C228-49C0-A80C-A7B21BA950ED}" formatIdx="10">
          <cx:tx>
            <cx:txData>
              <cx:f>_xlchart.v1.8</cx:f>
              <cx:v>August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6E487B20-D989-4359-884B-DDF7C7B5EF26}" formatIdx="11">
          <cx:axisId val="2"/>
        </cx:series>
        <cx:series layoutId="clusteredColumn" hidden="1" uniqueId="{5EFAAD5F-BBCD-4705-AC10-1A3D0336D1CF}" formatIdx="12">
          <cx:tx>
            <cx:txData>
              <cx:f>_xlchart.v1.9</cx:f>
              <cx:v>September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64787F7E-593D-49D4-B376-898C751AB5BF}" formatIdx="13">
          <cx:axisId val="2"/>
        </cx:series>
        <cx:series layoutId="clusteredColumn" hidden="1" uniqueId="{BC7B1B27-D01F-430C-B1F2-F1FD260452AB}" formatIdx="14">
          <cx:tx>
            <cx:txData>
              <cx:f>_xlchart.v1.0</cx:f>
              <cx:v>October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10562DC4-BFB9-49EF-AD71-8A679D812A66}" formatIdx="15">
          <cx:axisId val="2"/>
        </cx:series>
        <cx:series layoutId="clusteredColumn" hidden="1" uniqueId="{E4D546D9-6EAB-47E9-9C72-F1591A2F0544}" formatIdx="16">
          <cx:tx>
            <cx:txData>
              <cx:f>_xlchart.v1.1</cx:f>
              <cx:v>November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3E5D51F8-3BF5-4D88-8055-52A92FF0B965}" formatIdx="17">
          <cx:axisId val="2"/>
        </cx:series>
        <cx:series layoutId="clusteredColumn" hidden="1" uniqueId="{BA1A3195-8F13-4B20-8EC0-C0E787C7B334}" formatIdx="18">
          <cx:tx>
            <cx:txData>
              <cx:f>_xlchart.v1.2</cx:f>
              <cx:v>December</cx:v>
            </cx:txData>
          </cx:tx>
          <cx:dataId val="9"/>
          <cx:layoutPr>
            <cx:aggregation/>
          </cx:layoutPr>
          <cx:axisId val="1"/>
        </cx:series>
        <cx:series layoutId="paretoLine" ownerIdx="18" uniqueId="{6798CC88-76F1-4A5E-B22F-481A9A8CA5A4}" formatIdx="1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605269</xdr:colOff>
      <xdr:row>23</xdr:row>
      <xdr:rowOff>58743</xdr:rowOff>
    </xdr:from>
    <xdr:to>
      <xdr:col>76</xdr:col>
      <xdr:colOff>576649</xdr:colOff>
      <xdr:row>46</xdr:row>
      <xdr:rowOff>82826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29D0C-A46F-C7F3-618A-E8A57C6CD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93452</xdr:colOff>
      <xdr:row>49</xdr:row>
      <xdr:rowOff>108857</xdr:rowOff>
    </xdr:from>
    <xdr:to>
      <xdr:col>76</xdr:col>
      <xdr:colOff>344844</xdr:colOff>
      <xdr:row>74</xdr:row>
      <xdr:rowOff>62459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D06A7-754C-0E58-BB33-6426A21AE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68</xdr:col>
      <xdr:colOff>525354</xdr:colOff>
      <xdr:row>1</xdr:row>
      <xdr:rowOff>8384</xdr:rowOff>
    </xdr:from>
    <xdr:to>
      <xdr:col>72</xdr:col>
      <xdr:colOff>444894</xdr:colOff>
      <xdr:row>10</xdr:row>
      <xdr:rowOff>234009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6E7057-127B-E166-CD82-F65AEADCB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131163</xdr:colOff>
      <xdr:row>1</xdr:row>
      <xdr:rowOff>2498</xdr:rowOff>
    </xdr:from>
    <xdr:to>
      <xdr:col>82</xdr:col>
      <xdr:colOff>399737</xdr:colOff>
      <xdr:row>14</xdr:row>
      <xdr:rowOff>112426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067D76-057F-FBA6-4193-F17B6415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357673</xdr:colOff>
      <xdr:row>14</xdr:row>
      <xdr:rowOff>323461</xdr:rowOff>
    </xdr:from>
    <xdr:to>
      <xdr:col>86</xdr:col>
      <xdr:colOff>77755</xdr:colOff>
      <xdr:row>24</xdr:row>
      <xdr:rowOff>111967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A6A978-AF87-BB32-CF03-1088BF41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77</xdr:col>
      <xdr:colOff>555884</xdr:colOff>
      <xdr:row>31</xdr:row>
      <xdr:rowOff>264827</xdr:rowOff>
    </xdr:from>
    <xdr:to>
      <xdr:col>85</xdr:col>
      <xdr:colOff>231098</xdr:colOff>
      <xdr:row>42</xdr:row>
      <xdr:rowOff>22486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ED7154-6A59-75B0-60DF-2938F985A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92</xdr:col>
      <xdr:colOff>0</xdr:colOff>
      <xdr:row>8</xdr:row>
      <xdr:rowOff>0</xdr:rowOff>
    </xdr:from>
    <xdr:to>
      <xdr:col>110</xdr:col>
      <xdr:colOff>7666</xdr:colOff>
      <xdr:row>29</xdr:row>
      <xdr:rowOff>241797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B1EA4-6BA4-4993-938D-50CC4E118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93</xdr:col>
      <xdr:colOff>0</xdr:colOff>
      <xdr:row>33</xdr:row>
      <xdr:rowOff>0</xdr:rowOff>
    </xdr:from>
    <xdr:to>
      <xdr:col>111</xdr:col>
      <xdr:colOff>7666</xdr:colOff>
      <xdr:row>55</xdr:row>
      <xdr:rowOff>48273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67CC1A-AB00-4002-97C6-61629D5D9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562428</xdr:colOff>
      <xdr:row>46</xdr:row>
      <xdr:rowOff>94947</xdr:rowOff>
    </xdr:from>
    <xdr:to>
      <xdr:col>87</xdr:col>
      <xdr:colOff>381000</xdr:colOff>
      <xdr:row>56</xdr:row>
      <xdr:rowOff>44148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BDEDEA4-336C-6130-CC01-FEAF559DE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35095" y="13133614"/>
              <a:ext cx="4559905" cy="28278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38B820-9CC4-4852-BADD-67D554541019}" name="Table5" displayName="Table5" ref="BM2:BP12" totalsRowShown="0">
  <autoFilter ref="BM2:BP12" xr:uid="{1E38B820-9CC4-4852-BADD-67D554541019}"/>
  <tableColumns count="4">
    <tableColumn id="1" xr3:uid="{818AD271-2A68-4A29-822E-2BF39E31C6EF}" name="MONTH"/>
    <tableColumn id="2" xr3:uid="{C43A462F-A595-4145-B945-9F2E7A6B6C85}" name="Revenue" dataCellStyle="Currency"/>
    <tableColumn id="3" xr3:uid="{FEF054DB-977A-48CA-8A22-6AF88682723C}" name="Expenditure" dataDxfId="56">
      <calculatedColumnFormula>SUM(BK10:BK15)</calculatedColumnFormula>
    </tableColumn>
    <tableColumn id="4" xr3:uid="{DF47A0B5-C349-4EE6-AF1F-2BEEA1A68B04}" name="Profit" dataDxfId="55">
      <calculatedColumnFormula>Table5[[#This Row],[Revenue]]-Table5[[#This Row],[Expenditure]]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1AAF15-C4F3-402D-814B-CCD70FA6BDEE}" name="Table6" displayName="Table6" ref="AN16:BH26" totalsRowShown="0" headerRowDxfId="54" headerRowBorderDxfId="53">
  <autoFilter ref="AN16:BH26" xr:uid="{001AAF15-C4F3-402D-814B-CCD70FA6BDEE}"/>
  <tableColumns count="21">
    <tableColumn id="1" xr3:uid="{078F4D04-7109-4EDB-8F89-1BEDEFAF6A72}" name="Month" dataDxfId="52"/>
    <tableColumn id="2" xr3:uid="{07898F5F-75C4-4D21-82F9-BA3A60CA082A}" name="Potato" dataDxfId="51">
      <calculatedColumnFormula>AO3*30</calculatedColumnFormula>
    </tableColumn>
    <tableColumn id="3" xr3:uid="{BE8099CA-1C4A-4ACB-8A9F-9663F3FCD63E}" name="Onion" dataDxfId="50">
      <calculatedColumnFormula>AP3*25</calculatedColumnFormula>
    </tableColumn>
    <tableColumn id="4" xr3:uid="{148AEAC6-CF2A-4827-9537-F81A43437D8A}" name="Garlic" dataDxfId="49">
      <calculatedColumnFormula>AQ3*105</calculatedColumnFormula>
    </tableColumn>
    <tableColumn id="5" xr3:uid="{83042118-9C11-43AA-A1AE-4A5CC6B795F0}" name="Ginger" dataDxfId="48">
      <calculatedColumnFormula>AR3*140</calculatedColumnFormula>
    </tableColumn>
    <tableColumn id="6" xr3:uid="{1D95561C-F3BF-4E1E-AA21-DF80CAD5F373}" name="Tomato" dataDxfId="47">
      <calculatedColumnFormula>AS3*45</calculatedColumnFormula>
    </tableColumn>
    <tableColumn id="7" xr3:uid="{B349488F-ACE8-42AB-A9FD-812572C3BF7C}" name="Carrot" dataDxfId="46">
      <calculatedColumnFormula>AT3*70</calculatedColumnFormula>
    </tableColumn>
    <tableColumn id="8" xr3:uid="{F89FFA52-ECBD-4FCF-921F-7F12B8E457FF}" name="Brinjal" dataDxfId="45">
      <calculatedColumnFormula>AU3*75</calculatedColumnFormula>
    </tableColumn>
    <tableColumn id="9" xr3:uid="{8B16A8F1-526F-4A00-ADFB-DEC21DF81C97}" name="Chilli" dataDxfId="44">
      <calculatedColumnFormula>AV3*100</calculatedColumnFormula>
    </tableColumn>
    <tableColumn id="10" xr3:uid="{CD9B8931-4B2D-4E4A-9951-129533989321}" name="Cauliflower" dataDxfId="43">
      <calculatedColumnFormula>AW3*130</calculatedColumnFormula>
    </tableColumn>
    <tableColumn id="11" xr3:uid="{3F104C58-9BFD-434A-AFDA-070A21DA421C}" name="Peas" dataDxfId="42">
      <calculatedColumnFormula>AX3*160</calculatedColumnFormula>
    </tableColumn>
    <tableColumn id="12" xr3:uid="{21D3D24A-BBAA-437F-A081-5E9C6BDA02C8}" name="Cabbage" dataDxfId="41">
      <calculatedColumnFormula>AY3*110</calculatedColumnFormula>
    </tableColumn>
    <tableColumn id="13" xr3:uid="{0A367AF5-0084-4AF5-960E-9E98828BC9D2}" name="Pointed Gourd" dataDxfId="40">
      <calculatedColumnFormula>AZ3*25</calculatedColumnFormula>
    </tableColumn>
    <tableColumn id="14" xr3:uid="{DE35CF31-4735-4903-9AD6-4F68A211C999}" name="Radish" dataDxfId="39">
      <calculatedColumnFormula>BA3*24</calculatedColumnFormula>
    </tableColumn>
    <tableColumn id="15" xr3:uid="{CCDF29D6-EC14-4092-A63A-F06892DE7E4E}" name="Mango" dataDxfId="38">
      <calculatedColumnFormula>BB3*130</calculatedColumnFormula>
    </tableColumn>
    <tableColumn id="16" xr3:uid="{A06A154C-952B-4EE9-8DEC-E4317E8E1A6D}" name="Pumpkin" dataDxfId="37">
      <calculatedColumnFormula>BC3*40</calculatedColumnFormula>
    </tableColumn>
    <tableColumn id="17" xr3:uid="{CF529316-315C-4783-A300-11C57179B10B}" name="Okra" dataDxfId="36">
      <calculatedColumnFormula>BD3*30</calculatedColumnFormula>
    </tableColumn>
    <tableColumn id="18" xr3:uid="{50E3A40D-046B-4A32-8BC7-7825435D9D4C}" name="Ridge Gourd" dataDxfId="35">
      <calculatedColumnFormula>BE3*30</calculatedColumnFormula>
    </tableColumn>
    <tableColumn id="19" xr3:uid="{6882257C-F629-4B59-A8F1-446F81DD1BC3}" name="Cucumber" dataDxfId="34">
      <calculatedColumnFormula>BF3*40</calculatedColumnFormula>
    </tableColumn>
    <tableColumn id="20" xr3:uid="{053682A9-7EAC-443E-BA15-90F1AEFF2251}" name="Others" dataDxfId="33">
      <calculatedColumnFormula>BG3*144</calculatedColumnFormula>
    </tableColumn>
    <tableColumn id="21" xr3:uid="{E6A3C3CB-DC8B-4963-921B-D830C7603E34}" name="TOTAL" dataDxfId="32">
      <calculatedColumnFormula>SUM(Table6[[#This Row],[Potato]:[Others]])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4A2781-6DA7-48AF-909B-38F93FE417E2}" name="Table69" displayName="Table69" ref="AN30:BH40" totalsRowShown="0" headerRowDxfId="31" headerRowBorderDxfId="30">
  <autoFilter ref="AN30:BH40" xr:uid="{FD4A2781-6DA7-48AF-909B-38F93FE417E2}"/>
  <tableColumns count="21">
    <tableColumn id="1" xr3:uid="{2B001499-2387-48DB-B903-A051595BCA4B}" name="Month" dataDxfId="29"/>
    <tableColumn id="2" xr3:uid="{A3A19B35-54B2-49E1-A81A-C6C87503B1C1}" name="Potato" dataDxfId="28">
      <calculatedColumnFormula>AO3*20</calculatedColumnFormula>
    </tableColumn>
    <tableColumn id="3" xr3:uid="{2A07A260-34CB-4C70-8165-EE067782A84D}" name="Onion" dataDxfId="27">
      <calculatedColumnFormula>AP3*20</calculatedColumnFormula>
    </tableColumn>
    <tableColumn id="4" xr3:uid="{3D855542-D68E-461E-A9D2-1C9884CED7D2}" name="Garlic" dataDxfId="26">
      <calculatedColumnFormula>AQ3*90</calculatedColumnFormula>
    </tableColumn>
    <tableColumn id="5" xr3:uid="{BC031971-5B20-44B9-B5E8-33A8BA68C198}" name="Ginger" dataDxfId="25">
      <calculatedColumnFormula>AR3*130</calculatedColumnFormula>
    </tableColumn>
    <tableColumn id="6" xr3:uid="{E1056D00-B054-4AE0-B2B2-77B3105B8433}" name="Tomato" dataDxfId="24">
      <calculatedColumnFormula>AS3*36</calculatedColumnFormula>
    </tableColumn>
    <tableColumn id="7" xr3:uid="{AE755FE6-9B40-40DB-9794-BBEFB8EADB69}" name="Carrot" dataDxfId="23">
      <calculatedColumnFormula>AT3*60</calculatedColumnFormula>
    </tableColumn>
    <tableColumn id="8" xr3:uid="{08839ABD-C7C7-4C05-A07E-D7F4BD120064}" name="Brinjal" dataDxfId="22">
      <calculatedColumnFormula>AU3*64</calculatedColumnFormula>
    </tableColumn>
    <tableColumn id="9" xr3:uid="{F8EFA968-F43A-44D2-99FE-E926391CD396}" name="Chilli" dataDxfId="21">
      <calculatedColumnFormula>AV3*90</calculatedColumnFormula>
    </tableColumn>
    <tableColumn id="10" xr3:uid="{95770E71-F00B-4D1B-B010-86EB4067E4EA}" name="Cauliflower" dataDxfId="20">
      <calculatedColumnFormula>AW3*100</calculatedColumnFormula>
    </tableColumn>
    <tableColumn id="11" xr3:uid="{1C1B259E-496A-439E-9857-71ED432ACEA5}" name="Peas" dataDxfId="19">
      <calculatedColumnFormula>AX3*145</calculatedColumnFormula>
    </tableColumn>
    <tableColumn id="12" xr3:uid="{3B92F0E5-4790-4188-8D52-78CAFD4C32A2}" name="Cabbage" dataDxfId="18">
      <calculatedColumnFormula>AY3*93</calculatedColumnFormula>
    </tableColumn>
    <tableColumn id="13" xr3:uid="{DAF474BE-66BC-408F-8E26-C605A76D3DBD}" name="Pointed Gourd" dataDxfId="17">
      <calculatedColumnFormula>AZ3*16</calculatedColumnFormula>
    </tableColumn>
    <tableColumn id="14" xr3:uid="{6EB6A3C9-BB34-4470-A6E7-CDE0EC19EEE2}" name="Radish" dataDxfId="16">
      <calculatedColumnFormula>BA3*17</calculatedColumnFormula>
    </tableColumn>
    <tableColumn id="15" xr3:uid="{CF050C9D-E29A-4CC1-A0EC-E43B42640C32}" name="Mango" dataDxfId="15">
      <calculatedColumnFormula>BB3*105</calculatedColumnFormula>
    </tableColumn>
    <tableColumn id="16" xr3:uid="{AED8D9C2-6EDE-4EE8-BF67-B4F83A607C02}" name="Pumpkin" dataDxfId="14">
      <calculatedColumnFormula>BC3*25</calculatedColumnFormula>
    </tableColumn>
    <tableColumn id="17" xr3:uid="{9E034A9B-B29F-4986-B10A-A94E08F22507}" name="Okra" dataDxfId="13">
      <calculatedColumnFormula>BD3*20</calculatedColumnFormula>
    </tableColumn>
    <tableColumn id="18" xr3:uid="{48557B65-E4A0-4645-904A-2EB3E8FFFB50}" name="Ridge Gourd" dataDxfId="12">
      <calculatedColumnFormula>BE3*20</calculatedColumnFormula>
    </tableColumn>
    <tableColumn id="19" xr3:uid="{99098C9D-274E-4E56-9ED0-A312AB9FD325}" name="Cucumber" dataDxfId="11">
      <calculatedColumnFormula>BF3*25</calculatedColumnFormula>
    </tableColumn>
    <tableColumn id="20" xr3:uid="{1E88165C-5C56-4E15-880F-5797487773E1}" name="Others" dataDxfId="10">
      <calculatedColumnFormula>BG3*126</calculatedColumnFormula>
    </tableColumn>
    <tableColumn id="21" xr3:uid="{2BBAA8C7-31B2-4392-BC83-05C877E72F57}" name="TOTAL" dataDxfId="9">
      <calculatedColumnFormula>SUM(Table69[[#This Row],[Potato]:[Others]])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279B8B-17FC-438F-B47D-9764506B023F}" name="Table2" displayName="Table2" ref="AN45:BH56" totalsRowShown="0" headerRowDxfId="8" headerRowBorderDxfId="7">
  <autoFilter ref="AN45:BH56" xr:uid="{AC279B8B-17FC-438F-B47D-9764506B023F}"/>
  <tableColumns count="21">
    <tableColumn id="1" xr3:uid="{9107B753-04F5-43CD-A142-0FF07D078CA6}" name="Month"/>
    <tableColumn id="2" xr3:uid="{501DB395-53F8-4F17-A10F-038F38C4852C}" name="Potato" dataDxfId="6">
      <calculatedColumnFormula>AO17-AO31</calculatedColumnFormula>
    </tableColumn>
    <tableColumn id="3" xr3:uid="{41F3C4C8-25F2-447A-9232-33E845AAD3F6}" name="Onion"/>
    <tableColumn id="4" xr3:uid="{5E514987-0DFA-4EDA-A3B5-99590E5EDAD2}" name="Garlic"/>
    <tableColumn id="5" xr3:uid="{67A236E9-8C3C-488E-BF40-0EDD2C5F7BD7}" name="Ginger"/>
    <tableColumn id="6" xr3:uid="{B66F0F90-05FD-4A8E-9A9F-7CB362B1AC8D}" name="Tomato"/>
    <tableColumn id="7" xr3:uid="{8F4F1B87-3C98-4ED1-82C3-51D9DF84109A}" name="Carrot"/>
    <tableColumn id="8" xr3:uid="{EBF6C24E-0C15-470D-94CB-B41FC352AAE4}" name="Brinjal"/>
    <tableColumn id="9" xr3:uid="{4623B7C7-02D0-46EB-8F3A-122500C5CAEE}" name="Chilli"/>
    <tableColumn id="10" xr3:uid="{D5D583DA-8FD0-4F08-AA79-0DFC72B23AE9}" name="Cauliflower"/>
    <tableColumn id="11" xr3:uid="{39B96D5B-2DD2-4D75-A5FB-F506017CFCE5}" name="Peas"/>
    <tableColumn id="12" xr3:uid="{AEEA4EC5-61BA-4A1B-8D40-CF80AFC9BC31}" name="Cabbage"/>
    <tableColumn id="13" xr3:uid="{D84816FB-8193-4401-B3A9-10C7CEBE63C0}" name="Pointed Gourd"/>
    <tableColumn id="14" xr3:uid="{81B8CF6E-1479-4ABE-A1E3-CC451649A784}" name="Radish"/>
    <tableColumn id="15" xr3:uid="{184D7101-D354-4A57-BD26-D350FB5A2405}" name="Mango"/>
    <tableColumn id="16" xr3:uid="{6BBC36F0-9A0E-4B88-91CD-E404C32FC2C8}" name="Pumpkin">
      <calculatedColumnFormula>BC17-BC31</calculatedColumnFormula>
    </tableColumn>
    <tableColumn id="17" xr3:uid="{DA595C41-CE56-4677-9788-AA4B2E09E5B1}" name="Okra"/>
    <tableColumn id="18" xr3:uid="{20C5CF30-14F7-4EB0-B411-28D5AE57A83C}" name="Ridge Gourd"/>
    <tableColumn id="19" xr3:uid="{4C6329DF-01F4-43CA-8859-25B5BEC7C2E9}" name="Cucumber"/>
    <tableColumn id="20" xr3:uid="{B82B1F47-7F5D-4912-B495-D39E3A4C405A}" name="Others"/>
    <tableColumn id="21" xr3:uid="{97EC0850-36D9-4CE0-8E4C-747752F90C3A}" name="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9BFB7-86EA-45A1-B09D-A831FA5BBEF3}" name="Table1" displayName="Table1" ref="BM16:BT21" totalsRowShown="0">
  <autoFilter ref="BM16:BT21" xr:uid="{7889BFB7-86EA-45A1-B09D-A831FA5BBEF3}"/>
  <tableColumns count="8">
    <tableColumn id="1" xr3:uid="{91373880-1061-40BF-B15E-B52D22B9DA86}" name="STATS"/>
    <tableColumn id="9" xr3:uid="{AAD49542-179E-461E-B1A3-AAAEEFD5C827}" name="N"/>
    <tableColumn id="2" xr3:uid="{DE2B6CB6-2B61-4A5D-AC77-2A67A4D36175}" name="RANGE" dataDxfId="5">
      <calculatedColumnFormula>Table1[[#This Row],[MAX]]-Table1[[#This Row],[MEAN]]</calculatedColumnFormula>
    </tableColumn>
    <tableColumn id="3" xr3:uid="{37300A06-B6C3-4CC8-901C-0C8E5B6CF6E4}" name="MIN" dataDxfId="4">
      <calculatedColumnFormula>MIN(Table5[Revenue])</calculatedColumnFormula>
    </tableColumn>
    <tableColumn id="4" xr3:uid="{84FFC0A6-A045-4F94-A92A-3B7670A9DC01}" name="MAX" dataDxfId="3">
      <calculatedColumnFormula>MAX(Table5[Revenue])</calculatedColumnFormula>
    </tableColumn>
    <tableColumn id="5" xr3:uid="{4EDE14DB-C679-4981-99A7-454660CD5E4E}" name="MEAN" dataDxfId="2">
      <calculatedColumnFormula>AVERAGE(Table5[Revenue])</calculatedColumnFormula>
    </tableColumn>
    <tableColumn id="6" xr3:uid="{05A678A7-12D5-4D7B-B75F-986F556F6671}" name="STD. DEV." dataDxfId="1">
      <calculatedColumnFormula>_xlfn.STDEV.P(Table5[Revenue])</calculatedColumnFormula>
    </tableColumn>
    <tableColumn id="7" xr3:uid="{65178B24-040A-4488-8C97-2EB0CF16AEA4}" name="VARIANCE" dataDxfId="0">
      <calculatedColumnFormula>_xlfn.VAR.P(Table5[Revenue])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91"/>
  <sheetViews>
    <sheetView tabSelected="1" zoomScale="18" zoomScaleNormal="40" workbookViewId="0">
      <selection activeCell="AQ89" sqref="AQ89"/>
    </sheetView>
  </sheetViews>
  <sheetFormatPr defaultRowHeight="14.4" x14ac:dyDescent="0.3"/>
  <cols>
    <col min="1" max="1" width="15.6640625" style="3" bestFit="1" customWidth="1"/>
    <col min="2" max="2" width="15.6640625" bestFit="1" customWidth="1"/>
    <col min="4" max="4" width="15.21875" bestFit="1" customWidth="1"/>
    <col min="5" max="5" width="15.6640625" bestFit="1" customWidth="1"/>
    <col min="7" max="7" width="15.21875" bestFit="1" customWidth="1"/>
    <col min="8" max="8" width="15.6640625" bestFit="1" customWidth="1"/>
    <col min="9" max="9" width="9.6640625" bestFit="1" customWidth="1"/>
    <col min="10" max="10" width="14.77734375" customWidth="1"/>
    <col min="11" max="11" width="15.6640625" bestFit="1" customWidth="1"/>
    <col min="13" max="13" width="15.21875" bestFit="1" customWidth="1"/>
    <col min="14" max="14" width="15.6640625" bestFit="1" customWidth="1"/>
    <col min="16" max="16" width="16.33203125" customWidth="1"/>
    <col min="17" max="17" width="13.21875" customWidth="1"/>
    <col min="18" max="18" width="11.88671875" customWidth="1"/>
    <col min="19" max="24" width="10.5546875" customWidth="1"/>
    <col min="25" max="27" width="11.6640625" customWidth="1"/>
    <col min="28" max="28" width="13.77734375" customWidth="1"/>
    <col min="29" max="32" width="11.6640625" customWidth="1"/>
    <col min="33" max="33" width="20.21875" customWidth="1"/>
    <col min="34" max="36" width="11.6640625" customWidth="1"/>
    <col min="40" max="40" width="12.88671875" customWidth="1"/>
    <col min="41" max="41" width="15.109375" customWidth="1"/>
    <col min="42" max="42" width="15.109375" bestFit="1" customWidth="1"/>
    <col min="43" max="43" width="14.44140625" bestFit="1" customWidth="1"/>
    <col min="44" max="44" width="13.21875" customWidth="1"/>
    <col min="45" max="45" width="20.5546875" customWidth="1"/>
    <col min="46" max="46" width="17.77734375" customWidth="1"/>
    <col min="47" max="47" width="14.77734375" customWidth="1"/>
    <col min="48" max="48" width="13.44140625" customWidth="1"/>
    <col min="49" max="49" width="14.44140625" customWidth="1"/>
    <col min="50" max="50" width="14" customWidth="1"/>
    <col min="51" max="53" width="14.44140625" customWidth="1"/>
    <col min="54" max="54" width="14.44140625" bestFit="1" customWidth="1"/>
    <col min="55" max="55" width="14.44140625" customWidth="1"/>
    <col min="56" max="56" width="14.21875" customWidth="1"/>
    <col min="57" max="58" width="14.44140625" customWidth="1"/>
    <col min="59" max="59" width="15" customWidth="1"/>
    <col min="60" max="60" width="16.33203125" bestFit="1" customWidth="1"/>
    <col min="62" max="62" width="13.109375" customWidth="1"/>
    <col min="63" max="63" width="13.88671875" customWidth="1"/>
    <col min="65" max="65" width="11.88671875" customWidth="1"/>
    <col min="66" max="66" width="17.77734375" customWidth="1"/>
    <col min="67" max="67" width="13.77734375" customWidth="1"/>
    <col min="68" max="68" width="22.88671875" customWidth="1"/>
    <col min="69" max="69" width="12.88671875" bestFit="1" customWidth="1"/>
    <col min="70" max="70" width="12.6640625" customWidth="1"/>
    <col min="71" max="71" width="10.5546875" customWidth="1"/>
    <col min="72" max="72" width="12.77734375" customWidth="1"/>
  </cols>
  <sheetData>
    <row r="1" spans="1:72" ht="27" customHeight="1" thickTop="1" thickBot="1" x14ac:dyDescent="0.65">
      <c r="A1" s="31" t="s">
        <v>0</v>
      </c>
      <c r="B1" s="32"/>
      <c r="AE1" s="25" t="s">
        <v>33</v>
      </c>
      <c r="AF1" s="26"/>
      <c r="AG1" s="26"/>
      <c r="AH1" s="27"/>
      <c r="AN1" s="37" t="s">
        <v>64</v>
      </c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</row>
    <row r="2" spans="1:72" ht="22.2" thickTop="1" thickBot="1" x14ac:dyDescent="0.45">
      <c r="A2" s="2" t="s">
        <v>1</v>
      </c>
      <c r="B2" s="2" t="s">
        <v>2</v>
      </c>
      <c r="D2" s="1">
        <v>44287</v>
      </c>
      <c r="E2" s="7">
        <v>19800</v>
      </c>
      <c r="G2" s="1">
        <v>44317</v>
      </c>
      <c r="H2" s="7">
        <v>30145</v>
      </c>
      <c r="J2" s="1">
        <v>44348</v>
      </c>
      <c r="K2" s="7">
        <v>26014</v>
      </c>
      <c r="M2" s="1">
        <v>44378</v>
      </c>
      <c r="N2" s="7">
        <v>26002</v>
      </c>
      <c r="P2" s="1">
        <v>44409</v>
      </c>
      <c r="Q2" s="7">
        <v>25670</v>
      </c>
      <c r="S2" s="1">
        <v>44440</v>
      </c>
      <c r="T2" s="7">
        <v>17125</v>
      </c>
      <c r="V2" s="1">
        <v>44470</v>
      </c>
      <c r="W2" s="7">
        <v>22870</v>
      </c>
      <c r="Y2" s="1">
        <v>44501</v>
      </c>
      <c r="Z2" s="7">
        <v>30500</v>
      </c>
      <c r="AB2" s="1">
        <v>44531</v>
      </c>
      <c r="AC2" s="7">
        <v>25570</v>
      </c>
      <c r="AE2" s="28"/>
      <c r="AF2" s="29"/>
      <c r="AG2" s="29"/>
      <c r="AH2" s="30"/>
      <c r="AN2" s="8" t="s">
        <v>53</v>
      </c>
      <c r="AO2" s="9" t="s">
        <v>11</v>
      </c>
      <c r="AP2" s="9" t="s">
        <v>9</v>
      </c>
      <c r="AQ2" s="9" t="s">
        <v>25</v>
      </c>
      <c r="AR2" s="9" t="s">
        <v>26</v>
      </c>
      <c r="AS2" s="9" t="s">
        <v>22</v>
      </c>
      <c r="AT2" s="9" t="s">
        <v>54</v>
      </c>
      <c r="AU2" s="9" t="s">
        <v>14</v>
      </c>
      <c r="AV2" s="9" t="s">
        <v>7</v>
      </c>
      <c r="AW2" s="9" t="s">
        <v>18</v>
      </c>
      <c r="AX2" s="9" t="s">
        <v>21</v>
      </c>
      <c r="AY2" s="9" t="s">
        <v>17</v>
      </c>
      <c r="AZ2" s="9" t="s">
        <v>55</v>
      </c>
      <c r="BA2" s="9" t="s">
        <v>56</v>
      </c>
      <c r="BB2" s="9" t="s">
        <v>13</v>
      </c>
      <c r="BC2" s="9" t="s">
        <v>19</v>
      </c>
      <c r="BD2" s="9" t="s">
        <v>57</v>
      </c>
      <c r="BE2" s="9" t="s">
        <v>58</v>
      </c>
      <c r="BF2" s="9" t="s">
        <v>32</v>
      </c>
      <c r="BG2" s="9" t="s">
        <v>41</v>
      </c>
      <c r="BH2" s="10" t="s">
        <v>59</v>
      </c>
      <c r="BJ2" s="33" t="s">
        <v>34</v>
      </c>
      <c r="BK2" s="34"/>
      <c r="BM2" t="s">
        <v>50</v>
      </c>
      <c r="BN2" t="s">
        <v>2</v>
      </c>
      <c r="BO2" t="s">
        <v>51</v>
      </c>
      <c r="BP2" t="s">
        <v>52</v>
      </c>
    </row>
    <row r="3" spans="1:72" ht="22.2" thickTop="1" thickBot="1" x14ac:dyDescent="0.45">
      <c r="A3" s="1">
        <v>44256</v>
      </c>
      <c r="B3" s="7">
        <v>21010</v>
      </c>
      <c r="D3" s="1">
        <v>44288</v>
      </c>
      <c r="E3" s="7">
        <v>14250</v>
      </c>
      <c r="G3" s="1">
        <v>44318</v>
      </c>
      <c r="H3" s="7">
        <v>32145</v>
      </c>
      <c r="J3" s="1">
        <v>44349</v>
      </c>
      <c r="K3" s="7">
        <v>26370</v>
      </c>
      <c r="M3" s="1">
        <v>44379</v>
      </c>
      <c r="N3" s="7">
        <v>25048</v>
      </c>
      <c r="P3" s="1">
        <v>44410</v>
      </c>
      <c r="Q3" s="7">
        <v>23410</v>
      </c>
      <c r="S3" s="1">
        <v>44441</v>
      </c>
      <c r="T3" s="7">
        <v>18625</v>
      </c>
      <c r="V3" s="1">
        <v>44471</v>
      </c>
      <c r="W3" s="7">
        <v>23217</v>
      </c>
      <c r="Y3" s="1">
        <v>44502</v>
      </c>
      <c r="Z3" s="7">
        <v>32178</v>
      </c>
      <c r="AB3" s="1">
        <v>44532</v>
      </c>
      <c r="AC3" s="7">
        <v>23540</v>
      </c>
      <c r="AE3" s="4" t="s">
        <v>3</v>
      </c>
      <c r="AF3" s="4" t="s">
        <v>4</v>
      </c>
      <c r="AG3" s="4" t="s">
        <v>5</v>
      </c>
      <c r="AH3" s="4" t="s">
        <v>6</v>
      </c>
      <c r="AN3" s="11" t="s">
        <v>35</v>
      </c>
      <c r="AO3" s="12">
        <v>1743</v>
      </c>
      <c r="AP3" s="12">
        <v>1312</v>
      </c>
      <c r="AQ3" s="12">
        <v>658</v>
      </c>
      <c r="AR3" s="12">
        <v>610</v>
      </c>
      <c r="AS3" s="12">
        <v>841</v>
      </c>
      <c r="AT3" s="12">
        <v>682</v>
      </c>
      <c r="AU3" s="12">
        <v>588</v>
      </c>
      <c r="AV3" s="12">
        <v>472</v>
      </c>
      <c r="AW3" s="12">
        <v>78</v>
      </c>
      <c r="AX3" s="12">
        <v>0</v>
      </c>
      <c r="AY3" s="12">
        <v>0</v>
      </c>
      <c r="AZ3" s="12">
        <v>677</v>
      </c>
      <c r="BA3" s="12">
        <v>0</v>
      </c>
      <c r="BB3" s="12">
        <v>487</v>
      </c>
      <c r="BC3" s="12">
        <v>631</v>
      </c>
      <c r="BD3" s="12">
        <v>524</v>
      </c>
      <c r="BE3" s="12">
        <v>634</v>
      </c>
      <c r="BF3" s="12">
        <v>683</v>
      </c>
      <c r="BG3" s="12">
        <v>342</v>
      </c>
      <c r="BH3" s="13">
        <f t="shared" ref="BH3:BH12" si="0">SUM(AO3:BG3)</f>
        <v>10962</v>
      </c>
      <c r="BJ3" s="35"/>
      <c r="BK3" s="36"/>
      <c r="BM3" t="s">
        <v>35</v>
      </c>
      <c r="BN3" s="22">
        <f>SUM(B3:B33)</f>
        <v>651017</v>
      </c>
      <c r="BO3" s="6">
        <f>SUM(BK5:BK9)</f>
        <v>570522</v>
      </c>
      <c r="BP3" s="19">
        <f>Table5[[#This Row],[Revenue]]-Table5[[#This Row],[Expenditure]]</f>
        <v>80495</v>
      </c>
    </row>
    <row r="4" spans="1:72" ht="22.2" thickTop="1" thickBot="1" x14ac:dyDescent="0.45">
      <c r="A4" s="1">
        <v>44257</v>
      </c>
      <c r="B4" s="7">
        <v>22405</v>
      </c>
      <c r="D4" s="1">
        <v>44289</v>
      </c>
      <c r="E4" s="7">
        <v>16100</v>
      </c>
      <c r="G4" s="1">
        <v>44319</v>
      </c>
      <c r="H4" s="7">
        <v>29841</v>
      </c>
      <c r="J4" s="1">
        <v>44350</v>
      </c>
      <c r="K4" s="7">
        <v>25007</v>
      </c>
      <c r="M4" s="1">
        <v>44380</v>
      </c>
      <c r="N4" s="7">
        <v>27015</v>
      </c>
      <c r="P4" s="1">
        <v>44411</v>
      </c>
      <c r="Q4" s="7">
        <v>24810</v>
      </c>
      <c r="S4" s="1">
        <v>44442</v>
      </c>
      <c r="T4" s="7">
        <v>19185</v>
      </c>
      <c r="V4" s="1">
        <v>44472</v>
      </c>
      <c r="W4" s="7">
        <v>22983</v>
      </c>
      <c r="Y4" s="1">
        <v>44503</v>
      </c>
      <c r="Z4" s="7">
        <v>40225</v>
      </c>
      <c r="AB4" s="1">
        <v>44533</v>
      </c>
      <c r="AC4" s="7">
        <v>28910</v>
      </c>
      <c r="AE4" s="2" t="s">
        <v>7</v>
      </c>
      <c r="AF4" s="17">
        <v>100</v>
      </c>
      <c r="AG4" s="17">
        <v>93</v>
      </c>
      <c r="AH4" s="17">
        <v>90</v>
      </c>
      <c r="AN4" s="14" t="s">
        <v>40</v>
      </c>
      <c r="AO4" s="15">
        <v>1828</v>
      </c>
      <c r="AP4" s="15">
        <v>1592</v>
      </c>
      <c r="AQ4" s="15">
        <v>733</v>
      </c>
      <c r="AR4" s="15">
        <v>671</v>
      </c>
      <c r="AS4" s="15">
        <v>864</v>
      </c>
      <c r="AT4" s="15">
        <v>668</v>
      </c>
      <c r="AU4" s="15">
        <v>604</v>
      </c>
      <c r="AV4" s="15">
        <v>484</v>
      </c>
      <c r="AW4" s="15">
        <v>54</v>
      </c>
      <c r="AX4" s="15">
        <v>0</v>
      </c>
      <c r="AY4" s="15">
        <v>0</v>
      </c>
      <c r="AZ4" s="15">
        <v>668</v>
      </c>
      <c r="BA4" s="15">
        <v>0</v>
      </c>
      <c r="BB4" s="15">
        <v>1280</v>
      </c>
      <c r="BC4" s="15">
        <v>686</v>
      </c>
      <c r="BD4" s="15">
        <v>586</v>
      </c>
      <c r="BE4" s="15">
        <v>678</v>
      </c>
      <c r="BF4" s="15">
        <v>758</v>
      </c>
      <c r="BG4" s="15">
        <v>367</v>
      </c>
      <c r="BH4" s="13">
        <f t="shared" si="0"/>
        <v>12521</v>
      </c>
      <c r="BJ4" s="5" t="s">
        <v>35</v>
      </c>
      <c r="BK4" s="2"/>
      <c r="BM4" t="s">
        <v>40</v>
      </c>
      <c r="BN4" s="22">
        <f>SUM(E2:E31)</f>
        <v>785174</v>
      </c>
      <c r="BO4" s="6">
        <f>SUM(BK11:BK16)</f>
        <v>684585</v>
      </c>
      <c r="BP4" s="19">
        <f>Table5[[#This Row],[Revenue]]-Table5[[#This Row],[Expenditure]]</f>
        <v>100589</v>
      </c>
    </row>
    <row r="5" spans="1:72" ht="22.2" thickTop="1" thickBot="1" x14ac:dyDescent="0.45">
      <c r="A5" s="1">
        <v>44258</v>
      </c>
      <c r="B5" s="7">
        <v>20600</v>
      </c>
      <c r="D5" s="1">
        <v>44290</v>
      </c>
      <c r="E5" s="7">
        <v>19450</v>
      </c>
      <c r="G5" s="1">
        <v>44320</v>
      </c>
      <c r="H5" s="7">
        <v>28295</v>
      </c>
      <c r="J5" s="1">
        <v>44351</v>
      </c>
      <c r="K5" s="7">
        <v>26897</v>
      </c>
      <c r="M5" s="1">
        <v>44381</v>
      </c>
      <c r="N5" s="7">
        <v>23287</v>
      </c>
      <c r="P5" s="1">
        <v>44412</v>
      </c>
      <c r="Q5" s="7">
        <v>23694</v>
      </c>
      <c r="S5" s="1">
        <v>44443</v>
      </c>
      <c r="T5" s="7">
        <v>18750</v>
      </c>
      <c r="V5" s="1">
        <v>44473</v>
      </c>
      <c r="W5" s="7">
        <v>21290</v>
      </c>
      <c r="Y5" s="1">
        <v>44504</v>
      </c>
      <c r="Z5" s="7">
        <v>38556</v>
      </c>
      <c r="AB5" s="1">
        <v>44534</v>
      </c>
      <c r="AC5" s="7">
        <v>25874</v>
      </c>
      <c r="AE5" s="2" t="s">
        <v>8</v>
      </c>
      <c r="AF5" s="17">
        <v>250</v>
      </c>
      <c r="AG5" s="17">
        <v>240</v>
      </c>
      <c r="AH5" s="17">
        <v>227</v>
      </c>
      <c r="AN5" s="16" t="s">
        <v>42</v>
      </c>
      <c r="AO5" s="12">
        <v>1765</v>
      </c>
      <c r="AP5" s="12">
        <v>1388</v>
      </c>
      <c r="AQ5" s="12">
        <v>696</v>
      </c>
      <c r="AR5" s="12">
        <v>633</v>
      </c>
      <c r="AS5" s="12">
        <v>850</v>
      </c>
      <c r="AT5" s="12">
        <v>610</v>
      </c>
      <c r="AU5" s="12">
        <v>592</v>
      </c>
      <c r="AV5" s="12">
        <v>465</v>
      </c>
      <c r="AW5" s="12">
        <v>37</v>
      </c>
      <c r="AX5" s="12">
        <v>0</v>
      </c>
      <c r="AY5" s="12">
        <v>0</v>
      </c>
      <c r="AZ5" s="12">
        <v>672</v>
      </c>
      <c r="BA5" s="12">
        <v>0</v>
      </c>
      <c r="BB5" s="12">
        <v>1752</v>
      </c>
      <c r="BC5" s="12">
        <v>649</v>
      </c>
      <c r="BD5" s="12">
        <v>565</v>
      </c>
      <c r="BE5" s="12">
        <v>653</v>
      </c>
      <c r="BF5" s="12">
        <v>712</v>
      </c>
      <c r="BG5" s="12">
        <v>354</v>
      </c>
      <c r="BH5" s="13">
        <f t="shared" si="0"/>
        <v>12393</v>
      </c>
      <c r="BJ5" s="2" t="s">
        <v>36</v>
      </c>
      <c r="BK5" s="7">
        <v>5725</v>
      </c>
      <c r="BM5" t="s">
        <v>42</v>
      </c>
      <c r="BN5" s="22">
        <f>SUM(H2:H32)</f>
        <v>818018</v>
      </c>
      <c r="BO5" s="6">
        <f>SUM(BK19:BK23)</f>
        <v>708387</v>
      </c>
      <c r="BP5" s="19">
        <f>Table5[[#This Row],[Revenue]]-Table5[[#This Row],[Expenditure]]</f>
        <v>109631</v>
      </c>
    </row>
    <row r="6" spans="1:72" ht="22.2" thickTop="1" thickBot="1" x14ac:dyDescent="0.45">
      <c r="A6" s="1">
        <v>44259</v>
      </c>
      <c r="B6" s="7">
        <v>23856</v>
      </c>
      <c r="D6" s="1">
        <v>44291</v>
      </c>
      <c r="E6" s="7">
        <v>23220</v>
      </c>
      <c r="G6" s="1">
        <v>44321</v>
      </c>
      <c r="H6" s="7">
        <v>29005</v>
      </c>
      <c r="J6" s="1">
        <v>44352</v>
      </c>
      <c r="K6" s="7">
        <v>25688</v>
      </c>
      <c r="M6" s="1">
        <v>44382</v>
      </c>
      <c r="N6" s="7">
        <v>25890</v>
      </c>
      <c r="P6" s="1">
        <v>44413</v>
      </c>
      <c r="Q6" s="7">
        <v>20580</v>
      </c>
      <c r="S6" s="1">
        <v>44444</v>
      </c>
      <c r="T6" s="7">
        <v>19275</v>
      </c>
      <c r="V6" s="1">
        <v>44474</v>
      </c>
      <c r="W6" s="7">
        <v>24380</v>
      </c>
      <c r="Y6" s="1">
        <v>44505</v>
      </c>
      <c r="Z6" s="7">
        <v>28236</v>
      </c>
      <c r="AB6" s="1">
        <v>44535</v>
      </c>
      <c r="AC6" s="7">
        <v>29785</v>
      </c>
      <c r="AE6" s="2" t="s">
        <v>9</v>
      </c>
      <c r="AF6" s="17">
        <v>25</v>
      </c>
      <c r="AG6" s="17">
        <v>23</v>
      </c>
      <c r="AH6" s="17">
        <v>20</v>
      </c>
      <c r="AN6" s="14" t="s">
        <v>43</v>
      </c>
      <c r="AO6" s="15">
        <v>1731</v>
      </c>
      <c r="AP6" s="15">
        <v>1293</v>
      </c>
      <c r="AQ6" s="15">
        <v>629</v>
      </c>
      <c r="AR6" s="15">
        <v>622</v>
      </c>
      <c r="AS6" s="15">
        <v>812</v>
      </c>
      <c r="AT6" s="15">
        <v>624</v>
      </c>
      <c r="AU6" s="15">
        <v>528</v>
      </c>
      <c r="AV6" s="15">
        <v>458</v>
      </c>
      <c r="AW6" s="15">
        <v>38</v>
      </c>
      <c r="AX6" s="15">
        <v>0</v>
      </c>
      <c r="AY6" s="15">
        <v>0</v>
      </c>
      <c r="AZ6" s="15">
        <v>582</v>
      </c>
      <c r="BA6" s="15">
        <v>0</v>
      </c>
      <c r="BB6" s="15">
        <v>1993</v>
      </c>
      <c r="BC6" s="15">
        <v>639</v>
      </c>
      <c r="BD6" s="15">
        <v>548</v>
      </c>
      <c r="BE6" s="15">
        <v>645</v>
      </c>
      <c r="BF6" s="15">
        <v>701</v>
      </c>
      <c r="BG6" s="15">
        <v>378</v>
      </c>
      <c r="BH6" s="13">
        <f t="shared" si="0"/>
        <v>12221</v>
      </c>
      <c r="BJ6" s="2" t="s">
        <v>37</v>
      </c>
      <c r="BK6" s="7">
        <v>25000</v>
      </c>
      <c r="BM6" t="s">
        <v>43</v>
      </c>
      <c r="BN6" s="22">
        <f>SUM(K2:K31)</f>
        <v>840825</v>
      </c>
      <c r="BO6" s="6">
        <f>SUM(BK26:BK30)</f>
        <v>719574</v>
      </c>
      <c r="BP6" s="19">
        <f>Table5[[#This Row],[Revenue]]-Table5[[#This Row],[Expenditure]]</f>
        <v>121251</v>
      </c>
    </row>
    <row r="7" spans="1:72" ht="22.2" thickTop="1" thickBot="1" x14ac:dyDescent="0.45">
      <c r="A7" s="1">
        <v>44260</v>
      </c>
      <c r="B7" s="7">
        <v>17520</v>
      </c>
      <c r="D7" s="1">
        <v>44292</v>
      </c>
      <c r="E7" s="7">
        <v>19680</v>
      </c>
      <c r="G7" s="1">
        <v>44322</v>
      </c>
      <c r="H7" s="7">
        <v>29785</v>
      </c>
      <c r="J7" s="1">
        <v>44353</v>
      </c>
      <c r="K7" s="7">
        <v>28150</v>
      </c>
      <c r="M7" s="1">
        <v>44383</v>
      </c>
      <c r="N7" s="7">
        <v>28400</v>
      </c>
      <c r="P7" s="1">
        <v>44414</v>
      </c>
      <c r="Q7" s="7">
        <v>19154</v>
      </c>
      <c r="S7" s="1">
        <v>44445</v>
      </c>
      <c r="T7" s="7">
        <v>18750</v>
      </c>
      <c r="V7" s="1">
        <v>44475</v>
      </c>
      <c r="W7" s="7">
        <v>28964</v>
      </c>
      <c r="Y7" s="1">
        <v>44506</v>
      </c>
      <c r="Z7" s="7">
        <v>24115</v>
      </c>
      <c r="AB7" s="1">
        <v>44536</v>
      </c>
      <c r="AC7" s="7">
        <v>22860</v>
      </c>
      <c r="AE7" s="2" t="s">
        <v>10</v>
      </c>
      <c r="AF7" s="17">
        <v>70</v>
      </c>
      <c r="AG7" s="17">
        <v>63</v>
      </c>
      <c r="AH7" s="17">
        <v>60</v>
      </c>
      <c r="AN7" s="16" t="s">
        <v>44</v>
      </c>
      <c r="AO7" s="12">
        <v>1750</v>
      </c>
      <c r="AP7" s="12">
        <v>1322</v>
      </c>
      <c r="AQ7" s="12">
        <v>597</v>
      </c>
      <c r="AR7" s="12">
        <v>645</v>
      </c>
      <c r="AS7" s="12">
        <v>826</v>
      </c>
      <c r="AT7" s="12">
        <v>631</v>
      </c>
      <c r="AU7" s="12">
        <v>533</v>
      </c>
      <c r="AV7" s="12">
        <v>437</v>
      </c>
      <c r="AW7" s="12">
        <v>32</v>
      </c>
      <c r="AX7" s="12">
        <v>0</v>
      </c>
      <c r="AY7" s="12">
        <v>0</v>
      </c>
      <c r="AZ7" s="12">
        <v>611</v>
      </c>
      <c r="BA7" s="12">
        <v>0</v>
      </c>
      <c r="BB7" s="12">
        <v>1678</v>
      </c>
      <c r="BC7" s="12">
        <v>653</v>
      </c>
      <c r="BD7" s="12">
        <v>557</v>
      </c>
      <c r="BE7" s="12">
        <v>638</v>
      </c>
      <c r="BF7" s="12">
        <v>722</v>
      </c>
      <c r="BG7" s="12">
        <v>353</v>
      </c>
      <c r="BH7" s="13">
        <f t="shared" si="0"/>
        <v>11985</v>
      </c>
      <c r="BJ7" s="2" t="s">
        <v>38</v>
      </c>
      <c r="BK7" s="7">
        <v>15000</v>
      </c>
      <c r="BM7" t="s">
        <v>44</v>
      </c>
      <c r="BN7" s="22">
        <f>SUM(N2:N32)</f>
        <v>788257</v>
      </c>
      <c r="BO7" s="6">
        <f>SUM(BK33:BK37)</f>
        <v>684609</v>
      </c>
      <c r="BP7" s="19">
        <f>Table5[[#This Row],[Revenue]]-Table5[[#This Row],[Expenditure]]</f>
        <v>103648</v>
      </c>
    </row>
    <row r="8" spans="1:72" ht="22.2" thickTop="1" thickBot="1" x14ac:dyDescent="0.45">
      <c r="A8" s="1">
        <v>44261</v>
      </c>
      <c r="B8" s="7">
        <v>19854</v>
      </c>
      <c r="D8" s="1">
        <v>44293</v>
      </c>
      <c r="E8" s="7">
        <v>22845</v>
      </c>
      <c r="G8" s="1">
        <v>44323</v>
      </c>
      <c r="H8" s="7">
        <v>27427</v>
      </c>
      <c r="J8" s="1">
        <v>44354</v>
      </c>
      <c r="K8" s="7">
        <v>27732</v>
      </c>
      <c r="M8" s="1">
        <v>44384</v>
      </c>
      <c r="N8" s="7">
        <v>27890</v>
      </c>
      <c r="P8" s="1">
        <v>44415</v>
      </c>
      <c r="Q8" s="7">
        <v>19380</v>
      </c>
      <c r="S8" s="1">
        <v>44446</v>
      </c>
      <c r="T8" s="7">
        <v>19874</v>
      </c>
      <c r="V8" s="1">
        <v>44476</v>
      </c>
      <c r="W8" s="7">
        <v>34278</v>
      </c>
      <c r="Y8" s="1">
        <v>44507</v>
      </c>
      <c r="Z8" s="7">
        <v>21785</v>
      </c>
      <c r="AB8" s="1">
        <v>44537</v>
      </c>
      <c r="AC8" s="7">
        <v>26775</v>
      </c>
      <c r="AE8" s="2" t="s">
        <v>11</v>
      </c>
      <c r="AF8" s="17">
        <v>30</v>
      </c>
      <c r="AG8" s="17">
        <v>26</v>
      </c>
      <c r="AH8" s="17">
        <v>20</v>
      </c>
      <c r="AN8" s="14" t="s">
        <v>45</v>
      </c>
      <c r="AO8" s="12">
        <v>1764</v>
      </c>
      <c r="AP8" s="12">
        <v>1385</v>
      </c>
      <c r="AQ8" s="12">
        <v>584</v>
      </c>
      <c r="AR8" s="12">
        <v>655</v>
      </c>
      <c r="AS8" s="12">
        <v>838</v>
      </c>
      <c r="AT8" s="12">
        <v>627</v>
      </c>
      <c r="AU8" s="12">
        <v>527</v>
      </c>
      <c r="AV8" s="12">
        <v>455</v>
      </c>
      <c r="AW8" s="12">
        <v>49</v>
      </c>
      <c r="AX8" s="12">
        <v>0</v>
      </c>
      <c r="AY8" s="12">
        <v>0</v>
      </c>
      <c r="AZ8" s="12">
        <v>598</v>
      </c>
      <c r="BA8" s="12">
        <v>98</v>
      </c>
      <c r="BB8" s="12">
        <v>388</v>
      </c>
      <c r="BC8" s="12">
        <v>649</v>
      </c>
      <c r="BD8" s="12">
        <v>548</v>
      </c>
      <c r="BE8" s="12">
        <v>647</v>
      </c>
      <c r="BF8" s="12">
        <v>718</v>
      </c>
      <c r="BG8" s="15">
        <v>384</v>
      </c>
      <c r="BH8" s="13">
        <f t="shared" si="0"/>
        <v>10914</v>
      </c>
      <c r="BJ8" s="2" t="s">
        <v>39</v>
      </c>
      <c r="BK8" s="7">
        <v>5000</v>
      </c>
      <c r="BM8" t="s">
        <v>45</v>
      </c>
      <c r="BN8" s="22">
        <f>SUM(Q2:Q32)</f>
        <v>632415</v>
      </c>
      <c r="BO8" s="6">
        <f>SUM(BK40:BK44)</f>
        <v>558709</v>
      </c>
      <c r="BP8" s="19">
        <f>Table5[[#This Row],[Revenue]]-Table5[[#This Row],[Expenditure]]</f>
        <v>73706</v>
      </c>
    </row>
    <row r="9" spans="1:72" ht="22.2" thickTop="1" thickBot="1" x14ac:dyDescent="0.45">
      <c r="A9" s="1">
        <v>44262</v>
      </c>
      <c r="B9" s="7">
        <v>22480</v>
      </c>
      <c r="D9" s="1">
        <v>44294</v>
      </c>
      <c r="E9" s="7">
        <v>23700</v>
      </c>
      <c r="G9" s="1">
        <v>44324</v>
      </c>
      <c r="H9" s="7">
        <v>26256</v>
      </c>
      <c r="J9" s="1">
        <v>44355</v>
      </c>
      <c r="K9" s="7">
        <v>28230</v>
      </c>
      <c r="M9" s="1">
        <v>44385</v>
      </c>
      <c r="N9" s="7">
        <v>26981</v>
      </c>
      <c r="P9" s="1">
        <v>44416</v>
      </c>
      <c r="Q9" s="7">
        <v>20480</v>
      </c>
      <c r="S9" s="1">
        <v>44447</v>
      </c>
      <c r="T9" s="7">
        <v>18625</v>
      </c>
      <c r="V9" s="1">
        <v>44477</v>
      </c>
      <c r="W9" s="7">
        <v>38689</v>
      </c>
      <c r="Y9" s="1">
        <v>44508</v>
      </c>
      <c r="Z9" s="7">
        <v>21752</v>
      </c>
      <c r="AB9" s="1">
        <v>44538</v>
      </c>
      <c r="AC9" s="7">
        <v>27215</v>
      </c>
      <c r="AE9" s="2" t="s">
        <v>12</v>
      </c>
      <c r="AF9" s="17">
        <v>80</v>
      </c>
      <c r="AG9" s="17">
        <v>73</v>
      </c>
      <c r="AH9" s="17">
        <v>70</v>
      </c>
      <c r="AN9" s="16" t="s">
        <v>46</v>
      </c>
      <c r="AO9" s="12">
        <v>1787</v>
      </c>
      <c r="AP9" s="12">
        <v>1378</v>
      </c>
      <c r="AQ9" s="12">
        <v>538</v>
      </c>
      <c r="AR9" s="12">
        <v>678</v>
      </c>
      <c r="AS9" s="12">
        <v>862</v>
      </c>
      <c r="AT9" s="12">
        <v>643</v>
      </c>
      <c r="AU9" s="12">
        <v>549</v>
      </c>
      <c r="AV9" s="12">
        <v>413</v>
      </c>
      <c r="AW9" s="12">
        <v>86</v>
      </c>
      <c r="AX9" s="12">
        <v>97</v>
      </c>
      <c r="AY9" s="12">
        <v>77</v>
      </c>
      <c r="AZ9" s="12">
        <v>559</v>
      </c>
      <c r="BA9" s="12">
        <v>113</v>
      </c>
      <c r="BB9" s="12">
        <v>0</v>
      </c>
      <c r="BC9" s="12">
        <v>634</v>
      </c>
      <c r="BD9" s="12">
        <v>587</v>
      </c>
      <c r="BE9" s="12">
        <v>668</v>
      </c>
      <c r="BF9" s="12">
        <v>740</v>
      </c>
      <c r="BG9" s="12">
        <v>337</v>
      </c>
      <c r="BH9" s="13">
        <f t="shared" si="0"/>
        <v>10746</v>
      </c>
      <c r="BJ9" s="2" t="s">
        <v>60</v>
      </c>
      <c r="BK9" s="7">
        <f>BH31</f>
        <v>519797</v>
      </c>
      <c r="BM9" t="s">
        <v>46</v>
      </c>
      <c r="BN9" s="22">
        <f>SUM(T2:T31)</f>
        <v>604670</v>
      </c>
      <c r="BO9" s="6">
        <f>SUM(BK47:BK51)</f>
        <v>535526</v>
      </c>
      <c r="BP9" s="19">
        <f>Table5[[#This Row],[Revenue]]-Table5[[#This Row],[Expenditure]]</f>
        <v>69144</v>
      </c>
    </row>
    <row r="10" spans="1:72" ht="22.2" thickTop="1" thickBot="1" x14ac:dyDescent="0.45">
      <c r="A10" s="1">
        <v>44263</v>
      </c>
      <c r="B10" s="7">
        <v>19215</v>
      </c>
      <c r="D10" s="1">
        <v>44295</v>
      </c>
      <c r="E10" s="7">
        <v>24450</v>
      </c>
      <c r="G10" s="1">
        <v>44325</v>
      </c>
      <c r="H10" s="7">
        <v>25487</v>
      </c>
      <c r="J10" s="1">
        <v>44356</v>
      </c>
      <c r="K10" s="7">
        <v>27472</v>
      </c>
      <c r="M10" s="1">
        <v>44386</v>
      </c>
      <c r="N10" s="7">
        <v>27100</v>
      </c>
      <c r="P10" s="1">
        <v>44417</v>
      </c>
      <c r="Q10" s="7">
        <v>21360</v>
      </c>
      <c r="S10" s="1">
        <v>44448</v>
      </c>
      <c r="T10" s="7">
        <v>19486</v>
      </c>
      <c r="V10" s="1">
        <v>44478</v>
      </c>
      <c r="W10" s="7">
        <v>42953</v>
      </c>
      <c r="Y10" s="1">
        <v>44509</v>
      </c>
      <c r="Z10" s="7">
        <v>28485</v>
      </c>
      <c r="AB10" s="1">
        <v>44539</v>
      </c>
      <c r="AC10" s="7">
        <v>24385</v>
      </c>
      <c r="AE10" s="2" t="s">
        <v>17</v>
      </c>
      <c r="AF10" s="17">
        <v>25</v>
      </c>
      <c r="AG10" s="17">
        <v>22</v>
      </c>
      <c r="AH10" s="17">
        <v>20</v>
      </c>
      <c r="AN10" s="14" t="s">
        <v>47</v>
      </c>
      <c r="AO10" s="12">
        <v>2646</v>
      </c>
      <c r="AP10" s="12">
        <v>2131</v>
      </c>
      <c r="AQ10" s="12">
        <v>987</v>
      </c>
      <c r="AR10" s="12">
        <v>821</v>
      </c>
      <c r="AS10" s="12">
        <v>1753</v>
      </c>
      <c r="AT10" s="12">
        <v>1382</v>
      </c>
      <c r="AU10" s="12">
        <v>953</v>
      </c>
      <c r="AV10" s="12">
        <v>964</v>
      </c>
      <c r="AW10" s="12">
        <v>583</v>
      </c>
      <c r="AX10" s="12">
        <v>227</v>
      </c>
      <c r="AY10" s="12">
        <v>487</v>
      </c>
      <c r="AZ10" s="12">
        <v>898</v>
      </c>
      <c r="BA10" s="12">
        <v>538</v>
      </c>
      <c r="BB10" s="12">
        <v>0</v>
      </c>
      <c r="BC10" s="12">
        <v>923</v>
      </c>
      <c r="BD10" s="12">
        <v>858</v>
      </c>
      <c r="BE10" s="12">
        <v>0</v>
      </c>
      <c r="BF10" s="12">
        <v>1129</v>
      </c>
      <c r="BG10" s="15">
        <v>784</v>
      </c>
      <c r="BH10" s="13">
        <f t="shared" si="0"/>
        <v>18064</v>
      </c>
      <c r="BK10" s="6"/>
      <c r="BM10" t="s">
        <v>47</v>
      </c>
      <c r="BN10" s="22">
        <f>SUM(W2:W32)</f>
        <v>1142495</v>
      </c>
      <c r="BO10" s="6">
        <f>SUM(BK54:BK58)</f>
        <v>962584</v>
      </c>
      <c r="BP10" s="19">
        <f>Table5[[#This Row],[Revenue]]-Table5[[#This Row],[Expenditure]]</f>
        <v>179911</v>
      </c>
    </row>
    <row r="11" spans="1:72" ht="22.2" thickTop="1" thickBot="1" x14ac:dyDescent="0.45">
      <c r="A11" s="1">
        <v>44264</v>
      </c>
      <c r="B11" s="7">
        <v>22780</v>
      </c>
      <c r="D11" s="1">
        <v>44296</v>
      </c>
      <c r="E11" s="7">
        <v>23700</v>
      </c>
      <c r="G11" s="1">
        <v>44326</v>
      </c>
      <c r="H11" s="7">
        <v>27087</v>
      </c>
      <c r="J11" s="1">
        <v>44357</v>
      </c>
      <c r="K11" s="7">
        <v>28074</v>
      </c>
      <c r="M11" s="1">
        <v>44387</v>
      </c>
      <c r="N11" s="7">
        <v>26870</v>
      </c>
      <c r="P11" s="1">
        <v>44418</v>
      </c>
      <c r="Q11" s="7">
        <v>19210</v>
      </c>
      <c r="S11" s="1">
        <v>44449</v>
      </c>
      <c r="T11" s="7">
        <v>18457</v>
      </c>
      <c r="V11" s="1">
        <v>44479</v>
      </c>
      <c r="W11" s="7">
        <v>53527</v>
      </c>
      <c r="Y11" s="1">
        <v>44510</v>
      </c>
      <c r="Z11" s="7">
        <v>25560</v>
      </c>
      <c r="AB11" s="1">
        <v>44540</v>
      </c>
      <c r="AC11" s="7">
        <v>25648</v>
      </c>
      <c r="AE11" s="2" t="s">
        <v>57</v>
      </c>
      <c r="AF11" s="17">
        <v>30</v>
      </c>
      <c r="AG11" s="17">
        <v>23</v>
      </c>
      <c r="AH11" s="17">
        <v>20</v>
      </c>
      <c r="AN11" s="16" t="s">
        <v>48</v>
      </c>
      <c r="AO11" s="12">
        <v>1798</v>
      </c>
      <c r="AP11" s="12">
        <v>1395</v>
      </c>
      <c r="AQ11" s="12">
        <v>458</v>
      </c>
      <c r="AR11" s="12">
        <v>692</v>
      </c>
      <c r="AS11" s="12">
        <v>885</v>
      </c>
      <c r="AT11" s="12">
        <v>674</v>
      </c>
      <c r="AU11" s="12">
        <v>587</v>
      </c>
      <c r="AV11" s="12">
        <v>441</v>
      </c>
      <c r="AW11" s="12">
        <v>639</v>
      </c>
      <c r="AX11" s="12">
        <v>387</v>
      </c>
      <c r="AY11" s="12">
        <v>523</v>
      </c>
      <c r="AZ11" s="12">
        <v>541</v>
      </c>
      <c r="BA11" s="12">
        <v>554</v>
      </c>
      <c r="BB11" s="12">
        <v>0</v>
      </c>
      <c r="BC11" s="12">
        <v>681</v>
      </c>
      <c r="BD11" s="12">
        <v>523</v>
      </c>
      <c r="BE11" s="12">
        <v>0</v>
      </c>
      <c r="BF11" s="12">
        <v>742</v>
      </c>
      <c r="BG11" s="12">
        <v>407</v>
      </c>
      <c r="BH11" s="13">
        <f t="shared" si="0"/>
        <v>11927</v>
      </c>
      <c r="BJ11" s="5" t="s">
        <v>40</v>
      </c>
      <c r="BK11" s="7"/>
      <c r="BM11" t="s">
        <v>48</v>
      </c>
      <c r="BN11" s="22">
        <f>SUM(Z2:Z31)</f>
        <v>780405</v>
      </c>
      <c r="BO11" s="6">
        <f>SUM(BK61:BK65)</f>
        <v>694088</v>
      </c>
      <c r="BP11" s="19">
        <f>Table5[[#This Row],[Revenue]]-Table5[[#This Row],[Expenditure]]</f>
        <v>86317</v>
      </c>
    </row>
    <row r="12" spans="1:72" ht="22.2" thickTop="1" thickBot="1" x14ac:dyDescent="0.45">
      <c r="A12" s="1">
        <v>44265</v>
      </c>
      <c r="B12" s="7">
        <v>20658</v>
      </c>
      <c r="D12" s="1">
        <v>44297</v>
      </c>
      <c r="E12" s="7">
        <v>22670</v>
      </c>
      <c r="G12" s="1">
        <v>44327</v>
      </c>
      <c r="H12" s="7">
        <v>26789</v>
      </c>
      <c r="J12" s="1">
        <v>44358</v>
      </c>
      <c r="K12" s="7">
        <v>27139</v>
      </c>
      <c r="M12" s="1">
        <v>44388</v>
      </c>
      <c r="N12" s="7">
        <v>24279</v>
      </c>
      <c r="P12" s="1">
        <v>44419</v>
      </c>
      <c r="Q12" s="7">
        <v>20380</v>
      </c>
      <c r="S12" s="1">
        <v>44450</v>
      </c>
      <c r="T12" s="7">
        <v>19287</v>
      </c>
      <c r="V12" s="1">
        <v>44480</v>
      </c>
      <c r="W12" s="7">
        <v>55288</v>
      </c>
      <c r="Y12" s="1">
        <v>44511</v>
      </c>
      <c r="Z12" s="7">
        <v>23375</v>
      </c>
      <c r="AB12" s="1">
        <v>44541</v>
      </c>
      <c r="AC12" s="7">
        <v>23410</v>
      </c>
      <c r="AE12" s="2" t="s">
        <v>13</v>
      </c>
      <c r="AF12" s="17">
        <v>130</v>
      </c>
      <c r="AG12" s="17">
        <v>112</v>
      </c>
      <c r="AH12" s="17">
        <v>105</v>
      </c>
      <c r="AN12" s="14" t="s">
        <v>49</v>
      </c>
      <c r="AO12" s="12">
        <v>1957</v>
      </c>
      <c r="AP12" s="12">
        <v>1668</v>
      </c>
      <c r="AQ12" s="12">
        <v>582</v>
      </c>
      <c r="AR12" s="12">
        <v>718</v>
      </c>
      <c r="AS12" s="12">
        <v>863</v>
      </c>
      <c r="AT12" s="12">
        <v>682</v>
      </c>
      <c r="AU12" s="12">
        <v>574</v>
      </c>
      <c r="AV12" s="12">
        <v>478</v>
      </c>
      <c r="AW12" s="12">
        <v>752</v>
      </c>
      <c r="AX12" s="12">
        <v>613</v>
      </c>
      <c r="AY12" s="12">
        <v>679</v>
      </c>
      <c r="AZ12" s="12">
        <v>553</v>
      </c>
      <c r="BA12" s="12">
        <v>648</v>
      </c>
      <c r="BB12" s="12">
        <v>0</v>
      </c>
      <c r="BC12" s="12">
        <v>678</v>
      </c>
      <c r="BD12" s="12">
        <v>0</v>
      </c>
      <c r="BE12" s="12">
        <v>0</v>
      </c>
      <c r="BF12" s="12">
        <v>776</v>
      </c>
      <c r="BG12" s="15">
        <v>423</v>
      </c>
      <c r="BH12" s="13">
        <f t="shared" si="0"/>
        <v>12644</v>
      </c>
      <c r="BJ12" s="2" t="s">
        <v>36</v>
      </c>
      <c r="BK12" s="7">
        <v>6175</v>
      </c>
      <c r="BM12" t="s">
        <v>49</v>
      </c>
      <c r="BN12" s="22">
        <f>SUM(AC2:AC32)</f>
        <v>877358</v>
      </c>
      <c r="BO12" s="6">
        <f>SUM(BK68:BK72)</f>
        <v>756428</v>
      </c>
      <c r="BP12" s="19">
        <f>Table5[[#This Row],[Revenue]]-Table5[[#This Row],[Expenditure]]</f>
        <v>120930</v>
      </c>
    </row>
    <row r="13" spans="1:72" ht="15.6" thickTop="1" thickBot="1" x14ac:dyDescent="0.35">
      <c r="A13" s="1">
        <v>44266</v>
      </c>
      <c r="B13" s="7">
        <v>19712</v>
      </c>
      <c r="D13" s="1">
        <v>44298</v>
      </c>
      <c r="E13" s="7">
        <v>22932</v>
      </c>
      <c r="G13" s="1">
        <v>44328</v>
      </c>
      <c r="H13" s="7">
        <v>27758</v>
      </c>
      <c r="J13" s="1">
        <v>44359</v>
      </c>
      <c r="K13" s="7">
        <v>28350</v>
      </c>
      <c r="M13" s="1">
        <v>44389</v>
      </c>
      <c r="N13" s="7">
        <v>23718</v>
      </c>
      <c r="P13" s="1">
        <v>44420</v>
      </c>
      <c r="Q13" s="7">
        <v>19600</v>
      </c>
      <c r="S13" s="1">
        <v>44451</v>
      </c>
      <c r="T13" s="7">
        <v>19640</v>
      </c>
      <c r="V13" s="1">
        <v>44481</v>
      </c>
      <c r="W13" s="7">
        <v>59581</v>
      </c>
      <c r="Y13" s="1">
        <v>44512</v>
      </c>
      <c r="Z13" s="7">
        <v>26285</v>
      </c>
      <c r="AB13" s="1">
        <v>44542</v>
      </c>
      <c r="AC13" s="7">
        <v>20170</v>
      </c>
      <c r="AE13" s="2" t="s">
        <v>14</v>
      </c>
      <c r="AF13" s="17">
        <v>75</v>
      </c>
      <c r="AG13" s="17">
        <v>68</v>
      </c>
      <c r="AH13" s="17">
        <v>64</v>
      </c>
      <c r="AO13">
        <f>SUM(AO3:AO12)</f>
        <v>18769</v>
      </c>
      <c r="AP13">
        <f t="shared" ref="AP13:BF13" si="1">SUM(AP3:AP12)</f>
        <v>14864</v>
      </c>
      <c r="AQ13">
        <f t="shared" si="1"/>
        <v>6462</v>
      </c>
      <c r="AR13">
        <f t="shared" si="1"/>
        <v>6745</v>
      </c>
      <c r="AS13">
        <f t="shared" si="1"/>
        <v>9394</v>
      </c>
      <c r="AT13">
        <f t="shared" si="1"/>
        <v>7223</v>
      </c>
      <c r="AU13">
        <f t="shared" si="1"/>
        <v>6035</v>
      </c>
      <c r="AV13">
        <f t="shared" si="1"/>
        <v>5067</v>
      </c>
      <c r="AW13">
        <f t="shared" si="1"/>
        <v>2348</v>
      </c>
      <c r="AX13">
        <f t="shared" si="1"/>
        <v>1324</v>
      </c>
      <c r="AY13">
        <f t="shared" si="1"/>
        <v>1766</v>
      </c>
      <c r="AZ13">
        <f t="shared" si="1"/>
        <v>6359</v>
      </c>
      <c r="BA13">
        <f t="shared" si="1"/>
        <v>1951</v>
      </c>
      <c r="BB13">
        <f t="shared" si="1"/>
        <v>7578</v>
      </c>
      <c r="BC13">
        <f t="shared" si="1"/>
        <v>6823</v>
      </c>
      <c r="BD13">
        <f t="shared" si="1"/>
        <v>5296</v>
      </c>
      <c r="BE13">
        <f t="shared" si="1"/>
        <v>4563</v>
      </c>
      <c r="BF13">
        <f t="shared" si="1"/>
        <v>7681</v>
      </c>
      <c r="BJ13" s="2" t="s">
        <v>37</v>
      </c>
      <c r="BK13" s="7">
        <v>25000</v>
      </c>
    </row>
    <row r="14" spans="1:72" ht="15.6" thickTop="1" thickBot="1" x14ac:dyDescent="0.35">
      <c r="A14" s="1">
        <v>44267</v>
      </c>
      <c r="B14" s="7">
        <v>20741</v>
      </c>
      <c r="D14" s="1">
        <v>44299</v>
      </c>
      <c r="E14" s="7">
        <v>23810</v>
      </c>
      <c r="G14" s="1">
        <v>44329</v>
      </c>
      <c r="H14" s="7">
        <v>26805</v>
      </c>
      <c r="J14" s="1">
        <v>44360</v>
      </c>
      <c r="K14" s="7">
        <v>27326</v>
      </c>
      <c r="M14" s="1">
        <v>44390</v>
      </c>
      <c r="N14" s="7">
        <v>23126</v>
      </c>
      <c r="P14" s="1">
        <v>44421</v>
      </c>
      <c r="Q14" s="7">
        <v>21650</v>
      </c>
      <c r="S14" s="1">
        <v>44452</v>
      </c>
      <c r="T14" s="7">
        <v>18840</v>
      </c>
      <c r="V14" s="1">
        <v>44482</v>
      </c>
      <c r="W14" s="7">
        <v>64725</v>
      </c>
      <c r="Y14" s="1">
        <v>44513</v>
      </c>
      <c r="Z14" s="7">
        <v>24250</v>
      </c>
      <c r="AB14" s="1">
        <v>44543</v>
      </c>
      <c r="AC14" s="7">
        <v>22025</v>
      </c>
      <c r="AE14" s="2" t="s">
        <v>15</v>
      </c>
      <c r="AF14" s="17">
        <v>85</v>
      </c>
      <c r="AG14" s="17">
        <v>80</v>
      </c>
      <c r="AH14" s="17">
        <v>72</v>
      </c>
      <c r="BJ14" s="2" t="s">
        <v>38</v>
      </c>
      <c r="BK14" s="7">
        <v>15000</v>
      </c>
    </row>
    <row r="15" spans="1:72" ht="34.799999999999997" thickTop="1" thickBot="1" x14ac:dyDescent="0.7">
      <c r="A15" s="1">
        <v>44268</v>
      </c>
      <c r="B15" s="7">
        <v>22712</v>
      </c>
      <c r="D15" s="1">
        <v>44300</v>
      </c>
      <c r="E15" s="7">
        <v>23980</v>
      </c>
      <c r="G15" s="1">
        <v>44330</v>
      </c>
      <c r="H15" s="7">
        <v>25690</v>
      </c>
      <c r="J15" s="1">
        <v>44361</v>
      </c>
      <c r="K15" s="7">
        <v>27589</v>
      </c>
      <c r="M15" s="1">
        <v>44391</v>
      </c>
      <c r="N15" s="7">
        <v>25570</v>
      </c>
      <c r="P15" s="1">
        <v>44422</v>
      </c>
      <c r="Q15" s="7">
        <v>18610</v>
      </c>
      <c r="S15" s="1">
        <v>44453</v>
      </c>
      <c r="T15" s="7">
        <v>18948</v>
      </c>
      <c r="V15" s="1">
        <v>44483</v>
      </c>
      <c r="W15" s="7">
        <v>62248</v>
      </c>
      <c r="Y15" s="1">
        <v>44514</v>
      </c>
      <c r="Z15" s="7">
        <v>23325</v>
      </c>
      <c r="AB15" s="1">
        <v>44544</v>
      </c>
      <c r="AC15" s="7">
        <v>36205</v>
      </c>
      <c r="AE15" s="2" t="s">
        <v>16</v>
      </c>
      <c r="AF15" s="17">
        <v>200</v>
      </c>
      <c r="AG15" s="17">
        <v>184</v>
      </c>
      <c r="AH15" s="17">
        <v>172</v>
      </c>
      <c r="AN15" s="41" t="s">
        <v>63</v>
      </c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J15" s="2" t="s">
        <v>41</v>
      </c>
      <c r="BK15" s="7">
        <v>5300</v>
      </c>
    </row>
    <row r="16" spans="1:72" ht="22.2" thickTop="1" thickBot="1" x14ac:dyDescent="0.45">
      <c r="A16" s="1">
        <v>44269</v>
      </c>
      <c r="B16" s="7">
        <v>20450</v>
      </c>
      <c r="D16" s="1">
        <v>44301</v>
      </c>
      <c r="E16" s="7">
        <v>23310</v>
      </c>
      <c r="G16" s="1">
        <v>44331</v>
      </c>
      <c r="H16" s="7">
        <v>24427</v>
      </c>
      <c r="J16" s="1">
        <v>44362</v>
      </c>
      <c r="K16" s="7">
        <v>28709</v>
      </c>
      <c r="M16" s="1">
        <v>44392</v>
      </c>
      <c r="N16" s="7">
        <v>23730</v>
      </c>
      <c r="P16" s="1">
        <v>44423</v>
      </c>
      <c r="Q16" s="7">
        <v>20990</v>
      </c>
      <c r="S16" s="1">
        <v>44454</v>
      </c>
      <c r="T16" s="7">
        <v>19250</v>
      </c>
      <c r="V16" s="1">
        <v>44484</v>
      </c>
      <c r="W16" s="7">
        <v>53480</v>
      </c>
      <c r="Y16" s="1">
        <v>44515</v>
      </c>
      <c r="Z16" s="7">
        <v>24245</v>
      </c>
      <c r="AB16" s="1">
        <v>44545</v>
      </c>
      <c r="AC16" s="7">
        <v>24665</v>
      </c>
      <c r="AE16" s="2" t="s">
        <v>17</v>
      </c>
      <c r="AF16" s="17">
        <v>110</v>
      </c>
      <c r="AG16" s="17">
        <v>100</v>
      </c>
      <c r="AH16" s="17">
        <v>93</v>
      </c>
      <c r="AN16" s="8" t="s">
        <v>53</v>
      </c>
      <c r="AO16" s="9" t="s">
        <v>11</v>
      </c>
      <c r="AP16" s="9" t="s">
        <v>9</v>
      </c>
      <c r="AQ16" s="9" t="s">
        <v>25</v>
      </c>
      <c r="AR16" s="9" t="s">
        <v>26</v>
      </c>
      <c r="AS16" s="9" t="s">
        <v>22</v>
      </c>
      <c r="AT16" s="9" t="s">
        <v>54</v>
      </c>
      <c r="AU16" s="9" t="s">
        <v>14</v>
      </c>
      <c r="AV16" s="9" t="s">
        <v>7</v>
      </c>
      <c r="AW16" s="9" t="s">
        <v>18</v>
      </c>
      <c r="AX16" s="9" t="s">
        <v>21</v>
      </c>
      <c r="AY16" s="9" t="s">
        <v>17</v>
      </c>
      <c r="AZ16" s="9" t="s">
        <v>55</v>
      </c>
      <c r="BA16" s="9" t="s">
        <v>56</v>
      </c>
      <c r="BB16" s="9" t="s">
        <v>13</v>
      </c>
      <c r="BC16" s="9" t="s">
        <v>19</v>
      </c>
      <c r="BD16" s="9" t="s">
        <v>57</v>
      </c>
      <c r="BE16" s="9" t="s">
        <v>58</v>
      </c>
      <c r="BF16" s="9" t="s">
        <v>32</v>
      </c>
      <c r="BG16" s="9" t="s">
        <v>41</v>
      </c>
      <c r="BH16" s="10" t="s">
        <v>59</v>
      </c>
      <c r="BJ16" s="2" t="s">
        <v>60</v>
      </c>
      <c r="BK16" s="7">
        <f>BH32</f>
        <v>633110</v>
      </c>
      <c r="BM16" t="s">
        <v>72</v>
      </c>
      <c r="BN16" t="s">
        <v>74</v>
      </c>
      <c r="BO16" t="s">
        <v>71</v>
      </c>
      <c r="BP16" t="s">
        <v>66</v>
      </c>
      <c r="BQ16" t="s">
        <v>67</v>
      </c>
      <c r="BR16" s="19" t="s">
        <v>68</v>
      </c>
      <c r="BS16" t="s">
        <v>69</v>
      </c>
      <c r="BT16" t="s">
        <v>70</v>
      </c>
    </row>
    <row r="17" spans="1:90" ht="22.2" thickTop="1" thickBot="1" x14ac:dyDescent="0.45">
      <c r="A17" s="1">
        <v>44635</v>
      </c>
      <c r="B17" s="7">
        <v>17720</v>
      </c>
      <c r="D17" s="1">
        <v>44302</v>
      </c>
      <c r="E17" s="7">
        <v>29780</v>
      </c>
      <c r="G17" s="1">
        <v>44332</v>
      </c>
      <c r="H17" s="7">
        <v>26863</v>
      </c>
      <c r="J17" s="1">
        <v>44363</v>
      </c>
      <c r="K17" s="7">
        <v>27889</v>
      </c>
      <c r="M17" s="1">
        <v>44393</v>
      </c>
      <c r="N17" s="7">
        <v>24725</v>
      </c>
      <c r="P17" s="1">
        <v>44424</v>
      </c>
      <c r="Q17" s="7">
        <v>19830</v>
      </c>
      <c r="S17" s="1">
        <v>44455</v>
      </c>
      <c r="T17" s="7">
        <v>20878</v>
      </c>
      <c r="V17" s="1">
        <v>44485</v>
      </c>
      <c r="W17" s="7">
        <v>52101</v>
      </c>
      <c r="Y17" s="1">
        <v>44516</v>
      </c>
      <c r="Z17" s="7">
        <v>28630</v>
      </c>
      <c r="AB17" s="1">
        <v>44546</v>
      </c>
      <c r="AC17" s="7">
        <v>26129</v>
      </c>
      <c r="AE17" s="2" t="s">
        <v>18</v>
      </c>
      <c r="AF17" s="17">
        <v>130</v>
      </c>
      <c r="AG17" s="17">
        <v>112</v>
      </c>
      <c r="AH17" s="17">
        <v>100</v>
      </c>
      <c r="AN17" s="11" t="s">
        <v>35</v>
      </c>
      <c r="AO17" s="23">
        <f>AO3*30</f>
        <v>52290</v>
      </c>
      <c r="AP17" s="23">
        <f t="shared" ref="AP17:AP26" si="2">AP3*25</f>
        <v>32800</v>
      </c>
      <c r="AQ17" s="23">
        <f t="shared" ref="AQ17:AQ26" si="3">AQ3*105</f>
        <v>69090</v>
      </c>
      <c r="AR17" s="23">
        <f t="shared" ref="AR17:AR26" si="4">AR3*140</f>
        <v>85400</v>
      </c>
      <c r="AS17" s="23">
        <f t="shared" ref="AS17:AS26" si="5">AS3*45</f>
        <v>37845</v>
      </c>
      <c r="AT17" s="23">
        <f t="shared" ref="AT17:AT26" si="6">AT3*70</f>
        <v>47740</v>
      </c>
      <c r="AU17" s="23">
        <f t="shared" ref="AU17:AU26" si="7">AU3*75</f>
        <v>44100</v>
      </c>
      <c r="AV17" s="23">
        <f t="shared" ref="AV17:AV26" si="8">AV3*100</f>
        <v>47200</v>
      </c>
      <c r="AW17" s="23">
        <f t="shared" ref="AW17:AW26" si="9">AW3*130</f>
        <v>10140</v>
      </c>
      <c r="AX17" s="23">
        <f t="shared" ref="AX17:AX26" si="10">AX3*160</f>
        <v>0</v>
      </c>
      <c r="AY17" s="23">
        <f t="shared" ref="AY17:AY26" si="11">AY3*110</f>
        <v>0</v>
      </c>
      <c r="AZ17" s="23">
        <f t="shared" ref="AZ17:AZ26" si="12">AZ3*25</f>
        <v>16925</v>
      </c>
      <c r="BA17" s="23">
        <f t="shared" ref="BA17:BA26" si="13">BA3*24</f>
        <v>0</v>
      </c>
      <c r="BB17" s="23">
        <f t="shared" ref="BB17:BB26" si="14">BB3*130</f>
        <v>63310</v>
      </c>
      <c r="BC17" s="23">
        <f t="shared" ref="BC17:BC26" si="15">BC3*40</f>
        <v>25240</v>
      </c>
      <c r="BD17" s="23">
        <f t="shared" ref="BD17:BD26" si="16">BD3*30</f>
        <v>15720</v>
      </c>
      <c r="BE17" s="23">
        <f t="shared" ref="BE17:BE26" si="17">BE3*30</f>
        <v>19020</v>
      </c>
      <c r="BF17" s="23">
        <f t="shared" ref="BF17:BF26" si="18">BF3*40</f>
        <v>27320</v>
      </c>
      <c r="BG17" s="23">
        <f t="shared" ref="BG17:BG26" si="19">BG3*144</f>
        <v>49248</v>
      </c>
      <c r="BH17" s="23">
        <f>SUM(Table6[[#This Row],[Potato]:[Others]])</f>
        <v>643388</v>
      </c>
      <c r="BK17" s="6"/>
      <c r="BM17" t="s">
        <v>2</v>
      </c>
      <c r="BN17">
        <v>10</v>
      </c>
      <c r="BO17" s="6">
        <f>Table1[[#This Row],[MAX]]-Table1[[#This Row],[MIN]]</f>
        <v>537825</v>
      </c>
      <c r="BP17" s="6">
        <f>MIN(Table5[Revenue])</f>
        <v>604670</v>
      </c>
      <c r="BQ17" s="6">
        <f>MAX(Table5[Revenue])</f>
        <v>1142495</v>
      </c>
      <c r="BR17" s="22">
        <f>AVERAGE(Table5[Revenue])</f>
        <v>792063.4</v>
      </c>
      <c r="BS17">
        <f>_xlfn.STDEV.P(Table5[Revenue])</f>
        <v>146227.44807538699</v>
      </c>
      <c r="BT17">
        <f>_xlfn.VAR.P(Table5[Revenue])</f>
        <v>21382466570.639999</v>
      </c>
    </row>
    <row r="18" spans="1:90" ht="22.2" thickTop="1" thickBot="1" x14ac:dyDescent="0.45">
      <c r="A18" s="1">
        <v>44636</v>
      </c>
      <c r="B18" s="7">
        <v>19846</v>
      </c>
      <c r="D18" s="1">
        <v>44303</v>
      </c>
      <c r="E18" s="7">
        <v>30480</v>
      </c>
      <c r="G18" s="1">
        <v>44333</v>
      </c>
      <c r="H18" s="7">
        <v>25270</v>
      </c>
      <c r="J18" s="1">
        <v>44364</v>
      </c>
      <c r="K18" s="7">
        <v>28243</v>
      </c>
      <c r="M18" s="1">
        <v>44394</v>
      </c>
      <c r="N18" s="7">
        <v>23410</v>
      </c>
      <c r="P18" s="1">
        <v>44425</v>
      </c>
      <c r="Q18" s="7">
        <v>20470</v>
      </c>
      <c r="S18" s="1">
        <v>44456</v>
      </c>
      <c r="T18" s="7">
        <v>19681</v>
      </c>
      <c r="V18" s="1">
        <v>44486</v>
      </c>
      <c r="W18" s="7">
        <v>47450</v>
      </c>
      <c r="Y18" s="1">
        <v>44517</v>
      </c>
      <c r="Z18" s="7">
        <v>21740</v>
      </c>
      <c r="AB18" s="1">
        <v>44547</v>
      </c>
      <c r="AC18" s="7">
        <v>22290</v>
      </c>
      <c r="AE18" s="2" t="s">
        <v>19</v>
      </c>
      <c r="AF18" s="17">
        <v>40</v>
      </c>
      <c r="AG18" s="17">
        <v>32</v>
      </c>
      <c r="AH18" s="17">
        <v>25</v>
      </c>
      <c r="AN18" s="14" t="s">
        <v>40</v>
      </c>
      <c r="AO18" s="23">
        <f t="shared" ref="AO18:AO26" si="20">AO4*30</f>
        <v>54840</v>
      </c>
      <c r="AP18" s="23">
        <f t="shared" si="2"/>
        <v>39800</v>
      </c>
      <c r="AQ18" s="23">
        <f t="shared" si="3"/>
        <v>76965</v>
      </c>
      <c r="AR18" s="23">
        <f t="shared" si="4"/>
        <v>93940</v>
      </c>
      <c r="AS18" s="23">
        <f t="shared" si="5"/>
        <v>38880</v>
      </c>
      <c r="AT18" s="23">
        <f t="shared" si="6"/>
        <v>46760</v>
      </c>
      <c r="AU18" s="23">
        <f t="shared" si="7"/>
        <v>45300</v>
      </c>
      <c r="AV18" s="23">
        <f t="shared" si="8"/>
        <v>48400</v>
      </c>
      <c r="AW18" s="23">
        <f t="shared" si="9"/>
        <v>7020</v>
      </c>
      <c r="AX18" s="23">
        <f t="shared" si="10"/>
        <v>0</v>
      </c>
      <c r="AY18" s="23">
        <f t="shared" si="11"/>
        <v>0</v>
      </c>
      <c r="AZ18" s="23">
        <f t="shared" si="12"/>
        <v>16700</v>
      </c>
      <c r="BA18" s="23">
        <f t="shared" si="13"/>
        <v>0</v>
      </c>
      <c r="BB18" s="23">
        <f t="shared" si="14"/>
        <v>166400</v>
      </c>
      <c r="BC18" s="23">
        <f t="shared" si="15"/>
        <v>27440</v>
      </c>
      <c r="BD18" s="23">
        <f t="shared" si="16"/>
        <v>17580</v>
      </c>
      <c r="BE18" s="23">
        <f t="shared" si="17"/>
        <v>20340</v>
      </c>
      <c r="BF18" s="23">
        <f t="shared" si="18"/>
        <v>30320</v>
      </c>
      <c r="BG18" s="23">
        <f t="shared" si="19"/>
        <v>52848</v>
      </c>
      <c r="BH18" s="23">
        <f>SUM(Table6[[#This Row],[Potato]:[Others]])</f>
        <v>783533</v>
      </c>
      <c r="BJ18" s="5" t="s">
        <v>42</v>
      </c>
      <c r="BK18" s="7"/>
      <c r="BM18" t="s">
        <v>51</v>
      </c>
      <c r="BN18">
        <v>10</v>
      </c>
      <c r="BO18" s="6">
        <f>Table1[[#This Row],[MAX]]-Table1[[#This Row],[MIN]]</f>
        <v>427058</v>
      </c>
      <c r="BP18" s="6">
        <f>MIN(Table5[Expenditure])</f>
        <v>535526</v>
      </c>
      <c r="BQ18" s="6">
        <f>MAX(Table5[Expenditure])</f>
        <v>962584</v>
      </c>
      <c r="BR18" s="22">
        <f>AVERAGE(Table5[Expenditure])</f>
        <v>687501.2</v>
      </c>
      <c r="BS18">
        <f>_xlfn.STDEV.P(Table5[Expenditure])</f>
        <v>116324.80911723002</v>
      </c>
      <c r="BT18">
        <f>_xlfn.VAR.P(Table5[Expenditure])</f>
        <v>13531461216.16</v>
      </c>
    </row>
    <row r="19" spans="1:90" ht="22.2" thickTop="1" thickBot="1" x14ac:dyDescent="0.45">
      <c r="A19" s="1">
        <v>44272</v>
      </c>
      <c r="B19" s="7">
        <v>20320</v>
      </c>
      <c r="D19" s="1">
        <v>44304</v>
      </c>
      <c r="E19" s="7">
        <v>29410</v>
      </c>
      <c r="G19" s="1">
        <v>44334</v>
      </c>
      <c r="H19" s="7">
        <v>25852</v>
      </c>
      <c r="J19" s="1">
        <v>44365</v>
      </c>
      <c r="K19" s="7">
        <v>30882</v>
      </c>
      <c r="M19" s="1">
        <v>44395</v>
      </c>
      <c r="N19" s="7">
        <v>22954</v>
      </c>
      <c r="P19" s="1">
        <v>44426</v>
      </c>
      <c r="Q19" s="7">
        <v>18750</v>
      </c>
      <c r="S19" s="1">
        <v>44457</v>
      </c>
      <c r="T19" s="7">
        <v>20785</v>
      </c>
      <c r="V19" s="1">
        <v>44487</v>
      </c>
      <c r="W19" s="7">
        <v>45120</v>
      </c>
      <c r="Y19" s="1">
        <v>44518</v>
      </c>
      <c r="Z19" s="7">
        <v>24230</v>
      </c>
      <c r="AB19" s="1">
        <v>44548</v>
      </c>
      <c r="AC19" s="7">
        <v>24825</v>
      </c>
      <c r="AE19" s="2" t="s">
        <v>20</v>
      </c>
      <c r="AF19" s="17">
        <v>70</v>
      </c>
      <c r="AG19" s="17">
        <v>63</v>
      </c>
      <c r="AH19" s="17">
        <v>55</v>
      </c>
      <c r="AN19" s="16" t="s">
        <v>42</v>
      </c>
      <c r="AO19" s="23">
        <f t="shared" si="20"/>
        <v>52950</v>
      </c>
      <c r="AP19" s="23">
        <f t="shared" si="2"/>
        <v>34700</v>
      </c>
      <c r="AQ19" s="23">
        <f t="shared" si="3"/>
        <v>73080</v>
      </c>
      <c r="AR19" s="23">
        <f t="shared" si="4"/>
        <v>88620</v>
      </c>
      <c r="AS19" s="23">
        <f t="shared" si="5"/>
        <v>38250</v>
      </c>
      <c r="AT19" s="23">
        <f t="shared" si="6"/>
        <v>42700</v>
      </c>
      <c r="AU19" s="23">
        <f t="shared" si="7"/>
        <v>44400</v>
      </c>
      <c r="AV19" s="23">
        <f t="shared" si="8"/>
        <v>46500</v>
      </c>
      <c r="AW19" s="23">
        <f t="shared" si="9"/>
        <v>4810</v>
      </c>
      <c r="AX19" s="23">
        <f t="shared" si="10"/>
        <v>0</v>
      </c>
      <c r="AY19" s="23">
        <f t="shared" si="11"/>
        <v>0</v>
      </c>
      <c r="AZ19" s="23">
        <f t="shared" si="12"/>
        <v>16800</v>
      </c>
      <c r="BA19" s="23">
        <f t="shared" si="13"/>
        <v>0</v>
      </c>
      <c r="BB19" s="23">
        <f t="shared" si="14"/>
        <v>227760</v>
      </c>
      <c r="BC19" s="23">
        <f t="shared" si="15"/>
        <v>25960</v>
      </c>
      <c r="BD19" s="23">
        <f t="shared" si="16"/>
        <v>16950</v>
      </c>
      <c r="BE19" s="23">
        <f t="shared" si="17"/>
        <v>19590</v>
      </c>
      <c r="BF19" s="23">
        <f t="shared" si="18"/>
        <v>28480</v>
      </c>
      <c r="BG19" s="23">
        <f t="shared" si="19"/>
        <v>50976</v>
      </c>
      <c r="BH19" s="23">
        <f>SUM(Table6[[#This Row],[Potato]:[Others]])</f>
        <v>812526</v>
      </c>
      <c r="BJ19" s="2" t="s">
        <v>36</v>
      </c>
      <c r="BK19" s="7">
        <v>6458</v>
      </c>
      <c r="BM19" t="s">
        <v>52</v>
      </c>
      <c r="BN19">
        <v>10</v>
      </c>
      <c r="BO19" s="6">
        <f>Table1[[#This Row],[MAX]]-Table1[[#This Row],[MIN]]</f>
        <v>110767</v>
      </c>
      <c r="BP19" s="6">
        <f>MIN(Table5[Profit])</f>
        <v>69144</v>
      </c>
      <c r="BQ19" s="6">
        <f>MAX(Table5[Profit])</f>
        <v>179911</v>
      </c>
      <c r="BR19" s="22">
        <f>AVERAGE(Table5[Profit])</f>
        <v>104562.2</v>
      </c>
      <c r="BS19">
        <f>_xlfn.STDEV.P(Table5[Profit])</f>
        <v>30634.700595240032</v>
      </c>
      <c r="BT19">
        <f>_xlfn.VAR.P(Table5[Profit])</f>
        <v>938484880.55999994</v>
      </c>
    </row>
    <row r="20" spans="1:90" ht="22.2" thickTop="1" thickBot="1" x14ac:dyDescent="0.45">
      <c r="A20" s="1">
        <v>44273</v>
      </c>
      <c r="B20" s="7">
        <v>19500</v>
      </c>
      <c r="D20" s="1">
        <v>44305</v>
      </c>
      <c r="E20" s="7">
        <v>29970</v>
      </c>
      <c r="G20" s="1">
        <v>44335</v>
      </c>
      <c r="H20" s="7">
        <v>25998</v>
      </c>
      <c r="J20" s="1">
        <v>44366</v>
      </c>
      <c r="K20" s="7">
        <v>28530</v>
      </c>
      <c r="M20" s="1">
        <v>44396</v>
      </c>
      <c r="N20" s="7">
        <v>23010</v>
      </c>
      <c r="P20" s="1">
        <v>44427</v>
      </c>
      <c r="Q20" s="7">
        <v>19450</v>
      </c>
      <c r="S20" s="1">
        <v>44458</v>
      </c>
      <c r="T20" s="7">
        <v>20979</v>
      </c>
      <c r="V20" s="1">
        <v>44488</v>
      </c>
      <c r="W20" s="7">
        <v>44780</v>
      </c>
      <c r="Y20" s="1">
        <v>44519</v>
      </c>
      <c r="Z20" s="7">
        <v>28027</v>
      </c>
      <c r="AB20" s="1">
        <v>44549</v>
      </c>
      <c r="AC20" s="7">
        <v>25875</v>
      </c>
      <c r="AE20" s="2" t="s">
        <v>21</v>
      </c>
      <c r="AF20" s="17">
        <v>160</v>
      </c>
      <c r="AG20" s="17">
        <v>152</v>
      </c>
      <c r="AH20" s="17">
        <v>145</v>
      </c>
      <c r="AN20" s="14" t="s">
        <v>43</v>
      </c>
      <c r="AO20" s="23">
        <f t="shared" si="20"/>
        <v>51930</v>
      </c>
      <c r="AP20" s="23">
        <f t="shared" si="2"/>
        <v>32325</v>
      </c>
      <c r="AQ20" s="23">
        <f t="shared" si="3"/>
        <v>66045</v>
      </c>
      <c r="AR20" s="23">
        <f t="shared" si="4"/>
        <v>87080</v>
      </c>
      <c r="AS20" s="23">
        <f t="shared" si="5"/>
        <v>36540</v>
      </c>
      <c r="AT20" s="23">
        <f t="shared" si="6"/>
        <v>43680</v>
      </c>
      <c r="AU20" s="23">
        <f t="shared" si="7"/>
        <v>39600</v>
      </c>
      <c r="AV20" s="23">
        <f t="shared" si="8"/>
        <v>45800</v>
      </c>
      <c r="AW20" s="23">
        <f t="shared" si="9"/>
        <v>4940</v>
      </c>
      <c r="AX20" s="23">
        <f t="shared" si="10"/>
        <v>0</v>
      </c>
      <c r="AY20" s="23">
        <f t="shared" si="11"/>
        <v>0</v>
      </c>
      <c r="AZ20" s="23">
        <f t="shared" si="12"/>
        <v>14550</v>
      </c>
      <c r="BA20" s="23">
        <f t="shared" si="13"/>
        <v>0</v>
      </c>
      <c r="BB20" s="23">
        <f t="shared" si="14"/>
        <v>259090</v>
      </c>
      <c r="BC20" s="23">
        <f t="shared" si="15"/>
        <v>25560</v>
      </c>
      <c r="BD20" s="23">
        <f t="shared" si="16"/>
        <v>16440</v>
      </c>
      <c r="BE20" s="23">
        <f t="shared" si="17"/>
        <v>19350</v>
      </c>
      <c r="BF20" s="23">
        <f t="shared" si="18"/>
        <v>28040</v>
      </c>
      <c r="BG20" s="23">
        <f t="shared" si="19"/>
        <v>54432</v>
      </c>
      <c r="BH20" s="23">
        <f>SUM(Table6[[#This Row],[Potato]:[Others]])</f>
        <v>825402</v>
      </c>
      <c r="BJ20" s="2" t="s">
        <v>37</v>
      </c>
      <c r="BK20" s="7">
        <v>25000</v>
      </c>
      <c r="BM20" t="s">
        <v>73</v>
      </c>
      <c r="BN20">
        <v>10</v>
      </c>
      <c r="BO20" s="6">
        <f>Table1[[#This Row],[MAX]]-Table1[[#This Row],[MIN]]</f>
        <v>7318</v>
      </c>
      <c r="BP20" s="6">
        <f>MIN(BH3:BH12)</f>
        <v>10746</v>
      </c>
      <c r="BQ20" s="6">
        <f>MAX(BH3:BH12)</f>
        <v>18064</v>
      </c>
      <c r="BR20" s="22">
        <f>AVERAGE(BH3:BH12)</f>
        <v>12437.7</v>
      </c>
      <c r="BS20">
        <f>_xlfn.STDEV.P(BH3:BH12)</f>
        <v>1989.4888815974821</v>
      </c>
      <c r="BT20">
        <f>_xlfn.VAR.P(BH3:BH12)</f>
        <v>3958066.01</v>
      </c>
    </row>
    <row r="21" spans="1:90" ht="22.2" thickTop="1" thickBot="1" x14ac:dyDescent="0.45">
      <c r="A21" s="1">
        <v>44274</v>
      </c>
      <c r="B21" s="7">
        <v>19910</v>
      </c>
      <c r="D21" s="1">
        <v>44306</v>
      </c>
      <c r="E21" s="7">
        <v>29980</v>
      </c>
      <c r="G21" s="1">
        <v>44336</v>
      </c>
      <c r="H21" s="7">
        <v>24257</v>
      </c>
      <c r="J21" s="1">
        <v>44367</v>
      </c>
      <c r="K21" s="7">
        <v>27821</v>
      </c>
      <c r="M21" s="1">
        <v>44397</v>
      </c>
      <c r="N21" s="7">
        <v>25715</v>
      </c>
      <c r="P21" s="1">
        <v>44428</v>
      </c>
      <c r="Q21" s="7">
        <v>18280</v>
      </c>
      <c r="S21" s="1">
        <v>44459</v>
      </c>
      <c r="T21" s="7">
        <v>21237</v>
      </c>
      <c r="V21" s="1">
        <v>44489</v>
      </c>
      <c r="W21" s="7">
        <v>42810</v>
      </c>
      <c r="Y21" s="1">
        <v>44520</v>
      </c>
      <c r="Z21" s="7">
        <v>27010</v>
      </c>
      <c r="AB21" s="1">
        <v>44550</v>
      </c>
      <c r="AC21" s="7">
        <v>23165</v>
      </c>
      <c r="AE21" s="2" t="s">
        <v>22</v>
      </c>
      <c r="AF21" s="17">
        <v>45</v>
      </c>
      <c r="AG21" s="17">
        <v>40</v>
      </c>
      <c r="AH21" s="17">
        <v>36</v>
      </c>
      <c r="AN21" s="16" t="s">
        <v>44</v>
      </c>
      <c r="AO21" s="23">
        <f t="shared" si="20"/>
        <v>52500</v>
      </c>
      <c r="AP21" s="23">
        <f t="shared" si="2"/>
        <v>33050</v>
      </c>
      <c r="AQ21" s="23">
        <f t="shared" si="3"/>
        <v>62685</v>
      </c>
      <c r="AR21" s="23">
        <f t="shared" si="4"/>
        <v>90300</v>
      </c>
      <c r="AS21" s="23">
        <f t="shared" si="5"/>
        <v>37170</v>
      </c>
      <c r="AT21" s="23">
        <f t="shared" si="6"/>
        <v>44170</v>
      </c>
      <c r="AU21" s="23">
        <f t="shared" si="7"/>
        <v>39975</v>
      </c>
      <c r="AV21" s="23">
        <f t="shared" si="8"/>
        <v>43700</v>
      </c>
      <c r="AW21" s="23">
        <f t="shared" si="9"/>
        <v>4160</v>
      </c>
      <c r="AX21" s="23">
        <f t="shared" si="10"/>
        <v>0</v>
      </c>
      <c r="AY21" s="23">
        <f t="shared" si="11"/>
        <v>0</v>
      </c>
      <c r="AZ21" s="23">
        <f t="shared" si="12"/>
        <v>15275</v>
      </c>
      <c r="BA21" s="23">
        <f t="shared" si="13"/>
        <v>0</v>
      </c>
      <c r="BB21" s="23">
        <f t="shared" si="14"/>
        <v>218140</v>
      </c>
      <c r="BC21" s="23">
        <f t="shared" si="15"/>
        <v>26120</v>
      </c>
      <c r="BD21" s="23">
        <f t="shared" si="16"/>
        <v>16710</v>
      </c>
      <c r="BE21" s="23">
        <f t="shared" si="17"/>
        <v>19140</v>
      </c>
      <c r="BF21" s="23">
        <f t="shared" si="18"/>
        <v>28880</v>
      </c>
      <c r="BG21" s="23">
        <f t="shared" si="19"/>
        <v>50832</v>
      </c>
      <c r="BH21" s="23">
        <f>SUM(Table6[[#This Row],[Potato]:[Others]])</f>
        <v>782807</v>
      </c>
      <c r="BJ21" s="2" t="s">
        <v>38</v>
      </c>
      <c r="BK21" s="7">
        <v>15000</v>
      </c>
      <c r="BO21" s="19"/>
      <c r="BR21" s="19"/>
    </row>
    <row r="22" spans="1:90" ht="22.2" thickTop="1" thickBot="1" x14ac:dyDescent="0.45">
      <c r="A22" s="1">
        <v>44640</v>
      </c>
      <c r="B22" s="7">
        <v>22500</v>
      </c>
      <c r="D22" s="1">
        <v>44307</v>
      </c>
      <c r="E22" s="7">
        <v>30210</v>
      </c>
      <c r="G22" s="1">
        <v>44337</v>
      </c>
      <c r="H22" s="7">
        <v>25920</v>
      </c>
      <c r="J22" s="1">
        <v>44368</v>
      </c>
      <c r="K22" s="7">
        <v>28752</v>
      </c>
      <c r="M22" s="1">
        <v>44398</v>
      </c>
      <c r="N22" s="7">
        <v>28574</v>
      </c>
      <c r="P22" s="1">
        <v>44429</v>
      </c>
      <c r="Q22" s="7">
        <v>19300</v>
      </c>
      <c r="S22" s="1">
        <v>44460</v>
      </c>
      <c r="T22" s="7">
        <v>20589</v>
      </c>
      <c r="V22" s="1">
        <v>44490</v>
      </c>
      <c r="W22" s="7">
        <v>40930</v>
      </c>
      <c r="Y22" s="1">
        <v>44521</v>
      </c>
      <c r="Z22" s="7">
        <v>22810</v>
      </c>
      <c r="AB22" s="1">
        <v>44551</v>
      </c>
      <c r="AC22" s="7">
        <v>22280</v>
      </c>
      <c r="AE22" s="2" t="s">
        <v>23</v>
      </c>
      <c r="AF22" s="17">
        <v>270</v>
      </c>
      <c r="AG22" s="17">
        <v>250</v>
      </c>
      <c r="AH22" s="17">
        <v>234</v>
      </c>
      <c r="AN22" s="14" t="s">
        <v>45</v>
      </c>
      <c r="AO22" s="23">
        <f t="shared" si="20"/>
        <v>52920</v>
      </c>
      <c r="AP22" s="23">
        <f t="shared" si="2"/>
        <v>34625</v>
      </c>
      <c r="AQ22" s="23">
        <f t="shared" si="3"/>
        <v>61320</v>
      </c>
      <c r="AR22" s="23">
        <f t="shared" si="4"/>
        <v>91700</v>
      </c>
      <c r="AS22" s="23">
        <f t="shared" si="5"/>
        <v>37710</v>
      </c>
      <c r="AT22" s="23">
        <f t="shared" si="6"/>
        <v>43890</v>
      </c>
      <c r="AU22" s="23">
        <f t="shared" si="7"/>
        <v>39525</v>
      </c>
      <c r="AV22" s="23">
        <f t="shared" si="8"/>
        <v>45500</v>
      </c>
      <c r="AW22" s="23">
        <f t="shared" si="9"/>
        <v>6370</v>
      </c>
      <c r="AX22" s="23">
        <f t="shared" si="10"/>
        <v>0</v>
      </c>
      <c r="AY22" s="23">
        <f t="shared" si="11"/>
        <v>0</v>
      </c>
      <c r="AZ22" s="23">
        <f t="shared" si="12"/>
        <v>14950</v>
      </c>
      <c r="BA22" s="23">
        <f t="shared" si="13"/>
        <v>2352</v>
      </c>
      <c r="BB22" s="23">
        <f t="shared" si="14"/>
        <v>50440</v>
      </c>
      <c r="BC22" s="23">
        <f t="shared" si="15"/>
        <v>25960</v>
      </c>
      <c r="BD22" s="23">
        <f t="shared" si="16"/>
        <v>16440</v>
      </c>
      <c r="BE22" s="23">
        <f t="shared" si="17"/>
        <v>19410</v>
      </c>
      <c r="BF22" s="23">
        <f t="shared" si="18"/>
        <v>28720</v>
      </c>
      <c r="BG22" s="23">
        <f t="shared" si="19"/>
        <v>55296</v>
      </c>
      <c r="BH22" s="23">
        <f>SUM(Table6[[#This Row],[Potato]:[Others]])</f>
        <v>627128</v>
      </c>
      <c r="BJ22" s="2" t="s">
        <v>37</v>
      </c>
      <c r="BK22" s="7">
        <v>5600</v>
      </c>
    </row>
    <row r="23" spans="1:90" ht="22.2" thickTop="1" thickBot="1" x14ac:dyDescent="0.45">
      <c r="A23" s="1">
        <v>44641</v>
      </c>
      <c r="B23" s="7">
        <v>19580</v>
      </c>
      <c r="D23" s="1">
        <v>44308</v>
      </c>
      <c r="E23" s="7">
        <v>31820</v>
      </c>
      <c r="G23" s="1">
        <v>44338</v>
      </c>
      <c r="H23" s="7">
        <v>24371</v>
      </c>
      <c r="J23" s="1">
        <v>44369</v>
      </c>
      <c r="K23" s="7">
        <v>29810</v>
      </c>
      <c r="M23" s="1">
        <v>44399</v>
      </c>
      <c r="N23" s="7">
        <v>26730</v>
      </c>
      <c r="P23" s="1">
        <v>44430</v>
      </c>
      <c r="Q23" s="7">
        <v>20720</v>
      </c>
      <c r="S23" s="1">
        <v>44461</v>
      </c>
      <c r="T23" s="7">
        <v>20989</v>
      </c>
      <c r="V23" s="1">
        <v>44491</v>
      </c>
      <c r="W23" s="7">
        <v>36588</v>
      </c>
      <c r="Y23" s="1">
        <v>44522</v>
      </c>
      <c r="Z23" s="7">
        <v>27287</v>
      </c>
      <c r="AB23" s="1">
        <v>44552</v>
      </c>
      <c r="AC23" s="7">
        <v>28580</v>
      </c>
      <c r="AE23" s="2" t="s">
        <v>24</v>
      </c>
      <c r="AF23" s="18">
        <v>170</v>
      </c>
      <c r="AG23" s="17">
        <v>160</v>
      </c>
      <c r="AH23" s="17">
        <v>156</v>
      </c>
      <c r="AN23" s="16" t="s">
        <v>46</v>
      </c>
      <c r="AO23" s="23">
        <f t="shared" si="20"/>
        <v>53610</v>
      </c>
      <c r="AP23" s="23">
        <f t="shared" si="2"/>
        <v>34450</v>
      </c>
      <c r="AQ23" s="23">
        <f t="shared" si="3"/>
        <v>56490</v>
      </c>
      <c r="AR23" s="23">
        <f t="shared" si="4"/>
        <v>94920</v>
      </c>
      <c r="AS23" s="23">
        <f t="shared" si="5"/>
        <v>38790</v>
      </c>
      <c r="AT23" s="23">
        <f t="shared" si="6"/>
        <v>45010</v>
      </c>
      <c r="AU23" s="23">
        <f t="shared" si="7"/>
        <v>41175</v>
      </c>
      <c r="AV23" s="23">
        <f t="shared" si="8"/>
        <v>41300</v>
      </c>
      <c r="AW23" s="23">
        <f t="shared" si="9"/>
        <v>11180</v>
      </c>
      <c r="AX23" s="23">
        <f t="shared" si="10"/>
        <v>15520</v>
      </c>
      <c r="AY23" s="23">
        <f t="shared" si="11"/>
        <v>8470</v>
      </c>
      <c r="AZ23" s="23">
        <f t="shared" si="12"/>
        <v>13975</v>
      </c>
      <c r="BA23" s="23">
        <f t="shared" si="13"/>
        <v>2712</v>
      </c>
      <c r="BB23" s="23">
        <f t="shared" si="14"/>
        <v>0</v>
      </c>
      <c r="BC23" s="23">
        <f t="shared" si="15"/>
        <v>25360</v>
      </c>
      <c r="BD23" s="23">
        <f t="shared" si="16"/>
        <v>17610</v>
      </c>
      <c r="BE23" s="23">
        <f t="shared" si="17"/>
        <v>20040</v>
      </c>
      <c r="BF23" s="23">
        <f t="shared" si="18"/>
        <v>29600</v>
      </c>
      <c r="BG23" s="23">
        <f t="shared" si="19"/>
        <v>48528</v>
      </c>
      <c r="BH23" s="23">
        <f>SUM(Table6[[#This Row],[Potato]:[Others]])</f>
        <v>598740</v>
      </c>
      <c r="BJ23" s="2" t="s">
        <v>60</v>
      </c>
      <c r="BK23" s="7">
        <f>BH33</f>
        <v>656329</v>
      </c>
    </row>
    <row r="24" spans="1:90" ht="22.2" thickTop="1" thickBot="1" x14ac:dyDescent="0.45">
      <c r="A24" s="1">
        <v>44642</v>
      </c>
      <c r="B24" s="7">
        <v>23810</v>
      </c>
      <c r="D24" s="1">
        <v>44309</v>
      </c>
      <c r="E24" s="7">
        <v>30250</v>
      </c>
      <c r="G24" s="1">
        <v>44339</v>
      </c>
      <c r="H24" s="7">
        <v>25257</v>
      </c>
      <c r="J24" s="1">
        <v>44370</v>
      </c>
      <c r="K24" s="7">
        <v>28486</v>
      </c>
      <c r="M24" s="1">
        <v>44400</v>
      </c>
      <c r="N24" s="7">
        <v>24430</v>
      </c>
      <c r="P24" s="1">
        <v>44431</v>
      </c>
      <c r="Q24" s="7">
        <v>18420</v>
      </c>
      <c r="S24" s="1">
        <v>44462</v>
      </c>
      <c r="T24" s="7">
        <v>21854</v>
      </c>
      <c r="V24" s="1">
        <v>44492</v>
      </c>
      <c r="W24" s="7">
        <v>32478</v>
      </c>
      <c r="Y24" s="1">
        <v>44523</v>
      </c>
      <c r="Z24" s="7">
        <v>24238</v>
      </c>
      <c r="AB24" s="1">
        <v>44553</v>
      </c>
      <c r="AC24" s="7">
        <v>41580</v>
      </c>
      <c r="AE24" s="2" t="s">
        <v>25</v>
      </c>
      <c r="AF24" s="17">
        <v>105</v>
      </c>
      <c r="AG24" s="17">
        <v>95</v>
      </c>
      <c r="AH24" s="17">
        <v>90</v>
      </c>
      <c r="AN24" s="14" t="s">
        <v>47</v>
      </c>
      <c r="AO24" s="23">
        <f t="shared" si="20"/>
        <v>79380</v>
      </c>
      <c r="AP24" s="23">
        <f t="shared" si="2"/>
        <v>53275</v>
      </c>
      <c r="AQ24" s="23">
        <f t="shared" si="3"/>
        <v>103635</v>
      </c>
      <c r="AR24" s="23">
        <f t="shared" si="4"/>
        <v>114940</v>
      </c>
      <c r="AS24" s="23">
        <f t="shared" si="5"/>
        <v>78885</v>
      </c>
      <c r="AT24" s="23">
        <f t="shared" si="6"/>
        <v>96740</v>
      </c>
      <c r="AU24" s="23">
        <f t="shared" si="7"/>
        <v>71475</v>
      </c>
      <c r="AV24" s="23">
        <f t="shared" si="8"/>
        <v>96400</v>
      </c>
      <c r="AW24" s="23">
        <f t="shared" si="9"/>
        <v>75790</v>
      </c>
      <c r="AX24" s="23">
        <f t="shared" si="10"/>
        <v>36320</v>
      </c>
      <c r="AY24" s="23">
        <f t="shared" si="11"/>
        <v>53570</v>
      </c>
      <c r="AZ24" s="23">
        <f t="shared" si="12"/>
        <v>22450</v>
      </c>
      <c r="BA24" s="23">
        <f t="shared" si="13"/>
        <v>12912</v>
      </c>
      <c r="BB24" s="23">
        <f t="shared" si="14"/>
        <v>0</v>
      </c>
      <c r="BC24" s="23">
        <f t="shared" si="15"/>
        <v>36920</v>
      </c>
      <c r="BD24" s="23">
        <f t="shared" si="16"/>
        <v>25740</v>
      </c>
      <c r="BE24" s="23">
        <f t="shared" si="17"/>
        <v>0</v>
      </c>
      <c r="BF24" s="23">
        <f t="shared" si="18"/>
        <v>45160</v>
      </c>
      <c r="BG24" s="23">
        <f t="shared" si="19"/>
        <v>112896</v>
      </c>
      <c r="BH24" s="23">
        <f>SUM(Table6[[#This Row],[Potato]:[Others]])</f>
        <v>1116488</v>
      </c>
      <c r="BK24" s="6"/>
    </row>
    <row r="25" spans="1:90" ht="22.2" thickTop="1" thickBot="1" x14ac:dyDescent="0.45">
      <c r="A25" s="1">
        <v>44278</v>
      </c>
      <c r="B25" s="7">
        <v>21540</v>
      </c>
      <c r="D25" s="1">
        <v>44310</v>
      </c>
      <c r="E25" s="7">
        <v>31890</v>
      </c>
      <c r="G25" s="1">
        <v>44340</v>
      </c>
      <c r="H25" s="7">
        <v>26170</v>
      </c>
      <c r="J25" s="1">
        <v>44371</v>
      </c>
      <c r="K25" s="7">
        <v>29892</v>
      </c>
      <c r="M25" s="1">
        <v>44401</v>
      </c>
      <c r="N25" s="7">
        <v>25700</v>
      </c>
      <c r="P25" s="1">
        <v>44432</v>
      </c>
      <c r="Q25" s="7">
        <v>19635</v>
      </c>
      <c r="S25" s="1">
        <v>44463</v>
      </c>
      <c r="T25" s="7">
        <v>20250</v>
      </c>
      <c r="V25" s="1">
        <v>44493</v>
      </c>
      <c r="W25" s="7">
        <v>27135</v>
      </c>
      <c r="Y25" s="1">
        <v>44524</v>
      </c>
      <c r="Z25" s="7">
        <v>21378</v>
      </c>
      <c r="AB25" s="1">
        <v>44554</v>
      </c>
      <c r="AC25" s="7">
        <v>56760</v>
      </c>
      <c r="AE25" s="2" t="s">
        <v>26</v>
      </c>
      <c r="AF25" s="17">
        <v>140</v>
      </c>
      <c r="AG25" s="17">
        <v>136</v>
      </c>
      <c r="AH25" s="17">
        <v>130</v>
      </c>
      <c r="AN25" s="16" t="s">
        <v>48</v>
      </c>
      <c r="AO25" s="23">
        <f t="shared" si="20"/>
        <v>53940</v>
      </c>
      <c r="AP25" s="23">
        <f t="shared" si="2"/>
        <v>34875</v>
      </c>
      <c r="AQ25" s="23">
        <f t="shared" si="3"/>
        <v>48090</v>
      </c>
      <c r="AR25" s="23">
        <f t="shared" si="4"/>
        <v>96880</v>
      </c>
      <c r="AS25" s="23">
        <f t="shared" si="5"/>
        <v>39825</v>
      </c>
      <c r="AT25" s="23">
        <f t="shared" si="6"/>
        <v>47180</v>
      </c>
      <c r="AU25" s="23">
        <f t="shared" si="7"/>
        <v>44025</v>
      </c>
      <c r="AV25" s="23">
        <f t="shared" si="8"/>
        <v>44100</v>
      </c>
      <c r="AW25" s="23">
        <f t="shared" si="9"/>
        <v>83070</v>
      </c>
      <c r="AX25" s="23">
        <f t="shared" si="10"/>
        <v>61920</v>
      </c>
      <c r="AY25" s="23">
        <f t="shared" si="11"/>
        <v>57530</v>
      </c>
      <c r="AZ25" s="23">
        <f t="shared" si="12"/>
        <v>13525</v>
      </c>
      <c r="BA25" s="23">
        <f t="shared" si="13"/>
        <v>13296</v>
      </c>
      <c r="BB25" s="23">
        <f t="shared" si="14"/>
        <v>0</v>
      </c>
      <c r="BC25" s="23">
        <f t="shared" si="15"/>
        <v>27240</v>
      </c>
      <c r="BD25" s="23">
        <f t="shared" si="16"/>
        <v>15690</v>
      </c>
      <c r="BE25" s="23">
        <f t="shared" si="17"/>
        <v>0</v>
      </c>
      <c r="BF25" s="23">
        <f t="shared" si="18"/>
        <v>29680</v>
      </c>
      <c r="BG25" s="23">
        <f t="shared" si="19"/>
        <v>58608</v>
      </c>
      <c r="BH25" s="23">
        <f>SUM(Table6[[#This Row],[Potato]:[Others]])</f>
        <v>769474</v>
      </c>
      <c r="BJ25" s="5" t="s">
        <v>43</v>
      </c>
      <c r="BK25" s="7"/>
    </row>
    <row r="26" spans="1:90" ht="22.2" thickTop="1" thickBot="1" x14ac:dyDescent="0.45">
      <c r="A26" s="1">
        <v>44279</v>
      </c>
      <c r="B26" s="7">
        <v>23128</v>
      </c>
      <c r="D26" s="1">
        <v>44311</v>
      </c>
      <c r="E26" s="7">
        <v>32310</v>
      </c>
      <c r="G26" s="1">
        <v>44341</v>
      </c>
      <c r="H26" s="7">
        <v>26581</v>
      </c>
      <c r="J26" s="1">
        <v>44372</v>
      </c>
      <c r="K26" s="7">
        <v>28600</v>
      </c>
      <c r="M26" s="1">
        <v>44402</v>
      </c>
      <c r="N26" s="7">
        <v>24150</v>
      </c>
      <c r="P26" s="1">
        <v>44433</v>
      </c>
      <c r="Q26" s="7">
        <v>20130</v>
      </c>
      <c r="S26" s="1">
        <v>44464</v>
      </c>
      <c r="T26" s="7">
        <v>20375</v>
      </c>
      <c r="V26" s="1">
        <v>44494</v>
      </c>
      <c r="W26" s="7">
        <v>26287</v>
      </c>
      <c r="Y26" s="1">
        <v>44525</v>
      </c>
      <c r="Z26" s="7">
        <v>23496</v>
      </c>
      <c r="AB26" s="1">
        <v>44555</v>
      </c>
      <c r="AC26" s="7">
        <v>42980</v>
      </c>
      <c r="AE26" s="2" t="s">
        <v>27</v>
      </c>
      <c r="AF26" s="17">
        <v>90</v>
      </c>
      <c r="AG26" s="17">
        <v>82</v>
      </c>
      <c r="AH26" s="17">
        <v>78</v>
      </c>
      <c r="AN26" s="14" t="s">
        <v>49</v>
      </c>
      <c r="AO26" s="23">
        <f t="shared" si="20"/>
        <v>58710</v>
      </c>
      <c r="AP26" s="23">
        <f t="shared" si="2"/>
        <v>41700</v>
      </c>
      <c r="AQ26" s="23">
        <f t="shared" si="3"/>
        <v>61110</v>
      </c>
      <c r="AR26" s="23">
        <f t="shared" si="4"/>
        <v>100520</v>
      </c>
      <c r="AS26" s="23">
        <f t="shared" si="5"/>
        <v>38835</v>
      </c>
      <c r="AT26" s="23">
        <f t="shared" si="6"/>
        <v>47740</v>
      </c>
      <c r="AU26" s="23">
        <f t="shared" si="7"/>
        <v>43050</v>
      </c>
      <c r="AV26" s="23">
        <f t="shared" si="8"/>
        <v>47800</v>
      </c>
      <c r="AW26" s="23">
        <f t="shared" si="9"/>
        <v>97760</v>
      </c>
      <c r="AX26" s="23">
        <f t="shared" si="10"/>
        <v>98080</v>
      </c>
      <c r="AY26" s="23">
        <f t="shared" si="11"/>
        <v>74690</v>
      </c>
      <c r="AZ26" s="23">
        <f t="shared" si="12"/>
        <v>13825</v>
      </c>
      <c r="BA26" s="23">
        <f t="shared" si="13"/>
        <v>15552</v>
      </c>
      <c r="BB26" s="23">
        <f t="shared" si="14"/>
        <v>0</v>
      </c>
      <c r="BC26" s="23">
        <f t="shared" si="15"/>
        <v>27120</v>
      </c>
      <c r="BD26" s="23">
        <f t="shared" si="16"/>
        <v>0</v>
      </c>
      <c r="BE26" s="23">
        <f t="shared" si="17"/>
        <v>0</v>
      </c>
      <c r="BF26" s="23">
        <f t="shared" si="18"/>
        <v>31040</v>
      </c>
      <c r="BG26" s="23">
        <f t="shared" si="19"/>
        <v>60912</v>
      </c>
      <c r="BH26" s="23">
        <f>SUM(Table6[[#This Row],[Potato]:[Others]])</f>
        <v>858444</v>
      </c>
      <c r="BJ26" s="2" t="s">
        <v>36</v>
      </c>
      <c r="BK26" s="7">
        <v>6700</v>
      </c>
    </row>
    <row r="27" spans="1:90" ht="15.6" thickTop="1" thickBot="1" x14ac:dyDescent="0.35">
      <c r="A27" s="1">
        <v>44645</v>
      </c>
      <c r="B27" s="7">
        <v>18940</v>
      </c>
      <c r="D27" s="1">
        <v>44312</v>
      </c>
      <c r="E27" s="7">
        <v>31470</v>
      </c>
      <c r="G27" s="1">
        <v>44342</v>
      </c>
      <c r="H27" s="7">
        <v>23752</v>
      </c>
      <c r="J27" s="1">
        <v>44373</v>
      </c>
      <c r="K27" s="7">
        <v>27987</v>
      </c>
      <c r="M27" s="1">
        <v>44403</v>
      </c>
      <c r="N27" s="7">
        <v>23546</v>
      </c>
      <c r="P27" s="1">
        <v>44434</v>
      </c>
      <c r="Q27" s="7">
        <v>21180</v>
      </c>
      <c r="S27" s="1">
        <v>44465</v>
      </c>
      <c r="T27" s="7">
        <v>21010</v>
      </c>
      <c r="V27" s="1">
        <v>44495</v>
      </c>
      <c r="W27" s="7">
        <v>24635</v>
      </c>
      <c r="Y27" s="1">
        <v>44526</v>
      </c>
      <c r="Z27" s="7">
        <v>24120</v>
      </c>
      <c r="AB27" s="1">
        <v>44556</v>
      </c>
      <c r="AC27" s="7">
        <v>28590</v>
      </c>
      <c r="AE27" s="2" t="s">
        <v>28</v>
      </c>
      <c r="AF27" s="17">
        <v>230</v>
      </c>
      <c r="AG27" s="17">
        <v>220</v>
      </c>
      <c r="AH27" s="17">
        <v>212</v>
      </c>
      <c r="BJ27" s="2" t="s">
        <v>37</v>
      </c>
      <c r="BK27" s="7">
        <v>25000</v>
      </c>
    </row>
    <row r="28" spans="1:90" ht="15.6" thickTop="1" thickBot="1" x14ac:dyDescent="0.35">
      <c r="A28" s="1">
        <v>44646</v>
      </c>
      <c r="B28" s="7">
        <v>21350</v>
      </c>
      <c r="D28" s="1">
        <v>44313</v>
      </c>
      <c r="E28" s="7">
        <v>31453</v>
      </c>
      <c r="G28" s="1">
        <v>44343</v>
      </c>
      <c r="H28" s="7">
        <v>24158</v>
      </c>
      <c r="J28" s="1">
        <v>44374</v>
      </c>
      <c r="K28" s="7">
        <v>28856</v>
      </c>
      <c r="M28" s="1">
        <v>44404</v>
      </c>
      <c r="N28" s="7">
        <v>22820</v>
      </c>
      <c r="P28" s="1">
        <v>44435</v>
      </c>
      <c r="Q28" s="7">
        <v>19395</v>
      </c>
      <c r="S28" s="1">
        <v>44466</v>
      </c>
      <c r="T28" s="7">
        <v>21025</v>
      </c>
      <c r="V28" s="1">
        <v>44496</v>
      </c>
      <c r="W28" s="7">
        <v>23300</v>
      </c>
      <c r="Y28" s="1">
        <v>44527</v>
      </c>
      <c r="Z28" s="7">
        <v>22487</v>
      </c>
      <c r="AB28" s="1">
        <v>44557</v>
      </c>
      <c r="AC28" s="7">
        <v>24265</v>
      </c>
      <c r="AE28" s="2" t="s">
        <v>29</v>
      </c>
      <c r="AF28" s="17">
        <v>120</v>
      </c>
      <c r="AG28" s="17">
        <v>110</v>
      </c>
      <c r="AH28" s="17">
        <v>104</v>
      </c>
      <c r="AN28" s="38" t="s">
        <v>62</v>
      </c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J28" s="2" t="s">
        <v>38</v>
      </c>
      <c r="BK28" s="7">
        <v>15000</v>
      </c>
    </row>
    <row r="29" spans="1:90" ht="15.6" thickTop="1" thickBot="1" x14ac:dyDescent="0.35">
      <c r="A29" s="1">
        <v>44647</v>
      </c>
      <c r="B29" s="7">
        <v>21740</v>
      </c>
      <c r="D29" s="1">
        <v>44314</v>
      </c>
      <c r="E29" s="7">
        <v>30560</v>
      </c>
      <c r="G29" s="1">
        <v>44344</v>
      </c>
      <c r="H29" s="7">
        <v>24750</v>
      </c>
      <c r="J29" s="1">
        <v>44375</v>
      </c>
      <c r="K29" s="7">
        <v>29090</v>
      </c>
      <c r="M29" s="1">
        <v>44405</v>
      </c>
      <c r="N29" s="7">
        <v>24752</v>
      </c>
      <c r="P29" s="1">
        <v>44436</v>
      </c>
      <c r="Q29" s="7">
        <v>21130</v>
      </c>
      <c r="S29" s="1">
        <v>44467</v>
      </c>
      <c r="T29" s="7">
        <v>22487</v>
      </c>
      <c r="V29" s="1">
        <v>44497</v>
      </c>
      <c r="W29" s="7">
        <v>22780</v>
      </c>
      <c r="Y29" s="1">
        <v>44528</v>
      </c>
      <c r="Z29" s="7">
        <v>23380</v>
      </c>
      <c r="AB29" s="1">
        <v>44558</v>
      </c>
      <c r="AC29" s="7">
        <v>22265</v>
      </c>
      <c r="AE29" s="2" t="s">
        <v>30</v>
      </c>
      <c r="AF29" s="17">
        <v>70</v>
      </c>
      <c r="AG29" s="17">
        <v>60</v>
      </c>
      <c r="AH29" s="17">
        <v>52</v>
      </c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J29" s="2" t="s">
        <v>39</v>
      </c>
      <c r="BK29" s="7">
        <v>5875</v>
      </c>
    </row>
    <row r="30" spans="1:90" ht="22.2" thickTop="1" thickBot="1" x14ac:dyDescent="0.45">
      <c r="A30" s="1">
        <v>44283</v>
      </c>
      <c r="B30" s="7">
        <v>23100</v>
      </c>
      <c r="D30" s="1">
        <v>44315</v>
      </c>
      <c r="E30" s="7">
        <v>29850</v>
      </c>
      <c r="G30" s="1">
        <v>44345</v>
      </c>
      <c r="H30" s="7">
        <v>23030</v>
      </c>
      <c r="J30" s="1">
        <v>44376</v>
      </c>
      <c r="K30" s="7">
        <v>28150</v>
      </c>
      <c r="M30" s="1">
        <v>44406</v>
      </c>
      <c r="N30" s="7">
        <v>26285</v>
      </c>
      <c r="P30" s="1">
        <v>44437</v>
      </c>
      <c r="Q30" s="7">
        <v>18412</v>
      </c>
      <c r="S30" s="1">
        <v>44468</v>
      </c>
      <c r="T30" s="7">
        <v>24630</v>
      </c>
      <c r="V30" s="1">
        <v>44498</v>
      </c>
      <c r="W30" s="7">
        <v>23140</v>
      </c>
      <c r="Y30" s="1">
        <v>44529</v>
      </c>
      <c r="Z30" s="7">
        <v>23860</v>
      </c>
      <c r="AB30" s="1">
        <v>44559</v>
      </c>
      <c r="AC30" s="7">
        <v>29940</v>
      </c>
      <c r="AE30" s="2" t="s">
        <v>31</v>
      </c>
      <c r="AF30" s="17">
        <v>95</v>
      </c>
      <c r="AG30" s="17">
        <v>88</v>
      </c>
      <c r="AH30" s="17">
        <v>84</v>
      </c>
      <c r="AN30" s="8" t="s">
        <v>53</v>
      </c>
      <c r="AO30" s="9" t="s">
        <v>11</v>
      </c>
      <c r="AP30" s="9" t="s">
        <v>9</v>
      </c>
      <c r="AQ30" s="9" t="s">
        <v>25</v>
      </c>
      <c r="AR30" s="9" t="s">
        <v>26</v>
      </c>
      <c r="AS30" s="9" t="s">
        <v>22</v>
      </c>
      <c r="AT30" s="9" t="s">
        <v>54</v>
      </c>
      <c r="AU30" s="9" t="s">
        <v>14</v>
      </c>
      <c r="AV30" s="9" t="s">
        <v>7</v>
      </c>
      <c r="AW30" s="9" t="s">
        <v>18</v>
      </c>
      <c r="AX30" s="9" t="s">
        <v>21</v>
      </c>
      <c r="AY30" s="9" t="s">
        <v>17</v>
      </c>
      <c r="AZ30" s="9" t="s">
        <v>55</v>
      </c>
      <c r="BA30" s="9" t="s">
        <v>56</v>
      </c>
      <c r="BB30" s="9" t="s">
        <v>13</v>
      </c>
      <c r="BC30" s="9" t="s">
        <v>19</v>
      </c>
      <c r="BD30" s="9" t="s">
        <v>57</v>
      </c>
      <c r="BE30" s="9" t="s">
        <v>58</v>
      </c>
      <c r="BF30" s="9" t="s">
        <v>32</v>
      </c>
      <c r="BG30" s="9" t="s">
        <v>41</v>
      </c>
      <c r="BH30" s="10" t="s">
        <v>59</v>
      </c>
      <c r="BJ30" s="2" t="s">
        <v>60</v>
      </c>
      <c r="BK30" s="7">
        <f>BH34</f>
        <v>666999</v>
      </c>
      <c r="CL30" t="s">
        <v>75</v>
      </c>
    </row>
    <row r="31" spans="1:90" ht="22.2" thickTop="1" thickBot="1" x14ac:dyDescent="0.45">
      <c r="A31" s="1">
        <v>44284</v>
      </c>
      <c r="B31" s="7">
        <v>19790</v>
      </c>
      <c r="D31" s="1">
        <v>44316</v>
      </c>
      <c r="E31" s="7">
        <v>31844</v>
      </c>
      <c r="G31" s="1">
        <v>44346</v>
      </c>
      <c r="H31" s="7">
        <v>24067</v>
      </c>
      <c r="J31" s="1">
        <v>44377</v>
      </c>
      <c r="K31" s="7">
        <v>29090</v>
      </c>
      <c r="M31" s="1">
        <v>44407</v>
      </c>
      <c r="N31" s="7">
        <v>28815</v>
      </c>
      <c r="P31" s="1">
        <v>44438</v>
      </c>
      <c r="Q31" s="7">
        <v>19745</v>
      </c>
      <c r="S31" s="1">
        <v>44469</v>
      </c>
      <c r="T31" s="7">
        <v>23784</v>
      </c>
      <c r="V31" s="1">
        <v>44499</v>
      </c>
      <c r="W31" s="7">
        <v>22498</v>
      </c>
      <c r="Y31" s="1">
        <v>44530</v>
      </c>
      <c r="Z31" s="7">
        <v>24840</v>
      </c>
      <c r="AB31" s="1">
        <v>44560</v>
      </c>
      <c r="AC31" s="7">
        <v>33285</v>
      </c>
      <c r="AE31" s="2" t="s">
        <v>32</v>
      </c>
      <c r="AF31" s="17">
        <v>40</v>
      </c>
      <c r="AG31" s="17">
        <v>32</v>
      </c>
      <c r="AH31" s="17">
        <v>25</v>
      </c>
      <c r="AN31" s="11" t="s">
        <v>35</v>
      </c>
      <c r="AO31" s="23">
        <f t="shared" ref="AO31:AO40" si="21">AO3*20</f>
        <v>34860</v>
      </c>
      <c r="AP31" s="23">
        <f t="shared" ref="AP31:AP40" si="22">AP3*20</f>
        <v>26240</v>
      </c>
      <c r="AQ31" s="23">
        <f t="shared" ref="AQ31:AQ40" si="23">AQ3*90</f>
        <v>59220</v>
      </c>
      <c r="AR31" s="23">
        <f t="shared" ref="AR31:AR40" si="24">AR3*130</f>
        <v>79300</v>
      </c>
      <c r="AS31" s="23">
        <f t="shared" ref="AS31:AS40" si="25">AS3*36</f>
        <v>30276</v>
      </c>
      <c r="AT31" s="23">
        <f t="shared" ref="AT31:AT40" si="26">AT3*60</f>
        <v>40920</v>
      </c>
      <c r="AU31" s="23">
        <f t="shared" ref="AU31:AU40" si="27">AU3*64</f>
        <v>37632</v>
      </c>
      <c r="AV31" s="23">
        <f t="shared" ref="AV31:AV40" si="28">AV3*90</f>
        <v>42480</v>
      </c>
      <c r="AW31" s="23">
        <f t="shared" ref="AW31:AW40" si="29">AW3*100</f>
        <v>7800</v>
      </c>
      <c r="AX31" s="23">
        <f t="shared" ref="AX31:AX40" si="30">AX3*145</f>
        <v>0</v>
      </c>
      <c r="AY31" s="23">
        <f t="shared" ref="AY31:AY40" si="31">AY3*93</f>
        <v>0</v>
      </c>
      <c r="AZ31" s="23">
        <f t="shared" ref="AZ31:AZ40" si="32">AZ3*16</f>
        <v>10832</v>
      </c>
      <c r="BA31" s="23">
        <f t="shared" ref="BA31:BA40" si="33">BA3*17</f>
        <v>0</v>
      </c>
      <c r="BB31" s="23">
        <f t="shared" ref="BB31:BB40" si="34">BB3*105</f>
        <v>51135</v>
      </c>
      <c r="BC31" s="23">
        <f t="shared" ref="BC31:BC40" si="35">BC3*25</f>
        <v>15775</v>
      </c>
      <c r="BD31" s="23">
        <f t="shared" ref="BD31:BD40" si="36">BD3*20</f>
        <v>10480</v>
      </c>
      <c r="BE31" s="23">
        <f t="shared" ref="BE31:BE40" si="37">BE3*20</f>
        <v>12680</v>
      </c>
      <c r="BF31" s="23">
        <f t="shared" ref="BF31:BF40" si="38">BF3*25</f>
        <v>17075</v>
      </c>
      <c r="BG31" s="23">
        <f t="shared" ref="BG31:BG40" si="39">BG3*126</f>
        <v>43092</v>
      </c>
      <c r="BH31" s="23">
        <f>SUM(Table69[[#This Row],[Potato]:[Others]])</f>
        <v>519797</v>
      </c>
      <c r="BK31" s="6"/>
    </row>
    <row r="32" spans="1:90" ht="22.2" thickTop="1" thickBot="1" x14ac:dyDescent="0.45">
      <c r="A32" s="1">
        <v>44285</v>
      </c>
      <c r="B32" s="7">
        <v>19580</v>
      </c>
      <c r="G32" s="1">
        <v>44347</v>
      </c>
      <c r="H32" s="7">
        <v>24780</v>
      </c>
      <c r="M32" s="1">
        <v>44408</v>
      </c>
      <c r="N32" s="7">
        <v>27735</v>
      </c>
      <c r="P32" s="1">
        <v>44439</v>
      </c>
      <c r="Q32" s="7">
        <v>18590</v>
      </c>
      <c r="V32" s="1">
        <v>44500</v>
      </c>
      <c r="W32" s="7">
        <v>21990</v>
      </c>
      <c r="Y32" s="21"/>
      <c r="Z32" s="24"/>
      <c r="AB32" s="1">
        <v>44561</v>
      </c>
      <c r="AC32" s="7">
        <v>37512</v>
      </c>
      <c r="AE32" s="2" t="s">
        <v>55</v>
      </c>
      <c r="AF32" s="17">
        <v>25</v>
      </c>
      <c r="AG32" s="17">
        <v>20</v>
      </c>
      <c r="AH32" s="17">
        <v>16</v>
      </c>
      <c r="AN32" s="14" t="s">
        <v>40</v>
      </c>
      <c r="AO32" s="23">
        <f t="shared" si="21"/>
        <v>36560</v>
      </c>
      <c r="AP32" s="23">
        <f t="shared" si="22"/>
        <v>31840</v>
      </c>
      <c r="AQ32" s="23">
        <f t="shared" si="23"/>
        <v>65970</v>
      </c>
      <c r="AR32" s="23">
        <f t="shared" si="24"/>
        <v>87230</v>
      </c>
      <c r="AS32" s="23">
        <f t="shared" si="25"/>
        <v>31104</v>
      </c>
      <c r="AT32" s="23">
        <f t="shared" si="26"/>
        <v>40080</v>
      </c>
      <c r="AU32" s="23">
        <f t="shared" si="27"/>
        <v>38656</v>
      </c>
      <c r="AV32" s="23">
        <f t="shared" si="28"/>
        <v>43560</v>
      </c>
      <c r="AW32" s="23">
        <f t="shared" si="29"/>
        <v>5400</v>
      </c>
      <c r="AX32" s="23">
        <f t="shared" si="30"/>
        <v>0</v>
      </c>
      <c r="AY32" s="23">
        <f t="shared" si="31"/>
        <v>0</v>
      </c>
      <c r="AZ32" s="23">
        <f t="shared" si="32"/>
        <v>10688</v>
      </c>
      <c r="BA32" s="23">
        <f t="shared" si="33"/>
        <v>0</v>
      </c>
      <c r="BB32" s="23">
        <f t="shared" si="34"/>
        <v>134400</v>
      </c>
      <c r="BC32" s="23">
        <f t="shared" si="35"/>
        <v>17150</v>
      </c>
      <c r="BD32" s="23">
        <f t="shared" si="36"/>
        <v>11720</v>
      </c>
      <c r="BE32" s="23">
        <f t="shared" si="37"/>
        <v>13560</v>
      </c>
      <c r="BF32" s="23">
        <f t="shared" si="38"/>
        <v>18950</v>
      </c>
      <c r="BG32" s="23">
        <f t="shared" si="39"/>
        <v>46242</v>
      </c>
      <c r="BH32" s="23">
        <f>SUM(Table69[[#This Row],[Potato]:[Others]])</f>
        <v>633110</v>
      </c>
      <c r="BJ32" s="5" t="s">
        <v>44</v>
      </c>
      <c r="BK32" s="7"/>
    </row>
    <row r="33" spans="1:63" ht="22.2" thickTop="1" thickBot="1" x14ac:dyDescent="0.45">
      <c r="A33" s="1">
        <v>44286</v>
      </c>
      <c r="B33" s="7">
        <v>24670</v>
      </c>
      <c r="AE33" s="2" t="s">
        <v>58</v>
      </c>
      <c r="AF33" s="17">
        <v>30</v>
      </c>
      <c r="AG33" s="17">
        <v>24</v>
      </c>
      <c r="AH33" s="17">
        <v>20</v>
      </c>
      <c r="AN33" s="16" t="s">
        <v>42</v>
      </c>
      <c r="AO33" s="23">
        <f t="shared" si="21"/>
        <v>35300</v>
      </c>
      <c r="AP33" s="23">
        <f t="shared" si="22"/>
        <v>27760</v>
      </c>
      <c r="AQ33" s="23">
        <f t="shared" si="23"/>
        <v>62640</v>
      </c>
      <c r="AR33" s="23">
        <f t="shared" si="24"/>
        <v>82290</v>
      </c>
      <c r="AS33" s="23">
        <f t="shared" si="25"/>
        <v>30600</v>
      </c>
      <c r="AT33" s="23">
        <f t="shared" si="26"/>
        <v>36600</v>
      </c>
      <c r="AU33" s="23">
        <f t="shared" si="27"/>
        <v>37888</v>
      </c>
      <c r="AV33" s="23">
        <f t="shared" si="28"/>
        <v>41850</v>
      </c>
      <c r="AW33" s="23">
        <f t="shared" si="29"/>
        <v>3700</v>
      </c>
      <c r="AX33" s="23">
        <f t="shared" si="30"/>
        <v>0</v>
      </c>
      <c r="AY33" s="23">
        <f t="shared" si="31"/>
        <v>0</v>
      </c>
      <c r="AZ33" s="23">
        <f t="shared" si="32"/>
        <v>10752</v>
      </c>
      <c r="BA33" s="23">
        <f t="shared" si="33"/>
        <v>0</v>
      </c>
      <c r="BB33" s="23">
        <f t="shared" si="34"/>
        <v>183960</v>
      </c>
      <c r="BC33" s="23">
        <f t="shared" si="35"/>
        <v>16225</v>
      </c>
      <c r="BD33" s="23">
        <f t="shared" si="36"/>
        <v>11300</v>
      </c>
      <c r="BE33" s="23">
        <f t="shared" si="37"/>
        <v>13060</v>
      </c>
      <c r="BF33" s="23">
        <f t="shared" si="38"/>
        <v>17800</v>
      </c>
      <c r="BG33" s="23">
        <f t="shared" si="39"/>
        <v>44604</v>
      </c>
      <c r="BH33" s="23">
        <f>SUM(Table69[[#This Row],[Potato]:[Others]])</f>
        <v>656329</v>
      </c>
      <c r="BJ33" s="2" t="s">
        <v>36</v>
      </c>
      <c r="BK33" s="7">
        <v>6578</v>
      </c>
    </row>
    <row r="34" spans="1:63" ht="22.2" thickTop="1" thickBot="1" x14ac:dyDescent="0.45">
      <c r="AE34" s="2" t="s">
        <v>56</v>
      </c>
      <c r="AF34" s="17">
        <v>24</v>
      </c>
      <c r="AG34" s="17">
        <v>20</v>
      </c>
      <c r="AH34" s="17">
        <v>17</v>
      </c>
      <c r="AN34" s="14" t="s">
        <v>43</v>
      </c>
      <c r="AO34" s="23">
        <f t="shared" si="21"/>
        <v>34620</v>
      </c>
      <c r="AP34" s="23">
        <f t="shared" si="22"/>
        <v>25860</v>
      </c>
      <c r="AQ34" s="23">
        <f t="shared" si="23"/>
        <v>56610</v>
      </c>
      <c r="AR34" s="23">
        <f t="shared" si="24"/>
        <v>80860</v>
      </c>
      <c r="AS34" s="23">
        <f t="shared" si="25"/>
        <v>29232</v>
      </c>
      <c r="AT34" s="23">
        <f t="shared" si="26"/>
        <v>37440</v>
      </c>
      <c r="AU34" s="23">
        <f t="shared" si="27"/>
        <v>33792</v>
      </c>
      <c r="AV34" s="23">
        <f t="shared" si="28"/>
        <v>41220</v>
      </c>
      <c r="AW34" s="23">
        <f t="shared" si="29"/>
        <v>3800</v>
      </c>
      <c r="AX34" s="23">
        <f t="shared" si="30"/>
        <v>0</v>
      </c>
      <c r="AY34" s="23">
        <f t="shared" si="31"/>
        <v>0</v>
      </c>
      <c r="AZ34" s="23">
        <f t="shared" si="32"/>
        <v>9312</v>
      </c>
      <c r="BA34" s="23">
        <f t="shared" si="33"/>
        <v>0</v>
      </c>
      <c r="BB34" s="23">
        <f t="shared" si="34"/>
        <v>209265</v>
      </c>
      <c r="BC34" s="23">
        <f t="shared" si="35"/>
        <v>15975</v>
      </c>
      <c r="BD34" s="23">
        <f t="shared" si="36"/>
        <v>10960</v>
      </c>
      <c r="BE34" s="23">
        <f t="shared" si="37"/>
        <v>12900</v>
      </c>
      <c r="BF34" s="23">
        <f t="shared" si="38"/>
        <v>17525</v>
      </c>
      <c r="BG34" s="23">
        <f t="shared" si="39"/>
        <v>47628</v>
      </c>
      <c r="BH34" s="23">
        <f>SUM(Table69[[#This Row],[Potato]:[Others]])</f>
        <v>666999</v>
      </c>
      <c r="BJ34" s="2" t="s">
        <v>37</v>
      </c>
      <c r="BK34" s="7">
        <v>25000</v>
      </c>
    </row>
    <row r="35" spans="1:63" ht="22.2" thickTop="1" thickBot="1" x14ac:dyDescent="0.45">
      <c r="AE35" s="21" t="s">
        <v>61</v>
      </c>
      <c r="AF35" s="20">
        <f>AVERAGE(AF5,AF9,AF14,AF15,AF19,AF22,AF23,AF26,AF27,AF28,AF29,AF30)</f>
        <v>144.16666666666666</v>
      </c>
      <c r="AG35" s="20">
        <f>AVERAGE(AG5,AG9,AG14,AG15,AG19,AG22,AG23,AG26,AG27,AG28,AG29,AG30)</f>
        <v>134.16666666666666</v>
      </c>
      <c r="AH35" s="20">
        <f>AVERAGE(AH5,AH9,AH14,AH15,AH19,AH22,AH23,AH26,AH27,AH28,AH29,AH30)</f>
        <v>126.33333333333333</v>
      </c>
      <c r="AN35" s="16" t="s">
        <v>44</v>
      </c>
      <c r="AO35" s="23">
        <f t="shared" si="21"/>
        <v>35000</v>
      </c>
      <c r="AP35" s="23">
        <f t="shared" si="22"/>
        <v>26440</v>
      </c>
      <c r="AQ35" s="23">
        <f t="shared" si="23"/>
        <v>53730</v>
      </c>
      <c r="AR35" s="23">
        <f t="shared" si="24"/>
        <v>83850</v>
      </c>
      <c r="AS35" s="23">
        <f t="shared" si="25"/>
        <v>29736</v>
      </c>
      <c r="AT35" s="23">
        <f t="shared" si="26"/>
        <v>37860</v>
      </c>
      <c r="AU35" s="23">
        <f t="shared" si="27"/>
        <v>34112</v>
      </c>
      <c r="AV35" s="23">
        <f t="shared" si="28"/>
        <v>39330</v>
      </c>
      <c r="AW35" s="23">
        <f t="shared" si="29"/>
        <v>3200</v>
      </c>
      <c r="AX35" s="23">
        <f t="shared" si="30"/>
        <v>0</v>
      </c>
      <c r="AY35" s="23">
        <f t="shared" si="31"/>
        <v>0</v>
      </c>
      <c r="AZ35" s="23">
        <f t="shared" si="32"/>
        <v>9776</v>
      </c>
      <c r="BA35" s="23">
        <f t="shared" si="33"/>
        <v>0</v>
      </c>
      <c r="BB35" s="23">
        <f t="shared" si="34"/>
        <v>176190</v>
      </c>
      <c r="BC35" s="23">
        <f t="shared" si="35"/>
        <v>16325</v>
      </c>
      <c r="BD35" s="23">
        <f t="shared" si="36"/>
        <v>11140</v>
      </c>
      <c r="BE35" s="23">
        <f t="shared" si="37"/>
        <v>12760</v>
      </c>
      <c r="BF35" s="23">
        <f t="shared" si="38"/>
        <v>18050</v>
      </c>
      <c r="BG35" s="23">
        <f t="shared" si="39"/>
        <v>44478</v>
      </c>
      <c r="BH35" s="23">
        <f>SUM(Table69[[#This Row],[Potato]:[Others]])</f>
        <v>631977</v>
      </c>
      <c r="BJ35" s="2" t="s">
        <v>38</v>
      </c>
      <c r="BK35" s="7">
        <v>15000</v>
      </c>
    </row>
    <row r="36" spans="1:63" ht="22.2" thickTop="1" thickBot="1" x14ac:dyDescent="0.45">
      <c r="AN36" s="14" t="s">
        <v>45</v>
      </c>
      <c r="AO36" s="23">
        <f t="shared" si="21"/>
        <v>35280</v>
      </c>
      <c r="AP36" s="23">
        <f t="shared" si="22"/>
        <v>27700</v>
      </c>
      <c r="AQ36" s="23">
        <f t="shared" si="23"/>
        <v>52560</v>
      </c>
      <c r="AR36" s="23">
        <f t="shared" si="24"/>
        <v>85150</v>
      </c>
      <c r="AS36" s="23">
        <f t="shared" si="25"/>
        <v>30168</v>
      </c>
      <c r="AT36" s="23">
        <f t="shared" si="26"/>
        <v>37620</v>
      </c>
      <c r="AU36" s="23">
        <f t="shared" si="27"/>
        <v>33728</v>
      </c>
      <c r="AV36" s="23">
        <f t="shared" si="28"/>
        <v>40950</v>
      </c>
      <c r="AW36" s="23">
        <f t="shared" si="29"/>
        <v>4900</v>
      </c>
      <c r="AX36" s="23">
        <f t="shared" si="30"/>
        <v>0</v>
      </c>
      <c r="AY36" s="23">
        <f t="shared" si="31"/>
        <v>0</v>
      </c>
      <c r="AZ36" s="23">
        <f t="shared" si="32"/>
        <v>9568</v>
      </c>
      <c r="BA36" s="23">
        <f t="shared" si="33"/>
        <v>1666</v>
      </c>
      <c r="BB36" s="23">
        <f t="shared" si="34"/>
        <v>40740</v>
      </c>
      <c r="BC36" s="23">
        <f t="shared" si="35"/>
        <v>16225</v>
      </c>
      <c r="BD36" s="23">
        <f t="shared" si="36"/>
        <v>10960</v>
      </c>
      <c r="BE36" s="23">
        <f t="shared" si="37"/>
        <v>12940</v>
      </c>
      <c r="BF36" s="23">
        <f t="shared" si="38"/>
        <v>17950</v>
      </c>
      <c r="BG36" s="23">
        <f t="shared" si="39"/>
        <v>48384</v>
      </c>
      <c r="BH36" s="23">
        <f>SUM(Table69[[#This Row],[Potato]:[Others]])</f>
        <v>506489</v>
      </c>
      <c r="BJ36" s="2" t="s">
        <v>41</v>
      </c>
      <c r="BK36" s="7">
        <v>6054</v>
      </c>
    </row>
    <row r="37" spans="1:63" ht="22.2" thickTop="1" thickBot="1" x14ac:dyDescent="0.45">
      <c r="AN37" s="16" t="s">
        <v>46</v>
      </c>
      <c r="AO37" s="23">
        <f t="shared" si="21"/>
        <v>35740</v>
      </c>
      <c r="AP37" s="23">
        <f t="shared" si="22"/>
        <v>27560</v>
      </c>
      <c r="AQ37" s="23">
        <f t="shared" si="23"/>
        <v>48420</v>
      </c>
      <c r="AR37" s="23">
        <f t="shared" si="24"/>
        <v>88140</v>
      </c>
      <c r="AS37" s="23">
        <f t="shared" si="25"/>
        <v>31032</v>
      </c>
      <c r="AT37" s="23">
        <f t="shared" si="26"/>
        <v>38580</v>
      </c>
      <c r="AU37" s="23">
        <f t="shared" si="27"/>
        <v>35136</v>
      </c>
      <c r="AV37" s="23">
        <f t="shared" si="28"/>
        <v>37170</v>
      </c>
      <c r="AW37" s="23">
        <f t="shared" si="29"/>
        <v>8600</v>
      </c>
      <c r="AX37" s="23">
        <f t="shared" si="30"/>
        <v>14065</v>
      </c>
      <c r="AY37" s="23">
        <f t="shared" si="31"/>
        <v>7161</v>
      </c>
      <c r="AZ37" s="23">
        <f t="shared" si="32"/>
        <v>8944</v>
      </c>
      <c r="BA37" s="23">
        <f t="shared" si="33"/>
        <v>1921</v>
      </c>
      <c r="BB37" s="23">
        <f t="shared" si="34"/>
        <v>0</v>
      </c>
      <c r="BC37" s="23">
        <f t="shared" si="35"/>
        <v>15850</v>
      </c>
      <c r="BD37" s="23">
        <f t="shared" si="36"/>
        <v>11740</v>
      </c>
      <c r="BE37" s="23">
        <f t="shared" si="37"/>
        <v>13360</v>
      </c>
      <c r="BF37" s="23">
        <f t="shared" si="38"/>
        <v>18500</v>
      </c>
      <c r="BG37" s="23">
        <f t="shared" si="39"/>
        <v>42462</v>
      </c>
      <c r="BH37" s="23">
        <f>SUM(Table69[[#This Row],[Potato]:[Others]])</f>
        <v>484381</v>
      </c>
      <c r="BJ37" s="2" t="s">
        <v>60</v>
      </c>
      <c r="BK37" s="7">
        <f>BH35</f>
        <v>631977</v>
      </c>
    </row>
    <row r="38" spans="1:63" ht="22.2" thickTop="1" thickBot="1" x14ac:dyDescent="0.45">
      <c r="AN38" s="14" t="s">
        <v>47</v>
      </c>
      <c r="AO38" s="23">
        <f t="shared" si="21"/>
        <v>52920</v>
      </c>
      <c r="AP38" s="23">
        <f t="shared" si="22"/>
        <v>42620</v>
      </c>
      <c r="AQ38" s="23">
        <f t="shared" si="23"/>
        <v>88830</v>
      </c>
      <c r="AR38" s="23">
        <f t="shared" si="24"/>
        <v>106730</v>
      </c>
      <c r="AS38" s="23">
        <f t="shared" si="25"/>
        <v>63108</v>
      </c>
      <c r="AT38" s="23">
        <f t="shared" si="26"/>
        <v>82920</v>
      </c>
      <c r="AU38" s="23">
        <f t="shared" si="27"/>
        <v>60992</v>
      </c>
      <c r="AV38" s="23">
        <f t="shared" si="28"/>
        <v>86760</v>
      </c>
      <c r="AW38" s="23">
        <f t="shared" si="29"/>
        <v>58300</v>
      </c>
      <c r="AX38" s="23">
        <f t="shared" si="30"/>
        <v>32915</v>
      </c>
      <c r="AY38" s="23">
        <f t="shared" si="31"/>
        <v>45291</v>
      </c>
      <c r="AZ38" s="23">
        <f t="shared" si="32"/>
        <v>14368</v>
      </c>
      <c r="BA38" s="23">
        <f t="shared" si="33"/>
        <v>9146</v>
      </c>
      <c r="BB38" s="23">
        <f t="shared" si="34"/>
        <v>0</v>
      </c>
      <c r="BC38" s="23">
        <f t="shared" si="35"/>
        <v>23075</v>
      </c>
      <c r="BD38" s="23">
        <f t="shared" si="36"/>
        <v>17160</v>
      </c>
      <c r="BE38" s="23">
        <f t="shared" si="37"/>
        <v>0</v>
      </c>
      <c r="BF38" s="23">
        <f t="shared" si="38"/>
        <v>28225</v>
      </c>
      <c r="BG38" s="23">
        <f t="shared" si="39"/>
        <v>98784</v>
      </c>
      <c r="BH38" s="23">
        <f>SUM(Table69[[#This Row],[Potato]:[Others]])</f>
        <v>912144</v>
      </c>
      <c r="BK38" s="6"/>
    </row>
    <row r="39" spans="1:63" ht="22.2" thickTop="1" thickBot="1" x14ac:dyDescent="0.45">
      <c r="AN39" s="16" t="s">
        <v>48</v>
      </c>
      <c r="AO39" s="23">
        <f t="shared" si="21"/>
        <v>35960</v>
      </c>
      <c r="AP39" s="23">
        <f t="shared" si="22"/>
        <v>27900</v>
      </c>
      <c r="AQ39" s="23">
        <f t="shared" si="23"/>
        <v>41220</v>
      </c>
      <c r="AR39" s="23">
        <f t="shared" si="24"/>
        <v>89960</v>
      </c>
      <c r="AS39" s="23">
        <f t="shared" si="25"/>
        <v>31860</v>
      </c>
      <c r="AT39" s="23">
        <f t="shared" si="26"/>
        <v>40440</v>
      </c>
      <c r="AU39" s="23">
        <f t="shared" si="27"/>
        <v>37568</v>
      </c>
      <c r="AV39" s="23">
        <f t="shared" si="28"/>
        <v>39690</v>
      </c>
      <c r="AW39" s="23">
        <f t="shared" si="29"/>
        <v>63900</v>
      </c>
      <c r="AX39" s="23">
        <f t="shared" si="30"/>
        <v>56115</v>
      </c>
      <c r="AY39" s="23">
        <f t="shared" si="31"/>
        <v>48639</v>
      </c>
      <c r="AZ39" s="23">
        <f t="shared" si="32"/>
        <v>8656</v>
      </c>
      <c r="BA39" s="23">
        <f t="shared" si="33"/>
        <v>9418</v>
      </c>
      <c r="BB39" s="23">
        <f t="shared" si="34"/>
        <v>0</v>
      </c>
      <c r="BC39" s="23">
        <f t="shared" si="35"/>
        <v>17025</v>
      </c>
      <c r="BD39" s="23">
        <f t="shared" si="36"/>
        <v>10460</v>
      </c>
      <c r="BE39" s="23">
        <f t="shared" si="37"/>
        <v>0</v>
      </c>
      <c r="BF39" s="23">
        <f t="shared" si="38"/>
        <v>18550</v>
      </c>
      <c r="BG39" s="23">
        <f t="shared" si="39"/>
        <v>51282</v>
      </c>
      <c r="BH39" s="23">
        <f>SUM(Table69[[#This Row],[Potato]:[Others]])</f>
        <v>628643</v>
      </c>
      <c r="BJ39" s="5" t="s">
        <v>45</v>
      </c>
      <c r="BK39" s="7"/>
    </row>
    <row r="40" spans="1:63" ht="22.2" thickTop="1" thickBot="1" x14ac:dyDescent="0.45">
      <c r="AN40" s="14" t="s">
        <v>49</v>
      </c>
      <c r="AO40" s="23">
        <f t="shared" si="21"/>
        <v>39140</v>
      </c>
      <c r="AP40" s="23">
        <f t="shared" si="22"/>
        <v>33360</v>
      </c>
      <c r="AQ40" s="23">
        <f t="shared" si="23"/>
        <v>52380</v>
      </c>
      <c r="AR40" s="23">
        <f t="shared" si="24"/>
        <v>93340</v>
      </c>
      <c r="AS40" s="23">
        <f t="shared" si="25"/>
        <v>31068</v>
      </c>
      <c r="AT40" s="23">
        <f t="shared" si="26"/>
        <v>40920</v>
      </c>
      <c r="AU40" s="23">
        <f t="shared" si="27"/>
        <v>36736</v>
      </c>
      <c r="AV40" s="23">
        <f t="shared" si="28"/>
        <v>43020</v>
      </c>
      <c r="AW40" s="23">
        <f t="shared" si="29"/>
        <v>75200</v>
      </c>
      <c r="AX40" s="23">
        <f t="shared" si="30"/>
        <v>88885</v>
      </c>
      <c r="AY40" s="23">
        <f t="shared" si="31"/>
        <v>63147</v>
      </c>
      <c r="AZ40" s="23">
        <f t="shared" si="32"/>
        <v>8848</v>
      </c>
      <c r="BA40" s="23">
        <f t="shared" si="33"/>
        <v>11016</v>
      </c>
      <c r="BB40" s="23">
        <f t="shared" si="34"/>
        <v>0</v>
      </c>
      <c r="BC40" s="23">
        <f t="shared" si="35"/>
        <v>16950</v>
      </c>
      <c r="BD40" s="23">
        <f t="shared" si="36"/>
        <v>0</v>
      </c>
      <c r="BE40" s="23">
        <f t="shared" si="37"/>
        <v>0</v>
      </c>
      <c r="BF40" s="23">
        <f t="shared" si="38"/>
        <v>19400</v>
      </c>
      <c r="BG40" s="23">
        <f t="shared" si="39"/>
        <v>53298</v>
      </c>
      <c r="BH40" s="23">
        <f>SUM(Table69[[#This Row],[Potato]:[Others]])</f>
        <v>706708</v>
      </c>
      <c r="BJ40" s="2" t="s">
        <v>36</v>
      </c>
      <c r="BK40" s="7">
        <v>6370</v>
      </c>
    </row>
    <row r="41" spans="1:63" ht="15.6" thickTop="1" thickBot="1" x14ac:dyDescent="0.35">
      <c r="BJ41" s="2" t="s">
        <v>37</v>
      </c>
      <c r="BK41" s="7">
        <v>25000</v>
      </c>
    </row>
    <row r="42" spans="1:63" ht="15.6" thickTop="1" thickBot="1" x14ac:dyDescent="0.35">
      <c r="BJ42" s="2" t="s">
        <v>38</v>
      </c>
      <c r="BK42" s="7">
        <v>15000</v>
      </c>
    </row>
    <row r="43" spans="1:63" ht="15.6" thickTop="1" thickBot="1" x14ac:dyDescent="0.35">
      <c r="AN43" s="38" t="s">
        <v>65</v>
      </c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J43" s="2" t="s">
        <v>39</v>
      </c>
      <c r="BK43" s="7">
        <v>5850</v>
      </c>
    </row>
    <row r="44" spans="1:63" ht="15.6" thickTop="1" thickBot="1" x14ac:dyDescent="0.35"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J44" s="2" t="s">
        <v>60</v>
      </c>
      <c r="BK44" s="7">
        <f>BH36</f>
        <v>506489</v>
      </c>
    </row>
    <row r="45" spans="1:63" ht="22.2" thickTop="1" thickBot="1" x14ac:dyDescent="0.45">
      <c r="AN45" s="8" t="s">
        <v>53</v>
      </c>
      <c r="AO45" s="9" t="s">
        <v>11</v>
      </c>
      <c r="AP45" s="9" t="s">
        <v>9</v>
      </c>
      <c r="AQ45" s="9" t="s">
        <v>25</v>
      </c>
      <c r="AR45" s="9" t="s">
        <v>26</v>
      </c>
      <c r="AS45" s="9" t="s">
        <v>22</v>
      </c>
      <c r="AT45" s="9" t="s">
        <v>54</v>
      </c>
      <c r="AU45" s="9" t="s">
        <v>14</v>
      </c>
      <c r="AV45" s="9" t="s">
        <v>7</v>
      </c>
      <c r="AW45" s="9" t="s">
        <v>18</v>
      </c>
      <c r="AX45" s="9" t="s">
        <v>21</v>
      </c>
      <c r="AY45" s="9" t="s">
        <v>17</v>
      </c>
      <c r="AZ45" s="9" t="s">
        <v>55</v>
      </c>
      <c r="BA45" s="9" t="s">
        <v>56</v>
      </c>
      <c r="BB45" s="9" t="s">
        <v>13</v>
      </c>
      <c r="BC45" s="9" t="s">
        <v>19</v>
      </c>
      <c r="BD45" s="9" t="s">
        <v>57</v>
      </c>
      <c r="BE45" s="9" t="s">
        <v>58</v>
      </c>
      <c r="BF45" s="9" t="s">
        <v>32</v>
      </c>
      <c r="BG45" s="9" t="s">
        <v>41</v>
      </c>
      <c r="BH45" s="10" t="s">
        <v>59</v>
      </c>
      <c r="BK45" s="6"/>
    </row>
    <row r="46" spans="1:63" ht="22.2" thickTop="1" thickBot="1" x14ac:dyDescent="0.45">
      <c r="AN46" s="11" t="s">
        <v>35</v>
      </c>
      <c r="AO46">
        <f t="shared" ref="AO46:BD55" si="40">AO17-AO31</f>
        <v>17430</v>
      </c>
      <c r="AP46">
        <f t="shared" si="40"/>
        <v>6560</v>
      </c>
      <c r="AQ46">
        <f t="shared" si="40"/>
        <v>9870</v>
      </c>
      <c r="AR46">
        <f t="shared" si="40"/>
        <v>6100</v>
      </c>
      <c r="AS46">
        <f t="shared" si="40"/>
        <v>7569</v>
      </c>
      <c r="AT46">
        <f t="shared" si="40"/>
        <v>6820</v>
      </c>
      <c r="AU46">
        <f t="shared" si="40"/>
        <v>6468</v>
      </c>
      <c r="AV46">
        <f t="shared" si="40"/>
        <v>4720</v>
      </c>
      <c r="AW46">
        <f t="shared" si="40"/>
        <v>2340</v>
      </c>
      <c r="AX46">
        <f t="shared" si="40"/>
        <v>0</v>
      </c>
      <c r="AY46">
        <f t="shared" si="40"/>
        <v>0</v>
      </c>
      <c r="AZ46">
        <f t="shared" si="40"/>
        <v>6093</v>
      </c>
      <c r="BA46">
        <f t="shared" si="40"/>
        <v>0</v>
      </c>
      <c r="BB46">
        <f t="shared" si="40"/>
        <v>12175</v>
      </c>
      <c r="BC46">
        <f t="shared" si="40"/>
        <v>9465</v>
      </c>
      <c r="BD46">
        <f t="shared" si="40"/>
        <v>5240</v>
      </c>
      <c r="BE46">
        <f t="shared" ref="BE46:BG46" si="41">BE17-BE31</f>
        <v>6340</v>
      </c>
      <c r="BF46">
        <f t="shared" si="41"/>
        <v>10245</v>
      </c>
      <c r="BG46">
        <f t="shared" si="41"/>
        <v>6156</v>
      </c>
      <c r="BJ46" s="5" t="s">
        <v>46</v>
      </c>
      <c r="BK46" s="7"/>
    </row>
    <row r="47" spans="1:63" ht="22.2" thickTop="1" thickBot="1" x14ac:dyDescent="0.35">
      <c r="AN47" s="14" t="s">
        <v>40</v>
      </c>
      <c r="AO47">
        <f t="shared" si="40"/>
        <v>18280</v>
      </c>
      <c r="AP47">
        <f t="shared" ref="AP47:BG47" si="42">AP18-AP32</f>
        <v>7960</v>
      </c>
      <c r="AQ47">
        <f t="shared" si="42"/>
        <v>10995</v>
      </c>
      <c r="AR47">
        <f t="shared" si="42"/>
        <v>6710</v>
      </c>
      <c r="AS47">
        <f t="shared" si="42"/>
        <v>7776</v>
      </c>
      <c r="AT47">
        <f t="shared" si="42"/>
        <v>6680</v>
      </c>
      <c r="AU47">
        <f t="shared" si="42"/>
        <v>6644</v>
      </c>
      <c r="AV47">
        <f t="shared" si="42"/>
        <v>4840</v>
      </c>
      <c r="AW47">
        <f t="shared" si="42"/>
        <v>1620</v>
      </c>
      <c r="AX47">
        <f t="shared" si="42"/>
        <v>0</v>
      </c>
      <c r="AY47">
        <f t="shared" si="42"/>
        <v>0</v>
      </c>
      <c r="AZ47">
        <f t="shared" si="42"/>
        <v>6012</v>
      </c>
      <c r="BA47">
        <f t="shared" si="42"/>
        <v>0</v>
      </c>
      <c r="BB47">
        <f t="shared" si="42"/>
        <v>32000</v>
      </c>
      <c r="BC47">
        <f t="shared" si="42"/>
        <v>10290</v>
      </c>
      <c r="BD47">
        <f t="shared" si="42"/>
        <v>5860</v>
      </c>
      <c r="BE47">
        <f t="shared" si="42"/>
        <v>6780</v>
      </c>
      <c r="BF47">
        <f t="shared" si="42"/>
        <v>11370</v>
      </c>
      <c r="BG47">
        <f t="shared" si="42"/>
        <v>6606</v>
      </c>
      <c r="BJ47" s="2" t="s">
        <v>36</v>
      </c>
      <c r="BK47" s="7">
        <v>5845</v>
      </c>
    </row>
    <row r="48" spans="1:63" ht="22.2" thickTop="1" thickBot="1" x14ac:dyDescent="0.35">
      <c r="AN48" s="16" t="s">
        <v>42</v>
      </c>
      <c r="AO48">
        <f t="shared" si="40"/>
        <v>17650</v>
      </c>
      <c r="AP48">
        <f t="shared" ref="AP48:BG48" si="43">AP19-AP33</f>
        <v>6940</v>
      </c>
      <c r="AQ48">
        <f t="shared" si="43"/>
        <v>10440</v>
      </c>
      <c r="AR48">
        <f t="shared" si="43"/>
        <v>6330</v>
      </c>
      <c r="AS48">
        <f t="shared" si="43"/>
        <v>7650</v>
      </c>
      <c r="AT48">
        <f t="shared" si="43"/>
        <v>6100</v>
      </c>
      <c r="AU48">
        <f t="shared" si="43"/>
        <v>6512</v>
      </c>
      <c r="AV48">
        <f t="shared" si="43"/>
        <v>4650</v>
      </c>
      <c r="AW48">
        <f t="shared" si="43"/>
        <v>1110</v>
      </c>
      <c r="AX48">
        <f t="shared" si="43"/>
        <v>0</v>
      </c>
      <c r="AY48">
        <f t="shared" si="43"/>
        <v>0</v>
      </c>
      <c r="AZ48">
        <f t="shared" si="43"/>
        <v>6048</v>
      </c>
      <c r="BA48">
        <f t="shared" si="43"/>
        <v>0</v>
      </c>
      <c r="BB48">
        <f t="shared" si="43"/>
        <v>43800</v>
      </c>
      <c r="BC48">
        <f t="shared" si="43"/>
        <v>9735</v>
      </c>
      <c r="BD48">
        <f t="shared" si="43"/>
        <v>5650</v>
      </c>
      <c r="BE48">
        <f t="shared" si="43"/>
        <v>6530</v>
      </c>
      <c r="BF48">
        <f t="shared" si="43"/>
        <v>10680</v>
      </c>
      <c r="BG48">
        <f t="shared" si="43"/>
        <v>6372</v>
      </c>
      <c r="BJ48" s="2" t="s">
        <v>37</v>
      </c>
      <c r="BK48" s="7">
        <v>25000</v>
      </c>
    </row>
    <row r="49" spans="40:63" ht="22.2" thickTop="1" thickBot="1" x14ac:dyDescent="0.35">
      <c r="AN49" s="14" t="s">
        <v>43</v>
      </c>
      <c r="AO49">
        <f t="shared" si="40"/>
        <v>17310</v>
      </c>
      <c r="AP49">
        <f t="shared" ref="AP49:BG49" si="44">AP20-AP34</f>
        <v>6465</v>
      </c>
      <c r="AQ49">
        <f t="shared" si="44"/>
        <v>9435</v>
      </c>
      <c r="AR49">
        <f t="shared" si="44"/>
        <v>6220</v>
      </c>
      <c r="AS49">
        <f t="shared" si="44"/>
        <v>7308</v>
      </c>
      <c r="AT49">
        <f t="shared" si="44"/>
        <v>6240</v>
      </c>
      <c r="AU49">
        <f t="shared" si="44"/>
        <v>5808</v>
      </c>
      <c r="AV49">
        <f t="shared" si="44"/>
        <v>4580</v>
      </c>
      <c r="AW49">
        <f t="shared" si="44"/>
        <v>1140</v>
      </c>
      <c r="AX49">
        <f t="shared" si="44"/>
        <v>0</v>
      </c>
      <c r="AY49">
        <f t="shared" si="44"/>
        <v>0</v>
      </c>
      <c r="AZ49">
        <f t="shared" si="44"/>
        <v>5238</v>
      </c>
      <c r="BA49">
        <f t="shared" si="44"/>
        <v>0</v>
      </c>
      <c r="BB49">
        <f t="shared" si="44"/>
        <v>49825</v>
      </c>
      <c r="BC49">
        <f t="shared" si="44"/>
        <v>9585</v>
      </c>
      <c r="BD49">
        <f t="shared" si="44"/>
        <v>5480</v>
      </c>
      <c r="BE49">
        <f t="shared" si="44"/>
        <v>6450</v>
      </c>
      <c r="BF49">
        <f t="shared" si="44"/>
        <v>10515</v>
      </c>
      <c r="BG49">
        <f t="shared" si="44"/>
        <v>6804</v>
      </c>
      <c r="BJ49" s="2" t="s">
        <v>38</v>
      </c>
      <c r="BK49" s="7">
        <v>15000</v>
      </c>
    </row>
    <row r="50" spans="40:63" ht="22.2" thickTop="1" thickBot="1" x14ac:dyDescent="0.35">
      <c r="AN50" s="16" t="s">
        <v>44</v>
      </c>
      <c r="AO50">
        <f t="shared" si="40"/>
        <v>17500</v>
      </c>
      <c r="AP50">
        <f t="shared" ref="AP50:BG50" si="45">AP21-AP35</f>
        <v>6610</v>
      </c>
      <c r="AQ50">
        <f t="shared" si="45"/>
        <v>8955</v>
      </c>
      <c r="AR50">
        <f t="shared" si="45"/>
        <v>6450</v>
      </c>
      <c r="AS50">
        <f t="shared" si="45"/>
        <v>7434</v>
      </c>
      <c r="AT50">
        <f t="shared" si="45"/>
        <v>6310</v>
      </c>
      <c r="AU50">
        <f t="shared" si="45"/>
        <v>5863</v>
      </c>
      <c r="AV50">
        <f t="shared" si="45"/>
        <v>4370</v>
      </c>
      <c r="AW50">
        <f t="shared" si="45"/>
        <v>960</v>
      </c>
      <c r="AX50">
        <f t="shared" si="45"/>
        <v>0</v>
      </c>
      <c r="AY50">
        <f t="shared" si="45"/>
        <v>0</v>
      </c>
      <c r="AZ50">
        <f t="shared" si="45"/>
        <v>5499</v>
      </c>
      <c r="BA50">
        <f t="shared" si="45"/>
        <v>0</v>
      </c>
      <c r="BB50">
        <f t="shared" si="45"/>
        <v>41950</v>
      </c>
      <c r="BC50">
        <f t="shared" si="45"/>
        <v>9795</v>
      </c>
      <c r="BD50">
        <f t="shared" si="45"/>
        <v>5570</v>
      </c>
      <c r="BE50">
        <f t="shared" si="45"/>
        <v>6380</v>
      </c>
      <c r="BF50">
        <f t="shared" si="45"/>
        <v>10830</v>
      </c>
      <c r="BG50">
        <f t="shared" si="45"/>
        <v>6354</v>
      </c>
      <c r="BJ50" s="2" t="s">
        <v>41</v>
      </c>
      <c r="BK50" s="7">
        <v>5300</v>
      </c>
    </row>
    <row r="51" spans="40:63" ht="22.2" thickTop="1" thickBot="1" x14ac:dyDescent="0.35">
      <c r="AN51" s="14" t="s">
        <v>45</v>
      </c>
      <c r="AO51">
        <f t="shared" si="40"/>
        <v>17640</v>
      </c>
      <c r="AP51">
        <f t="shared" ref="AP51:BG51" si="46">AP22-AP36</f>
        <v>6925</v>
      </c>
      <c r="AQ51">
        <f t="shared" si="46"/>
        <v>8760</v>
      </c>
      <c r="AR51">
        <f t="shared" si="46"/>
        <v>6550</v>
      </c>
      <c r="AS51">
        <f t="shared" si="46"/>
        <v>7542</v>
      </c>
      <c r="AT51">
        <f t="shared" si="46"/>
        <v>6270</v>
      </c>
      <c r="AU51">
        <f t="shared" si="46"/>
        <v>5797</v>
      </c>
      <c r="AV51">
        <f t="shared" si="46"/>
        <v>4550</v>
      </c>
      <c r="AW51">
        <f t="shared" si="46"/>
        <v>1470</v>
      </c>
      <c r="AX51">
        <f t="shared" si="46"/>
        <v>0</v>
      </c>
      <c r="AY51">
        <f t="shared" si="46"/>
        <v>0</v>
      </c>
      <c r="AZ51">
        <f t="shared" si="46"/>
        <v>5382</v>
      </c>
      <c r="BA51">
        <f t="shared" si="46"/>
        <v>686</v>
      </c>
      <c r="BB51">
        <f t="shared" si="46"/>
        <v>9700</v>
      </c>
      <c r="BC51">
        <f t="shared" si="46"/>
        <v>9735</v>
      </c>
      <c r="BD51">
        <f t="shared" si="46"/>
        <v>5480</v>
      </c>
      <c r="BE51">
        <f t="shared" si="46"/>
        <v>6470</v>
      </c>
      <c r="BF51">
        <f t="shared" si="46"/>
        <v>10770</v>
      </c>
      <c r="BG51">
        <f t="shared" si="46"/>
        <v>6912</v>
      </c>
      <c r="BJ51" s="2" t="s">
        <v>60</v>
      </c>
      <c r="BK51" s="7">
        <f>BH37</f>
        <v>484381</v>
      </c>
    </row>
    <row r="52" spans="40:63" ht="22.2" thickTop="1" thickBot="1" x14ac:dyDescent="0.35">
      <c r="AN52" s="16" t="s">
        <v>46</v>
      </c>
      <c r="AO52">
        <f t="shared" si="40"/>
        <v>17870</v>
      </c>
      <c r="AP52">
        <f t="shared" ref="AP52:BG52" si="47">AP23-AP37</f>
        <v>6890</v>
      </c>
      <c r="AQ52">
        <f t="shared" si="47"/>
        <v>8070</v>
      </c>
      <c r="AR52">
        <f t="shared" si="47"/>
        <v>6780</v>
      </c>
      <c r="AS52">
        <f t="shared" si="47"/>
        <v>7758</v>
      </c>
      <c r="AT52">
        <f t="shared" si="47"/>
        <v>6430</v>
      </c>
      <c r="AU52">
        <f t="shared" si="47"/>
        <v>6039</v>
      </c>
      <c r="AV52">
        <f t="shared" si="47"/>
        <v>4130</v>
      </c>
      <c r="AW52">
        <f t="shared" si="47"/>
        <v>2580</v>
      </c>
      <c r="AX52">
        <f t="shared" si="47"/>
        <v>1455</v>
      </c>
      <c r="AY52">
        <f t="shared" si="47"/>
        <v>1309</v>
      </c>
      <c r="AZ52">
        <f t="shared" si="47"/>
        <v>5031</v>
      </c>
      <c r="BA52">
        <f t="shared" si="47"/>
        <v>791</v>
      </c>
      <c r="BB52">
        <f t="shared" si="47"/>
        <v>0</v>
      </c>
      <c r="BC52">
        <f t="shared" si="47"/>
        <v>9510</v>
      </c>
      <c r="BD52">
        <f t="shared" si="47"/>
        <v>5870</v>
      </c>
      <c r="BE52">
        <f t="shared" si="47"/>
        <v>6680</v>
      </c>
      <c r="BF52">
        <f t="shared" si="47"/>
        <v>11100</v>
      </c>
      <c r="BG52">
        <f t="shared" si="47"/>
        <v>6066</v>
      </c>
      <c r="BK52" s="6"/>
    </row>
    <row r="53" spans="40:63" ht="22.2" thickTop="1" thickBot="1" x14ac:dyDescent="0.35">
      <c r="AN53" s="14" t="s">
        <v>47</v>
      </c>
      <c r="AO53">
        <f t="shared" si="40"/>
        <v>26460</v>
      </c>
      <c r="AP53">
        <f t="shared" ref="AP53:BG53" si="48">AP24-AP38</f>
        <v>10655</v>
      </c>
      <c r="AQ53">
        <f t="shared" si="48"/>
        <v>14805</v>
      </c>
      <c r="AR53">
        <f t="shared" si="48"/>
        <v>8210</v>
      </c>
      <c r="AS53">
        <f t="shared" si="48"/>
        <v>15777</v>
      </c>
      <c r="AT53">
        <f t="shared" si="48"/>
        <v>13820</v>
      </c>
      <c r="AU53">
        <f t="shared" si="48"/>
        <v>10483</v>
      </c>
      <c r="AV53">
        <f t="shared" si="48"/>
        <v>9640</v>
      </c>
      <c r="AW53">
        <f t="shared" si="48"/>
        <v>17490</v>
      </c>
      <c r="AX53">
        <f t="shared" si="48"/>
        <v>3405</v>
      </c>
      <c r="AY53">
        <f t="shared" si="48"/>
        <v>8279</v>
      </c>
      <c r="AZ53">
        <f t="shared" si="48"/>
        <v>8082</v>
      </c>
      <c r="BA53">
        <f t="shared" si="48"/>
        <v>3766</v>
      </c>
      <c r="BB53">
        <f t="shared" si="48"/>
        <v>0</v>
      </c>
      <c r="BC53">
        <f t="shared" si="48"/>
        <v>13845</v>
      </c>
      <c r="BD53">
        <f t="shared" si="48"/>
        <v>8580</v>
      </c>
      <c r="BE53">
        <f t="shared" si="48"/>
        <v>0</v>
      </c>
      <c r="BF53">
        <f t="shared" si="48"/>
        <v>16935</v>
      </c>
      <c r="BG53">
        <f t="shared" si="48"/>
        <v>14112</v>
      </c>
      <c r="BJ53" s="5" t="s">
        <v>47</v>
      </c>
      <c r="BK53" s="7"/>
    </row>
    <row r="54" spans="40:63" ht="22.2" thickTop="1" thickBot="1" x14ac:dyDescent="0.35">
      <c r="AN54" s="16" t="s">
        <v>48</v>
      </c>
      <c r="AO54">
        <f t="shared" si="40"/>
        <v>17980</v>
      </c>
      <c r="AP54">
        <f t="shared" ref="AP54:BG54" si="49">AP25-AP39</f>
        <v>6975</v>
      </c>
      <c r="AQ54">
        <f t="shared" si="49"/>
        <v>6870</v>
      </c>
      <c r="AR54">
        <f t="shared" si="49"/>
        <v>6920</v>
      </c>
      <c r="AS54">
        <f t="shared" si="49"/>
        <v>7965</v>
      </c>
      <c r="AT54">
        <f t="shared" si="49"/>
        <v>6740</v>
      </c>
      <c r="AU54">
        <f t="shared" si="49"/>
        <v>6457</v>
      </c>
      <c r="AV54">
        <f t="shared" si="49"/>
        <v>4410</v>
      </c>
      <c r="AW54">
        <f t="shared" si="49"/>
        <v>19170</v>
      </c>
      <c r="AX54">
        <f t="shared" si="49"/>
        <v>5805</v>
      </c>
      <c r="AY54">
        <f t="shared" si="49"/>
        <v>8891</v>
      </c>
      <c r="AZ54">
        <f t="shared" si="49"/>
        <v>4869</v>
      </c>
      <c r="BA54">
        <f t="shared" si="49"/>
        <v>3878</v>
      </c>
      <c r="BB54">
        <f t="shared" si="49"/>
        <v>0</v>
      </c>
      <c r="BC54">
        <f t="shared" si="49"/>
        <v>10215</v>
      </c>
      <c r="BD54">
        <f t="shared" si="49"/>
        <v>5230</v>
      </c>
      <c r="BE54">
        <f t="shared" si="49"/>
        <v>0</v>
      </c>
      <c r="BF54">
        <f t="shared" si="49"/>
        <v>11130</v>
      </c>
      <c r="BG54">
        <f t="shared" si="49"/>
        <v>7326</v>
      </c>
      <c r="BJ54" s="2" t="s">
        <v>36</v>
      </c>
      <c r="BK54" s="7">
        <v>5320</v>
      </c>
    </row>
    <row r="55" spans="40:63" ht="22.2" thickTop="1" thickBot="1" x14ac:dyDescent="0.35">
      <c r="AN55" s="14" t="s">
        <v>49</v>
      </c>
      <c r="AO55">
        <f t="shared" si="40"/>
        <v>19570</v>
      </c>
      <c r="AP55">
        <f t="shared" ref="AP55:BG55" si="50">AP26-AP40</f>
        <v>8340</v>
      </c>
      <c r="AQ55">
        <f t="shared" si="50"/>
        <v>8730</v>
      </c>
      <c r="AR55">
        <f t="shared" si="50"/>
        <v>7180</v>
      </c>
      <c r="AS55">
        <f t="shared" si="50"/>
        <v>7767</v>
      </c>
      <c r="AT55">
        <f t="shared" si="50"/>
        <v>6820</v>
      </c>
      <c r="AU55">
        <f t="shared" si="50"/>
        <v>6314</v>
      </c>
      <c r="AV55">
        <f t="shared" si="50"/>
        <v>4780</v>
      </c>
      <c r="AW55">
        <f t="shared" si="50"/>
        <v>22560</v>
      </c>
      <c r="AX55">
        <f t="shared" si="50"/>
        <v>9195</v>
      </c>
      <c r="AY55">
        <f t="shared" si="50"/>
        <v>11543</v>
      </c>
      <c r="AZ55">
        <f t="shared" si="50"/>
        <v>4977</v>
      </c>
      <c r="BA55">
        <f t="shared" si="50"/>
        <v>4536</v>
      </c>
      <c r="BB55">
        <f t="shared" si="50"/>
        <v>0</v>
      </c>
      <c r="BC55">
        <f t="shared" si="50"/>
        <v>10170</v>
      </c>
      <c r="BD55">
        <f t="shared" si="50"/>
        <v>0</v>
      </c>
      <c r="BE55">
        <f t="shared" si="50"/>
        <v>0</v>
      </c>
      <c r="BF55">
        <f t="shared" si="50"/>
        <v>11640</v>
      </c>
      <c r="BG55">
        <f t="shared" si="50"/>
        <v>7614</v>
      </c>
      <c r="BJ55" s="2" t="s">
        <v>37</v>
      </c>
      <c r="BK55" s="7">
        <v>25000</v>
      </c>
    </row>
    <row r="56" spans="40:63" ht="15.6" thickTop="1" thickBot="1" x14ac:dyDescent="0.35">
      <c r="AO56">
        <f>SUM(AO46:AO55)</f>
        <v>187690</v>
      </c>
      <c r="AP56">
        <f t="shared" ref="AP56:BF56" si="51">SUM(AP46:AP55)</f>
        <v>74320</v>
      </c>
      <c r="AQ56">
        <f t="shared" si="51"/>
        <v>96930</v>
      </c>
      <c r="AR56">
        <f t="shared" si="51"/>
        <v>67450</v>
      </c>
      <c r="AS56">
        <f t="shared" si="51"/>
        <v>84546</v>
      </c>
      <c r="AT56">
        <f t="shared" si="51"/>
        <v>72230</v>
      </c>
      <c r="AU56">
        <f t="shared" si="51"/>
        <v>66385</v>
      </c>
      <c r="AV56">
        <f t="shared" si="51"/>
        <v>50670</v>
      </c>
      <c r="AW56">
        <f t="shared" si="51"/>
        <v>70440</v>
      </c>
      <c r="AX56">
        <f t="shared" si="51"/>
        <v>19860</v>
      </c>
      <c r="AY56">
        <f t="shared" si="51"/>
        <v>30022</v>
      </c>
      <c r="AZ56">
        <f t="shared" si="51"/>
        <v>57231</v>
      </c>
      <c r="BA56">
        <f t="shared" si="51"/>
        <v>13657</v>
      </c>
      <c r="BB56">
        <f t="shared" si="51"/>
        <v>189450</v>
      </c>
      <c r="BC56">
        <f t="shared" si="51"/>
        <v>102345</v>
      </c>
      <c r="BD56">
        <f t="shared" si="51"/>
        <v>52960</v>
      </c>
      <c r="BE56">
        <f t="shared" si="51"/>
        <v>45630</v>
      </c>
      <c r="BF56">
        <f t="shared" si="51"/>
        <v>115215</v>
      </c>
      <c r="BJ56" s="2" t="s">
        <v>38</v>
      </c>
      <c r="BK56" s="7">
        <v>15000</v>
      </c>
    </row>
    <row r="57" spans="40:63" ht="15.6" thickTop="1" thickBot="1" x14ac:dyDescent="0.35">
      <c r="BJ57" s="2" t="s">
        <v>39</v>
      </c>
      <c r="BK57" s="7">
        <v>5120</v>
      </c>
    </row>
    <row r="58" spans="40:63" ht="15.6" thickTop="1" thickBot="1" x14ac:dyDescent="0.35">
      <c r="BJ58" s="2" t="s">
        <v>60</v>
      </c>
      <c r="BK58" s="7">
        <f>BH38</f>
        <v>912144</v>
      </c>
    </row>
    <row r="59" spans="40:63" ht="15.6" thickTop="1" thickBot="1" x14ac:dyDescent="0.35">
      <c r="BK59" s="6"/>
    </row>
    <row r="60" spans="40:63" ht="19.2" thickTop="1" thickBot="1" x14ac:dyDescent="0.35">
      <c r="BJ60" s="5" t="s">
        <v>48</v>
      </c>
      <c r="BK60" s="7"/>
    </row>
    <row r="61" spans="40:63" ht="15.6" thickTop="1" thickBot="1" x14ac:dyDescent="0.35">
      <c r="BJ61" s="2" t="s">
        <v>36</v>
      </c>
      <c r="BK61" s="7">
        <v>6745</v>
      </c>
    </row>
    <row r="62" spans="40:63" ht="15.6" thickTop="1" thickBot="1" x14ac:dyDescent="0.35">
      <c r="BJ62" s="2" t="s">
        <v>37</v>
      </c>
      <c r="BK62" s="7">
        <v>35000</v>
      </c>
    </row>
    <row r="63" spans="40:63" ht="15.6" thickTop="1" thickBot="1" x14ac:dyDescent="0.35">
      <c r="BJ63" s="2" t="s">
        <v>38</v>
      </c>
      <c r="BK63" s="7">
        <v>15000</v>
      </c>
    </row>
    <row r="64" spans="40:63" ht="15.6" thickTop="1" thickBot="1" x14ac:dyDescent="0.35">
      <c r="BJ64" s="2" t="s">
        <v>41</v>
      </c>
      <c r="BK64" s="7">
        <v>8700</v>
      </c>
    </row>
    <row r="65" spans="32:63" ht="15.6" thickTop="1" thickBot="1" x14ac:dyDescent="0.35">
      <c r="BJ65" s="2" t="s">
        <v>60</v>
      </c>
      <c r="BK65" s="7">
        <f>BH39</f>
        <v>628643</v>
      </c>
    </row>
    <row r="66" spans="32:63" ht="15.6" thickTop="1" thickBot="1" x14ac:dyDescent="0.35">
      <c r="BK66" s="6"/>
    </row>
    <row r="67" spans="32:63" ht="19.2" thickTop="1" thickBot="1" x14ac:dyDescent="0.35">
      <c r="BJ67" s="5" t="s">
        <v>49</v>
      </c>
      <c r="BK67" s="7"/>
    </row>
    <row r="68" spans="32:63" ht="15.6" thickTop="1" thickBot="1" x14ac:dyDescent="0.35">
      <c r="BJ68" s="2" t="s">
        <v>36</v>
      </c>
      <c r="BK68" s="7">
        <v>4815</v>
      </c>
    </row>
    <row r="69" spans="32:63" ht="15.6" thickTop="1" thickBot="1" x14ac:dyDescent="0.35">
      <c r="AF69" s="6"/>
      <c r="BJ69" s="2" t="s">
        <v>37</v>
      </c>
      <c r="BK69" s="7">
        <v>25000</v>
      </c>
    </row>
    <row r="70" spans="32:63" ht="15.6" thickTop="1" thickBot="1" x14ac:dyDescent="0.35">
      <c r="BJ70" s="2" t="s">
        <v>38</v>
      </c>
      <c r="BK70" s="7">
        <v>15000</v>
      </c>
    </row>
    <row r="71" spans="32:63" ht="15.6" thickTop="1" thickBot="1" x14ac:dyDescent="0.35">
      <c r="BJ71" s="2" t="s">
        <v>41</v>
      </c>
      <c r="BK71" s="7">
        <v>4905</v>
      </c>
    </row>
    <row r="72" spans="32:63" ht="15.6" thickTop="1" thickBot="1" x14ac:dyDescent="0.35">
      <c r="BJ72" s="2" t="s">
        <v>60</v>
      </c>
      <c r="BK72" s="7">
        <f>BH40</f>
        <v>706708</v>
      </c>
    </row>
    <row r="73" spans="32:63" ht="15" thickTop="1" x14ac:dyDescent="0.3"/>
    <row r="264" spans="8:8" x14ac:dyDescent="0.3">
      <c r="H264" s="6"/>
    </row>
    <row r="291" spans="7:7" x14ac:dyDescent="0.3">
      <c r="G291" s="6"/>
    </row>
  </sheetData>
  <mergeCells count="7">
    <mergeCell ref="AE1:AH2"/>
    <mergeCell ref="A1:B1"/>
    <mergeCell ref="BJ2:BK3"/>
    <mergeCell ref="AN1:BH1"/>
    <mergeCell ref="AN43:BH44"/>
    <mergeCell ref="AN28:BH29"/>
    <mergeCell ref="AN15:BH15"/>
  </mergeCells>
  <phoneticPr fontId="8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</dc:creator>
  <cp:lastModifiedBy>SHREYAN</cp:lastModifiedBy>
  <dcterms:created xsi:type="dcterms:W3CDTF">2015-06-05T18:17:20Z</dcterms:created>
  <dcterms:modified xsi:type="dcterms:W3CDTF">2023-05-06T02:37:59Z</dcterms:modified>
</cp:coreProperties>
</file>