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D:\DMSB_Northeastern\Projects\Equity_Research\"/>
    </mc:Choice>
  </mc:AlternateContent>
  <xr:revisionPtr revIDLastSave="0" documentId="13_ncr:1_{99F68CAC-CF14-47AF-BAD3-717A0B95138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oduction &amp; revenueforecast" sheetId="3" r:id="rId1"/>
    <sheet name="iron ore prices analysis" sheetId="5" r:id="rId2"/>
    <sheet name="modelling and valuation" sheetId="1" r:id="rId3"/>
    <sheet name="relative valuation" sheetId="4" r:id="rId4"/>
    <sheet name="Football" sheetId="8" r:id="rId5"/>
    <sheet name="Relative valuation regression" sheetId="6" r:id="rId6"/>
    <sheet name="Rel valun equation regression " sheetId="7" r:id="rId7"/>
  </sheets>
  <externalReferences>
    <externalReference r:id="rId8"/>
    <externalReference r:id="rId9"/>
  </externalReferences>
  <definedNames>
    <definedName name="opcase">'modelling and valuation'!$C$12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3" l="1"/>
  <c r="R7" i="3" s="1"/>
  <c r="S7" i="3" s="1"/>
  <c r="T7" i="3" s="1"/>
  <c r="U7" i="3" s="1"/>
  <c r="P7" i="3"/>
  <c r="B55" i="6"/>
  <c r="B56" i="6"/>
  <c r="B57" i="6" s="1"/>
  <c r="B58" i="6" s="1"/>
  <c r="B59" i="6" s="1"/>
  <c r="B60" i="6" s="1"/>
  <c r="B54" i="6"/>
  <c r="E16" i="8"/>
  <c r="E15" i="8"/>
  <c r="E18" i="8"/>
  <c r="E17" i="8"/>
  <c r="E12" i="8"/>
  <c r="E14" i="8"/>
  <c r="E13" i="8"/>
  <c r="G59" i="4"/>
  <c r="C62" i="4" l="1"/>
  <c r="C61" i="4"/>
  <c r="J80" i="4"/>
  <c r="I80" i="4"/>
  <c r="H80" i="4"/>
  <c r="G80" i="4"/>
  <c r="F161" i="1"/>
  <c r="G161" i="1" s="1"/>
  <c r="H161" i="1" s="1"/>
  <c r="I161" i="1" s="1"/>
  <c r="J161" i="1" s="1"/>
  <c r="K161" i="1" s="1"/>
  <c r="L161" i="1" s="1"/>
  <c r="F221" i="1"/>
  <c r="G221" i="1" s="1"/>
  <c r="H221" i="1" s="1"/>
  <c r="I221" i="1" s="1"/>
  <c r="J221" i="1" s="1"/>
  <c r="K221" i="1" s="1"/>
  <c r="L221" i="1" s="1"/>
  <c r="L229" i="1"/>
  <c r="L203" i="1" s="1"/>
  <c r="K229" i="1"/>
  <c r="K203" i="1" s="1"/>
  <c r="J229" i="1"/>
  <c r="J203" i="1" s="1"/>
  <c r="I229" i="1"/>
  <c r="I203" i="1" s="1"/>
  <c r="H229" i="1"/>
  <c r="H203" i="1" s="1"/>
  <c r="G229" i="1"/>
  <c r="G203" i="1" s="1"/>
  <c r="F229" i="1"/>
  <c r="F203" i="1" s="1"/>
  <c r="F227" i="1"/>
  <c r="F201" i="1" s="1"/>
  <c r="E145" i="1"/>
  <c r="H62" i="1" s="1"/>
  <c r="N39" i="4"/>
  <c r="M48" i="5"/>
  <c r="K45" i="5"/>
  <c r="F45" i="5"/>
  <c r="K44" i="5"/>
  <c r="F44" i="5"/>
  <c r="K43" i="5"/>
  <c r="F43" i="5"/>
  <c r="K42" i="5"/>
  <c r="L42" i="5" s="1"/>
  <c r="F42" i="5"/>
  <c r="I42" i="5" s="1"/>
  <c r="K41" i="5"/>
  <c r="F41" i="5"/>
  <c r="F39" i="5"/>
  <c r="I41" i="5" s="1"/>
  <c r="N38" i="4"/>
  <c r="R44" i="4"/>
  <c r="S44" i="4"/>
  <c r="T44" i="4"/>
  <c r="R45" i="4"/>
  <c r="S45" i="4"/>
  <c r="T45" i="4"/>
  <c r="R46" i="4"/>
  <c r="S46" i="4"/>
  <c r="T46" i="4"/>
  <c r="R47" i="4"/>
  <c r="R48" i="4" s="1"/>
  <c r="S47" i="4"/>
  <c r="S48" i="4" s="1"/>
  <c r="C53" i="4" s="1"/>
  <c r="T47" i="4"/>
  <c r="T48" i="4" s="1"/>
  <c r="C54" i="4" s="1"/>
  <c r="P47" i="4"/>
  <c r="P46" i="4"/>
  <c r="P45" i="4"/>
  <c r="P44" i="4"/>
  <c r="D31" i="3"/>
  <c r="F39" i="4"/>
  <c r="F40" i="4"/>
  <c r="F38" i="4"/>
  <c r="O262" i="1"/>
  <c r="O261" i="1"/>
  <c r="C52" i="4" l="1"/>
  <c r="F228" i="1"/>
  <c r="F202" i="1" s="1"/>
  <c r="L62" i="1"/>
  <c r="G62" i="1"/>
  <c r="F62" i="1"/>
  <c r="F145" i="1" s="1"/>
  <c r="K62" i="1"/>
  <c r="J62" i="1"/>
  <c r="I62" i="1"/>
  <c r="U38" i="4"/>
  <c r="C55" i="4" s="1"/>
  <c r="U40" i="4"/>
  <c r="U39" i="4"/>
  <c r="L41" i="5"/>
  <c r="L45" i="5"/>
  <c r="J42" i="5"/>
  <c r="I45" i="5"/>
  <c r="I43" i="5"/>
  <c r="I44" i="5"/>
  <c r="J44" i="5" s="1"/>
  <c r="I264" i="1"/>
  <c r="C261" i="1"/>
  <c r="I257" i="1" s="1"/>
  <c r="H18" i="3"/>
  <c r="I18" i="3"/>
  <c r="I36" i="3"/>
  <c r="H36" i="3"/>
  <c r="G36" i="3"/>
  <c r="F36" i="3"/>
  <c r="E36" i="3"/>
  <c r="D36" i="3"/>
  <c r="D34" i="3"/>
  <c r="E34" i="3" s="1"/>
  <c r="F34" i="3" s="1"/>
  <c r="G34" i="3" s="1"/>
  <c r="H34" i="3" s="1"/>
  <c r="I34" i="3" s="1"/>
  <c r="H17" i="3"/>
  <c r="H19" i="3" s="1"/>
  <c r="G16" i="3"/>
  <c r="H16" i="3" s="1"/>
  <c r="I16" i="3" s="1"/>
  <c r="J16" i="3" s="1"/>
  <c r="K16" i="3" s="1"/>
  <c r="L16" i="3" s="1"/>
  <c r="L13" i="3"/>
  <c r="K13" i="3"/>
  <c r="J13" i="3"/>
  <c r="I13" i="3"/>
  <c r="H13" i="3"/>
  <c r="G13" i="3"/>
  <c r="F13" i="3"/>
  <c r="E13" i="3"/>
  <c r="L11" i="3"/>
  <c r="L18" i="3" s="1"/>
  <c r="K11" i="3"/>
  <c r="K18" i="3" s="1"/>
  <c r="J11" i="3"/>
  <c r="J18" i="3" s="1"/>
  <c r="I11" i="3"/>
  <c r="H11" i="3"/>
  <c r="G11" i="3"/>
  <c r="G18" i="3" s="1"/>
  <c r="F11" i="3"/>
  <c r="F18" i="3" s="1"/>
  <c r="E11" i="3"/>
  <c r="L9" i="3"/>
  <c r="K9" i="3"/>
  <c r="J9" i="3"/>
  <c r="I9" i="3"/>
  <c r="H9" i="3"/>
  <c r="G9" i="3"/>
  <c r="F9" i="3"/>
  <c r="E9" i="3"/>
  <c r="L7" i="3"/>
  <c r="L17" i="3" s="1"/>
  <c r="L19" i="3" s="1"/>
  <c r="K7" i="3"/>
  <c r="K17" i="3" s="1"/>
  <c r="J7" i="3"/>
  <c r="J17" i="3" s="1"/>
  <c r="J19" i="3" s="1"/>
  <c r="I7" i="3"/>
  <c r="I17" i="3" s="1"/>
  <c r="I19" i="3" s="1"/>
  <c r="H7" i="3"/>
  <c r="G7" i="3"/>
  <c r="G17" i="3" s="1"/>
  <c r="G19" i="3" s="1"/>
  <c r="F7" i="3"/>
  <c r="F17" i="3" s="1"/>
  <c r="F19" i="3" s="1"/>
  <c r="E7" i="3"/>
  <c r="E5" i="3"/>
  <c r="F5" i="3" s="1"/>
  <c r="G5" i="3" s="1"/>
  <c r="H5" i="3" s="1"/>
  <c r="I5" i="3" s="1"/>
  <c r="J5" i="3" s="1"/>
  <c r="K5" i="3" s="1"/>
  <c r="L5" i="3" s="1"/>
  <c r="K19" i="3" l="1"/>
  <c r="F231" i="1"/>
  <c r="G228" i="1"/>
  <c r="G202" i="1" s="1"/>
  <c r="H228" i="1"/>
  <c r="H202" i="1" s="1"/>
  <c r="G145" i="1"/>
  <c r="H145" i="1" s="1"/>
  <c r="I145" i="1" s="1"/>
  <c r="J145" i="1" s="1"/>
  <c r="K145" i="1" s="1"/>
  <c r="L145" i="1" s="1"/>
  <c r="J43" i="5"/>
  <c r="L43" i="5"/>
  <c r="L44" i="5"/>
  <c r="L48" i="5" s="1"/>
  <c r="J45" i="5"/>
  <c r="J48" i="5"/>
  <c r="I48" i="5"/>
  <c r="L21" i="3"/>
  <c r="I228" i="1" l="1"/>
  <c r="I202" i="1" s="1"/>
  <c r="D351" i="1"/>
  <c r="D353" i="1" s="1"/>
  <c r="D354" i="1" s="1"/>
  <c r="J228" i="1" l="1"/>
  <c r="J202" i="1" s="1"/>
  <c r="C355" i="1"/>
  <c r="C358" i="1" s="1"/>
  <c r="C59" i="4" s="1"/>
  <c r="L228" i="1" l="1"/>
  <c r="L202" i="1" s="1"/>
  <c r="K228" i="1"/>
  <c r="K202" i="1" s="1"/>
  <c r="F313" i="1"/>
  <c r="E313" i="1"/>
  <c r="D313" i="1"/>
  <c r="C313" i="1"/>
  <c r="F311" i="1"/>
  <c r="E311" i="1"/>
  <c r="D311" i="1"/>
  <c r="C311" i="1"/>
  <c r="F312" i="1"/>
  <c r="E312" i="1"/>
  <c r="D312" i="1"/>
  <c r="C312" i="1"/>
  <c r="F314" i="1"/>
  <c r="E314" i="1"/>
  <c r="D314" i="1"/>
  <c r="C314" i="1"/>
  <c r="F315" i="1"/>
  <c r="E315" i="1"/>
  <c r="D315" i="1"/>
  <c r="C315" i="1"/>
  <c r="D310" i="1"/>
  <c r="E310" i="1" s="1"/>
  <c r="F310" i="1" s="1"/>
  <c r="C318" i="1" l="1"/>
  <c r="D318" i="1"/>
  <c r="E318" i="1"/>
  <c r="F318" i="1"/>
  <c r="E317" i="1"/>
  <c r="C317" i="1"/>
  <c r="F317" i="1"/>
  <c r="D317" i="1"/>
  <c r="G317" i="1" l="1"/>
  <c r="G318" i="1"/>
  <c r="C304" i="1" l="1"/>
  <c r="F279" i="1"/>
  <c r="F272" i="1"/>
  <c r="G272" i="1" s="1"/>
  <c r="H272" i="1" s="1"/>
  <c r="I272" i="1" s="1"/>
  <c r="J272" i="1" s="1"/>
  <c r="K272" i="1" s="1"/>
  <c r="L272" i="1" s="1"/>
  <c r="G182" i="1"/>
  <c r="H182" i="1" s="1"/>
  <c r="I182" i="1" s="1"/>
  <c r="J182" i="1" s="1"/>
  <c r="K182" i="1" s="1"/>
  <c r="L182" i="1" s="1"/>
  <c r="F191" i="1"/>
  <c r="G156" i="1"/>
  <c r="H227" i="1" s="1"/>
  <c r="H156" i="1"/>
  <c r="I227" i="1" s="1"/>
  <c r="I156" i="1"/>
  <c r="J227" i="1" s="1"/>
  <c r="J156" i="1"/>
  <c r="K227" i="1" s="1"/>
  <c r="K156" i="1"/>
  <c r="L227" i="1" s="1"/>
  <c r="L156" i="1"/>
  <c r="F156" i="1"/>
  <c r="G227" i="1" s="1"/>
  <c r="E154" i="1"/>
  <c r="E103" i="1" s="1"/>
  <c r="E136" i="1"/>
  <c r="E96" i="1" s="1"/>
  <c r="E101" i="1"/>
  <c r="E100" i="1"/>
  <c r="E99" i="1"/>
  <c r="E93" i="1"/>
  <c r="E91" i="1"/>
  <c r="E143" i="1"/>
  <c r="E139" i="1"/>
  <c r="E138" i="1"/>
  <c r="K59" i="1"/>
  <c r="L59" i="1"/>
  <c r="J59" i="1"/>
  <c r="I59" i="1"/>
  <c r="H59" i="1"/>
  <c r="G59" i="1"/>
  <c r="F59" i="1"/>
  <c r="F124" i="1"/>
  <c r="F176" i="1" s="1"/>
  <c r="E47" i="1"/>
  <c r="E84" i="1" s="1"/>
  <c r="F47" i="1"/>
  <c r="F84" i="1" s="1"/>
  <c r="E49" i="1"/>
  <c r="B73" i="1"/>
  <c r="F8" i="1"/>
  <c r="E28" i="1"/>
  <c r="E54" i="1" s="1"/>
  <c r="D28" i="1"/>
  <c r="D29" i="1" s="1"/>
  <c r="C28" i="1"/>
  <c r="E26" i="1"/>
  <c r="D26" i="1"/>
  <c r="C26" i="1"/>
  <c r="E40" i="1"/>
  <c r="D40" i="1"/>
  <c r="C40" i="1"/>
  <c r="E23" i="1"/>
  <c r="D23" i="1"/>
  <c r="C23" i="1"/>
  <c r="E18" i="1"/>
  <c r="E50" i="1" s="1"/>
  <c r="E87" i="1" s="1"/>
  <c r="D18" i="1"/>
  <c r="D19" i="1" s="1"/>
  <c r="C18" i="1"/>
  <c r="C19" i="1" s="1"/>
  <c r="E16" i="1"/>
  <c r="D16" i="1"/>
  <c r="C16" i="1"/>
  <c r="E13" i="1"/>
  <c r="D13" i="1"/>
  <c r="C13" i="1"/>
  <c r="E9" i="1"/>
  <c r="D9" i="1"/>
  <c r="G6" i="1"/>
  <c r="H6" i="1" s="1"/>
  <c r="F194" i="1" l="1"/>
  <c r="L231" i="1"/>
  <c r="L201" i="1"/>
  <c r="K231" i="1"/>
  <c r="K201" i="1"/>
  <c r="J231" i="1"/>
  <c r="J201" i="1"/>
  <c r="H231" i="1"/>
  <c r="H201" i="1"/>
  <c r="I231" i="1"/>
  <c r="I201" i="1"/>
  <c r="G231" i="1"/>
  <c r="G201" i="1"/>
  <c r="F271" i="1"/>
  <c r="F217" i="1"/>
  <c r="E19" i="1"/>
  <c r="F49" i="1"/>
  <c r="F86" i="1" s="1"/>
  <c r="E141" i="1"/>
  <c r="E147" i="1" s="1"/>
  <c r="E113" i="1"/>
  <c r="F113" i="1" s="1"/>
  <c r="E115" i="1"/>
  <c r="F115" i="1" s="1"/>
  <c r="G115" i="1" s="1"/>
  <c r="G8" i="1"/>
  <c r="G49" i="1" s="1"/>
  <c r="D32" i="1"/>
  <c r="D33" i="1" s="1"/>
  <c r="F25" i="1"/>
  <c r="E117" i="1"/>
  <c r="F117" i="1" s="1"/>
  <c r="G117" i="1" s="1"/>
  <c r="F15" i="1"/>
  <c r="F12" i="1"/>
  <c r="F138" i="1"/>
  <c r="F22" i="1"/>
  <c r="E119" i="1"/>
  <c r="F119" i="1" s="1"/>
  <c r="G119" i="1" s="1"/>
  <c r="H119" i="1" s="1"/>
  <c r="I119" i="1" s="1"/>
  <c r="E118" i="1"/>
  <c r="F118" i="1" s="1"/>
  <c r="G118" i="1" s="1"/>
  <c r="H47" i="1"/>
  <c r="H84" i="1" s="1"/>
  <c r="I6" i="1"/>
  <c r="C29" i="1"/>
  <c r="C32" i="1"/>
  <c r="E106" i="1"/>
  <c r="E126" i="1" s="1"/>
  <c r="E32" i="1"/>
  <c r="E116" i="1"/>
  <c r="F116" i="1" s="1"/>
  <c r="E29" i="1"/>
  <c r="E52" i="1"/>
  <c r="E56" i="1" s="1"/>
  <c r="E86" i="1"/>
  <c r="E111" i="1" s="1"/>
  <c r="G124" i="1"/>
  <c r="E163" i="1"/>
  <c r="E167" i="1" s="1"/>
  <c r="G47" i="1"/>
  <c r="G84" i="1" s="1"/>
  <c r="E127" i="1" l="1"/>
  <c r="E90" i="1"/>
  <c r="F139" i="1"/>
  <c r="F141" i="1" s="1"/>
  <c r="F28" i="1"/>
  <c r="F29" i="1" s="1"/>
  <c r="E169" i="1"/>
  <c r="G12" i="1"/>
  <c r="G39" i="1"/>
  <c r="G279" i="1" s="1"/>
  <c r="E114" i="1"/>
  <c r="F114" i="1" s="1"/>
  <c r="G114" i="1" s="1"/>
  <c r="H114" i="1" s="1"/>
  <c r="I114" i="1" s="1"/>
  <c r="J114" i="1" s="1"/>
  <c r="K114" i="1" s="1"/>
  <c r="L114" i="1" s="1"/>
  <c r="G22" i="1"/>
  <c r="D36" i="1"/>
  <c r="D37" i="1" s="1"/>
  <c r="G25" i="1"/>
  <c r="D34" i="1"/>
  <c r="F181" i="1"/>
  <c r="F74" i="1"/>
  <c r="F276" i="1" s="1"/>
  <c r="G15" i="1"/>
  <c r="H8" i="1"/>
  <c r="F18" i="1"/>
  <c r="F19" i="1" s="1"/>
  <c r="E36" i="1"/>
  <c r="E37" i="1" s="1"/>
  <c r="E33" i="1"/>
  <c r="E34" i="1"/>
  <c r="H115" i="1"/>
  <c r="G116" i="1"/>
  <c r="J119" i="1"/>
  <c r="C33" i="1"/>
  <c r="C36" i="1"/>
  <c r="C37" i="1" s="1"/>
  <c r="E112" i="1"/>
  <c r="F112" i="1" s="1"/>
  <c r="G112" i="1" s="1"/>
  <c r="H112" i="1" s="1"/>
  <c r="I112" i="1" s="1"/>
  <c r="J112" i="1" s="1"/>
  <c r="K112" i="1" s="1"/>
  <c r="L112" i="1" s="1"/>
  <c r="F111" i="1"/>
  <c r="H118" i="1"/>
  <c r="H117" i="1"/>
  <c r="H124" i="1"/>
  <c r="G176" i="1"/>
  <c r="J6" i="1"/>
  <c r="I47" i="1"/>
  <c r="I84" i="1" s="1"/>
  <c r="G113" i="1"/>
  <c r="G86" i="1"/>
  <c r="F61" i="1" l="1"/>
  <c r="F204" i="1" s="1"/>
  <c r="E110" i="1"/>
  <c r="F110" i="1" s="1"/>
  <c r="G110" i="1" s="1"/>
  <c r="H110" i="1" s="1"/>
  <c r="I110" i="1" s="1"/>
  <c r="F241" i="1"/>
  <c r="G271" i="1"/>
  <c r="G217" i="1"/>
  <c r="G191" i="1"/>
  <c r="F32" i="1"/>
  <c r="F33" i="1" s="1"/>
  <c r="F54" i="1"/>
  <c r="G28" i="1"/>
  <c r="G32" i="1" s="1"/>
  <c r="G138" i="1"/>
  <c r="F50" i="1"/>
  <c r="F52" i="1" s="1"/>
  <c r="G18" i="1"/>
  <c r="G181" i="1"/>
  <c r="G74" i="1"/>
  <c r="G276" i="1" s="1"/>
  <c r="H22" i="1"/>
  <c r="H15" i="1"/>
  <c r="H12" i="1"/>
  <c r="H49" i="1"/>
  <c r="I8" i="1"/>
  <c r="H39" i="1"/>
  <c r="H25" i="1"/>
  <c r="G139" i="1"/>
  <c r="F91" i="1"/>
  <c r="F131" i="1" s="1"/>
  <c r="G111" i="1"/>
  <c r="I115" i="1"/>
  <c r="I118" i="1"/>
  <c r="K119" i="1"/>
  <c r="H116" i="1"/>
  <c r="K6" i="1"/>
  <c r="J47" i="1"/>
  <c r="J84" i="1" s="1"/>
  <c r="I124" i="1"/>
  <c r="H176" i="1"/>
  <c r="H113" i="1"/>
  <c r="I117" i="1"/>
  <c r="G194" i="1" l="1"/>
  <c r="H271" i="1"/>
  <c r="H217" i="1"/>
  <c r="F56" i="1"/>
  <c r="F73" i="1" s="1"/>
  <c r="F34" i="1"/>
  <c r="F36" i="1"/>
  <c r="F37" i="1" s="1"/>
  <c r="G34" i="1"/>
  <c r="G33" i="1"/>
  <c r="F87" i="1"/>
  <c r="F90" i="1" s="1"/>
  <c r="H139" i="1"/>
  <c r="G36" i="1"/>
  <c r="G37" i="1" s="1"/>
  <c r="G29" i="1"/>
  <c r="G54" i="1"/>
  <c r="H138" i="1"/>
  <c r="H28" i="1"/>
  <c r="H32" i="1" s="1"/>
  <c r="G141" i="1"/>
  <c r="I25" i="1"/>
  <c r="I12" i="1"/>
  <c r="I39" i="1"/>
  <c r="I15" i="1"/>
  <c r="J8" i="1"/>
  <c r="I22" i="1"/>
  <c r="I49" i="1"/>
  <c r="I86" i="1" s="1"/>
  <c r="H86" i="1"/>
  <c r="H74" i="1"/>
  <c r="H276" i="1" s="1"/>
  <c r="H181" i="1"/>
  <c r="H18" i="1"/>
  <c r="H191" i="1"/>
  <c r="H279" i="1"/>
  <c r="G50" i="1"/>
  <c r="G19" i="1"/>
  <c r="J124" i="1"/>
  <c r="I176" i="1"/>
  <c r="J115" i="1"/>
  <c r="J118" i="1"/>
  <c r="G91" i="1"/>
  <c r="H111" i="1"/>
  <c r="L119" i="1"/>
  <c r="J117" i="1"/>
  <c r="L6" i="1"/>
  <c r="L47" i="1" s="1"/>
  <c r="L84" i="1" s="1"/>
  <c r="K47" i="1"/>
  <c r="K84" i="1" s="1"/>
  <c r="J110" i="1"/>
  <c r="I113" i="1"/>
  <c r="I116" i="1"/>
  <c r="H194" i="1" l="1"/>
  <c r="I271" i="1"/>
  <c r="I217" i="1"/>
  <c r="F65" i="1"/>
  <c r="F66" i="1" s="1"/>
  <c r="F282" i="1" s="1"/>
  <c r="F93" i="1"/>
  <c r="F133" i="1" s="1"/>
  <c r="F101" i="1"/>
  <c r="F152" i="1" s="1"/>
  <c r="F99" i="1"/>
  <c r="F150" i="1" s="1"/>
  <c r="F100" i="1"/>
  <c r="F151" i="1" s="1"/>
  <c r="F94" i="1"/>
  <c r="F134" i="1" s="1"/>
  <c r="F92" i="1"/>
  <c r="F132" i="1" s="1"/>
  <c r="H141" i="1"/>
  <c r="I139" i="1"/>
  <c r="I138" i="1"/>
  <c r="H54" i="1"/>
  <c r="H29" i="1"/>
  <c r="I28" i="1"/>
  <c r="I29" i="1" s="1"/>
  <c r="J39" i="1"/>
  <c r="J49" i="1"/>
  <c r="J86" i="1" s="1"/>
  <c r="J15" i="1"/>
  <c r="K8" i="1"/>
  <c r="J25" i="1"/>
  <c r="J12" i="1"/>
  <c r="J22" i="1"/>
  <c r="H19" i="1"/>
  <c r="H50" i="1"/>
  <c r="I74" i="1"/>
  <c r="I276" i="1" s="1"/>
  <c r="I181" i="1"/>
  <c r="I18" i="1"/>
  <c r="G87" i="1"/>
  <c r="G52" i="1"/>
  <c r="G56" i="1" s="1"/>
  <c r="G73" i="1" s="1"/>
  <c r="I191" i="1"/>
  <c r="I279" i="1"/>
  <c r="H33" i="1"/>
  <c r="H36" i="1"/>
  <c r="H37" i="1" s="1"/>
  <c r="H34" i="1"/>
  <c r="F76" i="1"/>
  <c r="F278" i="1" s="1"/>
  <c r="F275" i="1"/>
  <c r="G131" i="1"/>
  <c r="J113" i="1"/>
  <c r="K117" i="1"/>
  <c r="K118" i="1"/>
  <c r="G61" i="1"/>
  <c r="G204" i="1" s="1"/>
  <c r="I111" i="1"/>
  <c r="H91" i="1"/>
  <c r="J116" i="1"/>
  <c r="J176" i="1"/>
  <c r="K124" i="1"/>
  <c r="K110" i="1"/>
  <c r="K115" i="1"/>
  <c r="I194" i="1" l="1"/>
  <c r="J271" i="1"/>
  <c r="J217" i="1"/>
  <c r="I141" i="1"/>
  <c r="F136" i="1"/>
  <c r="F147" i="1" s="1"/>
  <c r="I54" i="1"/>
  <c r="I32" i="1"/>
  <c r="I36" i="1" s="1"/>
  <c r="I37" i="1" s="1"/>
  <c r="F154" i="1"/>
  <c r="F163" i="1" s="1"/>
  <c r="F103" i="1"/>
  <c r="F96" i="1"/>
  <c r="J138" i="1"/>
  <c r="F68" i="1"/>
  <c r="G65" i="1"/>
  <c r="G66" i="1" s="1"/>
  <c r="G101" i="1"/>
  <c r="G152" i="1" s="1"/>
  <c r="G90" i="1"/>
  <c r="G94" i="1"/>
  <c r="G134" i="1" s="1"/>
  <c r="G100" i="1"/>
  <c r="G151" i="1" s="1"/>
  <c r="G93" i="1"/>
  <c r="G133" i="1" s="1"/>
  <c r="G99" i="1"/>
  <c r="G92" i="1"/>
  <c r="G132" i="1" s="1"/>
  <c r="I50" i="1"/>
  <c r="I19" i="1"/>
  <c r="L8" i="1"/>
  <c r="K22" i="1"/>
  <c r="K49" i="1"/>
  <c r="K86" i="1" s="1"/>
  <c r="K39" i="1"/>
  <c r="K15" i="1"/>
  <c r="K25" i="1"/>
  <c r="K12" i="1"/>
  <c r="J18" i="1"/>
  <c r="J74" i="1"/>
  <c r="J276" i="1" s="1"/>
  <c r="J139" i="1"/>
  <c r="J181" i="1"/>
  <c r="H87" i="1"/>
  <c r="H52" i="1"/>
  <c r="H56" i="1" s="1"/>
  <c r="J191" i="1"/>
  <c r="J279" i="1"/>
  <c r="J28" i="1"/>
  <c r="G76" i="1"/>
  <c r="G278" i="1" s="1"/>
  <c r="G281" i="1" s="1"/>
  <c r="G275" i="1"/>
  <c r="F281" i="1"/>
  <c r="K116" i="1"/>
  <c r="L110" i="1"/>
  <c r="L118" i="1"/>
  <c r="L115" i="1"/>
  <c r="H131" i="1"/>
  <c r="J111" i="1"/>
  <c r="I91" i="1"/>
  <c r="I131" i="1" s="1"/>
  <c r="L124" i="1"/>
  <c r="L176" i="1" s="1"/>
  <c r="K176" i="1"/>
  <c r="L117" i="1"/>
  <c r="K113" i="1"/>
  <c r="F206" i="1" l="1"/>
  <c r="D337" i="1" s="1"/>
  <c r="D340" i="1" s="1"/>
  <c r="J194" i="1"/>
  <c r="K271" i="1"/>
  <c r="K217" i="1"/>
  <c r="L271" i="1"/>
  <c r="L217" i="1"/>
  <c r="F106" i="1"/>
  <c r="I34" i="1"/>
  <c r="I33" i="1"/>
  <c r="F180" i="1"/>
  <c r="F184" i="1" s="1"/>
  <c r="F165" i="1"/>
  <c r="F167" i="1" s="1"/>
  <c r="J141" i="1"/>
  <c r="F70" i="1"/>
  <c r="K138" i="1"/>
  <c r="G136" i="1"/>
  <c r="G147" i="1" s="1"/>
  <c r="G68" i="1"/>
  <c r="G282" i="1"/>
  <c r="I87" i="1"/>
  <c r="I52" i="1"/>
  <c r="I56" i="1" s="1"/>
  <c r="H73" i="1"/>
  <c r="K74" i="1"/>
  <c r="K276" i="1" s="1"/>
  <c r="K181" i="1"/>
  <c r="K18" i="1"/>
  <c r="G103" i="1"/>
  <c r="G150" i="1"/>
  <c r="G154" i="1" s="1"/>
  <c r="G163" i="1" s="1"/>
  <c r="H101" i="1"/>
  <c r="H152" i="1" s="1"/>
  <c r="H94" i="1"/>
  <c r="H134" i="1" s="1"/>
  <c r="H100" i="1"/>
  <c r="H151" i="1" s="1"/>
  <c r="H93" i="1"/>
  <c r="H133" i="1" s="1"/>
  <c r="H90" i="1"/>
  <c r="H92" i="1"/>
  <c r="H132" i="1" s="1"/>
  <c r="H99" i="1"/>
  <c r="K191" i="1"/>
  <c r="K279" i="1"/>
  <c r="K139" i="1"/>
  <c r="K28" i="1"/>
  <c r="L25" i="1"/>
  <c r="L12" i="1"/>
  <c r="L15" i="1"/>
  <c r="L49" i="1"/>
  <c r="L86" i="1" s="1"/>
  <c r="L39" i="1"/>
  <c r="L22" i="1"/>
  <c r="H61" i="1"/>
  <c r="G96" i="1"/>
  <c r="J32" i="1"/>
  <c r="J29" i="1"/>
  <c r="J54" i="1"/>
  <c r="J50" i="1"/>
  <c r="J19" i="1"/>
  <c r="L113" i="1"/>
  <c r="L116" i="1"/>
  <c r="K111" i="1"/>
  <c r="J91" i="1"/>
  <c r="J131" i="1" s="1"/>
  <c r="F169" i="1" l="1"/>
  <c r="G206" i="1"/>
  <c r="E337" i="1" s="1"/>
  <c r="E340" i="1" s="1"/>
  <c r="F208" i="1"/>
  <c r="H65" i="1"/>
  <c r="H66" i="1" s="1"/>
  <c r="H282" i="1" s="1"/>
  <c r="H204" i="1"/>
  <c r="K194" i="1"/>
  <c r="F107" i="1"/>
  <c r="F283" i="1" s="1"/>
  <c r="F285" i="1" s="1"/>
  <c r="F298" i="1" s="1"/>
  <c r="F300" i="1" s="1"/>
  <c r="F126" i="1"/>
  <c r="F127" i="1" s="1"/>
  <c r="L138" i="1"/>
  <c r="G180" i="1"/>
  <c r="G184" i="1" s="1"/>
  <c r="K141" i="1"/>
  <c r="G106" i="1"/>
  <c r="H136" i="1"/>
  <c r="H147" i="1" s="1"/>
  <c r="G165" i="1"/>
  <c r="G167" i="1" s="1"/>
  <c r="G169" i="1" s="1"/>
  <c r="G70" i="1"/>
  <c r="L28" i="1"/>
  <c r="L32" i="1" s="1"/>
  <c r="K32" i="1"/>
  <c r="K54" i="1"/>
  <c r="K29" i="1"/>
  <c r="I61" i="1"/>
  <c r="H96" i="1"/>
  <c r="J87" i="1"/>
  <c r="J52" i="1"/>
  <c r="J56" i="1" s="1"/>
  <c r="L191" i="1"/>
  <c r="L279" i="1"/>
  <c r="H76" i="1"/>
  <c r="H278" i="1" s="1"/>
  <c r="H281" i="1" s="1"/>
  <c r="H275" i="1"/>
  <c r="L139" i="1"/>
  <c r="L74" i="1"/>
  <c r="L276" i="1" s="1"/>
  <c r="L18" i="1"/>
  <c r="L181" i="1"/>
  <c r="I73" i="1"/>
  <c r="J36" i="1"/>
  <c r="J37" i="1" s="1"/>
  <c r="J34" i="1"/>
  <c r="J33" i="1"/>
  <c r="I99" i="1"/>
  <c r="I92" i="1"/>
  <c r="I132" i="1" s="1"/>
  <c r="I90" i="1"/>
  <c r="I94" i="1"/>
  <c r="I134" i="1" s="1"/>
  <c r="I93" i="1"/>
  <c r="I133" i="1" s="1"/>
  <c r="I100" i="1"/>
  <c r="I151" i="1" s="1"/>
  <c r="I101" i="1"/>
  <c r="I152" i="1" s="1"/>
  <c r="H103" i="1"/>
  <c r="H150" i="1"/>
  <c r="H154" i="1" s="1"/>
  <c r="H163" i="1" s="1"/>
  <c r="K50" i="1"/>
  <c r="K19" i="1"/>
  <c r="K91" i="1"/>
  <c r="K131" i="1" s="1"/>
  <c r="L111" i="1"/>
  <c r="L91" i="1" s="1"/>
  <c r="L131" i="1" s="1"/>
  <c r="H68" i="1" l="1"/>
  <c r="H206" i="1" s="1"/>
  <c r="F337" i="1" s="1"/>
  <c r="F340" i="1" s="1"/>
  <c r="G208" i="1"/>
  <c r="I65" i="1"/>
  <c r="I66" i="1" s="1"/>
  <c r="I282" i="1" s="1"/>
  <c r="I204" i="1"/>
  <c r="F185" i="1"/>
  <c r="L194" i="1"/>
  <c r="G241" i="1"/>
  <c r="C305" i="1"/>
  <c r="G107" i="1"/>
  <c r="G283" i="1" s="1"/>
  <c r="G285" i="1" s="1"/>
  <c r="G298" i="1" s="1"/>
  <c r="G300" i="1" s="1"/>
  <c r="G126" i="1"/>
  <c r="G127" i="1" s="1"/>
  <c r="H241" i="1" s="1"/>
  <c r="L141" i="1"/>
  <c r="I136" i="1"/>
  <c r="I147" i="1" s="1"/>
  <c r="L29" i="1"/>
  <c r="L54" i="1"/>
  <c r="H106" i="1"/>
  <c r="I96" i="1"/>
  <c r="J61" i="1"/>
  <c r="L34" i="1"/>
  <c r="L33" i="1"/>
  <c r="L36" i="1"/>
  <c r="L37" i="1" s="1"/>
  <c r="L19" i="1"/>
  <c r="L50" i="1"/>
  <c r="I76" i="1"/>
  <c r="I278" i="1" s="1"/>
  <c r="I281" i="1" s="1"/>
  <c r="I275" i="1"/>
  <c r="I150" i="1"/>
  <c r="I154" i="1" s="1"/>
  <c r="I163" i="1" s="1"/>
  <c r="I103" i="1"/>
  <c r="K52" i="1"/>
  <c r="K56" i="1" s="1"/>
  <c r="K73" i="1" s="1"/>
  <c r="K87" i="1"/>
  <c r="J73" i="1"/>
  <c r="J99" i="1"/>
  <c r="J92" i="1"/>
  <c r="J132" i="1" s="1"/>
  <c r="J101" i="1"/>
  <c r="J152" i="1" s="1"/>
  <c r="J100" i="1"/>
  <c r="J151" i="1" s="1"/>
  <c r="J94" i="1"/>
  <c r="J134" i="1" s="1"/>
  <c r="J93" i="1"/>
  <c r="J133" i="1" s="1"/>
  <c r="J90" i="1"/>
  <c r="K36" i="1"/>
  <c r="K37" i="1" s="1"/>
  <c r="K33" i="1"/>
  <c r="K34" i="1"/>
  <c r="F187" i="1" l="1"/>
  <c r="F197" i="1" s="1"/>
  <c r="F211" i="1" s="1"/>
  <c r="H165" i="1"/>
  <c r="H167" i="1" s="1"/>
  <c r="H169" i="1" s="1"/>
  <c r="H70" i="1"/>
  <c r="H180" i="1"/>
  <c r="H184" i="1" s="1"/>
  <c r="H208" i="1"/>
  <c r="I68" i="1"/>
  <c r="I206" i="1" s="1"/>
  <c r="G337" i="1" s="1"/>
  <c r="G340" i="1" s="1"/>
  <c r="J65" i="1"/>
  <c r="J66" i="1" s="1"/>
  <c r="J282" i="1" s="1"/>
  <c r="J204" i="1"/>
  <c r="G185" i="1"/>
  <c r="G187" i="1" s="1"/>
  <c r="G197" i="1" s="1"/>
  <c r="G211" i="1" s="1"/>
  <c r="H107" i="1"/>
  <c r="H185" i="1" s="1"/>
  <c r="H126" i="1"/>
  <c r="H127" i="1" s="1"/>
  <c r="I241" i="1" s="1"/>
  <c r="J150" i="1"/>
  <c r="J154" i="1" s="1"/>
  <c r="J163" i="1" s="1"/>
  <c r="J103" i="1"/>
  <c r="J76" i="1"/>
  <c r="J278" i="1" s="1"/>
  <c r="J281" i="1" s="1"/>
  <c r="J275" i="1"/>
  <c r="L87" i="1"/>
  <c r="L52" i="1"/>
  <c r="L56" i="1" s="1"/>
  <c r="L73" i="1" s="1"/>
  <c r="K93" i="1"/>
  <c r="K133" i="1" s="1"/>
  <c r="K90" i="1"/>
  <c r="K92" i="1"/>
  <c r="K132" i="1" s="1"/>
  <c r="K99" i="1"/>
  <c r="K101" i="1"/>
  <c r="K152" i="1" s="1"/>
  <c r="K100" i="1"/>
  <c r="K151" i="1" s="1"/>
  <c r="K94" i="1"/>
  <c r="K134" i="1" s="1"/>
  <c r="J96" i="1"/>
  <c r="K61" i="1"/>
  <c r="K76" i="1"/>
  <c r="K278" i="1" s="1"/>
  <c r="K281" i="1" s="1"/>
  <c r="K275" i="1"/>
  <c r="J136" i="1"/>
  <c r="J147" i="1" s="1"/>
  <c r="I106" i="1"/>
  <c r="I126" i="1" s="1"/>
  <c r="I127" i="1" s="1"/>
  <c r="J241" i="1" s="1"/>
  <c r="F242" i="1" l="1"/>
  <c r="F244" i="1" s="1"/>
  <c r="H187" i="1"/>
  <c r="H197" i="1" s="1"/>
  <c r="H211" i="1" s="1"/>
  <c r="I180" i="1"/>
  <c r="I184" i="1" s="1"/>
  <c r="I70" i="1"/>
  <c r="I165" i="1"/>
  <c r="I167" i="1" s="1"/>
  <c r="I169" i="1" s="1"/>
  <c r="I208" i="1"/>
  <c r="K65" i="1"/>
  <c r="K66" i="1" s="1"/>
  <c r="K282" i="1" s="1"/>
  <c r="K204" i="1"/>
  <c r="G242" i="1"/>
  <c r="G244" i="1" s="1"/>
  <c r="H283" i="1"/>
  <c r="H285" i="1" s="1"/>
  <c r="H298" i="1" s="1"/>
  <c r="H300" i="1" s="1"/>
  <c r="K103" i="1"/>
  <c r="K150" i="1"/>
  <c r="K154" i="1" s="1"/>
  <c r="K163" i="1" s="1"/>
  <c r="J106" i="1"/>
  <c r="J126" i="1" s="1"/>
  <c r="J127" i="1" s="1"/>
  <c r="K241" i="1" s="1"/>
  <c r="K136" i="1"/>
  <c r="K147" i="1" s="1"/>
  <c r="L76" i="1"/>
  <c r="L278" i="1" s="1"/>
  <c r="L281" i="1" s="1"/>
  <c r="L275" i="1"/>
  <c r="K96" i="1"/>
  <c r="L61" i="1"/>
  <c r="I107" i="1"/>
  <c r="L92" i="1"/>
  <c r="L132" i="1" s="1"/>
  <c r="L90" i="1"/>
  <c r="L100" i="1"/>
  <c r="L151" i="1" s="1"/>
  <c r="L93" i="1"/>
  <c r="L133" i="1" s="1"/>
  <c r="L94" i="1"/>
  <c r="L134" i="1" s="1"/>
  <c r="L101" i="1"/>
  <c r="L152" i="1" s="1"/>
  <c r="L99" i="1"/>
  <c r="J68" i="1"/>
  <c r="H242" i="1" l="1"/>
  <c r="H244" i="1" s="1"/>
  <c r="K68" i="1"/>
  <c r="K206" i="1" s="1"/>
  <c r="I337" i="1" s="1"/>
  <c r="J206" i="1"/>
  <c r="H337" i="1" s="1"/>
  <c r="H340" i="1" s="1"/>
  <c r="L65" i="1"/>
  <c r="L66" i="1" s="1"/>
  <c r="L282" i="1" s="1"/>
  <c r="L204" i="1"/>
  <c r="K106" i="1"/>
  <c r="J165" i="1"/>
  <c r="L150" i="1"/>
  <c r="L154" i="1" s="1"/>
  <c r="L163" i="1" s="1"/>
  <c r="L103" i="1"/>
  <c r="J107" i="1"/>
  <c r="I185" i="1"/>
  <c r="I187" i="1" s="1"/>
  <c r="I197" i="1" s="1"/>
  <c r="I211" i="1" s="1"/>
  <c r="I283" i="1"/>
  <c r="I285" i="1" s="1"/>
  <c r="L96" i="1"/>
  <c r="L136" i="1"/>
  <c r="L147" i="1" s="1"/>
  <c r="J70" i="1"/>
  <c r="J180" i="1"/>
  <c r="J184" i="1" s="1"/>
  <c r="I298" i="1" l="1"/>
  <c r="I300" i="1" s="1"/>
  <c r="K208" i="1"/>
  <c r="K180" i="1"/>
  <c r="K184" i="1" s="1"/>
  <c r="K165" i="1"/>
  <c r="K167" i="1" s="1"/>
  <c r="K169" i="1" s="1"/>
  <c r="K70" i="1"/>
  <c r="L68" i="1"/>
  <c r="L206" i="1" s="1"/>
  <c r="J337" i="1" s="1"/>
  <c r="I339" i="1" s="1"/>
  <c r="I340" i="1" s="1"/>
  <c r="C341" i="1" s="1"/>
  <c r="C346" i="1" s="1"/>
  <c r="J208" i="1"/>
  <c r="I242" i="1"/>
  <c r="I244" i="1" s="1"/>
  <c r="K107" i="1"/>
  <c r="K185" i="1" s="1"/>
  <c r="K126" i="1"/>
  <c r="K127" i="1" s="1"/>
  <c r="L241" i="1" s="1"/>
  <c r="J167" i="1"/>
  <c r="L106" i="1"/>
  <c r="J185" i="1"/>
  <c r="J187" i="1" s="1"/>
  <c r="J197" i="1" s="1"/>
  <c r="J283" i="1"/>
  <c r="J285" i="1" s="1"/>
  <c r="J298" i="1" s="1"/>
  <c r="J300" i="1" s="1"/>
  <c r="J169" i="1" l="1"/>
  <c r="K187" i="1"/>
  <c r="K197" i="1" s="1"/>
  <c r="K211" i="1" s="1"/>
  <c r="L180" i="1"/>
  <c r="L184" i="1" s="1"/>
  <c r="L70" i="1"/>
  <c r="L165" i="1"/>
  <c r="L167" i="1" s="1"/>
  <c r="L169" i="1" s="1"/>
  <c r="L208" i="1"/>
  <c r="J211" i="1"/>
  <c r="J242" i="1"/>
  <c r="J244" i="1" s="1"/>
  <c r="L107" i="1"/>
  <c r="L185" i="1" s="1"/>
  <c r="L126" i="1"/>
  <c r="L127" i="1" s="1"/>
  <c r="K283" i="1"/>
  <c r="K285" i="1" s="1"/>
  <c r="K298" i="1" s="1"/>
  <c r="K300" i="1" s="1"/>
  <c r="C58" i="4"/>
  <c r="K242" i="1" l="1"/>
  <c r="K244" i="1" s="1"/>
  <c r="L187" i="1"/>
  <c r="L197" i="1" s="1"/>
  <c r="L211" i="1" s="1"/>
  <c r="L283" i="1"/>
  <c r="L285" i="1" s="1"/>
  <c r="L291" i="1" s="1"/>
  <c r="L293" i="1" s="1"/>
  <c r="L299" i="1" l="1"/>
  <c r="L294" i="1"/>
  <c r="L242" i="1"/>
  <c r="L244" i="1" s="1"/>
  <c r="L298" i="1"/>
  <c r="L300" i="1" s="1"/>
  <c r="E300" i="1" s="1"/>
  <c r="C303" i="1" s="1"/>
  <c r="C306" i="1" l="1"/>
  <c r="C308" i="1" s="1"/>
  <c r="D303" i="1"/>
  <c r="D308" i="1"/>
  <c r="C57" i="4"/>
  <c r="G304" i="1"/>
  <c r="J234" i="1" l="1"/>
  <c r="J235" i="1" s="1"/>
  <c r="G234" i="1"/>
  <c r="G235" i="1" s="1"/>
  <c r="G237" i="1" s="1"/>
  <c r="G245" i="1" s="1"/>
  <c r="H234" i="1"/>
  <c r="H235" i="1" s="1"/>
  <c r="L234" i="1"/>
  <c r="L235" i="1" s="1"/>
  <c r="K234" i="1"/>
  <c r="K235" i="1" s="1"/>
  <c r="K237" i="1" s="1"/>
  <c r="I234" i="1"/>
  <c r="I235" i="1" s="1"/>
  <c r="I237" i="1" s="1"/>
  <c r="F234" i="1"/>
  <c r="F235" i="1" s="1"/>
  <c r="F237" i="1" s="1"/>
  <c r="G247" i="1" l="1"/>
  <c r="G249" i="1" s="1"/>
  <c r="J237" i="1"/>
  <c r="J245" i="1" s="1"/>
  <c r="J247" i="1" s="1"/>
  <c r="L237" i="1"/>
  <c r="F245" i="1"/>
  <c r="F247" i="1" s="1"/>
  <c r="F249" i="1" s="1"/>
  <c r="K245" i="1"/>
  <c r="K247" i="1" s="1"/>
  <c r="K249" i="1" s="1"/>
  <c r="I245" i="1"/>
  <c r="I247" i="1" s="1"/>
  <c r="I249" i="1" s="1"/>
  <c r="H237" i="1"/>
  <c r="J249" i="1" l="1"/>
  <c r="L245" i="1"/>
  <c r="L247" i="1" s="1"/>
  <c r="L249" i="1" s="1"/>
  <c r="H245" i="1"/>
  <c r="H247" i="1" s="1"/>
  <c r="H24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DealMaven</author>
  </authors>
  <commentList>
    <comment ref="C307" authorId="0" shapeId="0" xr:uid="{00000000-0006-0000-0000-000001000000}">
      <text>
        <r>
          <rPr>
            <b/>
            <sz val="8"/>
            <color rgb="FF000000"/>
            <rFont val="Tahoma"/>
            <family val="2"/>
          </rPr>
          <t xml:space="preserve">DealMaven:
</t>
        </r>
        <r>
          <rPr>
            <b/>
            <sz val="8"/>
            <color rgb="FF000000"/>
            <rFont val="Tahoma"/>
            <family val="2"/>
          </rPr>
          <t>Note: If the # of shares changed in the deal, you'd want the PreDeal shares here.</t>
        </r>
      </text>
    </comment>
  </commentList>
</comments>
</file>

<file path=xl/sharedStrings.xml><?xml version="1.0" encoding="utf-8"?>
<sst xmlns="http://schemas.openxmlformats.org/spreadsheetml/2006/main" count="790" uniqueCount="422">
  <si>
    <t>Historical</t>
  </si>
  <si>
    <t>Projected</t>
  </si>
  <si>
    <t>OPERATING ASSUMPTIONS</t>
  </si>
  <si>
    <t>Revenue</t>
  </si>
  <si>
    <t xml:space="preserve">  Growth</t>
  </si>
  <si>
    <t>Cost of Goods Sold:</t>
  </si>
  <si>
    <t xml:space="preserve">  COGS (Excl. Depn.)</t>
  </si>
  <si>
    <t xml:space="preserve">    % Sales</t>
  </si>
  <si>
    <t xml:space="preserve">  Depreciation</t>
  </si>
  <si>
    <t xml:space="preserve">  Total COGS</t>
  </si>
  <si>
    <t>EBITDA</t>
  </si>
  <si>
    <t xml:space="preserve">  Margin</t>
  </si>
  <si>
    <t>Operating Profit (EBIT)</t>
  </si>
  <si>
    <t xml:space="preserve">  % of Sales</t>
  </si>
  <si>
    <t xml:space="preserve">  Total SG&amp;A Expense</t>
  </si>
  <si>
    <t xml:space="preserve">  SG&amp;A Expense (Excl. Amt.)</t>
  </si>
  <si>
    <t>SG&amp;A Expense:</t>
  </si>
  <si>
    <t xml:space="preserve"> </t>
  </si>
  <si>
    <t>Total Capital Expenditures</t>
  </si>
  <si>
    <t>Other Expenses</t>
  </si>
  <si>
    <t>INCOME STATEMENTS</t>
  </si>
  <si>
    <t xml:space="preserve">Less: Total COGS </t>
  </si>
  <si>
    <t>Gross Profit</t>
  </si>
  <si>
    <t>Less: Total SG&amp;A</t>
  </si>
  <si>
    <t>EBIT</t>
  </si>
  <si>
    <t>Interest &amp; Other Expense / (Income):</t>
  </si>
  <si>
    <t>Rate</t>
  </si>
  <si>
    <t xml:space="preserve">    Total Interest Expense</t>
  </si>
  <si>
    <t>Less: Interest Income</t>
  </si>
  <si>
    <t xml:space="preserve">  Pretax Income</t>
  </si>
  <si>
    <t xml:space="preserve">  Less: Income Taxes</t>
  </si>
  <si>
    <t xml:space="preserve">  Net Income</t>
  </si>
  <si>
    <t xml:space="preserve">  Shares Outstanding</t>
  </si>
  <si>
    <t xml:space="preserve">  Earnings per Share (EPS)</t>
  </si>
  <si>
    <t>EBITDA Reconciliation:</t>
  </si>
  <si>
    <t xml:space="preserve">    EBITDA</t>
  </si>
  <si>
    <t xml:space="preserve">  Plus: Depreciation &amp; Amortisation</t>
  </si>
  <si>
    <t>WORKING CAPITAL ASSUMPTIONS</t>
  </si>
  <si>
    <t>Pro Forma</t>
  </si>
  <si>
    <t>Sales</t>
  </si>
  <si>
    <t>Total COGS</t>
  </si>
  <si>
    <t>Current Assets</t>
  </si>
  <si>
    <t>Required Cash</t>
  </si>
  <si>
    <t xml:space="preserve">  Accounts Receivable</t>
  </si>
  <si>
    <t xml:space="preserve">  Inventory</t>
  </si>
  <si>
    <t xml:space="preserve">  Prepaid Expenses</t>
  </si>
  <si>
    <t xml:space="preserve">    Current Assets</t>
  </si>
  <si>
    <t>Current Liabilities</t>
  </si>
  <si>
    <t xml:space="preserve">  Accounts Payable</t>
  </si>
  <si>
    <t xml:space="preserve">  Accrued Expenses</t>
  </si>
  <si>
    <t xml:space="preserve">    Current Liabilities</t>
  </si>
  <si>
    <t>Net Cash Impact</t>
  </si>
  <si>
    <t xml:space="preserve">  Net Working Capital</t>
  </si>
  <si>
    <t xml:space="preserve">  Cash (Used by) / Generated from Work. Cap.</t>
  </si>
  <si>
    <t>Ratios</t>
  </si>
  <si>
    <t>Required Cash % of COGS</t>
  </si>
  <si>
    <t xml:space="preserve">  A/R % of Sales</t>
  </si>
  <si>
    <t xml:space="preserve">    Days Receivable</t>
  </si>
  <si>
    <t xml:space="preserve">  Inventory % of COGS</t>
  </si>
  <si>
    <t xml:space="preserve">    Inventory Turns</t>
  </si>
  <si>
    <t xml:space="preserve">  Prepaid % of COGS</t>
  </si>
  <si>
    <t xml:space="preserve">  Accts Payable % of COGS</t>
  </si>
  <si>
    <t xml:space="preserve">  Accrued % of COGS</t>
  </si>
  <si>
    <t>BALANCE SHEETS</t>
  </si>
  <si>
    <t>ASSETS:</t>
  </si>
  <si>
    <t>Excess Cash</t>
  </si>
  <si>
    <t>Total Cash</t>
  </si>
  <si>
    <t>Accounts Receivable</t>
  </si>
  <si>
    <t>Inventory</t>
  </si>
  <si>
    <t>Prepaid Expenses</t>
  </si>
  <si>
    <t xml:space="preserve">  Current Assets</t>
  </si>
  <si>
    <t>PP&amp;E - Gross</t>
  </si>
  <si>
    <t>Less: Accum. Depn.</t>
  </si>
  <si>
    <t xml:space="preserve">  Net PP&amp;E</t>
  </si>
  <si>
    <t>Intangibles</t>
  </si>
  <si>
    <t xml:space="preserve">  Total Assets</t>
  </si>
  <si>
    <t>LIABILITIES &amp; EQUITY:</t>
  </si>
  <si>
    <t>Accounts Payable</t>
  </si>
  <si>
    <t>Accrued Expenses</t>
  </si>
  <si>
    <t xml:space="preserve">  Current Liabilities</t>
  </si>
  <si>
    <t>Revolver</t>
  </si>
  <si>
    <t>Term Loan</t>
  </si>
  <si>
    <t>Sr. Sub. Notes</t>
  </si>
  <si>
    <t xml:space="preserve">  Total Debt</t>
  </si>
  <si>
    <t>Other Liabilities</t>
  </si>
  <si>
    <t>Total Liabilities</t>
  </si>
  <si>
    <t>Common Equity</t>
  </si>
  <si>
    <t xml:space="preserve">  Liabilities &amp; Equity</t>
  </si>
  <si>
    <t xml:space="preserve">    Check</t>
  </si>
  <si>
    <t>Other</t>
  </si>
  <si>
    <t xml:space="preserve">  Other</t>
  </si>
  <si>
    <t>Other Non-Current assets</t>
  </si>
  <si>
    <t>Long Term Loan</t>
  </si>
  <si>
    <t>Capital Lease Obligations</t>
  </si>
  <si>
    <t>Other Assets % COGS</t>
  </si>
  <si>
    <t>Other Liabilities % COGS</t>
  </si>
  <si>
    <t>CASH FLOW STATEMENTS</t>
  </si>
  <si>
    <t>Operating Activities:</t>
  </si>
  <si>
    <t>Subtotal</t>
  </si>
  <si>
    <t>Changes in Working Capital</t>
  </si>
  <si>
    <t>Cash Flow from Operations</t>
  </si>
  <si>
    <t>Investing Activities:</t>
  </si>
  <si>
    <t>Less: Capital Expenditures</t>
  </si>
  <si>
    <t>Plus: Investment Gains/(Losses)</t>
  </si>
  <si>
    <t>Cash Flow from / (Used by) Investing</t>
  </si>
  <si>
    <t>Cash Available for Debt Repayment</t>
  </si>
  <si>
    <t>Financing Actitivies Capital Inflow / (Outflow):</t>
  </si>
  <si>
    <t xml:space="preserve">  Cash Flow from / (Used by) Financing</t>
  </si>
  <si>
    <t>Net Increase / (Decrease) in Cash</t>
  </si>
  <si>
    <t>Non-Cah Expense</t>
  </si>
  <si>
    <t>VALUATION ANALYSIS</t>
  </si>
  <si>
    <t>Free Cash Flow Calculation</t>
  </si>
  <si>
    <t xml:space="preserve">  EBIT</t>
  </si>
  <si>
    <t xml:space="preserve">  Plus: Depreciation</t>
  </si>
  <si>
    <t xml:space="preserve">  EBITDA</t>
  </si>
  <si>
    <t xml:space="preserve">  Less: Capex</t>
  </si>
  <si>
    <t xml:space="preserve">  EBITDA Less Capex</t>
  </si>
  <si>
    <t xml:space="preserve">  Less: Taxes on EBIT</t>
  </si>
  <si>
    <t xml:space="preserve">  Less: Changes in Working Capital</t>
  </si>
  <si>
    <t xml:space="preserve">  Unlevered Free Cash Flow</t>
  </si>
  <si>
    <t>DCF Enterprise Value Calculation</t>
  </si>
  <si>
    <t>Terminal Value Calculation</t>
  </si>
  <si>
    <t xml:space="preserve">  Terminal Value Growth Rate</t>
  </si>
  <si>
    <t xml:space="preserve">  Projected Free Cash Flow</t>
  </si>
  <si>
    <t xml:space="preserve">  Discount Rate (WACC)</t>
  </si>
  <si>
    <t xml:space="preserve">  Terminal Enterprise Value</t>
  </si>
  <si>
    <t xml:space="preserve">  Implied Term. Value EBITDA Multiple</t>
  </si>
  <si>
    <t>Discounted Cash Flows at WACC</t>
  </si>
  <si>
    <t xml:space="preserve">  Terminal Value</t>
  </si>
  <si>
    <t xml:space="preserve">  Total Discounted Cash Flows</t>
  </si>
  <si>
    <t>Summary DCF Valuation (PreDeal)</t>
  </si>
  <si>
    <t>DCF Equity Sensitivity Analysis</t>
  </si>
  <si>
    <t xml:space="preserve">  DCF Enterprise Value</t>
  </si>
  <si>
    <t>WACC</t>
  </si>
  <si>
    <t xml:space="preserve">  Less: Net Debt (PreDeal)</t>
  </si>
  <si>
    <t xml:space="preserve">  Equity Value</t>
  </si>
  <si>
    <t xml:space="preserve">  Shares (PreDeal)</t>
  </si>
  <si>
    <t xml:space="preserve">  DCF Value per Share</t>
  </si>
  <si>
    <t>Forward</t>
  </si>
  <si>
    <t>PV</t>
  </si>
  <si>
    <t xml:space="preserve">  Add : Excess Cash</t>
  </si>
  <si>
    <t>Assumptions</t>
  </si>
  <si>
    <t>Long-term growth rate</t>
  </si>
  <si>
    <t>Cost of Equity</t>
  </si>
  <si>
    <t>Number of Outstanding shares</t>
  </si>
  <si>
    <t>Output</t>
  </si>
  <si>
    <t>Year</t>
  </si>
  <si>
    <t>2024
Fcst</t>
  </si>
  <si>
    <t>2025
Fcst</t>
  </si>
  <si>
    <t>2026
Fcst</t>
  </si>
  <si>
    <t>2027
Fcst</t>
  </si>
  <si>
    <t>2028
Fcst</t>
  </si>
  <si>
    <t>Dividend</t>
  </si>
  <si>
    <t>Terminal value</t>
  </si>
  <si>
    <t>Dividend + Terminal Value</t>
  </si>
  <si>
    <t>Present value</t>
  </si>
  <si>
    <t>Share Price</t>
  </si>
  <si>
    <t>Dividend History</t>
  </si>
  <si>
    <t>Dividend Yield</t>
  </si>
  <si>
    <t>Dividend Paid per share</t>
  </si>
  <si>
    <t>Diluted Normalised EPS</t>
  </si>
  <si>
    <t>Dividend (2023) (in millions)</t>
  </si>
  <si>
    <t>Ttoal income (in millions)</t>
  </si>
  <si>
    <t>Diluted  Net Income (in millions)</t>
  </si>
  <si>
    <t>Total Dividend paid (in millions)</t>
  </si>
  <si>
    <t>Dividend Gordon Growth Model Based Valuation</t>
  </si>
  <si>
    <t>2023
Act</t>
  </si>
  <si>
    <t>2029
Fcst</t>
  </si>
  <si>
    <t>2030
Fcst</t>
  </si>
  <si>
    <t>Conservative earnings</t>
  </si>
  <si>
    <t xml:space="preserve">Reasons </t>
  </si>
  <si>
    <t>high capex % taken in consideration</t>
  </si>
  <si>
    <t>low/ optimal growth rate</t>
  </si>
  <si>
    <t>revenue growth optimal ( production growth 6 % ,</t>
  </si>
  <si>
    <t>further 20% contri of energy materials ---&gt; growth of 6.5%</t>
  </si>
  <si>
    <t>haven’t adjusted the chances in expenses after bur dam expenses stop from 2026. ----&gt; net income increase</t>
  </si>
  <si>
    <t>DDM Sensitivity Analysis</t>
  </si>
  <si>
    <t>Dividend Forecast : Finite Horizon</t>
  </si>
  <si>
    <t>Forecasted Dividend payout( historical analysis)</t>
  </si>
  <si>
    <t>Dividend Growth Model</t>
  </si>
  <si>
    <t>Dividend payout ratio (diluted)</t>
  </si>
  <si>
    <t>Dividend payout ratio (total)</t>
  </si>
  <si>
    <t>Chinese GDP growth 2024 and 2025</t>
  </si>
  <si>
    <t>Average rates</t>
  </si>
  <si>
    <t>Beta estimates</t>
  </si>
  <si>
    <t>Risk free rate</t>
  </si>
  <si>
    <t>Source</t>
  </si>
  <si>
    <t>Beta</t>
  </si>
  <si>
    <t>YahooFinance</t>
  </si>
  <si>
    <t>ValueLine</t>
  </si>
  <si>
    <t>TradingView</t>
  </si>
  <si>
    <t>Cost on equity</t>
  </si>
  <si>
    <t>MarketWatch</t>
  </si>
  <si>
    <t>Cost of debt</t>
  </si>
  <si>
    <t>as per MD&amp;A</t>
  </si>
  <si>
    <t>tax rate</t>
  </si>
  <si>
    <t>Average Beta</t>
  </si>
  <si>
    <t>Weightage of debt</t>
  </si>
  <si>
    <t>Weightage of equity</t>
  </si>
  <si>
    <t>Production Forecast</t>
  </si>
  <si>
    <t>Iron ore solutions</t>
  </si>
  <si>
    <t>Iron ore ( in Mt)</t>
  </si>
  <si>
    <t>Growth rate</t>
  </si>
  <si>
    <t>Iron Pellets (in Mt)</t>
  </si>
  <si>
    <t xml:space="preserve">Energy Transition  </t>
  </si>
  <si>
    <t>Copper (in Kt)</t>
  </si>
  <si>
    <t>minerals</t>
  </si>
  <si>
    <t>Nickel (in Kt)</t>
  </si>
  <si>
    <t>Revenue (by source)</t>
  </si>
  <si>
    <t>percentage</t>
  </si>
  <si>
    <t>Iron Ore Solutions</t>
  </si>
  <si>
    <t>NA</t>
  </si>
  <si>
    <t>Energy Transition Minerals</t>
  </si>
  <si>
    <t>Forecasted Production Growrh</t>
  </si>
  <si>
    <t>AVG GROWTH RATE</t>
  </si>
  <si>
    <t>Revenue ( by country</t>
  </si>
  <si>
    <t>China</t>
  </si>
  <si>
    <t>Brazil</t>
  </si>
  <si>
    <t>Japan</t>
  </si>
  <si>
    <t>Middle East</t>
  </si>
  <si>
    <t>USA</t>
  </si>
  <si>
    <t>Germany</t>
  </si>
  <si>
    <t>Others</t>
  </si>
  <si>
    <t>Iron Ore</t>
  </si>
  <si>
    <t>Copper</t>
  </si>
  <si>
    <t>Nickel</t>
  </si>
  <si>
    <t>Region</t>
  </si>
  <si>
    <t>Europe</t>
  </si>
  <si>
    <t>USA + Europe</t>
  </si>
  <si>
    <t>Mineral</t>
  </si>
  <si>
    <t>Maximum % of total Sale</t>
  </si>
  <si>
    <t>Total Shares(in ml)</t>
  </si>
  <si>
    <t>Buyback %</t>
  </si>
  <si>
    <t>Dividend forecasted on historical relation with respect to dividend paid as percent of net income for both diluted and net income</t>
  </si>
  <si>
    <t>production growth rate</t>
  </si>
  <si>
    <t>Revenue growth rate assumption</t>
  </si>
  <si>
    <t>risk free rate</t>
  </si>
  <si>
    <t>MRP</t>
  </si>
  <si>
    <t>Weighted Average</t>
  </si>
  <si>
    <t>Net income average growth from 2024-2030</t>
  </si>
  <si>
    <t>Brazil GDP growth 2024 and 2025</t>
  </si>
  <si>
    <t>CAPM</t>
  </si>
  <si>
    <t>Equity risk premium</t>
  </si>
  <si>
    <t>Extra risk premium</t>
  </si>
  <si>
    <t xml:space="preserve">china slowdown + company operational risk history </t>
  </si>
  <si>
    <t>Extra risk premium.  =</t>
  </si>
  <si>
    <t>Vale SA</t>
  </si>
  <si>
    <t>BHP</t>
  </si>
  <si>
    <t>P/B</t>
  </si>
  <si>
    <t>Tickers</t>
  </si>
  <si>
    <t>BHP Group Limited</t>
  </si>
  <si>
    <t>Rio Tinto PLC</t>
  </si>
  <si>
    <t>RIO</t>
  </si>
  <si>
    <t>VALE</t>
  </si>
  <si>
    <t>Metrics</t>
  </si>
  <si>
    <t>Revenues</t>
  </si>
  <si>
    <t>Full-Time Employees</t>
  </si>
  <si>
    <t>Liquidity Ratios</t>
  </si>
  <si>
    <t>Current Ratio</t>
  </si>
  <si>
    <t>Profitability Ratios</t>
  </si>
  <si>
    <t>Operating Margin</t>
  </si>
  <si>
    <t>Profit Margin</t>
  </si>
  <si>
    <t>ROE</t>
  </si>
  <si>
    <t>ROA</t>
  </si>
  <si>
    <t>Quick Ratio</t>
  </si>
  <si>
    <t>Solvency Ratios</t>
  </si>
  <si>
    <t>Debt to Equity</t>
  </si>
  <si>
    <t>Effeciency Ratios</t>
  </si>
  <si>
    <t>Asset Turnover</t>
  </si>
  <si>
    <t>Inventory Turnover</t>
  </si>
  <si>
    <t>Comparable Company Analysis</t>
  </si>
  <si>
    <t>Company</t>
  </si>
  <si>
    <t>Ticker</t>
  </si>
  <si>
    <t>Share price</t>
  </si>
  <si>
    <t>Shares Outstanding</t>
  </si>
  <si>
    <t>Market Value</t>
  </si>
  <si>
    <t>Net Debt</t>
  </si>
  <si>
    <t>Enterprise Value</t>
  </si>
  <si>
    <t>Market Data</t>
  </si>
  <si>
    <t>Net Income</t>
  </si>
  <si>
    <t>P/FCF</t>
  </si>
  <si>
    <t>EV/EBITDA</t>
  </si>
  <si>
    <t>Valuation</t>
  </si>
  <si>
    <t>Relative Yeild</t>
  </si>
  <si>
    <t>Dividend Yeild</t>
  </si>
  <si>
    <t>Maximum</t>
  </si>
  <si>
    <t>Median</t>
  </si>
  <si>
    <t>Mean</t>
  </si>
  <si>
    <t>Basic Metals and Mining</t>
  </si>
  <si>
    <t>Minimum</t>
  </si>
  <si>
    <t>FRED Graph Observations</t>
  </si>
  <si>
    <t>Federal Reserve Economic Data</t>
  </si>
  <si>
    <t>PIORECRUSDM</t>
  </si>
  <si>
    <t>Global price of Iron Ore, U.S. Dollars per Metric Ton, Monthly, Not Seasonally Adjusted</t>
  </si>
  <si>
    <t>Frequency: Monthly</t>
  </si>
  <si>
    <t>observation_date</t>
  </si>
  <si>
    <t>Average price of iron ore</t>
  </si>
  <si>
    <t>Time frame 2018-2023</t>
  </si>
  <si>
    <t>Normalised revenues</t>
  </si>
  <si>
    <t>growth rate</t>
  </si>
  <si>
    <t>COGS</t>
  </si>
  <si>
    <t>% OF SALES</t>
  </si>
  <si>
    <t>Deprecn/amortisation</t>
  </si>
  <si>
    <t>Average price of iron ore 2019</t>
  </si>
  <si>
    <t>Average price of iron ore 2020</t>
  </si>
  <si>
    <t>Average price of iron ore 2021</t>
  </si>
  <si>
    <t>Average price of iron ore 2022</t>
  </si>
  <si>
    <t>Average price of iron ore 2023</t>
  </si>
  <si>
    <t>Average values</t>
  </si>
  <si>
    <t>Free Cash Flow/Share</t>
  </si>
  <si>
    <t>Book Value/ Share</t>
  </si>
  <si>
    <t>Cash</t>
  </si>
  <si>
    <t xml:space="preserve">Financial Data </t>
  </si>
  <si>
    <t>Relative yeild</t>
  </si>
  <si>
    <t xml:space="preserve"> -------  All values in billions ----------</t>
  </si>
  <si>
    <t>Relative Valuation Calculation</t>
  </si>
  <si>
    <t>DCF Forecast</t>
  </si>
  <si>
    <t>DDM gordon Growth Model</t>
  </si>
  <si>
    <t>DDM (Historical analysis) forecast</t>
  </si>
  <si>
    <t>LTD to Total Assets</t>
  </si>
  <si>
    <t>Valuation Ratios</t>
  </si>
  <si>
    <t>Financing Costs Amortization</t>
  </si>
  <si>
    <t>Financing cost</t>
  </si>
  <si>
    <t>Scheduled Debt Retirement</t>
  </si>
  <si>
    <t>Years to Amortize</t>
  </si>
  <si>
    <t>USES OF FUNDS</t>
  </si>
  <si>
    <t>Required Debt Retirement</t>
  </si>
  <si>
    <t xml:space="preserve">  Uses of Funds Subtotal</t>
  </si>
  <si>
    <t xml:space="preserve">  Excess Cash Added to Balance Sheet</t>
  </si>
  <si>
    <t xml:space="preserve">    Total Uses of Funds</t>
  </si>
  <si>
    <t>SOURCES OF FUNDS</t>
  </si>
  <si>
    <t xml:space="preserve">  Existing Excess Cash</t>
  </si>
  <si>
    <t xml:space="preserve">  Cash Available for Debt Repayment</t>
  </si>
  <si>
    <t xml:space="preserve">    Subtotal</t>
  </si>
  <si>
    <t xml:space="preserve">  Incremental Revolver Borrowings</t>
  </si>
  <si>
    <t xml:space="preserve">    Total Sources of Funds</t>
  </si>
  <si>
    <t xml:space="preserve">  Check</t>
  </si>
  <si>
    <t>Monte Carlo simulation based stock prediction over 2 year forecast</t>
  </si>
  <si>
    <t>start date</t>
  </si>
  <si>
    <t>end date</t>
  </si>
  <si>
    <t>Model 1 price</t>
  </si>
  <si>
    <t>Model 2 price</t>
  </si>
  <si>
    <t>Average</t>
  </si>
  <si>
    <t xml:space="preserve">MC </t>
  </si>
  <si>
    <t>MC Model 1 Average</t>
  </si>
  <si>
    <t>MC Model 2 Average</t>
  </si>
  <si>
    <t xml:space="preserve">Trend and pattern analysis </t>
  </si>
  <si>
    <t>Buy zone</t>
  </si>
  <si>
    <t>Sell zone</t>
  </si>
  <si>
    <t>Level 1</t>
  </si>
  <si>
    <t>Level 2</t>
  </si>
  <si>
    <t>11.4 - 12.3</t>
  </si>
  <si>
    <t>9.8 - 11.4</t>
  </si>
  <si>
    <t>VALE P/CF</t>
  </si>
  <si>
    <t>VALE P/B</t>
  </si>
  <si>
    <t>VALE EV/ EBITTDA</t>
  </si>
  <si>
    <t>vale</t>
  </si>
  <si>
    <t>avg p/cf</t>
  </si>
  <si>
    <t>AVG EV/EBITDA</t>
  </si>
  <si>
    <t>avg P/B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</si>
  <si>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</si>
  <si>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</si>
  <si>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</si>
  <si>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</si>
  <si>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</si>
  <si>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</si>
  <si>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</si>
  <si>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</si>
  <si>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</si>
  <si>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</si>
  <si>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</si>
  <si>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</si>
  <si>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</si>
  <si>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</si>
  <si>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</si>
  <si>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</si>
  <si>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</si>
  <si>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</si>
  <si>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</si>
  <si>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</si>
  <si>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</si>
  <si>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</si>
  <si>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</si>
  <si>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</si>
  <si>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BHP P/CF</t>
  </si>
  <si>
    <t>RIO P/CF</t>
  </si>
  <si>
    <t>BHP P/B</t>
  </si>
  <si>
    <t>RIO  P/B</t>
  </si>
  <si>
    <t xml:space="preserve">P/CF </t>
  </si>
  <si>
    <t>Equation</t>
  </si>
  <si>
    <t>(0.6555 * Avg P/B) + 0.2944</t>
  </si>
  <si>
    <t>(1.05125* Avg P/CF) - 1.508</t>
  </si>
  <si>
    <t xml:space="preserve"> Model 1 range (ordinary annuity formula) (FV = PV(1+r/m)^(m*t))</t>
  </si>
  <si>
    <t xml:space="preserve"> ( 1.2332 * Avg EV/EBITDA) - 2.1</t>
  </si>
  <si>
    <t xml:space="preserve"> Model 2 range ( continuous compounding model) (FV = PV e^(r*t))</t>
  </si>
  <si>
    <t xml:space="preserve">Regression + ARCH Model </t>
  </si>
  <si>
    <t>Prediction for 2025</t>
  </si>
  <si>
    <t>Prediction for 2024 -2030 average</t>
  </si>
  <si>
    <t>17.42 - 18.24</t>
  </si>
  <si>
    <t>19.19 - 20</t>
  </si>
  <si>
    <t>Prediction for average consideration</t>
  </si>
  <si>
    <t>17.37 -18.18</t>
  </si>
  <si>
    <t>Regression based weighted ratios</t>
  </si>
  <si>
    <t>Dividends Paid</t>
  </si>
  <si>
    <t>Interest paid</t>
  </si>
  <si>
    <t>Proceeds from borrowings</t>
  </si>
  <si>
    <t>MC Simulation</t>
  </si>
  <si>
    <t>Equity Analyst Targets</t>
  </si>
  <si>
    <t>52 WK High-Low</t>
  </si>
  <si>
    <t>Min</t>
  </si>
  <si>
    <t>Difference</t>
  </si>
  <si>
    <t>Max</t>
  </si>
  <si>
    <t>Current Price</t>
  </si>
  <si>
    <t xml:space="preserve">Europe </t>
  </si>
  <si>
    <t>Asia</t>
  </si>
  <si>
    <t>Debt Structure</t>
  </si>
  <si>
    <t>DDM forecast</t>
  </si>
  <si>
    <t>P/CF</t>
  </si>
  <si>
    <t>P/E</t>
  </si>
  <si>
    <t>Date</t>
  </si>
  <si>
    <t>Volume Growth</t>
  </si>
  <si>
    <t>Minerals production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</si>
</sst>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164" formatCode="&quot;£&quot;#,##0.00_);[Red]\(&quot;£&quot;#,##0.00\)"/>
    <numFmt numFmtId="165" formatCode="#,##0.0_);\(#,##0.0\)"/>
    <numFmt numFmtId="166" formatCode="0.0%;\(0.0%\)"/>
    <numFmt numFmtId="167" formatCode="&quot;$&quot;#,##0.0_);\(&quot;$&quot;#,##0.0\)"/>
    <numFmt numFmtId="168" formatCode="0.0%"/>
    <numFmt numFmtId="169" formatCode="0.0"/>
    <numFmt numFmtId="170" formatCode="0.00%;\(0.00%\)"/>
    <numFmt numFmtId="171" formatCode="0.0%_);\(0.0%\);0.0%_);@_)"/>
    <numFmt numFmtId="172" formatCode="#,##0.000_);\(#,##0.000\)"/>
    <numFmt numFmtId="173" formatCode="&quot;$&quot;#,##0.0_);\(&quot;$&quot;#,##0.0\);&quot;$&quot;#,##0.0_);@_)"/>
    <numFmt numFmtId="174" formatCode="0.0\ &quot;d&quot;"/>
    <numFmt numFmtId="175" formatCode="0.0\x_);&quot;NM&quot;_);0.0\x_);@_)"/>
    <numFmt numFmtId="176" formatCode="&quot;$&quot;#,##0.0_)\ ;\(&quot;$&quot;#,##0.0\)\ "/>
    <numFmt numFmtId="177" formatCode="0.0_);\(0.0\)"/>
    <numFmt numFmtId="178" formatCode="#,##0.0000_);\(#,##0.0000\)"/>
    <numFmt numFmtId="179" formatCode="0.000"/>
    <numFmt numFmtId="180" formatCode="yyyy\-mm"/>
    <numFmt numFmtId="181" formatCode="0.0000000000000"/>
    <numFmt numFmtId="182" formatCode="0.0\ &quot;y&quot;"/>
    <numFmt numFmtId="183" formatCode="0\ &quot;y&quot;"/>
    <numFmt numFmtId="184" formatCode="&quot;Growth&quot;"/>
  </numFmts>
  <fonts count="58">
    <font>
      <sz val="10"/>
      <name val="Times New Roman"/>
    </font>
    <font>
      <sz val="10"/>
      <name val="Times New Roman"/>
      <family val="1"/>
    </font>
    <font>
      <b/>
      <u/>
      <sz val="14"/>
      <name val="Times New Roman"/>
      <family val="1"/>
    </font>
    <font>
      <b/>
      <u/>
      <sz val="10"/>
      <color indexed="12"/>
      <name val="Times New Roman"/>
      <family val="1"/>
    </font>
    <font>
      <b/>
      <u/>
      <sz val="10"/>
      <color indexed="8"/>
      <name val="times new roman"/>
      <family val="1"/>
    </font>
    <font>
      <b/>
      <u val="singleAccounting"/>
      <sz val="10"/>
      <color indexed="12"/>
      <name val="Times New Roman"/>
      <family val="1"/>
    </font>
    <font>
      <b/>
      <u val="singleAccounting"/>
      <sz val="10"/>
      <name val="times new roman"/>
      <family val="1"/>
    </font>
    <font>
      <b/>
      <u/>
      <sz val="14"/>
      <color indexed="12"/>
      <name val="Times New Roman"/>
      <family val="1"/>
    </font>
    <font>
      <sz val="10"/>
      <color indexed="12"/>
      <name val="times new roman"/>
      <family val="1"/>
    </font>
    <font>
      <i/>
      <sz val="10"/>
      <color indexed="12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u val="singleAccounting"/>
      <sz val="10"/>
      <color indexed="12"/>
      <name val="times new roman"/>
      <family val="1"/>
    </font>
    <font>
      <i/>
      <u/>
      <sz val="10"/>
      <color indexed="12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i/>
      <sz val="10"/>
      <color indexed="10"/>
      <name val="times new roman"/>
      <family val="1"/>
    </font>
    <font>
      <u/>
      <sz val="10"/>
      <color indexed="12"/>
      <name val="Times New Roman"/>
      <family val="1"/>
    </font>
    <font>
      <u/>
      <sz val="10"/>
      <color indexed="8"/>
      <name val="Times New Roman"/>
      <family val="1"/>
    </font>
    <font>
      <u val="doubleAccounting"/>
      <sz val="10"/>
      <color indexed="8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sz val="11"/>
      <color theme="1"/>
      <name val="Calibri"/>
      <family val="2"/>
      <scheme val="minor"/>
    </font>
    <font>
      <b/>
      <i/>
      <u/>
      <sz val="10"/>
      <name val="times new roman"/>
      <family val="1"/>
    </font>
    <font>
      <b/>
      <i/>
      <sz val="10"/>
      <color indexed="12"/>
      <name val="times new roman"/>
      <family val="1"/>
    </font>
    <font>
      <b/>
      <i/>
      <sz val="10"/>
      <color indexed="8"/>
      <name val="times new roman"/>
      <family val="1"/>
    </font>
    <font>
      <b/>
      <u/>
      <sz val="12"/>
      <color indexed="12"/>
      <name val="Times New Roman"/>
      <family val="1"/>
    </font>
    <font>
      <b/>
      <sz val="10"/>
      <name val="Times New Roman"/>
      <family val="1"/>
    </font>
    <font>
      <i/>
      <sz val="8"/>
      <color indexed="8"/>
      <name val="times new roman"/>
      <family val="1"/>
    </font>
    <font>
      <b/>
      <sz val="10"/>
      <color indexed="21"/>
      <name val="times new roman"/>
      <family val="1"/>
    </font>
    <font>
      <b/>
      <sz val="8"/>
      <color rgb="FF000000"/>
      <name val="Tahoma"/>
      <family val="2"/>
    </font>
    <font>
      <sz val="10"/>
      <color theme="1"/>
      <name val="times new roman"/>
      <family val="1"/>
    </font>
    <font>
      <sz val="10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  <charset val="204"/>
    </font>
    <font>
      <b/>
      <sz val="9"/>
      <color rgb="FF002060"/>
      <name val="Arial"/>
      <family val="2"/>
    </font>
    <font>
      <b/>
      <sz val="9"/>
      <color rgb="FFFF0000"/>
      <name val="Arial"/>
      <family val="2"/>
    </font>
    <font>
      <sz val="10"/>
      <color rgb="FFFF0000"/>
      <name val="times new roman"/>
      <family val="1"/>
    </font>
    <font>
      <sz val="12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 Light"/>
      <family val="2"/>
      <scheme val="major"/>
    </font>
    <font>
      <sz val="8"/>
      <color rgb="FF000000"/>
      <name val="Helvetica"/>
      <family val="2"/>
    </font>
    <font>
      <sz val="12"/>
      <name val="TimesNewRomanPSMT"/>
    </font>
    <font>
      <sz val="10"/>
      <color rgb="FFFF0000"/>
      <name val="Arial"/>
      <family val="2"/>
    </font>
    <font>
      <b/>
      <sz val="10"/>
      <color theme="1"/>
      <name val="Times New Roman"/>
      <family val="1"/>
    </font>
    <font>
      <sz val="12"/>
      <color rgb="FF131722"/>
      <name val="Times New Roman"/>
      <family val="1"/>
    </font>
    <font>
      <sz val="12"/>
      <name val="Times New Roman"/>
      <family val="1"/>
    </font>
    <font>
      <i/>
      <sz val="12"/>
      <color theme="1"/>
      <name val="Calibri"/>
      <family val="2"/>
      <scheme val="minor"/>
    </font>
    <font>
      <i/>
      <sz val="12"/>
      <color indexed="8"/>
      <name val="times new roman"/>
      <family val="1"/>
    </font>
    <font>
      <u/>
      <sz val="14"/>
      <color indexed="12"/>
      <name val="times new roman"/>
      <family val="1"/>
    </font>
    <font>
      <sz val="14"/>
      <color rgb="FF131722"/>
      <name val="Trebuchet MS"/>
      <family val="2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rgb="FF0073B0"/>
      </bottom>
      <diagonal/>
    </border>
    <border>
      <left/>
      <right/>
      <top/>
      <bottom style="double">
        <color auto="1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theme="1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73" fontId="12" fillId="0" borderId="0" applyNumberFormat="0"/>
    <xf numFmtId="0" fontId="34" fillId="0" borderId="0"/>
    <xf numFmtId="0" fontId="24" fillId="0" borderId="0"/>
  </cellStyleXfs>
  <cellXfs count="470">
    <xf numFmtId="0" fontId="0" fillId="0" borderId="0" xfId="0"/>
    <xf numFmtId="165" fontId="2" fillId="0" borderId="0" xfId="0" applyNumberFormat="1" applyFont="1"/>
    <xf numFmtId="165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165" fontId="7" fillId="0" borderId="0" xfId="0" applyNumberFormat="1" applyFont="1" applyAlignment="1">
      <alignment horizontal="centerContinuous"/>
    </xf>
    <xf numFmtId="165" fontId="2" fillId="0" borderId="0" xfId="0" applyNumberFormat="1" applyFont="1" applyAlignment="1">
      <alignment horizontal="centerContinuous"/>
    </xf>
    <xf numFmtId="165" fontId="8" fillId="0" borderId="0" xfId="0" applyNumberFormat="1" applyFont="1"/>
    <xf numFmtId="166" fontId="9" fillId="0" borderId="0" xfId="0" applyNumberFormat="1" applyFont="1"/>
    <xf numFmtId="166" fontId="10" fillId="0" borderId="0" xfId="0" applyNumberFormat="1" applyFont="1"/>
    <xf numFmtId="165" fontId="9" fillId="0" borderId="0" xfId="0" applyNumberFormat="1" applyFont="1"/>
    <xf numFmtId="165" fontId="11" fillId="0" borderId="0" xfId="0" applyNumberFormat="1" applyFont="1"/>
    <xf numFmtId="167" fontId="8" fillId="0" borderId="0" xfId="0" applyNumberFormat="1" applyFont="1"/>
    <xf numFmtId="167" fontId="0" fillId="0" borderId="0" xfId="0" applyNumberFormat="1"/>
    <xf numFmtId="166" fontId="12" fillId="0" borderId="0" xfId="0" applyNumberFormat="1" applyFont="1"/>
    <xf numFmtId="165" fontId="10" fillId="0" borderId="0" xfId="0" applyNumberFormat="1" applyFont="1"/>
    <xf numFmtId="165" fontId="8" fillId="0" borderId="0" xfId="0" applyNumberFormat="1" applyFont="1" applyAlignment="1">
      <alignment horizontal="left" indent="1"/>
    </xf>
    <xf numFmtId="165" fontId="14" fillId="0" borderId="0" xfId="0" applyNumberFormat="1" applyFont="1" applyAlignment="1">
      <alignment horizontal="right"/>
    </xf>
    <xf numFmtId="1" fontId="8" fillId="0" borderId="0" xfId="0" applyNumberFormat="1" applyFont="1"/>
    <xf numFmtId="1" fontId="0" fillId="0" borderId="0" xfId="0" applyNumberFormat="1"/>
    <xf numFmtId="165" fontId="13" fillId="0" borderId="0" xfId="0" applyNumberFormat="1" applyFont="1"/>
    <xf numFmtId="9" fontId="10" fillId="0" borderId="0" xfId="1" applyFont="1"/>
    <xf numFmtId="168" fontId="10" fillId="0" borderId="0" xfId="1" applyNumberFormat="1" applyFont="1"/>
    <xf numFmtId="0" fontId="8" fillId="0" borderId="0" xfId="0" applyFont="1" applyAlignment="1">
      <alignment horizontal="right"/>
    </xf>
    <xf numFmtId="165" fontId="14" fillId="0" borderId="0" xfId="0" applyNumberFormat="1" applyFont="1"/>
    <xf numFmtId="170" fontId="15" fillId="0" borderId="0" xfId="0" applyNumberFormat="1" applyFont="1" applyAlignment="1">
      <alignment horizontal="center"/>
    </xf>
    <xf numFmtId="170" fontId="9" fillId="0" borderId="0" xfId="0" applyNumberFormat="1" applyFont="1"/>
    <xf numFmtId="165" fontId="16" fillId="0" borderId="0" xfId="0" applyNumberFormat="1" applyFont="1"/>
    <xf numFmtId="171" fontId="17" fillId="0" borderId="0" xfId="0" applyNumberFormat="1" applyFont="1"/>
    <xf numFmtId="173" fontId="13" fillId="0" borderId="0" xfId="0" applyNumberFormat="1" applyFont="1"/>
    <xf numFmtId="165" fontId="15" fillId="0" borderId="0" xfId="0" applyNumberFormat="1" applyFont="1"/>
    <xf numFmtId="172" fontId="0" fillId="0" borderId="0" xfId="0" applyNumberFormat="1"/>
    <xf numFmtId="10" fontId="0" fillId="0" borderId="0" xfId="1" applyNumberFormat="1" applyFont="1"/>
    <xf numFmtId="166" fontId="12" fillId="0" borderId="0" xfId="0" applyNumberFormat="1" applyFont="1" applyAlignment="1">
      <alignment horizontal="centerContinuous"/>
    </xf>
    <xf numFmtId="166" fontId="8" fillId="0" borderId="0" xfId="0" applyNumberFormat="1" applyFont="1"/>
    <xf numFmtId="169" fontId="13" fillId="0" borderId="0" xfId="2" applyNumberFormat="1" applyFont="1"/>
    <xf numFmtId="166" fontId="8" fillId="0" borderId="0" xfId="0" applyNumberFormat="1" applyFont="1" applyAlignment="1">
      <alignment horizontal="left" indent="1"/>
    </xf>
    <xf numFmtId="166" fontId="12" fillId="0" borderId="0" xfId="0" applyNumberFormat="1" applyFont="1" applyAlignment="1">
      <alignment horizontal="left" indent="1"/>
    </xf>
    <xf numFmtId="169" fontId="14" fillId="0" borderId="0" xfId="2" applyNumberFormat="1" applyFont="1"/>
    <xf numFmtId="169" fontId="12" fillId="0" borderId="0" xfId="2" applyNumberFormat="1"/>
    <xf numFmtId="166" fontId="9" fillId="0" borderId="0" xfId="0" applyNumberFormat="1" applyFont="1" applyAlignment="1">
      <alignment horizontal="left" indent="1"/>
    </xf>
    <xf numFmtId="174" fontId="18" fillId="0" borderId="0" xfId="0" applyNumberFormat="1" applyFont="1"/>
    <xf numFmtId="175" fontId="12" fillId="0" borderId="0" xfId="0" applyNumberFormat="1" applyFont="1"/>
    <xf numFmtId="165" fontId="5" fillId="0" borderId="0" xfId="0" applyNumberFormat="1" applyFont="1" applyAlignment="1">
      <alignment horizontal="centerContinuous"/>
    </xf>
    <xf numFmtId="0" fontId="11" fillId="0" borderId="0" xfId="0" applyFont="1"/>
    <xf numFmtId="17" fontId="19" fillId="0" borderId="0" xfId="0" applyNumberFormat="1" applyFont="1"/>
    <xf numFmtId="17" fontId="20" fillId="0" borderId="0" xfId="0" applyNumberFormat="1" applyFont="1"/>
    <xf numFmtId="165" fontId="3" fillId="0" borderId="0" xfId="0" applyNumberFormat="1" applyFont="1"/>
    <xf numFmtId="165" fontId="4" fillId="0" borderId="0" xfId="0" applyNumberFormat="1" applyFont="1"/>
    <xf numFmtId="173" fontId="8" fillId="0" borderId="0" xfId="0" applyNumberFormat="1" applyFont="1"/>
    <xf numFmtId="167" fontId="14" fillId="0" borderId="0" xfId="0" applyNumberFormat="1" applyFont="1"/>
    <xf numFmtId="165" fontId="0" fillId="0" borderId="0" xfId="0" applyNumberFormat="1" applyAlignment="1">
      <alignment horizontal="left" indent="1"/>
    </xf>
    <xf numFmtId="176" fontId="13" fillId="0" borderId="0" xfId="0" applyNumberFormat="1" applyFont="1" applyAlignment="1">
      <alignment horizontal="right"/>
    </xf>
    <xf numFmtId="167" fontId="8" fillId="0" borderId="0" xfId="0" applyNumberFormat="1" applyFont="1" applyAlignment="1">
      <alignment horizontal="left" indent="1"/>
    </xf>
    <xf numFmtId="172" fontId="13" fillId="0" borderId="0" xfId="0" applyNumberFormat="1" applyFont="1"/>
    <xf numFmtId="177" fontId="13" fillId="0" borderId="0" xfId="2" applyNumberFormat="1" applyFont="1"/>
    <xf numFmtId="6" fontId="13" fillId="0" borderId="0" xfId="2" applyNumberFormat="1" applyFont="1"/>
    <xf numFmtId="9" fontId="0" fillId="0" borderId="0" xfId="1" applyFont="1"/>
    <xf numFmtId="0" fontId="8" fillId="0" borderId="0" xfId="0" applyFont="1"/>
    <xf numFmtId="5" fontId="21" fillId="0" borderId="0" xfId="0" applyNumberFormat="1" applyFont="1"/>
    <xf numFmtId="2" fontId="13" fillId="0" borderId="0" xfId="0" applyNumberFormat="1" applyFont="1"/>
    <xf numFmtId="165" fontId="22" fillId="0" borderId="0" xfId="0" applyNumberFormat="1" applyFont="1"/>
    <xf numFmtId="0" fontId="8" fillId="0" borderId="0" xfId="0" applyFont="1" applyAlignment="1">
      <alignment horizontal="left" indent="1"/>
    </xf>
    <xf numFmtId="165" fontId="23" fillId="0" borderId="0" xfId="0" applyNumberFormat="1" applyFont="1"/>
    <xf numFmtId="165" fontId="7" fillId="2" borderId="1" xfId="0" applyNumberFormat="1" applyFont="1" applyFill="1" applyBorder="1" applyAlignment="1">
      <alignment horizontal="centerContinuous"/>
    </xf>
    <xf numFmtId="165" fontId="7" fillId="2" borderId="2" xfId="0" applyNumberFormat="1" applyFont="1" applyFill="1" applyBorder="1" applyAlignment="1">
      <alignment horizontal="centerContinuous"/>
    </xf>
    <xf numFmtId="165" fontId="7" fillId="2" borderId="3" xfId="0" applyNumberFormat="1" applyFont="1" applyFill="1" applyBorder="1" applyAlignment="1">
      <alignment horizontal="centerContinuous"/>
    </xf>
    <xf numFmtId="165" fontId="3" fillId="2" borderId="4" xfId="0" applyNumberFormat="1" applyFont="1" applyFill="1" applyBorder="1"/>
    <xf numFmtId="0" fontId="11" fillId="2" borderId="0" xfId="0" applyFont="1" applyFill="1"/>
    <xf numFmtId="165" fontId="8" fillId="2" borderId="0" xfId="0" applyNumberFormat="1" applyFont="1" applyFill="1" applyAlignment="1">
      <alignment horizontal="right"/>
    </xf>
    <xf numFmtId="165" fontId="5" fillId="2" borderId="0" xfId="0" applyNumberFormat="1" applyFont="1" applyFill="1" applyAlignment="1">
      <alignment horizontal="centerContinuous"/>
    </xf>
    <xf numFmtId="0" fontId="11" fillId="2" borderId="4" xfId="0" applyFont="1" applyFill="1" applyBorder="1"/>
    <xf numFmtId="0" fontId="4" fillId="2" borderId="0" xfId="0" applyFont="1" applyFill="1"/>
    <xf numFmtId="0" fontId="25" fillId="2" borderId="4" xfId="0" applyFont="1" applyFill="1" applyBorder="1"/>
    <xf numFmtId="0" fontId="25" fillId="2" borderId="0" xfId="0" applyFont="1" applyFill="1"/>
    <xf numFmtId="0" fontId="26" fillId="2" borderId="0" xfId="0" applyFont="1" applyFill="1"/>
    <xf numFmtId="0" fontId="27" fillId="2" borderId="0" xfId="0" applyFont="1" applyFill="1"/>
    <xf numFmtId="0" fontId="28" fillId="2" borderId="4" xfId="0" applyFont="1" applyFill="1" applyBorder="1"/>
    <xf numFmtId="0" fontId="3" fillId="2" borderId="4" xfId="0" applyFont="1" applyFill="1" applyBorder="1"/>
    <xf numFmtId="165" fontId="8" fillId="2" borderId="4" xfId="0" applyNumberFormat="1" applyFont="1" applyFill="1" applyBorder="1"/>
    <xf numFmtId="165" fontId="11" fillId="2" borderId="0" xfId="0" applyNumberFormat="1" applyFont="1" applyFill="1"/>
    <xf numFmtId="167" fontId="13" fillId="2" borderId="0" xfId="0" applyNumberFormat="1" applyFont="1" applyFill="1"/>
    <xf numFmtId="165" fontId="13" fillId="2" borderId="0" xfId="0" applyNumberFormat="1" applyFont="1" applyFill="1"/>
    <xf numFmtId="165" fontId="14" fillId="2" borderId="0" xfId="0" applyNumberFormat="1" applyFont="1" applyFill="1" applyAlignment="1">
      <alignment horizontal="right"/>
    </xf>
    <xf numFmtId="165" fontId="17" fillId="2" borderId="4" xfId="0" applyNumberFormat="1" applyFont="1" applyFill="1" applyBorder="1"/>
    <xf numFmtId="165" fontId="29" fillId="2" borderId="0" xfId="0" applyNumberFormat="1" applyFont="1" applyFill="1"/>
    <xf numFmtId="165" fontId="16" fillId="2" borderId="0" xfId="0" applyNumberFormat="1" applyFont="1" applyFill="1" applyAlignment="1">
      <alignment horizontal="right"/>
    </xf>
    <xf numFmtId="166" fontId="8" fillId="2" borderId="0" xfId="0" applyNumberFormat="1" applyFont="1" applyFill="1"/>
    <xf numFmtId="165" fontId="11" fillId="2" borderId="4" xfId="0" applyNumberFormat="1" applyFont="1" applyFill="1" applyBorder="1"/>
    <xf numFmtId="165" fontId="11" fillId="2" borderId="5" xfId="0" applyNumberFormat="1" applyFont="1" applyFill="1" applyBorder="1"/>
    <xf numFmtId="0" fontId="9" fillId="2" borderId="4" xfId="0" applyFont="1" applyFill="1" applyBorder="1"/>
    <xf numFmtId="165" fontId="9" fillId="2" borderId="4" xfId="0" applyNumberFormat="1" applyFont="1" applyFill="1" applyBorder="1"/>
    <xf numFmtId="165" fontId="8" fillId="2" borderId="6" xfId="0" applyNumberFormat="1" applyFont="1" applyFill="1" applyBorder="1"/>
    <xf numFmtId="165" fontId="11" fillId="2" borderId="7" xfId="0" applyNumberFormat="1" applyFont="1" applyFill="1" applyBorder="1"/>
    <xf numFmtId="165" fontId="16" fillId="2" borderId="7" xfId="0" applyNumberFormat="1" applyFont="1" applyFill="1" applyBorder="1"/>
    <xf numFmtId="165" fontId="13" fillId="2" borderId="7" xfId="0" applyNumberFormat="1" applyFont="1" applyFill="1" applyBorder="1"/>
    <xf numFmtId="165" fontId="5" fillId="2" borderId="1" xfId="0" applyNumberFormat="1" applyFont="1" applyFill="1" applyBorder="1" applyAlignment="1">
      <alignment horizontal="centerContinuous"/>
    </xf>
    <xf numFmtId="165" fontId="22" fillId="2" borderId="2" xfId="0" applyNumberFormat="1" applyFont="1" applyFill="1" applyBorder="1" applyAlignment="1">
      <alignment horizontal="centerContinuous"/>
    </xf>
    <xf numFmtId="165" fontId="22" fillId="2" borderId="3" xfId="0" applyNumberFormat="1" applyFont="1" applyFill="1" applyBorder="1" applyAlignment="1">
      <alignment horizontal="centerContinuous"/>
    </xf>
    <xf numFmtId="0" fontId="5" fillId="2" borderId="1" xfId="0" applyFont="1" applyFill="1" applyBorder="1" applyAlignment="1">
      <alignment horizontal="centerContinuous"/>
    </xf>
    <xf numFmtId="0" fontId="0" fillId="2" borderId="2" xfId="0" applyFill="1" applyBorder="1" applyAlignment="1">
      <alignment horizontal="centerContinuous"/>
    </xf>
    <xf numFmtId="0" fontId="0" fillId="2" borderId="3" xfId="0" applyFill="1" applyBorder="1" applyAlignment="1">
      <alignment horizontal="centerContinuous"/>
    </xf>
    <xf numFmtId="165" fontId="31" fillId="0" borderId="0" xfId="0" applyNumberFormat="1" applyFont="1"/>
    <xf numFmtId="165" fontId="8" fillId="2" borderId="0" xfId="0" quotePrefix="1" applyNumberFormat="1" applyFont="1" applyFill="1" applyAlignment="1">
      <alignment horizontal="right"/>
    </xf>
    <xf numFmtId="2" fontId="0" fillId="2" borderId="0" xfId="0" applyNumberFormat="1" applyFill="1"/>
    <xf numFmtId="172" fontId="13" fillId="2" borderId="0" xfId="0" applyNumberFormat="1" applyFont="1" applyFill="1" applyAlignment="1">
      <alignment horizontal="right"/>
    </xf>
    <xf numFmtId="171" fontId="8" fillId="2" borderId="6" xfId="0" applyNumberFormat="1" applyFont="1" applyFill="1" applyBorder="1"/>
    <xf numFmtId="175" fontId="30" fillId="2" borderId="7" xfId="0" applyNumberFormat="1" applyFont="1" applyFill="1" applyBorder="1" applyAlignment="1">
      <alignment horizontal="right"/>
    </xf>
    <xf numFmtId="165" fontId="8" fillId="2" borderId="8" xfId="0" applyNumberFormat="1" applyFont="1" applyFill="1" applyBorder="1" applyAlignment="1">
      <alignment horizontal="centerContinuous"/>
    </xf>
    <xf numFmtId="165" fontId="7" fillId="2" borderId="0" xfId="0" applyNumberFormat="1" applyFont="1" applyFill="1" applyAlignment="1">
      <alignment horizontal="centerContinuous"/>
    </xf>
    <xf numFmtId="165" fontId="7" fillId="2" borderId="4" xfId="0" applyNumberFormat="1" applyFont="1" applyFill="1" applyBorder="1" applyAlignment="1">
      <alignment horizontal="centerContinuous"/>
    </xf>
    <xf numFmtId="165" fontId="7" fillId="2" borderId="5" xfId="0" applyNumberFormat="1" applyFont="1" applyFill="1" applyBorder="1" applyAlignment="1">
      <alignment horizontal="centerContinuous"/>
    </xf>
    <xf numFmtId="17" fontId="4" fillId="2" borderId="0" xfId="0" applyNumberFormat="1" applyFont="1" applyFill="1"/>
    <xf numFmtId="171" fontId="8" fillId="2" borderId="10" xfId="0" applyNumberFormat="1" applyFont="1" applyFill="1" applyBorder="1"/>
    <xf numFmtId="171" fontId="8" fillId="2" borderId="7" xfId="0" applyNumberFormat="1" applyFont="1" applyFill="1" applyBorder="1"/>
    <xf numFmtId="171" fontId="8" fillId="2" borderId="8" xfId="0" applyNumberFormat="1" applyFont="1" applyFill="1" applyBorder="1"/>
    <xf numFmtId="2" fontId="13" fillId="2" borderId="0" xfId="0" applyNumberFormat="1" applyFont="1" applyFill="1"/>
    <xf numFmtId="171" fontId="8" fillId="2" borderId="11" xfId="0" applyNumberFormat="1" applyFont="1" applyFill="1" applyBorder="1"/>
    <xf numFmtId="0" fontId="5" fillId="2" borderId="9" xfId="0" applyFont="1" applyFill="1" applyBorder="1" applyAlignment="1">
      <alignment horizontal="centerContinuous"/>
    </xf>
    <xf numFmtId="2" fontId="11" fillId="2" borderId="0" xfId="0" applyNumberFormat="1" applyFont="1" applyFill="1"/>
    <xf numFmtId="2" fontId="0" fillId="2" borderId="0" xfId="0" applyNumberFormat="1" applyFill="1" applyAlignment="1">
      <alignment horizontal="centerContinuous"/>
    </xf>
    <xf numFmtId="2" fontId="0" fillId="2" borderId="5" xfId="0" applyNumberFormat="1" applyFill="1" applyBorder="1" applyAlignment="1">
      <alignment horizontal="centerContinuous"/>
    </xf>
    <xf numFmtId="2" fontId="33" fillId="2" borderId="7" xfId="1" applyNumberFormat="1" applyFont="1" applyFill="1" applyBorder="1"/>
    <xf numFmtId="2" fontId="33" fillId="2" borderId="8" xfId="1" applyNumberFormat="1" applyFont="1" applyFill="1" applyBorder="1" applyAlignment="1">
      <alignment horizontal="center"/>
    </xf>
    <xf numFmtId="2" fontId="33" fillId="2" borderId="7" xfId="1" applyNumberFormat="1" applyFont="1" applyFill="1" applyBorder="1" applyAlignment="1">
      <alignment horizontal="center"/>
    </xf>
    <xf numFmtId="2" fontId="33" fillId="2" borderId="7" xfId="1" applyNumberFormat="1" applyFont="1" applyFill="1" applyBorder="1" applyAlignment="1"/>
    <xf numFmtId="0" fontId="6" fillId="2" borderId="2" xfId="0" applyFont="1" applyFill="1" applyBorder="1" applyAlignment="1">
      <alignment horizontal="centerContinuous"/>
    </xf>
    <xf numFmtId="165" fontId="16" fillId="2" borderId="5" xfId="0" applyNumberFormat="1" applyFont="1" applyFill="1" applyBorder="1"/>
    <xf numFmtId="10" fontId="7" fillId="2" borderId="5" xfId="1" applyNumberFormat="1" applyFont="1" applyFill="1" applyBorder="1" applyAlignment="1">
      <alignment horizontal="centerContinuous"/>
    </xf>
    <xf numFmtId="49" fontId="35" fillId="3" borderId="12" xfId="3" applyNumberFormat="1" applyFont="1" applyFill="1" applyBorder="1" applyAlignment="1">
      <alignment wrapText="1"/>
    </xf>
    <xf numFmtId="49" fontId="35" fillId="3" borderId="12" xfId="3" applyNumberFormat="1" applyFont="1" applyFill="1" applyBorder="1" applyAlignment="1">
      <alignment horizontal="center" wrapText="1"/>
    </xf>
    <xf numFmtId="0" fontId="36" fillId="3" borderId="12" xfId="3" applyFont="1" applyFill="1" applyBorder="1"/>
    <xf numFmtId="7" fontId="36" fillId="3" borderId="12" xfId="3" applyNumberFormat="1" applyFont="1" applyFill="1" applyBorder="1"/>
    <xf numFmtId="0" fontId="37" fillId="3" borderId="0" xfId="0" applyFont="1" applyFill="1"/>
    <xf numFmtId="0" fontId="38" fillId="4" borderId="0" xfId="0" applyFont="1" applyFill="1"/>
    <xf numFmtId="0" fontId="37" fillId="4" borderId="0" xfId="0" applyFont="1" applyFill="1"/>
    <xf numFmtId="6" fontId="37" fillId="4" borderId="0" xfId="0" applyNumberFormat="1" applyFont="1" applyFill="1"/>
    <xf numFmtId="9" fontId="37" fillId="4" borderId="0" xfId="0" applyNumberFormat="1" applyFont="1" applyFill="1"/>
    <xf numFmtId="0" fontId="37" fillId="3" borderId="7" xfId="0" applyFont="1" applyFill="1" applyBorder="1" applyAlignment="1">
      <alignment horizontal="center" vertical="center"/>
    </xf>
    <xf numFmtId="0" fontId="40" fillId="6" borderId="7" xfId="0" applyFont="1" applyFill="1" applyBorder="1" applyAlignment="1">
      <alignment horizontal="center" wrapText="1"/>
    </xf>
    <xf numFmtId="0" fontId="40" fillId="7" borderId="7" xfId="0" applyFont="1" applyFill="1" applyBorder="1" applyAlignment="1">
      <alignment horizontal="center" wrapText="1"/>
    </xf>
    <xf numFmtId="2" fontId="37" fillId="3" borderId="0" xfId="0" applyNumberFormat="1" applyFont="1" applyFill="1" applyAlignment="1">
      <alignment horizontal="left"/>
    </xf>
    <xf numFmtId="6" fontId="37" fillId="3" borderId="0" xfId="0" applyNumberFormat="1" applyFont="1" applyFill="1" applyAlignment="1">
      <alignment horizontal="center"/>
    </xf>
    <xf numFmtId="8" fontId="37" fillId="3" borderId="0" xfId="0" applyNumberFormat="1" applyFont="1" applyFill="1" applyAlignment="1">
      <alignment horizontal="center"/>
    </xf>
    <xf numFmtId="0" fontId="37" fillId="3" borderId="0" xfId="0" applyFont="1" applyFill="1" applyAlignment="1">
      <alignment horizontal="left"/>
    </xf>
    <xf numFmtId="8" fontId="37" fillId="3" borderId="0" xfId="0" applyNumberFormat="1" applyFont="1" applyFill="1" applyAlignment="1">
      <alignment horizontal="left"/>
    </xf>
    <xf numFmtId="0" fontId="37" fillId="3" borderId="0" xfId="0" applyFont="1" applyFill="1" applyAlignment="1">
      <alignment horizontal="center"/>
    </xf>
    <xf numFmtId="0" fontId="37" fillId="3" borderId="13" xfId="0" applyFont="1" applyFill="1" applyBorder="1" applyAlignment="1">
      <alignment horizontal="left"/>
    </xf>
    <xf numFmtId="0" fontId="37" fillId="3" borderId="13" xfId="0" applyFont="1" applyFill="1" applyBorder="1" applyAlignment="1">
      <alignment horizontal="center"/>
    </xf>
    <xf numFmtId="8" fontId="39" fillId="6" borderId="0" xfId="0" applyNumberFormat="1" applyFont="1" applyFill="1" applyAlignment="1">
      <alignment horizontal="center"/>
    </xf>
    <xf numFmtId="8" fontId="41" fillId="6" borderId="0" xfId="0" applyNumberFormat="1" applyFont="1" applyFill="1" applyAlignment="1">
      <alignment horizontal="center" wrapText="1"/>
    </xf>
    <xf numFmtId="8" fontId="39" fillId="3" borderId="0" xfId="0" applyNumberFormat="1" applyFont="1" applyFill="1" applyAlignment="1">
      <alignment horizontal="center"/>
    </xf>
    <xf numFmtId="8" fontId="41" fillId="3" borderId="0" xfId="0" applyNumberFormat="1" applyFont="1" applyFill="1" applyAlignment="1">
      <alignment horizontal="center"/>
    </xf>
    <xf numFmtId="8" fontId="37" fillId="3" borderId="14" xfId="0" applyNumberFormat="1" applyFont="1" applyFill="1" applyBorder="1" applyAlignment="1">
      <alignment horizontal="right"/>
    </xf>
    <xf numFmtId="0" fontId="37" fillId="3" borderId="0" xfId="4" applyFont="1" applyFill="1"/>
    <xf numFmtId="165" fontId="1" fillId="0" borderId="0" xfId="0" applyNumberFormat="1" applyFont="1"/>
    <xf numFmtId="39" fontId="0" fillId="0" borderId="0" xfId="0" applyNumberFormat="1"/>
    <xf numFmtId="165" fontId="0" fillId="0" borderId="5" xfId="0" applyNumberFormat="1" applyBorder="1"/>
    <xf numFmtId="39" fontId="1" fillId="0" borderId="0" xfId="0" applyNumberFormat="1" applyFont="1"/>
    <xf numFmtId="39" fontId="0" fillId="0" borderId="5" xfId="0" applyNumberFormat="1" applyBorder="1"/>
    <xf numFmtId="0" fontId="0" fillId="0" borderId="5" xfId="0" applyBorder="1"/>
    <xf numFmtId="172" fontId="0" fillId="0" borderId="5" xfId="0" applyNumberFormat="1" applyBorder="1"/>
    <xf numFmtId="9" fontId="0" fillId="0" borderId="7" xfId="1" applyFont="1" applyBorder="1"/>
    <xf numFmtId="9" fontId="0" fillId="0" borderId="8" xfId="1" applyFont="1" applyBorder="1"/>
    <xf numFmtId="0" fontId="0" fillId="0" borderId="15" xfId="0" applyBorder="1"/>
    <xf numFmtId="0" fontId="0" fillId="0" borderId="16" xfId="0" applyBorder="1"/>
    <xf numFmtId="165" fontId="1" fillId="0" borderId="9" xfId="0" applyNumberFormat="1" applyFont="1" applyBorder="1"/>
    <xf numFmtId="165" fontId="1" fillId="0" borderId="11" xfId="0" applyNumberFormat="1" applyFont="1" applyBorder="1"/>
    <xf numFmtId="0" fontId="39" fillId="3" borderId="13" xfId="0" applyFont="1" applyFill="1" applyBorder="1" applyAlignment="1">
      <alignment horizontal="center"/>
    </xf>
    <xf numFmtId="168" fontId="37" fillId="4" borderId="0" xfId="0" applyNumberFormat="1" applyFont="1" applyFill="1"/>
    <xf numFmtId="10" fontId="37" fillId="4" borderId="0" xfId="0" applyNumberFormat="1" applyFont="1" applyFill="1"/>
    <xf numFmtId="0" fontId="40" fillId="0" borderId="0" xfId="0" applyFont="1" applyAlignment="1">
      <alignment horizontal="center" wrapText="1"/>
    </xf>
    <xf numFmtId="168" fontId="0" fillId="0" borderId="0" xfId="1" applyNumberFormat="1" applyFont="1"/>
    <xf numFmtId="9" fontId="37" fillId="3" borderId="0" xfId="0" applyNumberFormat="1" applyFont="1" applyFill="1"/>
    <xf numFmtId="8" fontId="37" fillId="3" borderId="0" xfId="0" applyNumberFormat="1" applyFont="1" applyFill="1"/>
    <xf numFmtId="164" fontId="37" fillId="3" borderId="0" xfId="0" applyNumberFormat="1" applyFont="1" applyFill="1"/>
    <xf numFmtId="169" fontId="37" fillId="3" borderId="0" xfId="0" applyNumberFormat="1" applyFont="1" applyFill="1"/>
    <xf numFmtId="0" fontId="5" fillId="2" borderId="10" xfId="0" applyFont="1" applyFill="1" applyBorder="1" applyAlignment="1">
      <alignment horizontal="centerContinuous"/>
    </xf>
    <xf numFmtId="0" fontId="5" fillId="2" borderId="4" xfId="0" applyFont="1" applyFill="1" applyBorder="1" applyAlignment="1">
      <alignment horizontal="centerContinuous"/>
    </xf>
    <xf numFmtId="0" fontId="6" fillId="2" borderId="0" xfId="0" applyFont="1" applyFill="1" applyAlignment="1">
      <alignment horizontal="centerContinuous"/>
    </xf>
    <xf numFmtId="0" fontId="0" fillId="2" borderId="5" xfId="0" applyFill="1" applyBorder="1" applyAlignment="1">
      <alignment horizontal="centerContinuous"/>
    </xf>
    <xf numFmtId="0" fontId="5" fillId="2" borderId="9" xfId="0" applyFont="1" applyFill="1" applyBorder="1" applyAlignment="1">
      <alignment horizontal="right"/>
    </xf>
    <xf numFmtId="0" fontId="0" fillId="2" borderId="15" xfId="0" applyFill="1" applyBorder="1" applyAlignment="1">
      <alignment horizontal="centerContinuous"/>
    </xf>
    <xf numFmtId="0" fontId="0" fillId="2" borderId="16" xfId="0" applyFill="1" applyBorder="1" applyAlignment="1">
      <alignment horizontal="centerContinuous"/>
    </xf>
    <xf numFmtId="0" fontId="17" fillId="2" borderId="9" xfId="0" applyFont="1" applyFill="1" applyBorder="1" applyAlignment="1">
      <alignment horizontal="centerContinuous" vertical="center"/>
    </xf>
    <xf numFmtId="0" fontId="42" fillId="3" borderId="0" xfId="0" applyFont="1" applyFill="1"/>
    <xf numFmtId="165" fontId="43" fillId="2" borderId="6" xfId="0" applyNumberFormat="1" applyFont="1" applyFill="1" applyBorder="1"/>
    <xf numFmtId="7" fontId="43" fillId="2" borderId="7" xfId="0" applyNumberFormat="1" applyFont="1" applyFill="1" applyBorder="1"/>
    <xf numFmtId="178" fontId="0" fillId="0" borderId="0" xfId="0" applyNumberFormat="1"/>
    <xf numFmtId="2" fontId="37" fillId="3" borderId="0" xfId="0" applyNumberFormat="1" applyFont="1" applyFill="1" applyAlignment="1">
      <alignment horizontal="center"/>
    </xf>
    <xf numFmtId="2" fontId="39" fillId="3" borderId="13" xfId="0" applyNumberFormat="1" applyFont="1" applyFill="1" applyBorder="1" applyAlignment="1">
      <alignment horizontal="center"/>
    </xf>
    <xf numFmtId="8" fontId="37" fillId="0" borderId="0" xfId="0" applyNumberFormat="1" applyFont="1" applyAlignment="1">
      <alignment horizontal="center"/>
    </xf>
    <xf numFmtId="0" fontId="39" fillId="3" borderId="0" xfId="0" applyFont="1" applyFill="1" applyAlignment="1">
      <alignment horizontal="center"/>
    </xf>
    <xf numFmtId="9" fontId="0" fillId="0" borderId="0" xfId="1" applyFont="1" applyBorder="1"/>
    <xf numFmtId="9" fontId="0" fillId="0" borderId="5" xfId="1" applyFont="1" applyBorder="1"/>
    <xf numFmtId="165" fontId="1" fillId="0" borderId="7" xfId="0" applyNumberFormat="1" applyFont="1" applyBorder="1"/>
    <xf numFmtId="9" fontId="0" fillId="0" borderId="6" xfId="1" applyFont="1" applyBorder="1"/>
    <xf numFmtId="9" fontId="0" fillId="5" borderId="0" xfId="1" applyFont="1" applyFill="1"/>
    <xf numFmtId="9" fontId="1" fillId="0" borderId="0" xfId="1" applyFont="1"/>
    <xf numFmtId="0" fontId="0" fillId="0" borderId="1" xfId="0" applyBorder="1"/>
    <xf numFmtId="0" fontId="0" fillId="0" borderId="3" xfId="0" applyBorder="1"/>
    <xf numFmtId="10" fontId="0" fillId="0" borderId="3" xfId="0" applyNumberFormat="1" applyBorder="1"/>
    <xf numFmtId="10" fontId="0" fillId="0" borderId="0" xfId="0" applyNumberFormat="1"/>
    <xf numFmtId="0" fontId="0" fillId="0" borderId="17" xfId="0" applyBorder="1"/>
    <xf numFmtId="0" fontId="0" fillId="0" borderId="9" xfId="0" applyBorder="1"/>
    <xf numFmtId="0" fontId="0" fillId="0" borderId="4" xfId="0" applyBorder="1"/>
    <xf numFmtId="10" fontId="0" fillId="0" borderId="5" xfId="0" applyNumberFormat="1" applyBorder="1"/>
    <xf numFmtId="0" fontId="0" fillId="0" borderId="11" xfId="0" applyBorder="1"/>
    <xf numFmtId="10" fontId="0" fillId="0" borderId="5" xfId="1" applyNumberFormat="1" applyFont="1" applyBorder="1"/>
    <xf numFmtId="0" fontId="0" fillId="0" borderId="6" xfId="0" applyBorder="1"/>
    <xf numFmtId="0" fontId="0" fillId="0" borderId="10" xfId="0" applyBorder="1"/>
    <xf numFmtId="9" fontId="0" fillId="0" borderId="5" xfId="0" applyNumberFormat="1" applyBorder="1"/>
    <xf numFmtId="0" fontId="0" fillId="8" borderId="0" xfId="0" applyFill="1"/>
    <xf numFmtId="2" fontId="0" fillId="0" borderId="0" xfId="0" applyNumberFormat="1"/>
    <xf numFmtId="0" fontId="0" fillId="0" borderId="8" xfId="0" applyBorder="1"/>
    <xf numFmtId="0" fontId="0" fillId="8" borderId="17" xfId="0" applyFill="1" applyBorder="1"/>
    <xf numFmtId="0" fontId="0" fillId="8" borderId="15" xfId="0" applyFill="1" applyBorder="1"/>
    <xf numFmtId="0" fontId="45" fillId="0" borderId="0" xfId="0" applyFont="1"/>
    <xf numFmtId="0" fontId="0" fillId="0" borderId="9" xfId="0" applyBorder="1" applyAlignment="1">
      <alignment horizontal="center" wrapText="1"/>
    </xf>
    <xf numFmtId="0" fontId="0" fillId="9" borderId="9" xfId="0" applyFill="1" applyBorder="1"/>
    <xf numFmtId="0" fontId="0" fillId="10" borderId="0" xfId="0" applyFill="1"/>
    <xf numFmtId="10" fontId="44" fillId="0" borderId="9" xfId="1" applyNumberFormat="1" applyFont="1" applyBorder="1"/>
    <xf numFmtId="10" fontId="44" fillId="9" borderId="9" xfId="1" applyNumberFormat="1" applyFont="1" applyFill="1" applyBorder="1"/>
    <xf numFmtId="9" fontId="44" fillId="0" borderId="9" xfId="1" applyFont="1" applyBorder="1"/>
    <xf numFmtId="9" fontId="44" fillId="9" borderId="9" xfId="1" applyFont="1" applyFill="1" applyBorder="1"/>
    <xf numFmtId="0" fontId="0" fillId="8" borderId="0" xfId="0" applyFill="1" applyAlignment="1">
      <alignment horizontal="center" wrapText="1"/>
    </xf>
    <xf numFmtId="0" fontId="0" fillId="8" borderId="0" xfId="0" applyFill="1" applyAlignment="1">
      <alignment horizontal="center"/>
    </xf>
    <xf numFmtId="0" fontId="46" fillId="0" borderId="9" xfId="0" applyFont="1" applyBorder="1"/>
    <xf numFmtId="9" fontId="0" fillId="0" borderId="9" xfId="0" applyNumberFormat="1" applyBorder="1"/>
    <xf numFmtId="10" fontId="0" fillId="0" borderId="9" xfId="0" applyNumberFormat="1" applyBorder="1"/>
    <xf numFmtId="10" fontId="0" fillId="9" borderId="9" xfId="0" applyNumberFormat="1" applyFill="1" applyBorder="1"/>
    <xf numFmtId="10" fontId="44" fillId="9" borderId="9" xfId="0" applyNumberFormat="1" applyFont="1" applyFill="1" applyBorder="1"/>
    <xf numFmtId="0" fontId="47" fillId="0" borderId="0" xfId="0" applyFont="1"/>
    <xf numFmtId="0" fontId="1" fillId="0" borderId="9" xfId="0" applyFont="1" applyBorder="1"/>
    <xf numFmtId="0" fontId="1" fillId="0" borderId="0" xfId="0" applyFont="1" applyAlignment="1">
      <alignment horizontal="center"/>
    </xf>
    <xf numFmtId="0" fontId="1" fillId="0" borderId="4" xfId="0" applyFont="1" applyBorder="1"/>
    <xf numFmtId="0" fontId="1" fillId="0" borderId="6" xfId="0" applyFont="1" applyBorder="1"/>
    <xf numFmtId="0" fontId="0" fillId="0" borderId="18" xfId="0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7" xfId="0" applyNumberFormat="1" applyBorder="1"/>
    <xf numFmtId="10" fontId="0" fillId="0" borderId="7" xfId="1" applyNumberFormat="1" applyFont="1" applyBorder="1"/>
    <xf numFmtId="10" fontId="0" fillId="0" borderId="8" xfId="1" applyNumberFormat="1" applyFont="1" applyBorder="1"/>
    <xf numFmtId="0" fontId="1" fillId="0" borderId="10" xfId="0" applyFont="1" applyBorder="1"/>
    <xf numFmtId="0" fontId="1" fillId="0" borderId="18" xfId="0" applyFont="1" applyBorder="1"/>
    <xf numFmtId="17" fontId="4" fillId="2" borderId="5" xfId="0" applyNumberFormat="1" applyFont="1" applyFill="1" applyBorder="1"/>
    <xf numFmtId="0" fontId="27" fillId="2" borderId="5" xfId="0" applyFont="1" applyFill="1" applyBorder="1"/>
    <xf numFmtId="2" fontId="13" fillId="2" borderId="5" xfId="0" applyNumberFormat="1" applyFont="1" applyFill="1" applyBorder="1"/>
    <xf numFmtId="165" fontId="13" fillId="2" borderId="5" xfId="0" applyNumberFormat="1" applyFont="1" applyFill="1" applyBorder="1"/>
    <xf numFmtId="165" fontId="14" fillId="2" borderId="5" xfId="0" applyNumberFormat="1" applyFont="1" applyFill="1" applyBorder="1" applyAlignment="1">
      <alignment horizontal="right"/>
    </xf>
    <xf numFmtId="165" fontId="16" fillId="2" borderId="5" xfId="0" applyNumberFormat="1" applyFont="1" applyFill="1" applyBorder="1" applyAlignment="1">
      <alignment horizontal="right"/>
    </xf>
    <xf numFmtId="165" fontId="13" fillId="2" borderId="8" xfId="0" applyNumberFormat="1" applyFont="1" applyFill="1" applyBorder="1"/>
    <xf numFmtId="10" fontId="37" fillId="3" borderId="0" xfId="0" applyNumberFormat="1" applyFont="1" applyFill="1"/>
    <xf numFmtId="10" fontId="1" fillId="0" borderId="5" xfId="1" applyNumberFormat="1" applyFont="1" applyBorder="1"/>
    <xf numFmtId="9" fontId="44" fillId="0" borderId="16" xfId="1" applyFont="1" applyBorder="1"/>
    <xf numFmtId="10" fontId="1" fillId="0" borderId="5" xfId="0" applyNumberFormat="1" applyFont="1" applyBorder="1"/>
    <xf numFmtId="2" fontId="43" fillId="2" borderId="0" xfId="0" applyNumberFormat="1" applyFont="1" applyFill="1"/>
    <xf numFmtId="168" fontId="1" fillId="0" borderId="9" xfId="1" applyNumberFormat="1" applyFont="1" applyBorder="1"/>
    <xf numFmtId="168" fontId="0" fillId="0" borderId="9" xfId="1" applyNumberFormat="1" applyFont="1" applyBorder="1"/>
    <xf numFmtId="168" fontId="0" fillId="0" borderId="10" xfId="1" applyNumberFormat="1" applyFont="1" applyBorder="1"/>
    <xf numFmtId="165" fontId="1" fillId="0" borderId="17" xfId="0" applyNumberFormat="1" applyFont="1" applyBorder="1"/>
    <xf numFmtId="165" fontId="0" fillId="0" borderId="16" xfId="0" applyNumberFormat="1" applyBorder="1"/>
    <xf numFmtId="168" fontId="0" fillId="0" borderId="6" xfId="1" applyNumberFormat="1" applyFont="1" applyBorder="1"/>
    <xf numFmtId="168" fontId="0" fillId="0" borderId="5" xfId="0" applyNumberFormat="1" applyBorder="1"/>
    <xf numFmtId="165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2" fontId="0" fillId="0" borderId="9" xfId="0" applyNumberFormat="1" applyBorder="1"/>
    <xf numFmtId="1" fontId="0" fillId="0" borderId="9" xfId="1" applyNumberFormat="1" applyFont="1" applyBorder="1"/>
    <xf numFmtId="1" fontId="0" fillId="0" borderId="9" xfId="0" applyNumberFormat="1" applyBorder="1"/>
    <xf numFmtId="0" fontId="1" fillId="0" borderId="0" xfId="0" applyFont="1" applyAlignment="1">
      <alignment horizontal="center" wrapText="1"/>
    </xf>
    <xf numFmtId="180" fontId="0" fillId="0" borderId="0" xfId="0" applyNumberFormat="1"/>
    <xf numFmtId="181" fontId="0" fillId="0" borderId="0" xfId="0" applyNumberFormat="1"/>
    <xf numFmtId="0" fontId="34" fillId="0" borderId="0" xfId="0" applyFont="1"/>
    <xf numFmtId="0" fontId="48" fillId="0" borderId="0" xfId="0" applyFont="1"/>
    <xf numFmtId="0" fontId="34" fillId="0" borderId="9" xfId="0" applyFont="1" applyBorder="1"/>
    <xf numFmtId="0" fontId="34" fillId="0" borderId="9" xfId="0" applyFont="1" applyBorder="1" applyAlignment="1">
      <alignment horizontal="center"/>
    </xf>
    <xf numFmtId="0" fontId="34" fillId="0" borderId="4" xfId="0" applyFont="1" applyBorder="1"/>
    <xf numFmtId="0" fontId="34" fillId="0" borderId="0" xfId="0" applyFont="1" applyAlignment="1">
      <alignment horizontal="center"/>
    </xf>
    <xf numFmtId="10" fontId="0" fillId="0" borderId="0" xfId="1" applyNumberFormat="1" applyFont="1" applyBorder="1"/>
    <xf numFmtId="0" fontId="49" fillId="0" borderId="0" xfId="0" applyFont="1"/>
    <xf numFmtId="0" fontId="0" fillId="0" borderId="0" xfId="1" applyNumberFormat="1" applyFont="1" applyBorder="1"/>
    <xf numFmtId="2" fontId="0" fillId="0" borderId="7" xfId="0" applyNumberFormat="1" applyBorder="1"/>
    <xf numFmtId="0" fontId="0" fillId="0" borderId="7" xfId="0" applyBorder="1"/>
    <xf numFmtId="0" fontId="34" fillId="8" borderId="17" xfId="0" applyFont="1" applyFill="1" applyBorder="1"/>
    <xf numFmtId="0" fontId="50" fillId="0" borderId="15" xfId="0" applyFont="1" applyBorder="1"/>
    <xf numFmtId="10" fontId="50" fillId="0" borderId="15" xfId="0" applyNumberFormat="1" applyFont="1" applyBorder="1"/>
    <xf numFmtId="0" fontId="50" fillId="0" borderId="16" xfId="0" applyFont="1" applyBorder="1"/>
    <xf numFmtId="10" fontId="0" fillId="8" borderId="0" xfId="0" applyNumberFormat="1" applyFill="1"/>
    <xf numFmtId="0" fontId="0" fillId="11" borderId="0" xfId="0" applyFill="1"/>
    <xf numFmtId="0" fontId="1" fillId="11" borderId="0" xfId="0" applyFont="1" applyFill="1" applyAlignment="1">
      <alignment horizontal="center"/>
    </xf>
    <xf numFmtId="0" fontId="1" fillId="0" borderId="9" xfId="0" applyFont="1" applyBorder="1" applyAlignment="1">
      <alignment wrapText="1"/>
    </xf>
    <xf numFmtId="0" fontId="1" fillId="0" borderId="9" xfId="0" applyFont="1" applyBorder="1" applyAlignment="1">
      <alignment horizontal="center" wrapText="1"/>
    </xf>
    <xf numFmtId="165" fontId="0" fillId="0" borderId="4" xfId="0" applyNumberFormat="1" applyBorder="1"/>
    <xf numFmtId="165" fontId="0" fillId="0" borderId="4" xfId="0" applyNumberFormat="1" applyBorder="1" applyAlignment="1">
      <alignment wrapText="1"/>
    </xf>
    <xf numFmtId="165" fontId="1" fillId="0" borderId="6" xfId="0" applyNumberFormat="1" applyFont="1" applyBorder="1" applyAlignment="1">
      <alignment wrapText="1"/>
    </xf>
    <xf numFmtId="0" fontId="1" fillId="0" borderId="17" xfId="0" applyFont="1" applyBorder="1"/>
    <xf numFmtId="0" fontId="1" fillId="0" borderId="16" xfId="0" applyFont="1" applyBorder="1" applyAlignment="1">
      <alignment wrapText="1"/>
    </xf>
    <xf numFmtId="165" fontId="1" fillId="0" borderId="10" xfId="0" applyNumberFormat="1" applyFont="1" applyBorder="1"/>
    <xf numFmtId="0" fontId="0" fillId="0" borderId="2" xfId="0" applyBorder="1"/>
    <xf numFmtId="179" fontId="1" fillId="0" borderId="0" xfId="0" applyNumberFormat="1" applyFont="1"/>
    <xf numFmtId="0" fontId="1" fillId="0" borderId="0" xfId="0" applyFont="1"/>
    <xf numFmtId="10" fontId="0" fillId="0" borderId="8" xfId="0" applyNumberFormat="1" applyBorder="1"/>
    <xf numFmtId="0" fontId="0" fillId="6" borderId="2" xfId="0" applyFill="1" applyBorder="1"/>
    <xf numFmtId="0" fontId="1" fillId="6" borderId="2" xfId="0" applyFont="1" applyFill="1" applyBorder="1"/>
    <xf numFmtId="10" fontId="0" fillId="6" borderId="2" xfId="0" applyNumberFormat="1" applyFill="1" applyBorder="1"/>
    <xf numFmtId="0" fontId="0" fillId="6" borderId="0" xfId="0" applyFill="1"/>
    <xf numFmtId="10" fontId="0" fillId="6" borderId="0" xfId="0" applyNumberFormat="1" applyFill="1"/>
    <xf numFmtId="0" fontId="0" fillId="6" borderId="7" xfId="0" applyFill="1" applyBorder="1"/>
    <xf numFmtId="165" fontId="1" fillId="8" borderId="20" xfId="0" applyNumberFormat="1" applyFont="1" applyFill="1" applyBorder="1" applyAlignment="1">
      <alignment wrapText="1"/>
    </xf>
    <xf numFmtId="0" fontId="1" fillId="0" borderId="20" xfId="0" applyFont="1" applyBorder="1"/>
    <xf numFmtId="0" fontId="1" fillId="13" borderId="0" xfId="0" applyFont="1" applyFill="1"/>
    <xf numFmtId="165" fontId="1" fillId="6" borderId="21" xfId="0" applyNumberFormat="1" applyFont="1" applyFill="1" applyBorder="1" applyAlignment="1">
      <alignment wrapText="1"/>
    </xf>
    <xf numFmtId="165" fontId="1" fillId="6" borderId="22" xfId="0" applyNumberFormat="1" applyFont="1" applyFill="1" applyBorder="1" applyAlignment="1">
      <alignment wrapText="1"/>
    </xf>
    <xf numFmtId="0" fontId="0" fillId="6" borderId="23" xfId="0" applyFill="1" applyBorder="1"/>
    <xf numFmtId="0" fontId="0" fillId="6" borderId="24" xfId="0" applyFill="1" applyBorder="1"/>
    <xf numFmtId="0" fontId="0" fillId="6" borderId="25" xfId="0" applyFill="1" applyBorder="1"/>
    <xf numFmtId="0" fontId="0" fillId="6" borderId="26" xfId="0" applyFill="1" applyBorder="1"/>
    <xf numFmtId="10" fontId="0" fillId="6" borderId="25" xfId="0" applyNumberFormat="1" applyFill="1" applyBorder="1"/>
    <xf numFmtId="10" fontId="0" fillId="6" borderId="26" xfId="0" applyNumberFormat="1" applyFill="1" applyBorder="1"/>
    <xf numFmtId="10" fontId="0" fillId="0" borderId="24" xfId="1" applyNumberFormat="1" applyFont="1" applyFill="1" applyBorder="1"/>
    <xf numFmtId="10" fontId="33" fillId="0" borderId="24" xfId="1" applyNumberFormat="1" applyFont="1" applyFill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1" fillId="0" borderId="24" xfId="0" applyFont="1" applyBorder="1"/>
    <xf numFmtId="0" fontId="0" fillId="0" borderId="28" xfId="0" applyBorder="1"/>
    <xf numFmtId="165" fontId="1" fillId="0" borderId="24" xfId="0" applyNumberFormat="1" applyFont="1" applyBorder="1"/>
    <xf numFmtId="0" fontId="0" fillId="0" borderId="24" xfId="0" applyBorder="1"/>
    <xf numFmtId="10" fontId="0" fillId="0" borderId="28" xfId="0" applyNumberFormat="1" applyBorder="1"/>
    <xf numFmtId="10" fontId="1" fillId="0" borderId="0" xfId="0" applyNumberFormat="1" applyFont="1"/>
    <xf numFmtId="9" fontId="0" fillId="0" borderId="0" xfId="0" applyNumberFormat="1"/>
    <xf numFmtId="0" fontId="1" fillId="0" borderId="32" xfId="0" applyFont="1" applyBorder="1"/>
    <xf numFmtId="0" fontId="0" fillId="0" borderId="19" xfId="0" applyBorder="1"/>
    <xf numFmtId="0" fontId="0" fillId="0" borderId="33" xfId="0" applyBorder="1"/>
    <xf numFmtId="165" fontId="0" fillId="0" borderId="32" xfId="0" applyNumberFormat="1" applyBorder="1"/>
    <xf numFmtId="165" fontId="0" fillId="0" borderId="19" xfId="0" applyNumberFormat="1" applyBorder="1"/>
    <xf numFmtId="165" fontId="0" fillId="0" borderId="33" xfId="0" applyNumberFormat="1" applyBorder="1"/>
    <xf numFmtId="0" fontId="43" fillId="0" borderId="34" xfId="0" applyFont="1" applyBorder="1"/>
    <xf numFmtId="0" fontId="0" fillId="0" borderId="35" xfId="0" applyBorder="1"/>
    <xf numFmtId="165" fontId="29" fillId="12" borderId="20" xfId="0" applyNumberFormat="1" applyFont="1" applyFill="1" applyBorder="1"/>
    <xf numFmtId="165" fontId="29" fillId="12" borderId="20" xfId="0" applyNumberFormat="1" applyFont="1" applyFill="1" applyBorder="1" applyAlignment="1">
      <alignment wrapText="1"/>
    </xf>
    <xf numFmtId="165" fontId="1" fillId="0" borderId="36" xfId="0" applyNumberFormat="1" applyFont="1" applyBorder="1"/>
    <xf numFmtId="165" fontId="29" fillId="0" borderId="37" xfId="0" applyNumberFormat="1" applyFont="1" applyBorder="1"/>
    <xf numFmtId="165" fontId="29" fillId="0" borderId="38" xfId="0" applyNumberFormat="1" applyFont="1" applyBorder="1"/>
    <xf numFmtId="0" fontId="0" fillId="0" borderId="39" xfId="0" applyBorder="1"/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82" fontId="17" fillId="0" borderId="0" xfId="0" applyNumberFormat="1" applyFont="1"/>
    <xf numFmtId="165" fontId="33" fillId="0" borderId="0" xfId="0" applyNumberFormat="1" applyFont="1"/>
    <xf numFmtId="165" fontId="0" fillId="0" borderId="0" xfId="0" applyNumberFormat="1" applyAlignment="1">
      <alignment horizontal="centerContinuous"/>
    </xf>
    <xf numFmtId="0" fontId="15" fillId="0" borderId="0" xfId="0" applyFont="1"/>
    <xf numFmtId="167" fontId="9" fillId="0" borderId="40" xfId="0" applyNumberFormat="1" applyFont="1" applyBorder="1"/>
    <xf numFmtId="167" fontId="10" fillId="0" borderId="41" xfId="0" applyNumberFormat="1" applyFont="1" applyBorder="1"/>
    <xf numFmtId="183" fontId="9" fillId="0" borderId="42" xfId="0" applyNumberFormat="1" applyFont="1" applyBorder="1" applyAlignment="1">
      <alignment horizontal="center"/>
    </xf>
    <xf numFmtId="165" fontId="13" fillId="0" borderId="0" xfId="0" applyNumberFormat="1" applyFont="1" applyAlignment="1">
      <alignment horizontal="right"/>
    </xf>
    <xf numFmtId="165" fontId="17" fillId="0" borderId="0" xfId="0" applyNumberFormat="1" applyFont="1"/>
    <xf numFmtId="167" fontId="13" fillId="0" borderId="0" xfId="0" applyNumberFormat="1" applyFont="1"/>
    <xf numFmtId="17" fontId="4" fillId="0" borderId="0" xfId="0" applyNumberFormat="1" applyFont="1"/>
    <xf numFmtId="37" fontId="0" fillId="0" borderId="0" xfId="0" applyNumberFormat="1"/>
    <xf numFmtId="173" fontId="33" fillId="0" borderId="0" xfId="0" applyNumberFormat="1" applyFont="1"/>
    <xf numFmtId="165" fontId="51" fillId="0" borderId="0" xfId="0" applyNumberFormat="1" applyFont="1"/>
    <xf numFmtId="2" fontId="0" fillId="0" borderId="20" xfId="0" applyNumberFormat="1" applyBorder="1"/>
    <xf numFmtId="14" fontId="0" fillId="0" borderId="0" xfId="0" applyNumberFormat="1"/>
    <xf numFmtId="14" fontId="0" fillId="0" borderId="4" xfId="0" applyNumberFormat="1" applyBorder="1"/>
    <xf numFmtId="14" fontId="0" fillId="0" borderId="6" xfId="0" applyNumberFormat="1" applyBorder="1"/>
    <xf numFmtId="14" fontId="0" fillId="0" borderId="7" xfId="0" applyNumberFormat="1" applyBorder="1"/>
    <xf numFmtId="0" fontId="1" fillId="0" borderId="8" xfId="0" applyFont="1" applyBorder="1"/>
    <xf numFmtId="0" fontId="1" fillId="0" borderId="7" xfId="0" applyFont="1" applyBorder="1" applyAlignment="1">
      <alignment horizontal="right"/>
    </xf>
    <xf numFmtId="0" fontId="43" fillId="12" borderId="0" xfId="0" applyFont="1" applyFill="1"/>
    <xf numFmtId="2" fontId="0" fillId="0" borderId="5" xfId="0" applyNumberFormat="1" applyBorder="1"/>
    <xf numFmtId="0" fontId="1" fillId="0" borderId="5" xfId="0" applyFont="1" applyBorder="1"/>
    <xf numFmtId="0" fontId="1" fillId="12" borderId="9" xfId="0" applyFont="1" applyFill="1" applyBorder="1"/>
    <xf numFmtId="0" fontId="0" fillId="12" borderId="9" xfId="0" applyFill="1" applyBorder="1"/>
    <xf numFmtId="0" fontId="53" fillId="0" borderId="0" xfId="0" applyFont="1"/>
    <xf numFmtId="2" fontId="53" fillId="0" borderId="0" xfId="0" applyNumberFormat="1" applyFont="1"/>
    <xf numFmtId="0" fontId="54" fillId="0" borderId="43" xfId="0" applyFont="1" applyBorder="1" applyAlignment="1">
      <alignment horizontal="centerContinuous"/>
    </xf>
    <xf numFmtId="0" fontId="0" fillId="0" borderId="44" xfId="0" applyBorder="1"/>
    <xf numFmtId="0" fontId="54" fillId="0" borderId="43" xfId="0" applyFont="1" applyBorder="1" applyAlignment="1">
      <alignment horizontal="center"/>
    </xf>
    <xf numFmtId="165" fontId="1" fillId="6" borderId="10" xfId="0" applyNumberFormat="1" applyFont="1" applyFill="1" applyBorder="1" applyAlignment="1">
      <alignment wrapText="1"/>
    </xf>
    <xf numFmtId="165" fontId="1" fillId="6" borderId="7" xfId="0" applyNumberFormat="1" applyFont="1" applyFill="1" applyBorder="1"/>
    <xf numFmtId="10" fontId="0" fillId="6" borderId="7" xfId="1" applyNumberFormat="1" applyFont="1" applyFill="1" applyBorder="1"/>
    <xf numFmtId="165" fontId="1" fillId="6" borderId="4" xfId="0" applyNumberFormat="1" applyFont="1" applyFill="1" applyBorder="1" applyAlignment="1">
      <alignment wrapText="1"/>
    </xf>
    <xf numFmtId="0" fontId="0" fillId="6" borderId="4" xfId="0" applyFill="1" applyBorder="1"/>
    <xf numFmtId="0" fontId="0" fillId="6" borderId="10" xfId="0" applyFill="1" applyBorder="1"/>
    <xf numFmtId="10" fontId="43" fillId="6" borderId="4" xfId="0" applyNumberFormat="1" applyFont="1" applyFill="1" applyBorder="1"/>
    <xf numFmtId="10" fontId="33" fillId="6" borderId="11" xfId="0" applyNumberFormat="1" applyFont="1" applyFill="1" applyBorder="1"/>
    <xf numFmtId="2" fontId="33" fillId="6" borderId="7" xfId="0" applyNumberFormat="1" applyFont="1" applyFill="1" applyBorder="1"/>
    <xf numFmtId="2" fontId="33" fillId="6" borderId="27" xfId="0" applyNumberFormat="1" applyFont="1" applyFill="1" applyBorder="1"/>
    <xf numFmtId="2" fontId="33" fillId="6" borderId="45" xfId="0" applyNumberFormat="1" applyFont="1" applyFill="1" applyBorder="1"/>
    <xf numFmtId="2" fontId="43" fillId="6" borderId="17" xfId="0" applyNumberFormat="1" applyFont="1" applyFill="1" applyBorder="1"/>
    <xf numFmtId="2" fontId="43" fillId="6" borderId="9" xfId="0" applyNumberFormat="1" applyFont="1" applyFill="1" applyBorder="1"/>
    <xf numFmtId="2" fontId="43" fillId="6" borderId="16" xfId="0" applyNumberFormat="1" applyFont="1" applyFill="1" applyBorder="1"/>
    <xf numFmtId="0" fontId="1" fillId="8" borderId="0" xfId="0" applyFont="1" applyFill="1"/>
    <xf numFmtId="0" fontId="53" fillId="0" borderId="9" xfId="0" applyFont="1" applyBorder="1"/>
    <xf numFmtId="0" fontId="53" fillId="0" borderId="4" xfId="0" applyFont="1" applyBorder="1"/>
    <xf numFmtId="0" fontId="53" fillId="0" borderId="5" xfId="0" applyFont="1" applyBorder="1"/>
    <xf numFmtId="0" fontId="53" fillId="0" borderId="6" xfId="0" applyFont="1" applyBorder="1"/>
    <xf numFmtId="0" fontId="53" fillId="0" borderId="7" xfId="0" applyFont="1" applyBorder="1"/>
    <xf numFmtId="0" fontId="53" fillId="0" borderId="8" xfId="0" applyFont="1" applyBorder="1"/>
    <xf numFmtId="0" fontId="53" fillId="0" borderId="1" xfId="0" applyFont="1" applyBorder="1"/>
    <xf numFmtId="0" fontId="52" fillId="0" borderId="0" xfId="0" applyFont="1"/>
    <xf numFmtId="0" fontId="52" fillId="0" borderId="7" xfId="0" applyFont="1" applyBorder="1"/>
    <xf numFmtId="2" fontId="53" fillId="0" borderId="5" xfId="0" applyNumberFormat="1" applyFont="1" applyBorder="1"/>
    <xf numFmtId="2" fontId="53" fillId="0" borderId="8" xfId="0" applyNumberFormat="1" applyFont="1" applyBorder="1"/>
    <xf numFmtId="2" fontId="53" fillId="0" borderId="9" xfId="0" applyNumberFormat="1" applyFont="1" applyBorder="1"/>
    <xf numFmtId="0" fontId="53" fillId="0" borderId="10" xfId="0" applyFont="1" applyBorder="1"/>
    <xf numFmtId="0" fontId="53" fillId="0" borderId="18" xfId="0" applyFont="1" applyBorder="1"/>
    <xf numFmtId="37" fontId="13" fillId="0" borderId="0" xfId="0" applyNumberFormat="1" applyFont="1"/>
    <xf numFmtId="169" fontId="8" fillId="0" borderId="0" xfId="0" applyNumberFormat="1" applyFont="1"/>
    <xf numFmtId="0" fontId="0" fillId="8" borderId="9" xfId="0" applyFill="1" applyBorder="1"/>
    <xf numFmtId="2" fontId="44" fillId="0" borderId="9" xfId="0" applyNumberFormat="1" applyFont="1" applyBorder="1"/>
    <xf numFmtId="0" fontId="1" fillId="8" borderId="9" xfId="0" applyFont="1" applyFill="1" applyBorder="1"/>
    <xf numFmtId="165" fontId="0" fillId="0" borderId="0" xfId="0" applyNumberFormat="1" applyAlignment="1">
      <alignment horizontal="right" indent="1"/>
    </xf>
    <xf numFmtId="165" fontId="0" fillId="0" borderId="0" xfId="0" applyNumberFormat="1" applyAlignment="1">
      <alignment horizontal="right"/>
    </xf>
    <xf numFmtId="8" fontId="39" fillId="3" borderId="13" xfId="0" applyNumberFormat="1" applyFont="1" applyFill="1" applyBorder="1" applyAlignment="1">
      <alignment horizontal="center"/>
    </xf>
    <xf numFmtId="184" fontId="5" fillId="2" borderId="9" xfId="0" applyNumberFormat="1" applyFont="1" applyFill="1" applyBorder="1" applyAlignment="1">
      <alignment horizontal="centerContinuous"/>
    </xf>
    <xf numFmtId="2" fontId="43" fillId="0" borderId="0" xfId="0" applyNumberFormat="1" applyFont="1" applyAlignment="1">
      <alignment horizontal="centerContinuous"/>
    </xf>
    <xf numFmtId="2" fontId="43" fillId="0" borderId="0" xfId="0" applyNumberFormat="1" applyFont="1"/>
    <xf numFmtId="2" fontId="33" fillId="2" borderId="0" xfId="0" applyNumberFormat="1" applyFont="1" applyFill="1"/>
    <xf numFmtId="172" fontId="33" fillId="0" borderId="0" xfId="0" applyNumberFormat="1" applyFont="1"/>
    <xf numFmtId="175" fontId="12" fillId="2" borderId="0" xfId="0" applyNumberFormat="1" applyFont="1" applyFill="1" applyAlignment="1">
      <alignment horizontal="centerContinuous"/>
    </xf>
    <xf numFmtId="175" fontId="55" fillId="2" borderId="0" xfId="0" applyNumberFormat="1" applyFont="1" applyFill="1" applyAlignment="1">
      <alignment horizontal="centerContinuous"/>
    </xf>
    <xf numFmtId="0" fontId="1" fillId="0" borderId="11" xfId="0" applyFont="1" applyBorder="1"/>
    <xf numFmtId="165" fontId="1" fillId="0" borderId="11" xfId="0" applyNumberFormat="1" applyFont="1" applyBorder="1" applyAlignment="1">
      <alignment wrapText="1"/>
    </xf>
    <xf numFmtId="0" fontId="1" fillId="0" borderId="16" xfId="0" applyFont="1" applyBorder="1"/>
    <xf numFmtId="0" fontId="5" fillId="0" borderId="0" xfId="0" applyFont="1" applyAlignment="1">
      <alignment horizontal="right"/>
    </xf>
    <xf numFmtId="0" fontId="17" fillId="0" borderId="0" xfId="0" applyFont="1" applyAlignment="1">
      <alignment horizontal="centerContinuous" vertical="center"/>
    </xf>
    <xf numFmtId="0" fontId="0" fillId="0" borderId="0" xfId="0" applyAlignment="1">
      <alignment horizontal="centerContinuous"/>
    </xf>
    <xf numFmtId="184" fontId="5" fillId="0" borderId="0" xfId="0" applyNumberFormat="1" applyFont="1" applyAlignment="1">
      <alignment horizontal="centerContinuous"/>
    </xf>
    <xf numFmtId="171" fontId="8" fillId="0" borderId="0" xfId="0" applyNumberFormat="1" applyFont="1"/>
    <xf numFmtId="2" fontId="11" fillId="0" borderId="0" xfId="0" applyNumberFormat="1" applyFont="1"/>
    <xf numFmtId="2" fontId="0" fillId="0" borderId="0" xfId="0" applyNumberFormat="1" applyAlignment="1">
      <alignment horizontal="centerContinuous"/>
    </xf>
    <xf numFmtId="2" fontId="33" fillId="0" borderId="0" xfId="1" applyNumberFormat="1" applyFont="1" applyFill="1" applyBorder="1"/>
    <xf numFmtId="2" fontId="33" fillId="0" borderId="0" xfId="1" applyNumberFormat="1" applyFont="1" applyFill="1" applyBorder="1" applyAlignment="1"/>
    <xf numFmtId="2" fontId="33" fillId="0" borderId="0" xfId="1" applyNumberFormat="1" applyFont="1" applyFill="1" applyBorder="1" applyAlignment="1">
      <alignment horizontal="center"/>
    </xf>
    <xf numFmtId="0" fontId="57" fillId="0" borderId="0" xfId="0" applyFont="1"/>
    <xf numFmtId="0" fontId="53" fillId="0" borderId="11" xfId="0" applyFont="1" applyBorder="1"/>
    <xf numFmtId="0" fontId="1" fillId="0" borderId="9" xfId="0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9" fontId="1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9" fontId="1" fillId="0" borderId="6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9" fillId="0" borderId="0" xfId="0" applyFont="1"/>
    <xf numFmtId="0" fontId="0" fillId="0" borderId="0" xfId="0"/>
    <xf numFmtId="0" fontId="34" fillId="0" borderId="0" xfId="0" applyFont="1"/>
    <xf numFmtId="168" fontId="0" fillId="0" borderId="17" xfId="1" applyNumberFormat="1" applyFont="1" applyBorder="1" applyAlignment="1">
      <alignment horizontal="center"/>
    </xf>
    <xf numFmtId="168" fontId="0" fillId="0" borderId="16" xfId="1" applyNumberFormat="1" applyFont="1" applyBorder="1" applyAlignment="1">
      <alignment horizontal="center"/>
    </xf>
    <xf numFmtId="168" fontId="0" fillId="0" borderId="7" xfId="1" applyNumberFormat="1" applyFont="1" applyBorder="1" applyAlignment="1">
      <alignment horizontal="center"/>
    </xf>
    <xf numFmtId="168" fontId="0" fillId="0" borderId="8" xfId="1" applyNumberFormat="1" applyFont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165" fontId="56" fillId="0" borderId="0" xfId="0" applyNumberFormat="1" applyFont="1" applyAlignment="1">
      <alignment horizontal="center"/>
    </xf>
    <xf numFmtId="165" fontId="1" fillId="5" borderId="0" xfId="0" applyNumberFormat="1" applyFont="1" applyFill="1" applyAlignment="1">
      <alignment horizontal="center"/>
    </xf>
    <xf numFmtId="0" fontId="39" fillId="5" borderId="0" xfId="0" applyFont="1" applyFill="1" applyAlignment="1">
      <alignment horizontal="center" vertical="center"/>
    </xf>
    <xf numFmtId="0" fontId="39" fillId="0" borderId="0" xfId="0" applyFont="1" applyAlignment="1">
      <alignment horizontal="center" wrapText="1"/>
    </xf>
    <xf numFmtId="0" fontId="39" fillId="0" borderId="0" xfId="0" applyFont="1" applyAlignment="1">
      <alignment horizontal="center"/>
    </xf>
    <xf numFmtId="0" fontId="1" fillId="8" borderId="5" xfId="0" applyFont="1" applyFill="1" applyBorder="1" applyAlignment="1">
      <alignment horizontal="right" vertical="center" wrapText="1"/>
    </xf>
    <xf numFmtId="0" fontId="1" fillId="11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12" borderId="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0" xfId="0" applyFont="1" applyBorder="1" applyAlignment="1">
      <alignment horizontal="center"/>
    </xf>
    <xf numFmtId="0" fontId="53" fillId="0" borderId="17" xfId="0" applyFont="1" applyBorder="1" applyAlignment="1">
      <alignment horizontal="center" wrapText="1"/>
    </xf>
    <xf numFmtId="0" fontId="53" fillId="0" borderId="9" xfId="0" applyFont="1" applyBorder="1" applyAlignment="1">
      <alignment horizontal="center" wrapText="1"/>
    </xf>
    <xf numFmtId="2" fontId="53" fillId="0" borderId="9" xfId="0" applyNumberFormat="1" applyFont="1" applyBorder="1" applyAlignment="1">
      <alignment horizontal="center" wrapText="1"/>
    </xf>
  </cellXfs>
  <cellStyles count="5">
    <cellStyle name="Normal" xfId="0" builtinId="0"/>
    <cellStyle name="Normal 10" xfId="4" xr:uid="{00000000-0005-0000-0000-000001000000}"/>
    <cellStyle name="Normal 2" xfId="3" xr:uid="{00000000-0005-0000-0000-000002000000}"/>
    <cellStyle name="Percent" xfId="1" builtinId="5"/>
    <cellStyle name="t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Revenue</a:t>
            </a:r>
            <a:r>
              <a:rPr lang="en-US" baseline="0"/>
              <a:t> Distribution ( by country)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474242110771697E-2"/>
          <c:y val="0.14216786529550748"/>
          <c:w val="0.59341078741645437"/>
          <c:h val="0.75474405881124274"/>
        </c:manualLayout>
      </c:layout>
      <c:doughnutChart>
        <c:varyColors val="1"/>
        <c:ser>
          <c:idx val="0"/>
          <c:order val="0"/>
          <c:tx>
            <c:strRef>
              <c:f>[1]Sheet1!$C$23</c:f>
              <c:strCache>
                <c:ptCount val="1"/>
                <c:pt idx="0">
                  <c:v>#REF!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9C-4D40-8C2B-F20EB984A556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9C-4D40-8C2B-F20EB984A55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9C-4D40-8C2B-F20EB984A556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09C-4D40-8C2B-F20EB984A556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09C-4D40-8C2B-F20EB984A556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09C-4D40-8C2B-F20EB984A556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09C-4D40-8C2B-F20EB984A556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09C-4D40-8C2B-F20EB984A556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09C-4D40-8C2B-F20EB984A556}"/>
              </c:ext>
            </c:extLst>
          </c:dPt>
          <c:dLbls>
            <c:dLbl>
              <c:idx val="0"/>
              <c:spPr>
                <a:noFill/>
                <a:ln>
                  <a:solidFill>
                    <a:srgbClr val="156082">
                      <a:alpha val="61000"/>
                    </a:srgbClr>
                  </a:solidFill>
                </a:ln>
                <a:effectLst/>
              </c:spPr>
              <c:txPr>
                <a:bodyPr rot="0" spcFirstLastPara="1" vertOverflow="overflow" horzOverflow="overflow" vert="horz" wrap="square" lIns="0" tIns="0" rIns="0" bIns="0" anchor="ctr" anchorCtr="1">
                  <a:noAutofit/>
                </a:bodyPr>
                <a:lstStyle/>
                <a:p>
                  <a:pPr>
                    <a:defRPr sz="1600" b="0" i="0" u="none" strike="noStrike" kern="1200" cap="none" spc="0" baseline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3129451719771619E-2"/>
                      <c:h val="0.1313268075942713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09C-4D40-8C2B-F20EB984A556}"/>
                </c:ext>
              </c:extLst>
            </c:dLbl>
            <c:dLbl>
              <c:idx val="1"/>
              <c:spPr>
                <a:noFill/>
                <a:ln>
                  <a:solidFill>
                    <a:srgbClr val="156082">
                      <a:alpha val="61000"/>
                    </a:srgbClr>
                  </a:solidFill>
                </a:ln>
                <a:effectLst/>
              </c:spPr>
              <c:txPr>
                <a:bodyPr rot="0" spcFirstLastPara="1" vertOverflow="overflow" horzOverflow="overflow" vert="horz" wrap="square" lIns="0" tIns="0" rIns="0" bIns="0" anchor="ctr" anchorCtr="1">
                  <a:noAutofit/>
                </a:bodyPr>
                <a:lstStyle/>
                <a:p>
                  <a:pPr>
                    <a:defRPr sz="1600" b="0" i="0" u="none" strike="noStrike" kern="1200" cap="none" spc="0" baseline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9742666666430969E-2"/>
                      <c:h val="6.565272417042344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09C-4D40-8C2B-F20EB984A556}"/>
                </c:ext>
              </c:extLst>
            </c:dLbl>
            <c:dLbl>
              <c:idx val="2"/>
              <c:spPr>
                <a:noFill/>
                <a:ln>
                  <a:solidFill>
                    <a:srgbClr val="156082">
                      <a:alpha val="61000"/>
                    </a:srgbClr>
                  </a:solidFill>
                </a:ln>
                <a:effectLst/>
              </c:spPr>
              <c:txPr>
                <a:bodyPr rot="0" spcFirstLastPara="1" vertOverflow="overflow" horzOverflow="overflow" vert="horz" wrap="square" lIns="0" tIns="0" rIns="0" bIns="0" anchor="ctr" anchorCtr="1">
                  <a:noAutofit/>
                </a:bodyPr>
                <a:lstStyle/>
                <a:p>
                  <a:pPr>
                    <a:defRPr sz="1600" b="0" i="0" u="none" strike="noStrike" kern="1200" cap="none" spc="0" baseline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6477753090317507E-2"/>
                      <c:h val="7.136351403336675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609C-4D40-8C2B-F20EB984A556}"/>
                </c:ext>
              </c:extLst>
            </c:dLbl>
            <c:dLbl>
              <c:idx val="3"/>
              <c:spPr>
                <a:noFill/>
                <a:ln>
                  <a:solidFill>
                    <a:srgbClr val="156082">
                      <a:alpha val="61000"/>
                    </a:srgbClr>
                  </a:solidFill>
                </a:ln>
                <a:effectLst/>
              </c:spPr>
              <c:txPr>
                <a:bodyPr rot="0" spcFirstLastPara="1" vertOverflow="overflow" horzOverflow="overflow" vert="horz" wrap="square" lIns="0" tIns="0" rIns="0" bIns="0" anchor="ctr" anchorCtr="1">
                  <a:noAutofit/>
                </a:bodyPr>
                <a:lstStyle/>
                <a:p>
                  <a:pPr>
                    <a:defRPr sz="1600" b="0" i="0" u="none" strike="noStrike" kern="1200" cap="none" spc="0" baseline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7497637858468789E-2"/>
                      <c:h val="5.423114444453687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609C-4D40-8C2B-F20EB984A556}"/>
                </c:ext>
              </c:extLst>
            </c:dLbl>
            <c:dLbl>
              <c:idx val="4"/>
              <c:spPr>
                <a:noFill/>
                <a:ln>
                  <a:solidFill>
                    <a:srgbClr val="156082">
                      <a:alpha val="61000"/>
                    </a:srgbClr>
                  </a:solidFill>
                </a:ln>
                <a:effectLst/>
              </c:spPr>
              <c:txPr>
                <a:bodyPr rot="0" spcFirstLastPara="1" vertOverflow="overflow" horzOverflow="overflow" vert="horz" wrap="square" lIns="0" tIns="0" rIns="0" bIns="0" anchor="ctr" anchorCtr="1">
                  <a:noAutofit/>
                </a:bodyPr>
                <a:lstStyle/>
                <a:p>
                  <a:pPr>
                    <a:defRPr sz="1600" b="0" i="0" u="none" strike="noStrike" kern="1200" cap="none" spc="0" baseline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3110209878374238E-2"/>
                      <c:h val="7.421890896483840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609C-4D40-8C2B-F20EB984A556}"/>
                </c:ext>
              </c:extLst>
            </c:dLbl>
            <c:dLbl>
              <c:idx val="5"/>
              <c:spPr>
                <a:noFill/>
                <a:ln>
                  <a:solidFill>
                    <a:srgbClr val="156082">
                      <a:alpha val="61000"/>
                    </a:srgbClr>
                  </a:solidFill>
                </a:ln>
                <a:effectLst/>
              </c:spPr>
              <c:txPr>
                <a:bodyPr rot="0" spcFirstLastPara="1" vertOverflow="overflow" horzOverflow="overflow" vert="horz" wrap="square" lIns="0" tIns="0" rIns="0" bIns="0" anchor="ctr" anchorCtr="1">
                  <a:noAutofit/>
                </a:bodyPr>
                <a:lstStyle/>
                <a:p>
                  <a:pPr>
                    <a:defRPr sz="1600" b="0" i="0" u="none" strike="noStrike" kern="1200" cap="none" spc="0" baseline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9845296302260776E-2"/>
                      <c:h val="6.708042163615927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609C-4D40-8C2B-F20EB984A556}"/>
                </c:ext>
              </c:extLst>
            </c:dLbl>
            <c:dLbl>
              <c:idx val="6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9537407394771347E-2"/>
                      <c:h val="1.996640526687712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609C-4D40-8C2B-F20EB984A556}"/>
                </c:ext>
              </c:extLst>
            </c:dLbl>
            <c:dLbl>
              <c:idx val="7"/>
              <c:spPr>
                <a:noFill/>
                <a:ln>
                  <a:solidFill>
                    <a:srgbClr val="156082">
                      <a:alpha val="61000"/>
                    </a:srgbClr>
                  </a:solidFill>
                </a:ln>
                <a:effectLst/>
              </c:spPr>
              <c:txPr>
                <a:bodyPr rot="0" spcFirstLastPara="1" vertOverflow="overflow" horzOverflow="overflow" vert="horz" wrap="square" lIns="0" tIns="0" rIns="0" bIns="0" anchor="ctr" anchorCtr="1">
                  <a:noAutofit/>
                </a:bodyPr>
                <a:lstStyle/>
                <a:p>
                  <a:pPr>
                    <a:defRPr sz="1600" b="0" i="0" u="none" strike="noStrike" kern="1200" cap="none" spc="0" baseline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9742666666430969E-2"/>
                      <c:h val="8.849588362219661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609C-4D40-8C2B-F20EB984A556}"/>
                </c:ext>
              </c:extLst>
            </c:dLbl>
            <c:dLbl>
              <c:idx val="8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9537407394771347E-2"/>
                      <c:h val="1.996640526687712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609C-4D40-8C2B-F20EB984A556}"/>
                </c:ext>
              </c:extLst>
            </c:dLbl>
            <c:spPr>
              <a:noFill/>
              <a:ln>
                <a:solidFill>
                  <a:srgbClr val="156082">
                    <a:alpha val="61000"/>
                  </a:srgbClr>
                </a:solidFill>
              </a:ln>
              <a:effectLst/>
            </c:spPr>
            <c:txPr>
              <a:bodyPr rot="0" spcFirstLastPara="1" vertOverflow="overflow" horzOverflow="overflow" vert="horz" wrap="square" lIns="0" tIns="0" rIns="0" bIns="0" anchor="ctr" anchorCtr="1">
                <a:spAutoFit/>
              </a:bodyPr>
              <a:lstStyle/>
              <a:p>
                <a:pPr>
                  <a:defRPr sz="16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[1]Sheet1!$B$24:$B$32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cat>
          <c:val>
            <c:numRef>
              <c:f>[1]Sheet1!$C$24:$C$32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09C-4D40-8C2B-F20EB984A55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68407334087022964"/>
          <c:y val="4.6275981904264615E-2"/>
          <c:w val="0.3058427390623466"/>
          <c:h val="0.8983146042764556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500" cap="all" spc="-100" baseline="30000">
              <a:solidFill>
                <a:schemeClr val="dk1">
                  <a:lumMod val="65000"/>
                  <a:lumOff val="35000"/>
                </a:schemeClr>
              </a:solidFill>
              <a:latin typeface="Al Tarikh" pitchFamily="2" charset="-78"/>
              <a:ea typeface="+mn-ea"/>
              <a:cs typeface="AL BAYAN PLAIN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Volume</a:t>
            </a:r>
            <a:r>
              <a:rPr lang="en-GB" baseline="0"/>
              <a:t> Growth Outlook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Iron ore solution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[1]Sheet1!$E$17:$K$17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cat>
          <c:val>
            <c:numRef>
              <c:f>[1]Sheet1!$E$18:$K$18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5-0440-B718-0566C476EBD1}"/>
            </c:ext>
          </c:extLst>
        </c:ser>
        <c:ser>
          <c:idx val="1"/>
          <c:order val="1"/>
          <c:tx>
            <c:strRef>
              <c:f>[1]Sheet1!$B$19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[1]Sheet1!$E$17:$K$17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cat>
          <c:val>
            <c:numRef>
              <c:f>[1]Sheet1!$E$19:$K$19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5-0440-B718-0566C476EBD1}"/>
            </c:ext>
          </c:extLst>
        </c:ser>
        <c:ser>
          <c:idx val="2"/>
          <c:order val="2"/>
          <c:tx>
            <c:v>Forecasted total Growth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[1]Sheet1!$E$17:$K$17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cat>
          <c:val>
            <c:numRef>
              <c:f>[1]Sheet1!$E$20:$K$20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55-0440-B718-0566C476E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129823"/>
        <c:axId val="1922901583"/>
      </c:lineChart>
      <c:dateAx>
        <c:axId val="19621298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2901583"/>
        <c:crosses val="autoZero"/>
        <c:auto val="0"/>
        <c:lblOffset val="100"/>
        <c:baseTimeUnit val="days"/>
        <c:majorUnit val="1"/>
      </c:dateAx>
      <c:valAx>
        <c:axId val="19229015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12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 w="19050">
          <a:solidFill>
            <a:schemeClr val="tx1">
              <a:lumMod val="85000"/>
              <a:lumOff val="1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Forecasted Growth( Volume</a:t>
            </a:r>
            <a:r>
              <a:rPr lang="en-GB" baseline="0"/>
              <a:t> Growth)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'production &amp; revenueforecast'!$N$8</c:f>
              <c:strCache>
                <c:ptCount val="1"/>
                <c:pt idx="0">
                  <c:v>Iron 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'production &amp; revenueforecast'!$O$7:$U$7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'production &amp; revenueforecast'!$O$8:$U$8</c:f>
              <c:numCache>
                <c:formatCode>0.0%</c:formatCode>
                <c:ptCount val="7"/>
                <c:pt idx="0">
                  <c:v>0</c:v>
                </c:pt>
                <c:pt idx="1">
                  <c:v>7.4766355140186924E-2</c:v>
                </c:pt>
                <c:pt idx="2">
                  <c:v>4.3478260869565188E-2</c:v>
                </c:pt>
                <c:pt idx="3">
                  <c:v>4.1666666666666741E-2</c:v>
                </c:pt>
                <c:pt idx="4">
                  <c:v>4.0000000000000036E-2</c:v>
                </c:pt>
                <c:pt idx="5">
                  <c:v>3.8461538461538547E-2</c:v>
                </c:pt>
                <c:pt idx="6">
                  <c:v>3.7037037037036979E-2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3-C749-A9F2-0EB8CA508B45}"/>
            </c:ext>
          </c:extLst>
        </c:ser>
        <c:ser>
          <c:idx val="1"/>
          <c:order val="1"/>
          <c:tx>
            <c:strRef>
              <c:f>'production &amp; revenueforecast'!$N$9</c:f>
              <c:strCache>
                <c:ptCount val="1"/>
                <c:pt idx="0">
                  <c:v>Copper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'production &amp; revenueforecast'!$O$7:$U$7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'production &amp; revenueforecast'!$O$9:$U$9</c:f>
              <c:numCache>
                <c:formatCode>0.0%</c:formatCode>
                <c:ptCount val="7"/>
                <c:pt idx="0">
                  <c:v>7.0336391437308965E-2</c:v>
                </c:pt>
                <c:pt idx="1">
                  <c:v>8.5714285714285632E-2</c:v>
                </c:pt>
                <c:pt idx="2">
                  <c:v>5.2631578947368363E-2</c:v>
                </c:pt>
                <c:pt idx="3">
                  <c:v>0.25</c:v>
                </c:pt>
                <c:pt idx="4">
                  <c:v>0.19999999999999996</c:v>
                </c:pt>
                <c:pt idx="5">
                  <c:v>0.16666666666666674</c:v>
                </c:pt>
                <c:pt idx="6">
                  <c:v>0.28571428571428581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43-C749-A9F2-0EB8CA508B45}"/>
            </c:ext>
          </c:extLst>
        </c:ser>
        <c:ser>
          <c:idx val="2"/>
          <c:order val="2"/>
          <c:tx>
            <c:strRef>
              <c:f>'production &amp; revenueforecast'!$N$10</c:f>
              <c:strCache>
                <c:ptCount val="1"/>
                <c:pt idx="0">
                  <c:v>Nickel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'production &amp; revenueforecast'!$O$7:$U$7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'production &amp; revenueforecast'!$O$10:$U$10</c:f>
              <c:numCache>
                <c:formatCode>0.0%</c:formatCode>
                <c:ptCount val="7"/>
                <c:pt idx="0">
                  <c:v>6.0606060606060552E-2</c:v>
                </c:pt>
                <c:pt idx="1">
                  <c:v>8.5714285714285632E-2</c:v>
                </c:pt>
                <c:pt idx="2">
                  <c:v>0.15789473684210531</c:v>
                </c:pt>
                <c:pt idx="3">
                  <c:v>9.0909090909090828E-2</c:v>
                </c:pt>
                <c:pt idx="4">
                  <c:v>8.3333333333333259E-2</c:v>
                </c:pt>
                <c:pt idx="5">
                  <c:v>7.6923076923076872E-2</c:v>
                </c:pt>
                <c:pt idx="6">
                  <c:v>7.1428571428571397E-2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43-C749-A9F2-0EB8CA508B45}"/>
            </c:ext>
          </c:extLst>
        </c:ser>
        <c:ser>
          <c:idx val="3"/>
          <c:order val="3"/>
          <c:tx>
            <c:strRef>
              <c:f>'production &amp; revenueforecast'!$N$11</c:f>
              <c:strCache>
                <c:ptCount val="1"/>
                <c:pt idx="0">
                  <c:v>Volume Growth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'production &amp; revenueforecast'!$O$7:$U$7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'production &amp; revenueforecast'!$O$11:$U$11</c:f>
              <c:numCache>
                <c:formatCode>0.0%</c:formatCode>
                <c:ptCount val="7"/>
                <c:pt idx="0">
                  <c:v>2.1982846065414886E-2</c:v>
                </c:pt>
                <c:pt idx="1">
                  <c:v>8.3943591455273692E-2</c:v>
                </c:pt>
                <c:pt idx="2">
                  <c:v>6.2890922959572826E-2</c:v>
                </c:pt>
                <c:pt idx="3">
                  <c:v>6.9734848484848538E-2</c:v>
                </c:pt>
                <c:pt idx="4">
                  <c:v>6.2886363636363629E-2</c:v>
                </c:pt>
                <c:pt idx="5">
                  <c:v>5.7692307692307737E-2</c:v>
                </c:pt>
                <c:pt idx="6">
                  <c:v>6.4250101750101707E-2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43-C749-A9F2-0EB8CA508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79520"/>
        <c:axId val="118947088"/>
      </c:lineChart>
      <c:catAx>
        <c:axId val="16737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47088"/>
        <c:crosses val="autoZero"/>
        <c:auto val="1"/>
        <c:lblAlgn val="ctr"/>
        <c:lblOffset val="100"/>
        <c:noMultiLvlLbl val="0"/>
      </c:catAx>
      <c:valAx>
        <c:axId val="1189470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7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Iron ore price (01-2018 to 02-2024)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Iron Ore 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tx2">
                    <a:lumMod val="25000"/>
                    <a:lumOff val="75000"/>
                  </a:schemeClr>
                </a:solidFill>
                <a:prstDash val="sysDot"/>
              </a:ln>
              <a:effectLst/>
            </c:spPr>
            <c:trendlineType val="movingAvg"/>
            <c:period val="12"/>
            <c:dispRSqr val="0"/>
            <c:dispEq val="0"/>
          </c:trendline>
          <c:cat>
            <c:numRef>
              <c:f>'[2]FRED Graph'!$A$8:$A$83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cat>
          <c:val>
            <c:numRef>
              <c:f>'[2]FRED Graph'!$B$8:$B$83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DE-DE49-A5C4-C8A01CFF3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074799"/>
        <c:axId val="1"/>
      </c:lineChart>
      <c:catAx>
        <c:axId val="732074799"/>
        <c:scaling>
          <c:orientation val="minMax"/>
        </c:scaling>
        <c:delete val="0"/>
        <c:axPos val="b"/>
        <c:numFmt formatCode="yyyy\-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ln w="1270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7479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4.2127950025664267E-2"/>
          <c:y val="0.91194711316823096"/>
          <c:w val="0.93012231480773644"/>
          <c:h val="8.805288683176903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Football Field Valuation (	Vale SA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Football!$C$12:$C$19</c:f>
              <c:strCache>
                <c:ptCount val="8"/>
                <c:pt idx="0">
                  <c:v>52 WK High-Low</c:v>
                </c:pt>
                <c:pt idx="1">
                  <c:v>MC Simulation</c:v>
                </c:pt>
                <c:pt idx="2">
                  <c:v>Equity Analyst Targets</c:v>
                </c:pt>
                <c:pt idx="3">
                  <c:v>Regression + ARCH Model </c:v>
                </c:pt>
                <c:pt idx="4">
                  <c:v>Relative Valuation Calculation</c:v>
                </c:pt>
                <c:pt idx="5">
                  <c:v>DCF Forecast</c:v>
                </c:pt>
                <c:pt idx="6">
                  <c:v>DDM forecast</c:v>
                </c:pt>
                <c:pt idx="7">
                  <c:v>Current Price</c:v>
                </c:pt>
              </c:strCache>
            </c:strRef>
          </c:cat>
          <c:val>
            <c:numRef>
              <c:f>Football!$D$12:$D$18</c:f>
              <c:numCache>
                <c:formatCode>General</c:formatCode>
                <c:ptCount val="7"/>
                <c:pt idx="0">
                  <c:v>11.52</c:v>
                </c:pt>
                <c:pt idx="1">
                  <c:v>15.64</c:v>
                </c:pt>
                <c:pt idx="2">
                  <c:v>11.1</c:v>
                </c:pt>
                <c:pt idx="3">
                  <c:v>17.399999999999999</c:v>
                </c:pt>
                <c:pt idx="4">
                  <c:v>14.29</c:v>
                </c:pt>
                <c:pt idx="5">
                  <c:v>19.829999999999998</c:v>
                </c:pt>
                <c:pt idx="6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8-764D-B15E-EC1DD800B17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Football!$C$12:$C$19</c:f>
              <c:strCache>
                <c:ptCount val="8"/>
                <c:pt idx="0">
                  <c:v>52 WK High-Low</c:v>
                </c:pt>
                <c:pt idx="1">
                  <c:v>MC Simulation</c:v>
                </c:pt>
                <c:pt idx="2">
                  <c:v>Equity Analyst Targets</c:v>
                </c:pt>
                <c:pt idx="3">
                  <c:v>Regression + ARCH Model </c:v>
                </c:pt>
                <c:pt idx="4">
                  <c:v>Relative Valuation Calculation</c:v>
                </c:pt>
                <c:pt idx="5">
                  <c:v>DCF Forecast</c:v>
                </c:pt>
                <c:pt idx="6">
                  <c:v>DDM forecast</c:v>
                </c:pt>
                <c:pt idx="7">
                  <c:v>Current Price</c:v>
                </c:pt>
              </c:strCache>
            </c:strRef>
          </c:cat>
          <c:val>
            <c:numRef>
              <c:f>Football!$E$12:$E$18</c:f>
              <c:numCache>
                <c:formatCode>General</c:formatCode>
                <c:ptCount val="7"/>
                <c:pt idx="0">
                  <c:v>4.5399999999999991</c:v>
                </c:pt>
                <c:pt idx="1">
                  <c:v>3.0999999999999979</c:v>
                </c:pt>
                <c:pt idx="2">
                  <c:v>8.4</c:v>
                </c:pt>
                <c:pt idx="3">
                  <c:v>0.80000000000000071</c:v>
                </c:pt>
                <c:pt idx="4">
                  <c:v>1.5500000000000007</c:v>
                </c:pt>
                <c:pt idx="5">
                  <c:v>2.2900000000000027</c:v>
                </c:pt>
                <c:pt idx="6">
                  <c:v>3.6999999999999993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18-764D-B15E-EC1DD800B172}"/>
            </c:ext>
          </c:extLst>
        </c:ser>
        <c:ser>
          <c:idx val="2"/>
          <c:order val="2"/>
          <c:spPr>
            <a:noFill/>
            <a:ln>
              <a:noFill/>
            </a:ln>
            <a:effectLst/>
          </c:spPr>
          <c:invertIfNegative val="0"/>
          <c:cat>
            <c:strRef>
              <c:f>Football!$C$12:$C$19</c:f>
              <c:strCache>
                <c:ptCount val="8"/>
                <c:pt idx="0">
                  <c:v>52 WK High-Low</c:v>
                </c:pt>
                <c:pt idx="1">
                  <c:v>MC Simulation</c:v>
                </c:pt>
                <c:pt idx="2">
                  <c:v>Equity Analyst Targets</c:v>
                </c:pt>
                <c:pt idx="3">
                  <c:v>Regression + ARCH Model </c:v>
                </c:pt>
                <c:pt idx="4">
                  <c:v>Relative Valuation Calculation</c:v>
                </c:pt>
                <c:pt idx="5">
                  <c:v>DCF Forecast</c:v>
                </c:pt>
                <c:pt idx="6">
                  <c:v>DDM forecast</c:v>
                </c:pt>
                <c:pt idx="7">
                  <c:v>Current Price</c:v>
                </c:pt>
              </c:strCache>
            </c:strRef>
          </c:cat>
          <c:val>
            <c:numRef>
              <c:f>Football!$F$12:$F$18</c:f>
              <c:numCache>
                <c:formatCode>General</c:formatCode>
                <c:ptCount val="7"/>
                <c:pt idx="0">
                  <c:v>16.059999999999999</c:v>
                </c:pt>
                <c:pt idx="1">
                  <c:v>18.739999999999998</c:v>
                </c:pt>
                <c:pt idx="2">
                  <c:v>19.5</c:v>
                </c:pt>
                <c:pt idx="3">
                  <c:v>18.2</c:v>
                </c:pt>
                <c:pt idx="4">
                  <c:v>15.84</c:v>
                </c:pt>
                <c:pt idx="5">
                  <c:v>22.12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18-764D-B15E-EC1DD800B172}"/>
            </c:ext>
          </c:extLst>
        </c:ser>
        <c:ser>
          <c:idx val="3"/>
          <c:order val="3"/>
          <c:tx>
            <c:strRef>
              <c:f>Football!$C$19</c:f>
              <c:strCache>
                <c:ptCount val="1"/>
                <c:pt idx="0">
                  <c:v>Current Price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Football!$D$19:$F$19</c:f>
              <c:numCache>
                <c:formatCode>General</c:formatCode>
                <c:ptCount val="3"/>
                <c:pt idx="0">
                  <c:v>11.4</c:v>
                </c:pt>
                <c:pt idx="1">
                  <c:v>11.4</c:v>
                </c:pt>
                <c:pt idx="2">
                  <c:v>11.4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18-764D-B15E-EC1DD800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4401407"/>
        <c:axId val="1553660847"/>
      </c:barChart>
      <c:catAx>
        <c:axId val="2024401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660847"/>
        <c:crosses val="autoZero"/>
        <c:auto val="1"/>
        <c:lblAlgn val="ctr"/>
        <c:lblOffset val="100"/>
        <c:noMultiLvlLbl val="0"/>
      </c:catAx>
      <c:valAx>
        <c:axId val="1553660847"/>
        <c:scaling>
          <c:orientation val="minMax"/>
          <c:max val="25"/>
          <c:min val="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$$-409]#,##0.00" sourceLinked="0"/>
        <c:majorTickMark val="none"/>
        <c:minorTickMark val="none"/>
        <c:tickLblPos val="nextTo"/>
        <c:spPr>
          <a:noFill/>
          <a:ln w="12700">
            <a:solidFill>
              <a:schemeClr val="bg1">
                <a:lumMod val="65000"/>
                <a:alpha val="56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40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P//CF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'Relative valuation regression'!$B$3</c:f>
              <c:strCache>
                <c:ptCount val="1"/>
                <c:pt idx="0">
                  <c:v>VALE P/CF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'Relative valuation regression'!$B$4:$B$11</c:f>
              <c:numCache>
                <c:formatCode>General</c:formatCode>
                <c:ptCount val="8"/>
                <c:pt idx="0">
                  <c:v>4.9800000000000004</c:v>
                </c:pt>
                <c:pt idx="1">
                  <c:v>5.12</c:v>
                </c:pt>
                <c:pt idx="2">
                  <c:v>5.48</c:v>
                </c:pt>
                <c:pt idx="3">
                  <c:v>5.83</c:v>
                </c:pt>
                <c:pt idx="4">
                  <c:v>2.75</c:v>
                </c:pt>
                <c:pt idx="5">
                  <c:v>6.85</c:v>
                </c:pt>
                <c:pt idx="6">
                  <c:v>5.17</c:v>
                </c:pt>
                <c:pt idx="7">
                  <c:v>3.84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F-FB48-B950-699C9EBCA7EB}"/>
            </c:ext>
          </c:extLst>
        </c:ser>
        <c:ser>
          <c:idx val="1"/>
          <c:order val="1"/>
          <c:tx>
            <c:strRef>
              <c:f>'Relative valuation regression'!$C$3</c:f>
              <c:strCache>
                <c:ptCount val="1"/>
                <c:pt idx="0">
                  <c:v>BHP P/CF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'Relative valuation regression'!$C$4:$C$11</c:f>
              <c:numCache>
                <c:formatCode>General</c:formatCode>
                <c:ptCount val="8"/>
                <c:pt idx="0">
                  <c:v>5.65</c:v>
                </c:pt>
                <c:pt idx="1">
                  <c:v>7.23</c:v>
                </c:pt>
                <c:pt idx="2">
                  <c:v>8.44</c:v>
                </c:pt>
                <c:pt idx="3">
                  <c:v>8.0299999999999994</c:v>
                </c:pt>
                <c:pt idx="4">
                  <c:v>6.78</c:v>
                </c:pt>
                <c:pt idx="5">
                  <c:v>4.43</c:v>
                </c:pt>
                <c:pt idx="6">
                  <c:v>8.09</c:v>
                </c:pt>
                <c:pt idx="7">
                  <c:v>7.07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6F-FB48-B950-699C9EBCA7EB}"/>
            </c:ext>
          </c:extLst>
        </c:ser>
        <c:ser>
          <c:idx val="2"/>
          <c:order val="2"/>
          <c:tx>
            <c:strRef>
              <c:f>'Relative valuation regression'!$D$3</c:f>
              <c:strCache>
                <c:ptCount val="1"/>
                <c:pt idx="0">
                  <c:v>RIO P/CF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'Relative valuation regression'!$D$4:$D$11</c:f>
              <c:numCache>
                <c:formatCode>General</c:formatCode>
                <c:ptCount val="8"/>
                <c:pt idx="0">
                  <c:v>6.67</c:v>
                </c:pt>
                <c:pt idx="1">
                  <c:v>6.86</c:v>
                </c:pt>
                <c:pt idx="2">
                  <c:v>6.38</c:v>
                </c:pt>
                <c:pt idx="3">
                  <c:v>7.4</c:v>
                </c:pt>
                <c:pt idx="4">
                  <c:v>4.12</c:v>
                </c:pt>
                <c:pt idx="5">
                  <c:v>7.01</c:v>
                </c:pt>
                <c:pt idx="6">
                  <c:v>7.78</c:v>
                </c:pt>
                <c:pt idx="7">
                  <c:v>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6F-FB48-B950-699C9EBCA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103808"/>
        <c:axId val="216609392"/>
      </c:lineChart>
      <c:catAx>
        <c:axId val="634103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09392"/>
        <c:crosses val="autoZero"/>
        <c:auto val="1"/>
        <c:lblAlgn val="ctr"/>
        <c:lblOffset val="100"/>
        <c:noMultiLvlLbl val="0"/>
      </c:catAx>
      <c:valAx>
        <c:axId val="2166093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10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P/B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'Relative valuation regression'!$B$17</c:f>
              <c:strCache>
                <c:ptCount val="1"/>
                <c:pt idx="0">
                  <c:v>VALE P/B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'Relative valuation regression'!$B$18:$B$25</c:f>
              <c:numCache>
                <c:formatCode>General</c:formatCode>
                <c:ptCount val="8"/>
                <c:pt idx="0">
                  <c:v>1.47</c:v>
                </c:pt>
                <c:pt idx="1">
                  <c:v>1.54</c:v>
                </c:pt>
                <c:pt idx="2">
                  <c:v>1.69</c:v>
                </c:pt>
                <c:pt idx="3">
                  <c:v>2.4</c:v>
                </c:pt>
                <c:pt idx="4">
                  <c:v>1.96</c:v>
                </c:pt>
                <c:pt idx="5">
                  <c:v>2.15</c:v>
                </c:pt>
                <c:pt idx="6">
                  <c:v>1.73</c:v>
                </c:pt>
                <c:pt idx="7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8-DF49-8B04-283430659886}"/>
            </c:ext>
          </c:extLst>
        </c:ser>
        <c:ser>
          <c:idx val="1"/>
          <c:order val="1"/>
          <c:tx>
            <c:strRef>
              <c:f>'Relative valuation regression'!$C$17</c:f>
              <c:strCache>
                <c:ptCount val="1"/>
                <c:pt idx="0">
                  <c:v>BHP P/B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'Relative valuation regression'!$C$18:$C$25</c:f>
              <c:numCache>
                <c:formatCode>General</c:formatCode>
                <c:ptCount val="8"/>
                <c:pt idx="0">
                  <c:v>1</c:v>
                </c:pt>
                <c:pt idx="1">
                  <c:v>2.39</c:v>
                </c:pt>
                <c:pt idx="2">
                  <c:v>3.11</c:v>
                </c:pt>
                <c:pt idx="3">
                  <c:v>2.63</c:v>
                </c:pt>
                <c:pt idx="4">
                  <c:v>3.59</c:v>
                </c:pt>
                <c:pt idx="5">
                  <c:v>3.16</c:v>
                </c:pt>
                <c:pt idx="6">
                  <c:v>3.4</c:v>
                </c:pt>
                <c:pt idx="7">
                  <c:v>3.53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08-DF49-8B04-283430659886}"/>
            </c:ext>
          </c:extLst>
        </c:ser>
        <c:ser>
          <c:idx val="2"/>
          <c:order val="2"/>
          <c:tx>
            <c:strRef>
              <c:f>'Relative valuation regression'!$D$17</c:f>
              <c:strCache>
                <c:ptCount val="1"/>
                <c:pt idx="0">
                  <c:v>RIO  P/B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'Relative valuation regression'!$D$18:$D$25</c:f>
              <c:numCache>
                <c:formatCode>General</c:formatCode>
                <c:ptCount val="8"/>
                <c:pt idx="0">
                  <c:v>2.08</c:v>
                </c:pt>
                <c:pt idx="1">
                  <c:v>1.83</c:v>
                </c:pt>
                <c:pt idx="2">
                  <c:v>2.37</c:v>
                </c:pt>
                <c:pt idx="3">
                  <c:v>2.58</c:v>
                </c:pt>
                <c:pt idx="4">
                  <c:v>2.11</c:v>
                </c:pt>
                <c:pt idx="5">
                  <c:v>2.2799999999999998</c:v>
                </c:pt>
                <c:pt idx="6">
                  <c:v>2.21</c:v>
                </c:pt>
                <c:pt idx="7">
                  <c:v>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08-DF49-8B04-283430659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979232"/>
        <c:axId val="328955120"/>
      </c:lineChart>
      <c:catAx>
        <c:axId val="32897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55120"/>
        <c:crosses val="autoZero"/>
        <c:auto val="1"/>
        <c:lblAlgn val="ctr"/>
        <c:lblOffset val="100"/>
        <c:noMultiLvlLbl val="0"/>
      </c:catAx>
      <c:valAx>
        <c:axId val="3289551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7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EV/ EBITDA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'Relative valuation regression'!$B$27:$B$28</c:f>
              <c:strCache>
                <c:ptCount val="2"/>
                <c:pt idx="0">
                  <c:v>VALE EV/ EBITTDA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'Relative valuation regression'!$B$29:$B$36</c:f>
              <c:numCache>
                <c:formatCode>General</c:formatCode>
                <c:ptCount val="8"/>
                <c:pt idx="0">
                  <c:v>5.5</c:v>
                </c:pt>
                <c:pt idx="1">
                  <c:v>4.83</c:v>
                </c:pt>
                <c:pt idx="2">
                  <c:v>6.85</c:v>
                </c:pt>
                <c:pt idx="3">
                  <c:v>4.63</c:v>
                </c:pt>
                <c:pt idx="4">
                  <c:v>2.37</c:v>
                </c:pt>
                <c:pt idx="5">
                  <c:v>4.17</c:v>
                </c:pt>
                <c:pt idx="6">
                  <c:v>4.58</c:v>
                </c:pt>
                <c:pt idx="7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0-5F4E-B3AD-129E15699AEF}"/>
            </c:ext>
          </c:extLst>
        </c:ser>
        <c:ser>
          <c:idx val="1"/>
          <c:order val="1"/>
          <c:tx>
            <c:strRef>
              <c:f>'Relative valuation regression'!$C$27:$C$28</c:f>
              <c:strCache>
                <c:ptCount val="2"/>
                <c:pt idx="0">
                  <c:v>VALE EV/ EBITTDA</c:v>
                </c:pt>
                <c:pt idx="1">
                  <c:v>BHP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'Relative valuation regression'!$C$29:$C$36</c:f>
              <c:numCache>
                <c:formatCode>General</c:formatCode>
                <c:ptCount val="8"/>
                <c:pt idx="0">
                  <c:v>6.42</c:v>
                </c:pt>
                <c:pt idx="1">
                  <c:v>6.74</c:v>
                </c:pt>
                <c:pt idx="2">
                  <c:v>7.39</c:v>
                </c:pt>
                <c:pt idx="3">
                  <c:v>6.61</c:v>
                </c:pt>
                <c:pt idx="4">
                  <c:v>5.2</c:v>
                </c:pt>
                <c:pt idx="5">
                  <c:v>3.76</c:v>
                </c:pt>
                <c:pt idx="6">
                  <c:v>6.09</c:v>
                </c:pt>
                <c:pt idx="7">
                  <c:v>6.79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B0-5F4E-B3AD-129E15699AEF}"/>
            </c:ext>
          </c:extLst>
        </c:ser>
        <c:ser>
          <c:idx val="2"/>
          <c:order val="2"/>
          <c:tx>
            <c:strRef>
              <c:f>'Relative valuation regression'!$D$27:$D$28</c:f>
              <c:strCache>
                <c:ptCount val="2"/>
                <c:pt idx="0">
                  <c:v>VALE EV/ EBITTDA</c:v>
                </c:pt>
                <c:pt idx="1">
                  <c:v>RIO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'Relative valuation regression'!$D$29:$D$36</c:f>
              <c:numCache>
                <c:formatCode>General</c:formatCode>
                <c:ptCount val="8"/>
                <c:pt idx="0">
                  <c:v>6.56</c:v>
                </c:pt>
                <c:pt idx="1">
                  <c:v>5.83</c:v>
                </c:pt>
                <c:pt idx="2">
                  <c:v>5.61</c:v>
                </c:pt>
                <c:pt idx="3">
                  <c:v>5.92</c:v>
                </c:pt>
                <c:pt idx="4">
                  <c:v>3.35</c:v>
                </c:pt>
                <c:pt idx="5">
                  <c:v>5.22</c:v>
                </c:pt>
                <c:pt idx="6">
                  <c:v>6.27</c:v>
                </c:pt>
                <c:pt idx="7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B0-5F4E-B3AD-129E15699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199232"/>
        <c:axId val="340085760"/>
      </c:lineChart>
      <c:catAx>
        <c:axId val="34019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85760"/>
        <c:crosses val="autoZero"/>
        <c:auto val="1"/>
        <c:lblAlgn val="ctr"/>
        <c:lblOffset val="100"/>
        <c:noMultiLvlLbl val="0"/>
      </c:catAx>
      <c:valAx>
        <c:axId val="3400857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9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VALE SA Ratio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'Relative valuation regression'!$C$52</c:f>
              <c:strCache>
                <c:ptCount val="1"/>
                <c:pt idx="0">
                  <c:v>P/CF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'Relative valuation regression'!$B$53:$B$60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numCache>
            </c:numRef>
          </c:cat>
          <c:val>
            <c:numRef>
              <c:f>'Relative valuation regression'!$C$53:$C$60</c:f>
              <c:numCache>
                <c:formatCode>General</c:formatCode>
                <c:ptCount val="8"/>
                <c:pt idx="0">
                  <c:v>4.9800000000000004</c:v>
                </c:pt>
                <c:pt idx="1">
                  <c:v>5.12</c:v>
                </c:pt>
                <c:pt idx="2">
                  <c:v>5.48</c:v>
                </c:pt>
                <c:pt idx="3">
                  <c:v>5.83</c:v>
                </c:pt>
                <c:pt idx="4">
                  <c:v>2.75</c:v>
                </c:pt>
                <c:pt idx="5">
                  <c:v>6.85</c:v>
                </c:pt>
                <c:pt idx="6">
                  <c:v>5.17</c:v>
                </c:pt>
                <c:pt idx="7">
                  <c:v>3.84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1-234E-9246-02EDE6543E2D}"/>
            </c:ext>
          </c:extLst>
        </c:ser>
        <c:ser>
          <c:idx val="1"/>
          <c:order val="1"/>
          <c:tx>
            <c:strRef>
              <c:f>'Relative valuation regression'!$D$52</c:f>
              <c:strCache>
                <c:ptCount val="1"/>
                <c:pt idx="0">
                  <c:v>P/B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'Relative valuation regression'!$B$53:$B$60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numCache>
            </c:numRef>
          </c:cat>
          <c:val>
            <c:numRef>
              <c:f>'Relative valuation regression'!$D$53:$D$60</c:f>
              <c:numCache>
                <c:formatCode>General</c:formatCode>
                <c:ptCount val="8"/>
                <c:pt idx="0">
                  <c:v>1.47</c:v>
                </c:pt>
                <c:pt idx="1">
                  <c:v>1.54</c:v>
                </c:pt>
                <c:pt idx="2">
                  <c:v>1.69</c:v>
                </c:pt>
                <c:pt idx="3">
                  <c:v>2.4</c:v>
                </c:pt>
                <c:pt idx="4">
                  <c:v>1.96</c:v>
                </c:pt>
                <c:pt idx="5">
                  <c:v>2.15</c:v>
                </c:pt>
                <c:pt idx="6">
                  <c:v>1.73</c:v>
                </c:pt>
                <c:pt idx="7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61-234E-9246-02EDE6543E2D}"/>
            </c:ext>
          </c:extLst>
        </c:ser>
        <c:ser>
          <c:idx val="2"/>
          <c:order val="2"/>
          <c:tx>
            <c:strRef>
              <c:f>'Relative valuation regression'!$E$52</c:f>
              <c:strCache>
                <c:ptCount val="1"/>
                <c:pt idx="0">
                  <c:v>EV/EBITDA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'Relative valuation regression'!$B$53:$B$60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numCache>
            </c:numRef>
          </c:cat>
          <c:val>
            <c:numRef>
              <c:f>'Relative valuation regression'!$E$53:$E$60</c:f>
              <c:numCache>
                <c:formatCode>General</c:formatCode>
                <c:ptCount val="8"/>
                <c:pt idx="0">
                  <c:v>5.5</c:v>
                </c:pt>
                <c:pt idx="1">
                  <c:v>4.83</c:v>
                </c:pt>
                <c:pt idx="2">
                  <c:v>6.85</c:v>
                </c:pt>
                <c:pt idx="3">
                  <c:v>4.63</c:v>
                </c:pt>
                <c:pt idx="4">
                  <c:v>2.37</c:v>
                </c:pt>
                <c:pt idx="5">
                  <c:v>4.17</c:v>
                </c:pt>
                <c:pt idx="6">
                  <c:v>4.58</c:v>
                </c:pt>
                <c:pt idx="7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61-234E-9246-02EDE6543E2D}"/>
            </c:ext>
          </c:extLst>
        </c:ser>
        <c:ser>
          <c:idx val="3"/>
          <c:order val="3"/>
          <c:tx>
            <c:strRef>
              <c:f>'Relative valuation regression'!$F$52</c:f>
              <c:strCache>
                <c:ptCount val="1"/>
                <c:pt idx="0">
                  <c:v>P/E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'Relative valuation regression'!$B$53:$B$60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numCache>
            </c:numRef>
          </c:cat>
          <c:val>
            <c:numRef>
              <c:f>'Relative valuation regression'!$F$53:$F$60</c:f>
              <c:numCache>
                <c:formatCode>General</c:formatCode>
                <c:ptCount val="8"/>
                <c:pt idx="0">
                  <c:v>11.52</c:v>
                </c:pt>
                <c:pt idx="1">
                  <c:v>9.74</c:v>
                </c:pt>
                <c:pt idx="2">
                  <c:v>13</c:v>
                </c:pt>
                <c:pt idx="3">
                  <c:v>16.600000000000001</c:v>
                </c:pt>
                <c:pt idx="4">
                  <c:v>3.13</c:v>
                </c:pt>
                <c:pt idx="5">
                  <c:v>4.24</c:v>
                </c:pt>
                <c:pt idx="6">
                  <c:v>8.67</c:v>
                </c:pt>
                <c:pt idx="7">
                  <c:v>6.44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61-234E-9246-02EDE6543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357071"/>
        <c:axId val="467344320"/>
      </c:lineChart>
      <c:catAx>
        <c:axId val="165335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44320"/>
        <c:crosses val="autoZero"/>
        <c:auto val="1"/>
        <c:lblAlgn val="ctr"/>
        <c:lblOffset val="100"/>
        <c:noMultiLvlLbl val="0"/>
      </c:catAx>
      <c:valAx>
        <c:axId val="4673443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alpha val="51786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35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C74E8855-8C9D-F04C-B122-048C6D244D75}" type="doc">
      <dgm:prSet loTypeId="urn:microsoft.com/office/officeart/2005/8/layout/hierarchy1" loCatId="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GB"/>
        </a:p>
      </dgm:t>
    </dgm:pt>
    <dgm:pt modelId="{7B77E5E6-E98D-2B43-91BC-05769AF10A4A}">
      <dgm:prSet phldrT="[Text]" custT="1"/>
      <dgm:spPr/>
      <dgm:t>
        <a:bodyPr/>
        <a:lstStyle/>
        <a:p>
          <a:r>
            <a:rPr lang="en-GB" sz="1400"/>
            <a:t>ROE  (20.91%)</a:t>
          </a:r>
        </a:p>
      </dgm:t>
    </dgm:pt>
    <dgm:pt modelId="{7F4B58ED-2EB8-324E-84AF-8873798BE420}" type="parTrans" cxnId="{1ACA1BBD-2B0F-834D-B9F0-1238FE56DA4B}">
      <dgm:prSet/>
      <dgm:spPr/>
      <dgm:t>
        <a:bodyPr/>
        <a:lstStyle/>
        <a:p>
          <a:endParaRPr lang="en-GB"/>
        </a:p>
      </dgm:t>
    </dgm:pt>
    <dgm:pt modelId="{76A1AC68-F7B7-2D4D-9470-CEB0D02C988A}" type="sibTrans" cxnId="{1ACA1BBD-2B0F-834D-B9F0-1238FE56DA4B}">
      <dgm:prSet/>
      <dgm:spPr/>
      <dgm:t>
        <a:bodyPr/>
        <a:lstStyle/>
        <a:p>
          <a:endParaRPr lang="en-GB"/>
        </a:p>
      </dgm:t>
    </dgm:pt>
    <dgm:pt modelId="{4B3F3D12-A940-E744-A6EB-245F7A141D53}">
      <dgm:prSet phldrT="[Text]" custT="1"/>
      <dgm:spPr/>
      <dgm:t>
        <a:bodyPr/>
        <a:lstStyle/>
        <a:p>
          <a:r>
            <a:rPr lang="en-GB" sz="1200"/>
            <a:t>Net Profit Margin  (19.2%)</a:t>
          </a:r>
        </a:p>
      </dgm:t>
    </dgm:pt>
    <dgm:pt modelId="{354D8682-C6A7-8C48-B9F7-93BF23D9519C}" type="parTrans" cxnId="{02AEA69E-8F47-514B-B5D4-80AA9245775F}">
      <dgm:prSet/>
      <dgm:spPr/>
      <dgm:t>
        <a:bodyPr/>
        <a:lstStyle/>
        <a:p>
          <a:endParaRPr lang="en-GB"/>
        </a:p>
      </dgm:t>
    </dgm:pt>
    <dgm:pt modelId="{C7B358A3-EFF2-2D4C-A4AF-5261878F5751}" type="sibTrans" cxnId="{02AEA69E-8F47-514B-B5D4-80AA9245775F}">
      <dgm:prSet/>
      <dgm:spPr/>
      <dgm:t>
        <a:bodyPr/>
        <a:lstStyle/>
        <a:p>
          <a:endParaRPr lang="en-GB"/>
        </a:p>
      </dgm:t>
    </dgm:pt>
    <dgm:pt modelId="{B93F2EFA-FAA0-7049-AFA7-A1A9D7C42618}">
      <dgm:prSet phldrT="[Text]" custT="1"/>
      <dgm:spPr/>
      <dgm:t>
        <a:bodyPr/>
        <a:lstStyle/>
        <a:p>
          <a:r>
            <a:rPr lang="en-GB" sz="1100"/>
            <a:t>Operating Margin (31.37%)</a:t>
          </a:r>
          <a:endParaRPr lang="en-GB" sz="1300"/>
        </a:p>
      </dgm:t>
    </dgm:pt>
    <dgm:pt modelId="{F6EAA074-3FC8-CE4B-90EE-C1619F9C5B70}" type="parTrans" cxnId="{CF7EFF3C-6681-924F-8640-30ADC0074C8D}">
      <dgm:prSet/>
      <dgm:spPr/>
      <dgm:t>
        <a:bodyPr/>
        <a:lstStyle/>
        <a:p>
          <a:endParaRPr lang="en-GB"/>
        </a:p>
      </dgm:t>
    </dgm:pt>
    <dgm:pt modelId="{8BBA4B70-08EB-4141-9FED-36E870961481}" type="sibTrans" cxnId="{CF7EFF3C-6681-924F-8640-30ADC0074C8D}">
      <dgm:prSet/>
      <dgm:spPr/>
      <dgm:t>
        <a:bodyPr/>
        <a:lstStyle/>
        <a:p>
          <a:endParaRPr lang="en-GB"/>
        </a:p>
      </dgm:t>
    </dgm:pt>
    <dgm:pt modelId="{9D21AE1F-B349-624E-BBBA-AAD8555A6220}">
      <dgm:prSet phldrT="[Text]" custT="1"/>
      <dgm:spPr/>
      <dgm:t>
        <a:bodyPr/>
        <a:lstStyle/>
        <a:p>
          <a:r>
            <a:rPr lang="en-GB" sz="1100"/>
            <a:t>(EBT/EBIT) Interest burden (0.88)</a:t>
          </a:r>
          <a:endParaRPr lang="en-GB" sz="1200"/>
        </a:p>
      </dgm:t>
    </dgm:pt>
    <dgm:pt modelId="{13FE9E03-5D12-7E40-891F-269B5532ABFB}" type="parTrans" cxnId="{F0A28A23-71FC-FC4B-8754-1E8F023CCBA2}">
      <dgm:prSet/>
      <dgm:spPr/>
      <dgm:t>
        <a:bodyPr/>
        <a:lstStyle/>
        <a:p>
          <a:endParaRPr lang="en-GB"/>
        </a:p>
      </dgm:t>
    </dgm:pt>
    <dgm:pt modelId="{C2F9797F-6E6C-1347-A185-E1691DFD2F0D}" type="sibTrans" cxnId="{F0A28A23-71FC-FC4B-8754-1E8F023CCBA2}">
      <dgm:prSet/>
      <dgm:spPr/>
      <dgm:t>
        <a:bodyPr/>
        <a:lstStyle/>
        <a:p>
          <a:endParaRPr lang="en-GB"/>
        </a:p>
      </dgm:t>
    </dgm:pt>
    <dgm:pt modelId="{117BB29B-AF7D-7043-8BAA-7B43CBB4FB82}">
      <dgm:prSet phldrT="[Text]" custT="1"/>
      <dgm:spPr/>
      <dgm:t>
        <a:bodyPr/>
        <a:lstStyle/>
        <a:p>
          <a:r>
            <a:rPr lang="en-GB" sz="1200"/>
            <a:t>Asset Turnover  (0.46)</a:t>
          </a:r>
        </a:p>
      </dgm:t>
    </dgm:pt>
    <dgm:pt modelId="{C127FFE0-7DA0-F447-B868-A70CE8A78D91}" type="parTrans" cxnId="{91ACCCC4-8546-0B45-8C91-E452973CE971}">
      <dgm:prSet/>
      <dgm:spPr/>
      <dgm:t>
        <a:bodyPr/>
        <a:lstStyle/>
        <a:p>
          <a:endParaRPr lang="en-GB"/>
        </a:p>
      </dgm:t>
    </dgm:pt>
    <dgm:pt modelId="{3114C935-1295-624F-AF51-B96B49DD886B}" type="sibTrans" cxnId="{91ACCCC4-8546-0B45-8C91-E452973CE971}">
      <dgm:prSet/>
      <dgm:spPr/>
      <dgm:t>
        <a:bodyPr/>
        <a:lstStyle/>
        <a:p>
          <a:endParaRPr lang="en-GB"/>
        </a:p>
      </dgm:t>
    </dgm:pt>
    <dgm:pt modelId="{DE6C055E-5084-0B40-BECB-290535090C69}">
      <dgm:prSet custT="1"/>
      <dgm:spPr/>
      <dgm:t>
        <a:bodyPr/>
        <a:lstStyle/>
        <a:p>
          <a:r>
            <a:rPr lang="en-GB" sz="1200"/>
            <a:t>Financial leverage ratio (2.33)</a:t>
          </a:r>
        </a:p>
      </dgm:t>
    </dgm:pt>
    <dgm:pt modelId="{A0F7932C-49EC-924A-BAA0-36A04CC35900}" type="parTrans" cxnId="{89CFE544-B5A7-1C40-8D48-657A9BF510C1}">
      <dgm:prSet/>
      <dgm:spPr/>
      <dgm:t>
        <a:bodyPr/>
        <a:lstStyle/>
        <a:p>
          <a:endParaRPr lang="en-GB"/>
        </a:p>
      </dgm:t>
    </dgm:pt>
    <dgm:pt modelId="{CB309853-04B0-FC4F-A3F3-E0212CCD3378}" type="sibTrans" cxnId="{89CFE544-B5A7-1C40-8D48-657A9BF510C1}">
      <dgm:prSet/>
      <dgm:spPr/>
      <dgm:t>
        <a:bodyPr/>
        <a:lstStyle/>
        <a:p>
          <a:endParaRPr lang="en-GB"/>
        </a:p>
      </dgm:t>
    </dgm:pt>
    <dgm:pt modelId="{D001597F-BAFC-0946-8B74-9A38BA98DFC9}">
      <dgm:prSet custT="1"/>
      <dgm:spPr/>
      <dgm:t>
        <a:bodyPr/>
        <a:lstStyle/>
        <a:p>
          <a:r>
            <a:rPr lang="en-GB" sz="1100"/>
            <a:t>(NI/EBT)               Tax burd</a:t>
          </a:r>
          <a:r>
            <a:rPr lang="en-GB" sz="1200"/>
            <a:t>en   </a:t>
          </a:r>
          <a:r>
            <a:rPr lang="en-GB" sz="1100"/>
            <a:t>(0.73)</a:t>
          </a:r>
          <a:endParaRPr lang="en-GB" sz="1200"/>
        </a:p>
      </dgm:t>
    </dgm:pt>
    <dgm:pt modelId="{442216AE-ECCA-E74D-95AE-7056B400F486}" type="parTrans" cxnId="{C8FA531D-1CB4-E944-96EA-41677ED750D0}">
      <dgm:prSet/>
      <dgm:spPr/>
      <dgm:t>
        <a:bodyPr/>
        <a:lstStyle/>
        <a:p>
          <a:endParaRPr lang="en-GB"/>
        </a:p>
      </dgm:t>
    </dgm:pt>
    <dgm:pt modelId="{0B3F3A39-DF2F-DA49-AD78-15B939FA216D}" type="sibTrans" cxnId="{C8FA531D-1CB4-E944-96EA-41677ED750D0}">
      <dgm:prSet/>
      <dgm:spPr/>
      <dgm:t>
        <a:bodyPr/>
        <a:lstStyle/>
        <a:p>
          <a:endParaRPr lang="en-GB"/>
        </a:p>
      </dgm:t>
    </dgm:pt>
    <dgm:pt modelId="{AE83104B-934C-F141-B41F-E31466A41B8E}" type="pres">
      <dgm:prSet presAssocID="{C74E8855-8C9D-F04C-B122-048C6D244D75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F796AA87-F4E6-3347-84B8-4476CE4B0795}" type="pres">
      <dgm:prSet presAssocID="{7B77E5E6-E98D-2B43-91BC-05769AF10A4A}" presName="hierRoot1" presStyleCnt="0"/>
      <dgm:spPr/>
    </dgm:pt>
    <dgm:pt modelId="{F9FDA0B5-5364-6A4F-923D-9E69BCA53D25}" type="pres">
      <dgm:prSet presAssocID="{7B77E5E6-E98D-2B43-91BC-05769AF10A4A}" presName="composite" presStyleCnt="0"/>
      <dgm:spPr/>
    </dgm:pt>
    <dgm:pt modelId="{BE8F4FB6-E1B2-3D42-8996-A8674287C778}" type="pres">
      <dgm:prSet presAssocID="{7B77E5E6-E98D-2B43-91BC-05769AF10A4A}" presName="background" presStyleLbl="node0" presStyleIdx="0" presStyleCnt="1"/>
      <dgm:spPr/>
    </dgm:pt>
    <dgm:pt modelId="{3FA98399-3081-B44C-B185-E2808F754C54}" type="pres">
      <dgm:prSet presAssocID="{7B77E5E6-E98D-2B43-91BC-05769AF10A4A}" presName="text" presStyleLbl="fgAcc0" presStyleIdx="0" presStyleCnt="1">
        <dgm:presLayoutVars>
          <dgm:chPref val="3"/>
        </dgm:presLayoutVars>
      </dgm:prSet>
      <dgm:spPr/>
    </dgm:pt>
    <dgm:pt modelId="{F03303C2-3975-7D43-B462-3F8087250C18}" type="pres">
      <dgm:prSet presAssocID="{7B77E5E6-E98D-2B43-91BC-05769AF10A4A}" presName="hierChild2" presStyleCnt="0"/>
      <dgm:spPr/>
    </dgm:pt>
    <dgm:pt modelId="{4DB8DCD2-BA13-F54F-B4DF-EC4C95948F70}" type="pres">
      <dgm:prSet presAssocID="{C127FFE0-7DA0-F447-B868-A70CE8A78D91}" presName="Name10" presStyleLbl="parChTrans1D2" presStyleIdx="0" presStyleCnt="3"/>
      <dgm:spPr/>
    </dgm:pt>
    <dgm:pt modelId="{B22B5447-FC72-D542-9067-F0311C48B55E}" type="pres">
      <dgm:prSet presAssocID="{117BB29B-AF7D-7043-8BAA-7B43CBB4FB82}" presName="hierRoot2" presStyleCnt="0"/>
      <dgm:spPr/>
    </dgm:pt>
    <dgm:pt modelId="{7A6C0126-D3FE-1A4B-9210-623DCB05FBBF}" type="pres">
      <dgm:prSet presAssocID="{117BB29B-AF7D-7043-8BAA-7B43CBB4FB82}" presName="composite2" presStyleCnt="0"/>
      <dgm:spPr/>
    </dgm:pt>
    <dgm:pt modelId="{CAAA1266-81E1-1647-8928-448F9ACB8836}" type="pres">
      <dgm:prSet presAssocID="{117BB29B-AF7D-7043-8BAA-7B43CBB4FB82}" presName="background2" presStyleLbl="node2" presStyleIdx="0" presStyleCnt="3"/>
      <dgm:spPr/>
    </dgm:pt>
    <dgm:pt modelId="{B96AE2B5-738B-DF4E-9CA6-157B7E8F640B}" type="pres">
      <dgm:prSet presAssocID="{117BB29B-AF7D-7043-8BAA-7B43CBB4FB82}" presName="text2" presStyleLbl="fgAcc2" presStyleIdx="0" presStyleCnt="3">
        <dgm:presLayoutVars>
          <dgm:chPref val="3"/>
        </dgm:presLayoutVars>
      </dgm:prSet>
      <dgm:spPr/>
    </dgm:pt>
    <dgm:pt modelId="{D6671554-6D6E-B941-B7C5-4B20B7A95896}" type="pres">
      <dgm:prSet presAssocID="{117BB29B-AF7D-7043-8BAA-7B43CBB4FB82}" presName="hierChild3" presStyleCnt="0"/>
      <dgm:spPr/>
    </dgm:pt>
    <dgm:pt modelId="{65D9A8D1-62D3-7D44-AF79-A52854D0F8B9}" type="pres">
      <dgm:prSet presAssocID="{354D8682-C6A7-8C48-B9F7-93BF23D9519C}" presName="Name10" presStyleLbl="parChTrans1D2" presStyleIdx="1" presStyleCnt="3"/>
      <dgm:spPr/>
    </dgm:pt>
    <dgm:pt modelId="{580E20E6-CE65-D04F-A95B-836057EB28E0}" type="pres">
      <dgm:prSet presAssocID="{4B3F3D12-A940-E744-A6EB-245F7A141D53}" presName="hierRoot2" presStyleCnt="0"/>
      <dgm:spPr/>
    </dgm:pt>
    <dgm:pt modelId="{90353786-EC45-4248-9D9E-E67087743D0F}" type="pres">
      <dgm:prSet presAssocID="{4B3F3D12-A940-E744-A6EB-245F7A141D53}" presName="composite2" presStyleCnt="0"/>
      <dgm:spPr/>
    </dgm:pt>
    <dgm:pt modelId="{8FA949FC-4B5B-5C4A-A310-054BAA318A66}" type="pres">
      <dgm:prSet presAssocID="{4B3F3D12-A940-E744-A6EB-245F7A141D53}" presName="background2" presStyleLbl="node2" presStyleIdx="1" presStyleCnt="3"/>
      <dgm:spPr/>
    </dgm:pt>
    <dgm:pt modelId="{97B9BDAB-F6FB-7D43-A9E4-F183C25373AD}" type="pres">
      <dgm:prSet presAssocID="{4B3F3D12-A940-E744-A6EB-245F7A141D53}" presName="text2" presStyleLbl="fgAcc2" presStyleIdx="1" presStyleCnt="3" custLinFactNeighborX="-14058" custLinFactNeighborY="-9366">
        <dgm:presLayoutVars>
          <dgm:chPref val="3"/>
        </dgm:presLayoutVars>
      </dgm:prSet>
      <dgm:spPr/>
    </dgm:pt>
    <dgm:pt modelId="{474FECE9-C62F-7048-A39E-913089D0B1DF}" type="pres">
      <dgm:prSet presAssocID="{4B3F3D12-A940-E744-A6EB-245F7A141D53}" presName="hierChild3" presStyleCnt="0"/>
      <dgm:spPr/>
    </dgm:pt>
    <dgm:pt modelId="{E012FE5B-A579-8947-8E86-7217EA8E4C52}" type="pres">
      <dgm:prSet presAssocID="{F6EAA074-3FC8-CE4B-90EE-C1619F9C5B70}" presName="Name17" presStyleLbl="parChTrans1D3" presStyleIdx="0" presStyleCnt="3"/>
      <dgm:spPr/>
    </dgm:pt>
    <dgm:pt modelId="{45AAD202-1802-F744-9A40-E33EBD6334A2}" type="pres">
      <dgm:prSet presAssocID="{B93F2EFA-FAA0-7049-AFA7-A1A9D7C42618}" presName="hierRoot3" presStyleCnt="0"/>
      <dgm:spPr/>
    </dgm:pt>
    <dgm:pt modelId="{CFADC6A8-F51D-CF42-86D4-07E115EC0721}" type="pres">
      <dgm:prSet presAssocID="{B93F2EFA-FAA0-7049-AFA7-A1A9D7C42618}" presName="composite3" presStyleCnt="0"/>
      <dgm:spPr/>
    </dgm:pt>
    <dgm:pt modelId="{2952B6BC-9376-9947-A412-CD7C4D440FC1}" type="pres">
      <dgm:prSet presAssocID="{B93F2EFA-FAA0-7049-AFA7-A1A9D7C42618}" presName="background3" presStyleLbl="node3" presStyleIdx="0" presStyleCnt="3"/>
      <dgm:spPr/>
    </dgm:pt>
    <dgm:pt modelId="{4FD46659-3258-6F4B-963D-3A48E8832FA1}" type="pres">
      <dgm:prSet presAssocID="{B93F2EFA-FAA0-7049-AFA7-A1A9D7C42618}" presName="text3" presStyleLbl="fgAcc3" presStyleIdx="0" presStyleCnt="3">
        <dgm:presLayoutVars>
          <dgm:chPref val="3"/>
        </dgm:presLayoutVars>
      </dgm:prSet>
      <dgm:spPr/>
    </dgm:pt>
    <dgm:pt modelId="{DD629AE3-3796-0241-B443-27F9F3A19BA4}" type="pres">
      <dgm:prSet presAssocID="{B93F2EFA-FAA0-7049-AFA7-A1A9D7C42618}" presName="hierChild4" presStyleCnt="0"/>
      <dgm:spPr/>
    </dgm:pt>
    <dgm:pt modelId="{EC600654-67CB-944A-891F-6F443B24D6FD}" type="pres">
      <dgm:prSet presAssocID="{13FE9E03-5D12-7E40-891F-269B5532ABFB}" presName="Name17" presStyleLbl="parChTrans1D3" presStyleIdx="1" presStyleCnt="3"/>
      <dgm:spPr/>
    </dgm:pt>
    <dgm:pt modelId="{C00D5691-CD8F-E14E-90D9-5CFFE06079A2}" type="pres">
      <dgm:prSet presAssocID="{9D21AE1F-B349-624E-BBBA-AAD8555A6220}" presName="hierRoot3" presStyleCnt="0"/>
      <dgm:spPr/>
    </dgm:pt>
    <dgm:pt modelId="{99C9CDED-1AED-9643-B412-E70800AFC7A0}" type="pres">
      <dgm:prSet presAssocID="{9D21AE1F-B349-624E-BBBA-AAD8555A6220}" presName="composite3" presStyleCnt="0"/>
      <dgm:spPr/>
    </dgm:pt>
    <dgm:pt modelId="{93431F02-D65A-1A46-96E0-290E51C9A50B}" type="pres">
      <dgm:prSet presAssocID="{9D21AE1F-B349-624E-BBBA-AAD8555A6220}" presName="background3" presStyleLbl="node3" presStyleIdx="1" presStyleCnt="3"/>
      <dgm:spPr/>
    </dgm:pt>
    <dgm:pt modelId="{EC816274-E0E0-A740-90B2-82416D7D1036}" type="pres">
      <dgm:prSet presAssocID="{9D21AE1F-B349-624E-BBBA-AAD8555A6220}" presName="text3" presStyleLbl="fgAcc3" presStyleIdx="1" presStyleCnt="3">
        <dgm:presLayoutVars>
          <dgm:chPref val="3"/>
        </dgm:presLayoutVars>
      </dgm:prSet>
      <dgm:spPr/>
    </dgm:pt>
    <dgm:pt modelId="{E634C4CC-2849-BC4A-8AB1-9E08996D3180}" type="pres">
      <dgm:prSet presAssocID="{9D21AE1F-B349-624E-BBBA-AAD8555A6220}" presName="hierChild4" presStyleCnt="0"/>
      <dgm:spPr/>
    </dgm:pt>
    <dgm:pt modelId="{E2EC1474-13BB-B24C-8234-A75ECC5D6955}" type="pres">
      <dgm:prSet presAssocID="{442216AE-ECCA-E74D-95AE-7056B400F486}" presName="Name17" presStyleLbl="parChTrans1D3" presStyleIdx="2" presStyleCnt="3"/>
      <dgm:spPr/>
    </dgm:pt>
    <dgm:pt modelId="{0A11126E-2EA8-AB46-9ABD-750802690F53}" type="pres">
      <dgm:prSet presAssocID="{D001597F-BAFC-0946-8B74-9A38BA98DFC9}" presName="hierRoot3" presStyleCnt="0"/>
      <dgm:spPr/>
    </dgm:pt>
    <dgm:pt modelId="{08FDCD86-3E00-784C-84E2-59AB9C4279BA}" type="pres">
      <dgm:prSet presAssocID="{D001597F-BAFC-0946-8B74-9A38BA98DFC9}" presName="composite3" presStyleCnt="0"/>
      <dgm:spPr/>
    </dgm:pt>
    <dgm:pt modelId="{07597668-F054-3E43-9EDF-D331C79C3C39}" type="pres">
      <dgm:prSet presAssocID="{D001597F-BAFC-0946-8B74-9A38BA98DFC9}" presName="background3" presStyleLbl="node3" presStyleIdx="2" presStyleCnt="3"/>
      <dgm:spPr/>
    </dgm:pt>
    <dgm:pt modelId="{496377A0-5D52-0E42-BBD7-6980F45FBC50}" type="pres">
      <dgm:prSet presAssocID="{D001597F-BAFC-0946-8B74-9A38BA98DFC9}" presName="text3" presStyleLbl="fgAcc3" presStyleIdx="2" presStyleCnt="3">
        <dgm:presLayoutVars>
          <dgm:chPref val="3"/>
        </dgm:presLayoutVars>
      </dgm:prSet>
      <dgm:spPr/>
    </dgm:pt>
    <dgm:pt modelId="{3FB1A270-665A-D441-AB73-750F4219BA41}" type="pres">
      <dgm:prSet presAssocID="{D001597F-BAFC-0946-8B74-9A38BA98DFC9}" presName="hierChild4" presStyleCnt="0"/>
      <dgm:spPr/>
    </dgm:pt>
    <dgm:pt modelId="{231BBB20-8494-C649-9550-FB76A19BCC07}" type="pres">
      <dgm:prSet presAssocID="{A0F7932C-49EC-924A-BAA0-36A04CC35900}" presName="Name10" presStyleLbl="parChTrans1D2" presStyleIdx="2" presStyleCnt="3"/>
      <dgm:spPr/>
    </dgm:pt>
    <dgm:pt modelId="{3692F25C-9788-2045-89C0-3BCA359260DD}" type="pres">
      <dgm:prSet presAssocID="{DE6C055E-5084-0B40-BECB-290535090C69}" presName="hierRoot2" presStyleCnt="0"/>
      <dgm:spPr/>
    </dgm:pt>
    <dgm:pt modelId="{F9D5E2D7-F892-C241-B364-55A40FF94053}" type="pres">
      <dgm:prSet presAssocID="{DE6C055E-5084-0B40-BECB-290535090C69}" presName="composite2" presStyleCnt="0"/>
      <dgm:spPr/>
    </dgm:pt>
    <dgm:pt modelId="{49CE53C5-51B5-B248-89D3-1C8EE06A09E8}" type="pres">
      <dgm:prSet presAssocID="{DE6C055E-5084-0B40-BECB-290535090C69}" presName="background2" presStyleLbl="node2" presStyleIdx="2" presStyleCnt="3"/>
      <dgm:spPr/>
    </dgm:pt>
    <dgm:pt modelId="{181521A3-B57D-B846-A94C-1AD07B30B7DE}" type="pres">
      <dgm:prSet presAssocID="{DE6C055E-5084-0B40-BECB-290535090C69}" presName="text2" presStyleLbl="fgAcc2" presStyleIdx="2" presStyleCnt="3">
        <dgm:presLayoutVars>
          <dgm:chPref val="3"/>
        </dgm:presLayoutVars>
      </dgm:prSet>
      <dgm:spPr/>
    </dgm:pt>
    <dgm:pt modelId="{D0D09C0B-E244-4E4D-9A3B-D97FC1883EDE}" type="pres">
      <dgm:prSet presAssocID="{DE6C055E-5084-0B40-BECB-290535090C69}" presName="hierChild3" presStyleCnt="0"/>
      <dgm:spPr/>
    </dgm:pt>
  </dgm:ptLst>
  <dgm:cxnLst>
    <dgm:cxn modelId="{8CB1E00D-DC1D-EB45-8AD4-D54C2CDF8C60}" type="presOf" srcId="{117BB29B-AF7D-7043-8BAA-7B43CBB4FB82}" destId="{B96AE2B5-738B-DF4E-9CA6-157B7E8F640B}" srcOrd="0" destOrd="0" presId="urn:microsoft.com/office/officeart/2005/8/layout/hierarchy1"/>
    <dgm:cxn modelId="{C8FA531D-1CB4-E944-96EA-41677ED750D0}" srcId="{4B3F3D12-A940-E744-A6EB-245F7A141D53}" destId="{D001597F-BAFC-0946-8B74-9A38BA98DFC9}" srcOrd="2" destOrd="0" parTransId="{442216AE-ECCA-E74D-95AE-7056B400F486}" sibTransId="{0B3F3A39-DF2F-DA49-AD78-15B939FA216D}"/>
    <dgm:cxn modelId="{F0A28A23-71FC-FC4B-8754-1E8F023CCBA2}" srcId="{4B3F3D12-A940-E744-A6EB-245F7A141D53}" destId="{9D21AE1F-B349-624E-BBBA-AAD8555A6220}" srcOrd="1" destOrd="0" parTransId="{13FE9E03-5D12-7E40-891F-269B5532ABFB}" sibTransId="{C2F9797F-6E6C-1347-A185-E1691DFD2F0D}"/>
    <dgm:cxn modelId="{8C014637-013E-8340-ABEE-794D6FA057E4}" type="presOf" srcId="{C127FFE0-7DA0-F447-B868-A70CE8A78D91}" destId="{4DB8DCD2-BA13-F54F-B4DF-EC4C95948F70}" srcOrd="0" destOrd="0" presId="urn:microsoft.com/office/officeart/2005/8/layout/hierarchy1"/>
    <dgm:cxn modelId="{54576F37-4EF0-0342-AE4D-AF3AE0944A0E}" type="presOf" srcId="{D001597F-BAFC-0946-8B74-9A38BA98DFC9}" destId="{496377A0-5D52-0E42-BBD7-6980F45FBC50}" srcOrd="0" destOrd="0" presId="urn:microsoft.com/office/officeart/2005/8/layout/hierarchy1"/>
    <dgm:cxn modelId="{CF7EFF3C-6681-924F-8640-30ADC0074C8D}" srcId="{4B3F3D12-A940-E744-A6EB-245F7A141D53}" destId="{B93F2EFA-FAA0-7049-AFA7-A1A9D7C42618}" srcOrd="0" destOrd="0" parTransId="{F6EAA074-3FC8-CE4B-90EE-C1619F9C5B70}" sibTransId="{8BBA4B70-08EB-4141-9FED-36E870961481}"/>
    <dgm:cxn modelId="{6022C162-FD1B-6140-86F9-DBD064C3E189}" type="presOf" srcId="{C74E8855-8C9D-F04C-B122-048C6D244D75}" destId="{AE83104B-934C-F141-B41F-E31466A41B8E}" srcOrd="0" destOrd="0" presId="urn:microsoft.com/office/officeart/2005/8/layout/hierarchy1"/>
    <dgm:cxn modelId="{89CFE544-B5A7-1C40-8D48-657A9BF510C1}" srcId="{7B77E5E6-E98D-2B43-91BC-05769AF10A4A}" destId="{DE6C055E-5084-0B40-BECB-290535090C69}" srcOrd="2" destOrd="0" parTransId="{A0F7932C-49EC-924A-BAA0-36A04CC35900}" sibTransId="{CB309853-04B0-FC4F-A3F3-E0212CCD3378}"/>
    <dgm:cxn modelId="{A8B06445-E928-D94A-8F0E-93A4FE41B5B4}" type="presOf" srcId="{A0F7932C-49EC-924A-BAA0-36A04CC35900}" destId="{231BBB20-8494-C649-9550-FB76A19BCC07}" srcOrd="0" destOrd="0" presId="urn:microsoft.com/office/officeart/2005/8/layout/hierarchy1"/>
    <dgm:cxn modelId="{D5CFBE54-A922-3B41-B683-56FF4242D01E}" type="presOf" srcId="{354D8682-C6A7-8C48-B9F7-93BF23D9519C}" destId="{65D9A8D1-62D3-7D44-AF79-A52854D0F8B9}" srcOrd="0" destOrd="0" presId="urn:microsoft.com/office/officeart/2005/8/layout/hierarchy1"/>
    <dgm:cxn modelId="{B7D8E676-F1E7-584A-A38B-3112E509A75B}" type="presOf" srcId="{442216AE-ECCA-E74D-95AE-7056B400F486}" destId="{E2EC1474-13BB-B24C-8234-A75ECC5D6955}" srcOrd="0" destOrd="0" presId="urn:microsoft.com/office/officeart/2005/8/layout/hierarchy1"/>
    <dgm:cxn modelId="{CE22B192-12B7-7348-A33B-7D567803FB92}" type="presOf" srcId="{9D21AE1F-B349-624E-BBBA-AAD8555A6220}" destId="{EC816274-E0E0-A740-90B2-82416D7D1036}" srcOrd="0" destOrd="0" presId="urn:microsoft.com/office/officeart/2005/8/layout/hierarchy1"/>
    <dgm:cxn modelId="{02AEA69E-8F47-514B-B5D4-80AA9245775F}" srcId="{7B77E5E6-E98D-2B43-91BC-05769AF10A4A}" destId="{4B3F3D12-A940-E744-A6EB-245F7A141D53}" srcOrd="1" destOrd="0" parTransId="{354D8682-C6A7-8C48-B9F7-93BF23D9519C}" sibTransId="{C7B358A3-EFF2-2D4C-A4AF-5261878F5751}"/>
    <dgm:cxn modelId="{3D95A1AE-4332-6745-8493-9AB07D9BA89D}" type="presOf" srcId="{13FE9E03-5D12-7E40-891F-269B5532ABFB}" destId="{EC600654-67CB-944A-891F-6F443B24D6FD}" srcOrd="0" destOrd="0" presId="urn:microsoft.com/office/officeart/2005/8/layout/hierarchy1"/>
    <dgm:cxn modelId="{E5688FAF-5B3B-E941-9FA4-077A309A42AF}" type="presOf" srcId="{7B77E5E6-E98D-2B43-91BC-05769AF10A4A}" destId="{3FA98399-3081-B44C-B185-E2808F754C54}" srcOrd="0" destOrd="0" presId="urn:microsoft.com/office/officeart/2005/8/layout/hierarchy1"/>
    <dgm:cxn modelId="{1ACA1BBD-2B0F-834D-B9F0-1238FE56DA4B}" srcId="{C74E8855-8C9D-F04C-B122-048C6D244D75}" destId="{7B77E5E6-E98D-2B43-91BC-05769AF10A4A}" srcOrd="0" destOrd="0" parTransId="{7F4B58ED-2EB8-324E-84AF-8873798BE420}" sibTransId="{76A1AC68-F7B7-2D4D-9470-CEB0D02C988A}"/>
    <dgm:cxn modelId="{91ACCCC4-8546-0B45-8C91-E452973CE971}" srcId="{7B77E5E6-E98D-2B43-91BC-05769AF10A4A}" destId="{117BB29B-AF7D-7043-8BAA-7B43CBB4FB82}" srcOrd="0" destOrd="0" parTransId="{C127FFE0-7DA0-F447-B868-A70CE8A78D91}" sibTransId="{3114C935-1295-624F-AF51-B96B49DD886B}"/>
    <dgm:cxn modelId="{FEBF96D9-0CB5-514B-ADCE-133A02BB2E54}" type="presOf" srcId="{F6EAA074-3FC8-CE4B-90EE-C1619F9C5B70}" destId="{E012FE5B-A579-8947-8E86-7217EA8E4C52}" srcOrd="0" destOrd="0" presId="urn:microsoft.com/office/officeart/2005/8/layout/hierarchy1"/>
    <dgm:cxn modelId="{9CAAD5E0-C52B-9E4E-9F27-06319DA9A260}" type="presOf" srcId="{4B3F3D12-A940-E744-A6EB-245F7A141D53}" destId="{97B9BDAB-F6FB-7D43-A9E4-F183C25373AD}" srcOrd="0" destOrd="0" presId="urn:microsoft.com/office/officeart/2005/8/layout/hierarchy1"/>
    <dgm:cxn modelId="{D07B91E3-BE7C-2E47-B0E0-B5765F9DADCC}" type="presOf" srcId="{B93F2EFA-FAA0-7049-AFA7-A1A9D7C42618}" destId="{4FD46659-3258-6F4B-963D-3A48E8832FA1}" srcOrd="0" destOrd="0" presId="urn:microsoft.com/office/officeart/2005/8/layout/hierarchy1"/>
    <dgm:cxn modelId="{39AB10FA-F24B-A947-8CA6-8A7EE5208EDB}" type="presOf" srcId="{DE6C055E-5084-0B40-BECB-290535090C69}" destId="{181521A3-B57D-B846-A94C-1AD07B30B7DE}" srcOrd="0" destOrd="0" presId="urn:microsoft.com/office/officeart/2005/8/layout/hierarchy1"/>
    <dgm:cxn modelId="{1C60D9EB-0199-DC44-A726-670BB437DD58}" type="presParOf" srcId="{AE83104B-934C-F141-B41F-E31466A41B8E}" destId="{F796AA87-F4E6-3347-84B8-4476CE4B0795}" srcOrd="0" destOrd="0" presId="urn:microsoft.com/office/officeart/2005/8/layout/hierarchy1"/>
    <dgm:cxn modelId="{8E027A44-8E48-304E-83A3-9EF6D93393D1}" type="presParOf" srcId="{F796AA87-F4E6-3347-84B8-4476CE4B0795}" destId="{F9FDA0B5-5364-6A4F-923D-9E69BCA53D25}" srcOrd="0" destOrd="0" presId="urn:microsoft.com/office/officeart/2005/8/layout/hierarchy1"/>
    <dgm:cxn modelId="{07696263-AE66-004E-9B7F-CA5D18FEDBEB}" type="presParOf" srcId="{F9FDA0B5-5364-6A4F-923D-9E69BCA53D25}" destId="{BE8F4FB6-E1B2-3D42-8996-A8674287C778}" srcOrd="0" destOrd="0" presId="urn:microsoft.com/office/officeart/2005/8/layout/hierarchy1"/>
    <dgm:cxn modelId="{34B76C86-EC79-FF4C-818A-C281F76B5B4B}" type="presParOf" srcId="{F9FDA0B5-5364-6A4F-923D-9E69BCA53D25}" destId="{3FA98399-3081-B44C-B185-E2808F754C54}" srcOrd="1" destOrd="0" presId="urn:microsoft.com/office/officeart/2005/8/layout/hierarchy1"/>
    <dgm:cxn modelId="{B2C4DE81-6739-9141-8585-B9710F911678}" type="presParOf" srcId="{F796AA87-F4E6-3347-84B8-4476CE4B0795}" destId="{F03303C2-3975-7D43-B462-3F8087250C18}" srcOrd="1" destOrd="0" presId="urn:microsoft.com/office/officeart/2005/8/layout/hierarchy1"/>
    <dgm:cxn modelId="{73A28BB2-AF4E-5D42-9F48-F9AE15ACF267}" type="presParOf" srcId="{F03303C2-3975-7D43-B462-3F8087250C18}" destId="{4DB8DCD2-BA13-F54F-B4DF-EC4C95948F70}" srcOrd="0" destOrd="0" presId="urn:microsoft.com/office/officeart/2005/8/layout/hierarchy1"/>
    <dgm:cxn modelId="{E2EC3B1C-4F6D-2E4E-9104-B11501C501DF}" type="presParOf" srcId="{F03303C2-3975-7D43-B462-3F8087250C18}" destId="{B22B5447-FC72-D542-9067-F0311C48B55E}" srcOrd="1" destOrd="0" presId="urn:microsoft.com/office/officeart/2005/8/layout/hierarchy1"/>
    <dgm:cxn modelId="{B939494D-2DFA-AB4F-8263-B95B55449EC8}" type="presParOf" srcId="{B22B5447-FC72-D542-9067-F0311C48B55E}" destId="{7A6C0126-D3FE-1A4B-9210-623DCB05FBBF}" srcOrd="0" destOrd="0" presId="urn:microsoft.com/office/officeart/2005/8/layout/hierarchy1"/>
    <dgm:cxn modelId="{CB1583EE-4AF7-504A-884F-78A27B569393}" type="presParOf" srcId="{7A6C0126-D3FE-1A4B-9210-623DCB05FBBF}" destId="{CAAA1266-81E1-1647-8928-448F9ACB8836}" srcOrd="0" destOrd="0" presId="urn:microsoft.com/office/officeart/2005/8/layout/hierarchy1"/>
    <dgm:cxn modelId="{57942D34-4053-8944-842C-EA337B929BE6}" type="presParOf" srcId="{7A6C0126-D3FE-1A4B-9210-623DCB05FBBF}" destId="{B96AE2B5-738B-DF4E-9CA6-157B7E8F640B}" srcOrd="1" destOrd="0" presId="urn:microsoft.com/office/officeart/2005/8/layout/hierarchy1"/>
    <dgm:cxn modelId="{EBBAD6B5-0F2F-BC41-A912-8052F642CB09}" type="presParOf" srcId="{B22B5447-FC72-D542-9067-F0311C48B55E}" destId="{D6671554-6D6E-B941-B7C5-4B20B7A95896}" srcOrd="1" destOrd="0" presId="urn:microsoft.com/office/officeart/2005/8/layout/hierarchy1"/>
    <dgm:cxn modelId="{402E3614-CFCF-B748-B21F-19A94240D2A4}" type="presParOf" srcId="{F03303C2-3975-7D43-B462-3F8087250C18}" destId="{65D9A8D1-62D3-7D44-AF79-A52854D0F8B9}" srcOrd="2" destOrd="0" presId="urn:microsoft.com/office/officeart/2005/8/layout/hierarchy1"/>
    <dgm:cxn modelId="{F24423FE-4708-B946-ACCF-1726286729A9}" type="presParOf" srcId="{F03303C2-3975-7D43-B462-3F8087250C18}" destId="{580E20E6-CE65-D04F-A95B-836057EB28E0}" srcOrd="3" destOrd="0" presId="urn:microsoft.com/office/officeart/2005/8/layout/hierarchy1"/>
    <dgm:cxn modelId="{A1BD7A64-AF53-5949-814E-AB8858D89CBE}" type="presParOf" srcId="{580E20E6-CE65-D04F-A95B-836057EB28E0}" destId="{90353786-EC45-4248-9D9E-E67087743D0F}" srcOrd="0" destOrd="0" presId="urn:microsoft.com/office/officeart/2005/8/layout/hierarchy1"/>
    <dgm:cxn modelId="{98C87614-C6B7-A34D-A37B-3617C7BCA32E}" type="presParOf" srcId="{90353786-EC45-4248-9D9E-E67087743D0F}" destId="{8FA949FC-4B5B-5C4A-A310-054BAA318A66}" srcOrd="0" destOrd="0" presId="urn:microsoft.com/office/officeart/2005/8/layout/hierarchy1"/>
    <dgm:cxn modelId="{293E9699-23D1-A14E-9A05-14A72D46A4A5}" type="presParOf" srcId="{90353786-EC45-4248-9D9E-E67087743D0F}" destId="{97B9BDAB-F6FB-7D43-A9E4-F183C25373AD}" srcOrd="1" destOrd="0" presId="urn:microsoft.com/office/officeart/2005/8/layout/hierarchy1"/>
    <dgm:cxn modelId="{C7FB54A8-D99F-3245-ADBD-10825D395B6D}" type="presParOf" srcId="{580E20E6-CE65-D04F-A95B-836057EB28E0}" destId="{474FECE9-C62F-7048-A39E-913089D0B1DF}" srcOrd="1" destOrd="0" presId="urn:microsoft.com/office/officeart/2005/8/layout/hierarchy1"/>
    <dgm:cxn modelId="{6B36DFAF-E607-CD40-A539-1F15862D484C}" type="presParOf" srcId="{474FECE9-C62F-7048-A39E-913089D0B1DF}" destId="{E012FE5B-A579-8947-8E86-7217EA8E4C52}" srcOrd="0" destOrd="0" presId="urn:microsoft.com/office/officeart/2005/8/layout/hierarchy1"/>
    <dgm:cxn modelId="{43542A0C-D000-6540-8B2E-64FA664E0A0B}" type="presParOf" srcId="{474FECE9-C62F-7048-A39E-913089D0B1DF}" destId="{45AAD202-1802-F744-9A40-E33EBD6334A2}" srcOrd="1" destOrd="0" presId="urn:microsoft.com/office/officeart/2005/8/layout/hierarchy1"/>
    <dgm:cxn modelId="{7DCFE96D-9E3E-8044-9937-3BCFE57EC104}" type="presParOf" srcId="{45AAD202-1802-F744-9A40-E33EBD6334A2}" destId="{CFADC6A8-F51D-CF42-86D4-07E115EC0721}" srcOrd="0" destOrd="0" presId="urn:microsoft.com/office/officeart/2005/8/layout/hierarchy1"/>
    <dgm:cxn modelId="{18617B8C-D213-E646-B3E9-66A37ECC997B}" type="presParOf" srcId="{CFADC6A8-F51D-CF42-86D4-07E115EC0721}" destId="{2952B6BC-9376-9947-A412-CD7C4D440FC1}" srcOrd="0" destOrd="0" presId="urn:microsoft.com/office/officeart/2005/8/layout/hierarchy1"/>
    <dgm:cxn modelId="{0E01F75B-A1EA-4745-8DDC-FF9ED0AA51C2}" type="presParOf" srcId="{CFADC6A8-F51D-CF42-86D4-07E115EC0721}" destId="{4FD46659-3258-6F4B-963D-3A48E8832FA1}" srcOrd="1" destOrd="0" presId="urn:microsoft.com/office/officeart/2005/8/layout/hierarchy1"/>
    <dgm:cxn modelId="{64AFB500-4FBB-9A45-A6DA-7D38076F31D3}" type="presParOf" srcId="{45AAD202-1802-F744-9A40-E33EBD6334A2}" destId="{DD629AE3-3796-0241-B443-27F9F3A19BA4}" srcOrd="1" destOrd="0" presId="urn:microsoft.com/office/officeart/2005/8/layout/hierarchy1"/>
    <dgm:cxn modelId="{1A57CEAE-1C0D-6F48-A608-937D48B4C9D1}" type="presParOf" srcId="{474FECE9-C62F-7048-A39E-913089D0B1DF}" destId="{EC600654-67CB-944A-891F-6F443B24D6FD}" srcOrd="2" destOrd="0" presId="urn:microsoft.com/office/officeart/2005/8/layout/hierarchy1"/>
    <dgm:cxn modelId="{9CFFA4A2-FAD8-A942-AB38-5453B4B22B3D}" type="presParOf" srcId="{474FECE9-C62F-7048-A39E-913089D0B1DF}" destId="{C00D5691-CD8F-E14E-90D9-5CFFE06079A2}" srcOrd="3" destOrd="0" presId="urn:microsoft.com/office/officeart/2005/8/layout/hierarchy1"/>
    <dgm:cxn modelId="{62046910-67A7-944F-8544-34E9619214F9}" type="presParOf" srcId="{C00D5691-CD8F-E14E-90D9-5CFFE06079A2}" destId="{99C9CDED-1AED-9643-B412-E70800AFC7A0}" srcOrd="0" destOrd="0" presId="urn:microsoft.com/office/officeart/2005/8/layout/hierarchy1"/>
    <dgm:cxn modelId="{383C3C9C-7437-B848-A1C8-F81A83267985}" type="presParOf" srcId="{99C9CDED-1AED-9643-B412-E70800AFC7A0}" destId="{93431F02-D65A-1A46-96E0-290E51C9A50B}" srcOrd="0" destOrd="0" presId="urn:microsoft.com/office/officeart/2005/8/layout/hierarchy1"/>
    <dgm:cxn modelId="{36B03345-428F-C849-AAD2-3F8ACDD71653}" type="presParOf" srcId="{99C9CDED-1AED-9643-B412-E70800AFC7A0}" destId="{EC816274-E0E0-A740-90B2-82416D7D1036}" srcOrd="1" destOrd="0" presId="urn:microsoft.com/office/officeart/2005/8/layout/hierarchy1"/>
    <dgm:cxn modelId="{07C03654-1FB1-4D49-B5A6-B65F7F2C8563}" type="presParOf" srcId="{C00D5691-CD8F-E14E-90D9-5CFFE06079A2}" destId="{E634C4CC-2849-BC4A-8AB1-9E08996D3180}" srcOrd="1" destOrd="0" presId="urn:microsoft.com/office/officeart/2005/8/layout/hierarchy1"/>
    <dgm:cxn modelId="{61A6ED34-B574-9842-B12F-03D6DBB7253D}" type="presParOf" srcId="{474FECE9-C62F-7048-A39E-913089D0B1DF}" destId="{E2EC1474-13BB-B24C-8234-A75ECC5D6955}" srcOrd="4" destOrd="0" presId="urn:microsoft.com/office/officeart/2005/8/layout/hierarchy1"/>
    <dgm:cxn modelId="{56542C2D-F1AB-C641-AA21-87B19619C36A}" type="presParOf" srcId="{474FECE9-C62F-7048-A39E-913089D0B1DF}" destId="{0A11126E-2EA8-AB46-9ABD-750802690F53}" srcOrd="5" destOrd="0" presId="urn:microsoft.com/office/officeart/2005/8/layout/hierarchy1"/>
    <dgm:cxn modelId="{E582D64A-9635-F04B-A069-CB8101D525C8}" type="presParOf" srcId="{0A11126E-2EA8-AB46-9ABD-750802690F53}" destId="{08FDCD86-3E00-784C-84E2-59AB9C4279BA}" srcOrd="0" destOrd="0" presId="urn:microsoft.com/office/officeart/2005/8/layout/hierarchy1"/>
    <dgm:cxn modelId="{3E3663B7-931E-B048-A0FB-900BE8333281}" type="presParOf" srcId="{08FDCD86-3E00-784C-84E2-59AB9C4279BA}" destId="{07597668-F054-3E43-9EDF-D331C79C3C39}" srcOrd="0" destOrd="0" presId="urn:microsoft.com/office/officeart/2005/8/layout/hierarchy1"/>
    <dgm:cxn modelId="{14F8598B-06D7-B345-B1EF-46D643C7CFAA}" type="presParOf" srcId="{08FDCD86-3E00-784C-84E2-59AB9C4279BA}" destId="{496377A0-5D52-0E42-BBD7-6980F45FBC50}" srcOrd="1" destOrd="0" presId="urn:microsoft.com/office/officeart/2005/8/layout/hierarchy1"/>
    <dgm:cxn modelId="{BE7D967B-E871-2748-8ABA-7E94C9B03B42}" type="presParOf" srcId="{0A11126E-2EA8-AB46-9ABD-750802690F53}" destId="{3FB1A270-665A-D441-AB73-750F4219BA41}" srcOrd="1" destOrd="0" presId="urn:microsoft.com/office/officeart/2005/8/layout/hierarchy1"/>
    <dgm:cxn modelId="{BDE55BBC-CEF5-A44B-8EB0-DB495EAB5798}" type="presParOf" srcId="{F03303C2-3975-7D43-B462-3F8087250C18}" destId="{231BBB20-8494-C649-9550-FB76A19BCC07}" srcOrd="4" destOrd="0" presId="urn:microsoft.com/office/officeart/2005/8/layout/hierarchy1"/>
    <dgm:cxn modelId="{D29908EE-CBC4-F84A-95C4-89817834BD09}" type="presParOf" srcId="{F03303C2-3975-7D43-B462-3F8087250C18}" destId="{3692F25C-9788-2045-89C0-3BCA359260DD}" srcOrd="5" destOrd="0" presId="urn:microsoft.com/office/officeart/2005/8/layout/hierarchy1"/>
    <dgm:cxn modelId="{6F92AABE-ABAC-3D49-B22A-60C173E31F74}" type="presParOf" srcId="{3692F25C-9788-2045-89C0-3BCA359260DD}" destId="{F9D5E2D7-F892-C241-B364-55A40FF94053}" srcOrd="0" destOrd="0" presId="urn:microsoft.com/office/officeart/2005/8/layout/hierarchy1"/>
    <dgm:cxn modelId="{586146F6-707B-A044-A537-248E2EB33CCF}" type="presParOf" srcId="{F9D5E2D7-F892-C241-B364-55A40FF94053}" destId="{49CE53C5-51B5-B248-89D3-1C8EE06A09E8}" srcOrd="0" destOrd="0" presId="urn:microsoft.com/office/officeart/2005/8/layout/hierarchy1"/>
    <dgm:cxn modelId="{B9A57B0C-6D95-C546-A03E-642436E53172}" type="presParOf" srcId="{F9D5E2D7-F892-C241-B364-55A40FF94053}" destId="{181521A3-B57D-B846-A94C-1AD07B30B7DE}" srcOrd="1" destOrd="0" presId="urn:microsoft.com/office/officeart/2005/8/layout/hierarchy1"/>
    <dgm:cxn modelId="{37008A1B-1B3B-7142-BC7F-1483697A94E5}" type="presParOf" srcId="{3692F25C-9788-2045-89C0-3BCA359260DD}" destId="{D0D09C0B-E244-4E4D-9A3B-D97FC1883EDE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31BBB20-8494-C649-9550-FB76A19BCC07}">
      <dsp:nvSpPr>
        <dsp:cNvPr id="0" name=""/>
        <dsp:cNvSpPr/>
      </dsp:nvSpPr>
      <dsp:spPr>
        <a:xfrm>
          <a:off x="3082701" y="797819"/>
          <a:ext cx="1532307" cy="36461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48477"/>
              </a:lnTo>
              <a:lnTo>
                <a:pt x="1532307" y="248477"/>
              </a:lnTo>
              <a:lnTo>
                <a:pt x="1532307" y="364619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2EC1474-13BB-B24C-8234-A75ECC5D6955}">
      <dsp:nvSpPr>
        <dsp:cNvPr id="0" name=""/>
        <dsp:cNvSpPr/>
      </dsp:nvSpPr>
      <dsp:spPr>
        <a:xfrm>
          <a:off x="2906455" y="1883979"/>
          <a:ext cx="1708553" cy="43918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23040"/>
              </a:lnTo>
              <a:lnTo>
                <a:pt x="1708553" y="323040"/>
              </a:lnTo>
              <a:lnTo>
                <a:pt x="1708553" y="439182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C600654-67CB-944A-891F-6F443B24D6FD}">
      <dsp:nvSpPr>
        <dsp:cNvPr id="0" name=""/>
        <dsp:cNvSpPr/>
      </dsp:nvSpPr>
      <dsp:spPr>
        <a:xfrm>
          <a:off x="2906455" y="1883979"/>
          <a:ext cx="176246" cy="43918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23040"/>
              </a:lnTo>
              <a:lnTo>
                <a:pt x="176246" y="323040"/>
              </a:lnTo>
              <a:lnTo>
                <a:pt x="176246" y="439182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012FE5B-A579-8947-8E86-7217EA8E4C52}">
      <dsp:nvSpPr>
        <dsp:cNvPr id="0" name=""/>
        <dsp:cNvSpPr/>
      </dsp:nvSpPr>
      <dsp:spPr>
        <a:xfrm>
          <a:off x="1550393" y="1883979"/>
          <a:ext cx="1356061" cy="439182"/>
        </a:xfrm>
        <a:custGeom>
          <a:avLst/>
          <a:gdLst/>
          <a:ahLst/>
          <a:cxnLst/>
          <a:rect l="0" t="0" r="0" b="0"/>
          <a:pathLst>
            <a:path>
              <a:moveTo>
                <a:pt x="1356061" y="0"/>
              </a:moveTo>
              <a:lnTo>
                <a:pt x="1356061" y="323040"/>
              </a:lnTo>
              <a:lnTo>
                <a:pt x="0" y="323040"/>
              </a:lnTo>
              <a:lnTo>
                <a:pt x="0" y="439182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5D9A8D1-62D3-7D44-AF79-A52854D0F8B9}">
      <dsp:nvSpPr>
        <dsp:cNvPr id="0" name=""/>
        <dsp:cNvSpPr/>
      </dsp:nvSpPr>
      <dsp:spPr>
        <a:xfrm>
          <a:off x="2906455" y="797819"/>
          <a:ext cx="176246" cy="290056"/>
        </a:xfrm>
        <a:custGeom>
          <a:avLst/>
          <a:gdLst/>
          <a:ahLst/>
          <a:cxnLst/>
          <a:rect l="0" t="0" r="0" b="0"/>
          <a:pathLst>
            <a:path>
              <a:moveTo>
                <a:pt x="176246" y="0"/>
              </a:moveTo>
              <a:lnTo>
                <a:pt x="176246" y="173914"/>
              </a:lnTo>
              <a:lnTo>
                <a:pt x="0" y="173914"/>
              </a:lnTo>
              <a:lnTo>
                <a:pt x="0" y="290056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DB8DCD2-BA13-F54F-B4DF-EC4C95948F70}">
      <dsp:nvSpPr>
        <dsp:cNvPr id="0" name=""/>
        <dsp:cNvSpPr/>
      </dsp:nvSpPr>
      <dsp:spPr>
        <a:xfrm>
          <a:off x="1550393" y="797819"/>
          <a:ext cx="1532307" cy="364619"/>
        </a:xfrm>
        <a:custGeom>
          <a:avLst/>
          <a:gdLst/>
          <a:ahLst/>
          <a:cxnLst/>
          <a:rect l="0" t="0" r="0" b="0"/>
          <a:pathLst>
            <a:path>
              <a:moveTo>
                <a:pt x="1532307" y="0"/>
              </a:moveTo>
              <a:lnTo>
                <a:pt x="1532307" y="248477"/>
              </a:lnTo>
              <a:lnTo>
                <a:pt x="0" y="248477"/>
              </a:lnTo>
              <a:lnTo>
                <a:pt x="0" y="364619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E8F4FB6-E1B2-3D42-8996-A8674287C778}">
      <dsp:nvSpPr>
        <dsp:cNvPr id="0" name=""/>
        <dsp:cNvSpPr/>
      </dsp:nvSpPr>
      <dsp:spPr>
        <a:xfrm>
          <a:off x="2455848" y="1715"/>
          <a:ext cx="1253706" cy="79610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3FA98399-3081-B44C-B185-E2808F754C54}">
      <dsp:nvSpPr>
        <dsp:cNvPr id="0" name=""/>
        <dsp:cNvSpPr/>
      </dsp:nvSpPr>
      <dsp:spPr>
        <a:xfrm>
          <a:off x="2595148" y="134051"/>
          <a:ext cx="1253706" cy="796103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400" kern="1200"/>
            <a:t>ROE  (20.91%)</a:t>
          </a:r>
        </a:p>
      </dsp:txBody>
      <dsp:txXfrm>
        <a:off x="2618465" y="157368"/>
        <a:ext cx="1207072" cy="749469"/>
      </dsp:txXfrm>
    </dsp:sp>
    <dsp:sp modelId="{CAAA1266-81E1-1647-8928-448F9ACB8836}">
      <dsp:nvSpPr>
        <dsp:cNvPr id="0" name=""/>
        <dsp:cNvSpPr/>
      </dsp:nvSpPr>
      <dsp:spPr>
        <a:xfrm>
          <a:off x="923540" y="1162438"/>
          <a:ext cx="1253706" cy="79610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B96AE2B5-738B-DF4E-9CA6-157B7E8F640B}">
      <dsp:nvSpPr>
        <dsp:cNvPr id="0" name=""/>
        <dsp:cNvSpPr/>
      </dsp:nvSpPr>
      <dsp:spPr>
        <a:xfrm>
          <a:off x="1062841" y="1294774"/>
          <a:ext cx="1253706" cy="796103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200" kern="1200"/>
            <a:t>Asset Turnover  (0.46)</a:t>
          </a:r>
        </a:p>
      </dsp:txBody>
      <dsp:txXfrm>
        <a:off x="1086158" y="1318091"/>
        <a:ext cx="1207072" cy="749469"/>
      </dsp:txXfrm>
    </dsp:sp>
    <dsp:sp modelId="{8FA949FC-4B5B-5C4A-A310-054BAA318A66}">
      <dsp:nvSpPr>
        <dsp:cNvPr id="0" name=""/>
        <dsp:cNvSpPr/>
      </dsp:nvSpPr>
      <dsp:spPr>
        <a:xfrm>
          <a:off x="2279602" y="1087875"/>
          <a:ext cx="1253706" cy="79610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97B9BDAB-F6FB-7D43-A9E4-F183C25373AD}">
      <dsp:nvSpPr>
        <dsp:cNvPr id="0" name=""/>
        <dsp:cNvSpPr/>
      </dsp:nvSpPr>
      <dsp:spPr>
        <a:xfrm>
          <a:off x="2418902" y="1220211"/>
          <a:ext cx="1253706" cy="796103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200" kern="1200"/>
            <a:t>Net Profit Margin  (19.2%)</a:t>
          </a:r>
        </a:p>
      </dsp:txBody>
      <dsp:txXfrm>
        <a:off x="2442219" y="1243528"/>
        <a:ext cx="1207072" cy="749469"/>
      </dsp:txXfrm>
    </dsp:sp>
    <dsp:sp modelId="{2952B6BC-9376-9947-A412-CD7C4D440FC1}">
      <dsp:nvSpPr>
        <dsp:cNvPr id="0" name=""/>
        <dsp:cNvSpPr/>
      </dsp:nvSpPr>
      <dsp:spPr>
        <a:xfrm>
          <a:off x="923540" y="2323161"/>
          <a:ext cx="1253706" cy="79610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4FD46659-3258-6F4B-963D-3A48E8832FA1}">
      <dsp:nvSpPr>
        <dsp:cNvPr id="0" name=""/>
        <dsp:cNvSpPr/>
      </dsp:nvSpPr>
      <dsp:spPr>
        <a:xfrm>
          <a:off x="1062841" y="2455497"/>
          <a:ext cx="1253706" cy="796103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100" kern="1200"/>
            <a:t>Operating Margin (31.37%)</a:t>
          </a:r>
          <a:endParaRPr lang="en-GB" sz="1300" kern="1200"/>
        </a:p>
      </dsp:txBody>
      <dsp:txXfrm>
        <a:off x="1086158" y="2478814"/>
        <a:ext cx="1207072" cy="749469"/>
      </dsp:txXfrm>
    </dsp:sp>
    <dsp:sp modelId="{93431F02-D65A-1A46-96E0-290E51C9A50B}">
      <dsp:nvSpPr>
        <dsp:cNvPr id="0" name=""/>
        <dsp:cNvSpPr/>
      </dsp:nvSpPr>
      <dsp:spPr>
        <a:xfrm>
          <a:off x="2455848" y="2323161"/>
          <a:ext cx="1253706" cy="79610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EC816274-E0E0-A740-90B2-82416D7D1036}">
      <dsp:nvSpPr>
        <dsp:cNvPr id="0" name=""/>
        <dsp:cNvSpPr/>
      </dsp:nvSpPr>
      <dsp:spPr>
        <a:xfrm>
          <a:off x="2595148" y="2455497"/>
          <a:ext cx="1253706" cy="796103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100" kern="1200"/>
            <a:t>(EBT/EBIT) Interest burden (0.88)</a:t>
          </a:r>
          <a:endParaRPr lang="en-GB" sz="1200" kern="1200"/>
        </a:p>
      </dsp:txBody>
      <dsp:txXfrm>
        <a:off x="2618465" y="2478814"/>
        <a:ext cx="1207072" cy="749469"/>
      </dsp:txXfrm>
    </dsp:sp>
    <dsp:sp modelId="{07597668-F054-3E43-9EDF-D331C79C3C39}">
      <dsp:nvSpPr>
        <dsp:cNvPr id="0" name=""/>
        <dsp:cNvSpPr/>
      </dsp:nvSpPr>
      <dsp:spPr>
        <a:xfrm>
          <a:off x="3988155" y="2323161"/>
          <a:ext cx="1253706" cy="79610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496377A0-5D52-0E42-BBD7-6980F45FBC50}">
      <dsp:nvSpPr>
        <dsp:cNvPr id="0" name=""/>
        <dsp:cNvSpPr/>
      </dsp:nvSpPr>
      <dsp:spPr>
        <a:xfrm>
          <a:off x="4127456" y="2455497"/>
          <a:ext cx="1253706" cy="796103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100" kern="1200"/>
            <a:t>(NI/EBT)               Tax burd</a:t>
          </a:r>
          <a:r>
            <a:rPr lang="en-GB" sz="1200" kern="1200"/>
            <a:t>en   </a:t>
          </a:r>
          <a:r>
            <a:rPr lang="en-GB" sz="1100" kern="1200"/>
            <a:t>(0.73)</a:t>
          </a:r>
          <a:endParaRPr lang="en-GB" sz="1200" kern="1200"/>
        </a:p>
      </dsp:txBody>
      <dsp:txXfrm>
        <a:off x="4150773" y="2478814"/>
        <a:ext cx="1207072" cy="749469"/>
      </dsp:txXfrm>
    </dsp:sp>
    <dsp:sp modelId="{49CE53C5-51B5-B248-89D3-1C8EE06A09E8}">
      <dsp:nvSpPr>
        <dsp:cNvPr id="0" name=""/>
        <dsp:cNvSpPr/>
      </dsp:nvSpPr>
      <dsp:spPr>
        <a:xfrm>
          <a:off x="3988155" y="1162438"/>
          <a:ext cx="1253706" cy="79610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181521A3-B57D-B846-A94C-1AD07B30B7DE}">
      <dsp:nvSpPr>
        <dsp:cNvPr id="0" name=""/>
        <dsp:cNvSpPr/>
      </dsp:nvSpPr>
      <dsp:spPr>
        <a:xfrm>
          <a:off x="4127456" y="1294774"/>
          <a:ext cx="1253706" cy="796103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200" kern="1200"/>
            <a:t>Financial leverage ratio (2.33)</a:t>
          </a:r>
        </a:p>
      </dsp:txBody>
      <dsp:txXfrm>
        <a:off x="4150773" y="1318091"/>
        <a:ext cx="1207072" cy="74946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261856</xdr:colOff>
      <xdr:row>71</xdr:row>
      <xdr:rowOff>135081</xdr:rowOff>
    </xdr:from>
    <xdr:to>
      <xdr:col>15</xdr:col>
      <xdr:colOff>191655</xdr:colOff>
      <xdr:row>111</xdr:row>
      <xdr:rowOff>34634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61128B-6233-B64F-9DE5-A8F4B7D21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189182</xdr:colOff>
      <xdr:row>39</xdr:row>
      <xdr:rowOff>118094</xdr:rowOff>
    </xdr:from>
    <xdr:to>
      <xdr:col>14</xdr:col>
      <xdr:colOff>487218</xdr:colOff>
      <xdr:row>66</xdr:row>
      <xdr:rowOff>164111</xdr:rowOff>
    </xdr:to>
    <xdr:graphicFrame macro="">
      <xdr:nvGraphicFramePr>
        <xdr:cNvPr id="3" name="Chart 2" descr="2024 2025&#10;">
          <a:extLst>
            <a:ext uri="{FF2B5EF4-FFF2-40B4-BE49-F238E27FC236}">
              <a16:creationId xmlns:a16="http://schemas.microsoft.com/office/drawing/2014/main" id="{E3535486-BF57-9D4D-A181-403EF4E82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165100</xdr:colOff>
      <xdr:row>15</xdr:row>
      <xdr:rowOff>22780</xdr:rowOff>
    </xdr:from>
    <xdr:to>
      <xdr:col>23</xdr:col>
      <xdr:colOff>144020</xdr:colOff>
      <xdr:row>42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BD3BAD-9277-B7FF-9AE7-0A2B50F2B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1536700</xdr:colOff>
      <xdr:row>6</xdr:row>
      <xdr:rowOff>25400</xdr:rowOff>
    </xdr:from>
    <xdr:to>
      <xdr:col>8</xdr:col>
      <xdr:colOff>914400</xdr:colOff>
      <xdr:row>36</xdr:row>
      <xdr:rowOff>25400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7F190D6-06A6-7541-B7BE-44990C24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17</xdr:col>
      <xdr:colOff>602403</xdr:colOff>
      <xdr:row>23</xdr:row>
      <xdr:rowOff>78317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005AA66-D767-E1B7-EC88-875D407B4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3</xdr:row>
      <xdr:rowOff>127000</xdr:rowOff>
    </xdr:from>
    <xdr:to>
      <xdr:col>21</xdr:col>
      <xdr:colOff>393700</xdr:colOff>
      <xdr:row>35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7399B-6F75-BD3A-D1C5-A8DA8A753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241300</xdr:colOff>
      <xdr:row>6</xdr:row>
      <xdr:rowOff>127000</xdr:rowOff>
    </xdr:from>
    <xdr:to>
      <xdr:col>13</xdr:col>
      <xdr:colOff>241300</xdr:colOff>
      <xdr:row>33</xdr:row>
      <xdr:rowOff>25400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6A293DA5-0A73-114E-8DA5-CE097F06AA83}"/>
            </a:ext>
          </a:extLst>
        </xdr:cNvPr>
        <xdr:cNvCxnSpPr/>
      </xdr:nvCxnSpPr>
      <xdr:spPr>
        <a:xfrm>
          <a:off x="10515600" y="1117600"/>
          <a:ext cx="0" cy="4368800"/>
        </a:xfrm>
        <a:prstGeom prst="line">
          <a:avLst/>
        </a:prstGeom>
        <a:ln w="15875">
          <a:solidFill>
            <a:schemeClr val="tx1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584200</xdr:colOff>
      <xdr:row>5</xdr:row>
      <xdr:rowOff>38100</xdr:rowOff>
    </xdr:from>
    <xdr:to>
      <xdr:col>9</xdr:col>
      <xdr:colOff>165100</xdr:colOff>
      <xdr:row>7</xdr:row>
      <xdr:rowOff>38100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345C0D1-958B-7385-FB12-47C70D06D6C8}"/>
            </a:ext>
          </a:extLst>
        </xdr:cNvPr>
        <xdr:cNvSpPr txBox="1"/>
      </xdr:nvSpPr>
      <xdr:spPr>
        <a:xfrm>
          <a:off x="5969000" y="863600"/>
          <a:ext cx="1676400" cy="330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    Comparable</a:t>
          </a:r>
          <a:r>
            <a:rPr lang="en-GB" sz="1100" baseline="0"/>
            <a:t> Valuation</a:t>
          </a:r>
          <a:endParaRPr lang="en-GB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444500</xdr:colOff>
      <xdr:row>0</xdr:row>
      <xdr:rowOff>88900</xdr:rowOff>
    </xdr:from>
    <xdr:to>
      <xdr:col>17</xdr:col>
      <xdr:colOff>622300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B5A504-6968-6B0C-2C92-CAEC10F52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419100</xdr:colOff>
      <xdr:row>15</xdr:row>
      <xdr:rowOff>25400</xdr:rowOff>
    </xdr:from>
    <xdr:to>
      <xdr:col>18</xdr:col>
      <xdr:colOff>50800</xdr:colOff>
      <xdr:row>27</xdr:row>
      <xdr:rowOff>393700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218675-B601-703E-6C9F-C9663CB32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381000</xdr:colOff>
      <xdr:row>29</xdr:row>
      <xdr:rowOff>0</xdr:rowOff>
    </xdr:from>
    <xdr:to>
      <xdr:col>18</xdr:col>
      <xdr:colOff>63500</xdr:colOff>
      <xdr:row>44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9A3375-3FDF-142B-C0C3-8E8A38BD5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613833</xdr:colOff>
      <xdr:row>45</xdr:row>
      <xdr:rowOff>0</xdr:rowOff>
    </xdr:from>
    <xdr:to>
      <xdr:col>20</xdr:col>
      <xdr:colOff>691445</xdr:colOff>
      <xdr:row>73</xdr:row>
      <xdr:rowOff>155222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2CF74F-4F40-F28B-3176-696F2F039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garmarathe\Desktop\vale\docs%20project\production%20forecas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garmarathe\Desktop\vale\docs%20project\Iron%20ore%20%20price%20analys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ED Graph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83FA4-52FD-744C-B3ED-26E43E400353}">
  <dimension ref="B2:U65"/>
  <sheetViews>
    <sheetView tabSelected="1" zoomScaleNormal="100" workbookViewId="0">
      <selection activeCell="C6" sqref="C6"/>
    </sheetView>
  </sheetViews>
  <sheetFormatPr defaultColWidth="11.19921875" defaultRowHeight="13"/>
  <cols>
    <col min="2" max="2" width="16.796875" bestFit="1" customWidth="1"/>
    <col min="3" max="3" width="26.19921875" bestFit="1" customWidth="1"/>
    <col min="10" max="10" width="21.3984375" bestFit="1" customWidth="1"/>
    <col min="14" max="14" width="21" bestFit="1" customWidth="1"/>
  </cols>
  <sheetData>
    <row r="2" spans="2:21" ht="23.5">
      <c r="G2" s="219" t="s">
        <v>199</v>
      </c>
    </row>
    <row r="5" spans="2:21">
      <c r="C5" s="220" t="s">
        <v>421</v>
      </c>
      <c r="D5" s="206">
        <v>2022</v>
      </c>
      <c r="E5" s="206">
        <f>D5 +1</f>
        <v>2023</v>
      </c>
      <c r="F5" s="221">
        <f t="shared" ref="F5:L5" si="0">E5 +1</f>
        <v>2024</v>
      </c>
      <c r="G5" s="221">
        <f t="shared" si="0"/>
        <v>2025</v>
      </c>
      <c r="H5" s="221">
        <f t="shared" si="0"/>
        <v>2026</v>
      </c>
      <c r="I5" s="221">
        <f t="shared" si="0"/>
        <v>2027</v>
      </c>
      <c r="J5" s="221">
        <f t="shared" si="0"/>
        <v>2028</v>
      </c>
      <c r="K5" s="221">
        <f t="shared" si="0"/>
        <v>2029</v>
      </c>
      <c r="L5" s="221">
        <f t="shared" si="0"/>
        <v>2030</v>
      </c>
    </row>
    <row r="6" spans="2:21">
      <c r="B6" s="222" t="s">
        <v>200</v>
      </c>
      <c r="C6" s="206" t="s">
        <v>201</v>
      </c>
      <c r="D6" s="206">
        <v>308</v>
      </c>
      <c r="E6" s="206">
        <v>321</v>
      </c>
      <c r="F6" s="221">
        <v>321</v>
      </c>
      <c r="G6" s="221">
        <v>345</v>
      </c>
      <c r="H6" s="221">
        <v>360</v>
      </c>
      <c r="I6" s="221">
        <v>375</v>
      </c>
      <c r="J6" s="221">
        <v>390</v>
      </c>
      <c r="K6" s="221">
        <v>405</v>
      </c>
      <c r="L6" s="221">
        <v>420</v>
      </c>
    </row>
    <row r="7" spans="2:21" ht="15.5">
      <c r="B7" s="222"/>
      <c r="C7" s="206" t="s">
        <v>202</v>
      </c>
      <c r="D7" s="206"/>
      <c r="E7" s="223">
        <f>(E6/D6)-1</f>
        <v>4.2207792207792139E-2</v>
      </c>
      <c r="F7" s="224">
        <f>(F6/E6)-1</f>
        <v>0</v>
      </c>
      <c r="G7" s="224">
        <f t="shared" ref="G7:L7" si="1">(G6/F6)-1</f>
        <v>7.4766355140186924E-2</v>
      </c>
      <c r="H7" s="224">
        <f t="shared" si="1"/>
        <v>4.3478260869565188E-2</v>
      </c>
      <c r="I7" s="224">
        <f t="shared" si="1"/>
        <v>4.1666666666666741E-2</v>
      </c>
      <c r="J7" s="224">
        <f t="shared" si="1"/>
        <v>4.0000000000000036E-2</v>
      </c>
      <c r="K7" s="224">
        <f t="shared" si="1"/>
        <v>3.8461538461538547E-2</v>
      </c>
      <c r="L7" s="224">
        <f t="shared" si="1"/>
        <v>3.7037037037036979E-2</v>
      </c>
      <c r="O7">
        <v>2024</v>
      </c>
      <c r="P7">
        <f>O7+1</f>
        <v>2025</v>
      </c>
      <c r="Q7">
        <f t="shared" ref="Q7:U7" si="2">P7+1</f>
        <v>2026</v>
      </c>
      <c r="R7">
        <f t="shared" si="2"/>
        <v>2027</v>
      </c>
      <c r="S7">
        <f t="shared" si="2"/>
        <v>2028</v>
      </c>
      <c r="T7">
        <f t="shared" si="2"/>
        <v>2029</v>
      </c>
      <c r="U7">
        <f t="shared" si="2"/>
        <v>2030</v>
      </c>
    </row>
    <row r="8" spans="2:21">
      <c r="B8" s="222"/>
      <c r="C8" s="206" t="s">
        <v>203</v>
      </c>
      <c r="D8" s="206">
        <v>33</v>
      </c>
      <c r="E8" s="206">
        <v>37</v>
      </c>
      <c r="F8" s="221">
        <v>40</v>
      </c>
      <c r="G8" s="221">
        <v>45</v>
      </c>
      <c r="H8" s="221">
        <v>50</v>
      </c>
      <c r="I8" s="221">
        <v>55</v>
      </c>
      <c r="J8" s="221">
        <v>60</v>
      </c>
      <c r="K8" s="221">
        <v>65</v>
      </c>
      <c r="L8" s="221">
        <v>70</v>
      </c>
      <c r="N8" t="s">
        <v>223</v>
      </c>
      <c r="O8" s="174">
        <v>0</v>
      </c>
      <c r="P8" s="174">
        <v>7.4766355140186924E-2</v>
      </c>
      <c r="Q8" s="174">
        <v>4.3478260869565188E-2</v>
      </c>
      <c r="R8" s="174">
        <v>4.1666666666666741E-2</v>
      </c>
      <c r="S8" s="174">
        <v>4.0000000000000036E-2</v>
      </c>
      <c r="T8" s="174">
        <v>3.8461538461538547E-2</v>
      </c>
      <c r="U8" s="174">
        <v>3.7037037037036979E-2</v>
      </c>
    </row>
    <row r="9" spans="2:21" ht="15.5">
      <c r="B9" s="222"/>
      <c r="C9" s="206" t="s">
        <v>202</v>
      </c>
      <c r="D9" s="206"/>
      <c r="E9" s="225">
        <f>(E8/D8)-1</f>
        <v>0.1212121212121211</v>
      </c>
      <c r="F9" s="226">
        <f>(F8/E8)-1</f>
        <v>8.1081081081081141E-2</v>
      </c>
      <c r="G9" s="226">
        <f t="shared" ref="G9:L9" si="3">(G8/F8)-1</f>
        <v>0.125</v>
      </c>
      <c r="H9" s="226">
        <f t="shared" si="3"/>
        <v>0.11111111111111116</v>
      </c>
      <c r="I9" s="226">
        <f t="shared" si="3"/>
        <v>0.10000000000000009</v>
      </c>
      <c r="J9" s="226">
        <f t="shared" si="3"/>
        <v>9.0909090909090828E-2</v>
      </c>
      <c r="K9" s="226">
        <f t="shared" si="3"/>
        <v>8.3333333333333259E-2</v>
      </c>
      <c r="L9" s="226">
        <f t="shared" si="3"/>
        <v>7.6923076923076872E-2</v>
      </c>
      <c r="N9" t="s">
        <v>224</v>
      </c>
      <c r="O9" s="174">
        <v>7.0336391437308965E-2</v>
      </c>
      <c r="P9" s="174">
        <v>8.5714285714285632E-2</v>
      </c>
      <c r="Q9" s="174">
        <v>5.2631578947368363E-2</v>
      </c>
      <c r="R9" s="174">
        <v>0.25</v>
      </c>
      <c r="S9" s="174">
        <v>0.19999999999999996</v>
      </c>
      <c r="T9" s="174">
        <v>0.16666666666666674</v>
      </c>
      <c r="U9" s="174">
        <v>0.28571428571428581</v>
      </c>
    </row>
    <row r="10" spans="2:21">
      <c r="B10" s="227" t="s">
        <v>204</v>
      </c>
      <c r="C10" s="206" t="s">
        <v>205</v>
      </c>
      <c r="D10" s="206">
        <v>253</v>
      </c>
      <c r="E10" s="206">
        <v>327</v>
      </c>
      <c r="F10" s="221">
        <v>350</v>
      </c>
      <c r="G10" s="221">
        <v>380</v>
      </c>
      <c r="H10" s="221">
        <v>400</v>
      </c>
      <c r="I10" s="221">
        <v>500</v>
      </c>
      <c r="J10" s="221">
        <v>600</v>
      </c>
      <c r="K10" s="221">
        <v>700</v>
      </c>
      <c r="L10" s="221">
        <v>900</v>
      </c>
      <c r="N10" t="s">
        <v>225</v>
      </c>
      <c r="O10" s="174">
        <v>6.0606060606060552E-2</v>
      </c>
      <c r="P10" s="174">
        <v>8.5714285714285632E-2</v>
      </c>
      <c r="Q10" s="174">
        <v>0.15789473684210531</v>
      </c>
      <c r="R10" s="174">
        <v>9.0909090909090828E-2</v>
      </c>
      <c r="S10" s="174">
        <v>8.3333333333333259E-2</v>
      </c>
      <c r="T10" s="174">
        <v>7.6923076923076872E-2</v>
      </c>
      <c r="U10" s="174">
        <v>7.1428571428571397E-2</v>
      </c>
    </row>
    <row r="11" spans="2:21" ht="15.5">
      <c r="B11" s="228" t="s">
        <v>206</v>
      </c>
      <c r="C11" s="206" t="s">
        <v>202</v>
      </c>
      <c r="D11" s="206"/>
      <c r="E11" s="223">
        <f>(E10/D10)-1</f>
        <v>0.29249011857707519</v>
      </c>
      <c r="F11" s="224">
        <f>(F10/E10)-1</f>
        <v>7.0336391437308965E-2</v>
      </c>
      <c r="G11" s="224">
        <f t="shared" ref="G11:K11" si="4">(G10/F10)-1</f>
        <v>8.5714285714285632E-2</v>
      </c>
      <c r="H11" s="224">
        <f t="shared" si="4"/>
        <v>5.2631578947368363E-2</v>
      </c>
      <c r="I11" s="224">
        <f t="shared" si="4"/>
        <v>0.25</v>
      </c>
      <c r="J11" s="224">
        <f t="shared" si="4"/>
        <v>0.19999999999999996</v>
      </c>
      <c r="K11" s="224">
        <f t="shared" si="4"/>
        <v>0.16666666666666674</v>
      </c>
      <c r="L11" s="224">
        <f>(L10/K10)-1</f>
        <v>0.28571428571428581</v>
      </c>
      <c r="N11" t="s">
        <v>420</v>
      </c>
      <c r="O11" s="174">
        <v>2.1982846065414886E-2</v>
      </c>
      <c r="P11" s="174">
        <v>8.3943591455273692E-2</v>
      </c>
      <c r="Q11" s="174">
        <v>6.2890922959572826E-2</v>
      </c>
      <c r="R11" s="174">
        <v>6.9734848484848538E-2</v>
      </c>
      <c r="S11" s="174">
        <v>6.2886363636363629E-2</v>
      </c>
      <c r="T11" s="174">
        <v>5.7692307692307737E-2</v>
      </c>
      <c r="U11" s="174">
        <v>6.4250101750101707E-2</v>
      </c>
    </row>
    <row r="12" spans="2:21">
      <c r="B12" s="214"/>
      <c r="C12" s="206" t="s">
        <v>207</v>
      </c>
      <c r="D12" s="206">
        <v>179</v>
      </c>
      <c r="E12" s="206">
        <v>165</v>
      </c>
      <c r="F12" s="221">
        <v>175</v>
      </c>
      <c r="G12" s="221">
        <v>190</v>
      </c>
      <c r="H12" s="221">
        <v>220</v>
      </c>
      <c r="I12" s="221">
        <v>240</v>
      </c>
      <c r="J12" s="221">
        <v>260</v>
      </c>
      <c r="K12" s="221">
        <v>280</v>
      </c>
      <c r="L12" s="221">
        <v>300</v>
      </c>
    </row>
    <row r="13" spans="2:21" ht="15.5">
      <c r="B13" s="214"/>
      <c r="C13" s="229" t="s">
        <v>202</v>
      </c>
      <c r="D13" s="206"/>
      <c r="E13" s="223">
        <f>(E12/D12)-1</f>
        <v>-7.8212290502793325E-2</v>
      </c>
      <c r="F13" s="224">
        <f>(F12/E12)-1</f>
        <v>6.0606060606060552E-2</v>
      </c>
      <c r="G13" s="224">
        <f t="shared" ref="G13:L13" si="5">(G12/F12)-1</f>
        <v>8.5714285714285632E-2</v>
      </c>
      <c r="H13" s="224">
        <f t="shared" si="5"/>
        <v>0.15789473684210531</v>
      </c>
      <c r="I13" s="224">
        <f t="shared" si="5"/>
        <v>9.0909090909090828E-2</v>
      </c>
      <c r="J13" s="224">
        <f t="shared" si="5"/>
        <v>8.3333333333333259E-2</v>
      </c>
      <c r="K13" s="224">
        <f t="shared" si="5"/>
        <v>7.6923076923076872E-2</v>
      </c>
      <c r="L13" s="224">
        <f t="shared" si="5"/>
        <v>7.1428571428571397E-2</v>
      </c>
    </row>
    <row r="16" spans="2:21">
      <c r="C16" s="206" t="s">
        <v>208</v>
      </c>
      <c r="D16" s="206" t="s">
        <v>209</v>
      </c>
      <c r="E16" s="206">
        <v>2023</v>
      </c>
      <c r="F16" s="221">
        <v>2024</v>
      </c>
      <c r="G16" s="221">
        <f>F16+1</f>
        <v>2025</v>
      </c>
      <c r="H16" s="221">
        <f t="shared" ref="H16:L16" si="6">G16+1</f>
        <v>2026</v>
      </c>
      <c r="I16" s="221">
        <f t="shared" si="6"/>
        <v>2027</v>
      </c>
      <c r="J16" s="221">
        <f t="shared" si="6"/>
        <v>2028</v>
      </c>
      <c r="K16" s="221">
        <f t="shared" si="6"/>
        <v>2029</v>
      </c>
      <c r="L16" s="221">
        <f t="shared" si="6"/>
        <v>2030</v>
      </c>
    </row>
    <row r="17" spans="3:15">
      <c r="C17" s="206" t="s">
        <v>210</v>
      </c>
      <c r="D17" s="230">
        <v>0.85</v>
      </c>
      <c r="E17" s="231" t="s">
        <v>211</v>
      </c>
      <c r="F17" s="232">
        <f>(0.7*F7)+(0.15*F9)</f>
        <v>1.2162162162162172E-2</v>
      </c>
      <c r="G17" s="232">
        <f t="shared" ref="G17:L17" si="7">(0.7*G7)+(0.15*G9)</f>
        <v>7.1086448598130847E-2</v>
      </c>
      <c r="H17" s="232">
        <f t="shared" si="7"/>
        <v>4.7101449275362306E-2</v>
      </c>
      <c r="I17" s="232">
        <f t="shared" si="7"/>
        <v>4.4166666666666729E-2</v>
      </c>
      <c r="J17" s="232">
        <f t="shared" si="7"/>
        <v>4.1636363636363645E-2</v>
      </c>
      <c r="K17" s="232">
        <f t="shared" si="7"/>
        <v>3.942307692307697E-2</v>
      </c>
      <c r="L17" s="232">
        <f t="shared" si="7"/>
        <v>3.7464387464387412E-2</v>
      </c>
    </row>
    <row r="18" spans="3:15">
      <c r="C18" s="206" t="s">
        <v>212</v>
      </c>
      <c r="D18" s="230">
        <v>0.15</v>
      </c>
      <c r="E18" s="231" t="s">
        <v>211</v>
      </c>
      <c r="F18" s="232">
        <f>$D$18*(AVERAGE(F11,F13))</f>
        <v>9.8206839032527141E-3</v>
      </c>
      <c r="G18" s="232">
        <f t="shared" ref="G18:L18" si="8">$D$18*(AVERAGE(G11,G13))</f>
        <v>1.2857142857142845E-2</v>
      </c>
      <c r="H18" s="232">
        <f t="shared" si="8"/>
        <v>1.5789473684210523E-2</v>
      </c>
      <c r="I18" s="232">
        <f t="shared" si="8"/>
        <v>2.5568181818181813E-2</v>
      </c>
      <c r="J18" s="232">
        <f t="shared" si="8"/>
        <v>2.1249999999999991E-2</v>
      </c>
      <c r="K18" s="232">
        <f t="shared" si="8"/>
        <v>1.826923076923077E-2</v>
      </c>
      <c r="L18" s="232">
        <f t="shared" si="8"/>
        <v>2.6785714285714291E-2</v>
      </c>
    </row>
    <row r="19" spans="3:15" ht="15.5">
      <c r="C19" s="206" t="s">
        <v>213</v>
      </c>
      <c r="D19" s="230">
        <v>1</v>
      </c>
      <c r="E19" s="231" t="s">
        <v>211</v>
      </c>
      <c r="F19" s="233">
        <f>SUM(F17:F18)</f>
        <v>2.1982846065414886E-2</v>
      </c>
      <c r="G19" s="233">
        <f t="shared" ref="G19:L19" si="9">SUM(G17:G18)</f>
        <v>8.3943591455273692E-2</v>
      </c>
      <c r="H19" s="233">
        <f t="shared" si="9"/>
        <v>6.2890922959572826E-2</v>
      </c>
      <c r="I19" s="233">
        <f t="shared" si="9"/>
        <v>6.9734848484848538E-2</v>
      </c>
      <c r="J19" s="233">
        <f t="shared" si="9"/>
        <v>6.2886363636363629E-2</v>
      </c>
      <c r="K19" s="233">
        <f t="shared" si="9"/>
        <v>5.7692307692307737E-2</v>
      </c>
      <c r="L19" s="233">
        <f t="shared" si="9"/>
        <v>6.4250101750101707E-2</v>
      </c>
      <c r="O19" s="204"/>
    </row>
    <row r="21" spans="3:15">
      <c r="J21" s="214" t="s">
        <v>214</v>
      </c>
      <c r="K21" s="214"/>
      <c r="L21" s="289">
        <f>AVERAGE(F19:L19)</f>
        <v>6.0482997434840424E-2</v>
      </c>
    </row>
    <row r="22" spans="3:15">
      <c r="C22" s="206" t="s">
        <v>215</v>
      </c>
      <c r="D22" s="206" t="s">
        <v>209</v>
      </c>
    </row>
    <row r="23" spans="3:15">
      <c r="C23" s="206" t="s">
        <v>216</v>
      </c>
      <c r="D23" s="269">
        <v>51</v>
      </c>
      <c r="H23" s="235" t="s">
        <v>229</v>
      </c>
      <c r="I23" s="439" t="s">
        <v>230</v>
      </c>
      <c r="J23" s="439"/>
      <c r="K23" s="439" t="s">
        <v>226</v>
      </c>
      <c r="L23" s="439"/>
    </row>
    <row r="24" spans="3:15">
      <c r="C24" s="206" t="s">
        <v>217</v>
      </c>
      <c r="D24" s="270">
        <v>9</v>
      </c>
      <c r="H24" s="237" t="s">
        <v>223</v>
      </c>
      <c r="I24" s="440">
        <v>0.7</v>
      </c>
      <c r="J24" s="441"/>
      <c r="K24" s="447" t="s">
        <v>216</v>
      </c>
      <c r="L24" s="443"/>
    </row>
    <row r="25" spans="3:15">
      <c r="C25" s="235" t="s">
        <v>413</v>
      </c>
      <c r="D25" s="270">
        <v>9</v>
      </c>
      <c r="H25" s="237" t="s">
        <v>224</v>
      </c>
      <c r="I25" s="442">
        <v>0.5</v>
      </c>
      <c r="J25" s="443"/>
      <c r="K25" s="443" t="s">
        <v>227</v>
      </c>
      <c r="L25" s="443"/>
    </row>
    <row r="26" spans="3:15">
      <c r="C26" s="235" t="s">
        <v>414</v>
      </c>
      <c r="D26" s="270">
        <v>8</v>
      </c>
      <c r="H26" s="238" t="s">
        <v>225</v>
      </c>
      <c r="I26" s="444">
        <v>0.65</v>
      </c>
      <c r="J26" s="445"/>
      <c r="K26" s="446" t="s">
        <v>228</v>
      </c>
      <c r="L26" s="445"/>
    </row>
    <row r="27" spans="3:15">
      <c r="C27" s="206" t="s">
        <v>218</v>
      </c>
      <c r="D27" s="270">
        <v>8</v>
      </c>
    </row>
    <row r="28" spans="3:15">
      <c r="C28" s="206" t="s">
        <v>219</v>
      </c>
      <c r="D28" s="270">
        <v>6</v>
      </c>
    </row>
    <row r="29" spans="3:15">
      <c r="C29" s="206" t="s">
        <v>220</v>
      </c>
      <c r="D29" s="270">
        <v>4</v>
      </c>
    </row>
    <row r="30" spans="3:15">
      <c r="C30" s="206" t="s">
        <v>221</v>
      </c>
      <c r="D30" s="270">
        <v>3</v>
      </c>
    </row>
    <row r="31" spans="3:15">
      <c r="C31" s="206" t="s">
        <v>222</v>
      </c>
      <c r="D31" s="270">
        <f>100 - SUM(D23:D30)</f>
        <v>2</v>
      </c>
    </row>
    <row r="34" spans="2:9">
      <c r="C34" s="239">
        <v>2019</v>
      </c>
      <c r="D34" s="239">
        <f>C34+1</f>
        <v>2020</v>
      </c>
      <c r="E34" s="239">
        <f t="shared" ref="E34" si="10">D34+1</f>
        <v>2021</v>
      </c>
      <c r="F34" s="239">
        <f t="shared" ref="F34" si="11">E34+1</f>
        <v>2022</v>
      </c>
      <c r="G34" s="239">
        <f t="shared" ref="G34" si="12">F34+1</f>
        <v>2023</v>
      </c>
      <c r="H34" s="239">
        <f t="shared" ref="H34" si="13">G34+1</f>
        <v>2024</v>
      </c>
      <c r="I34" s="239">
        <f t="shared" ref="I34" si="14">H34+1</f>
        <v>2025</v>
      </c>
    </row>
    <row r="35" spans="2:9">
      <c r="B35" s="246" t="s">
        <v>231</v>
      </c>
      <c r="C35" s="240">
        <v>5128</v>
      </c>
      <c r="D35" s="240">
        <v>5130</v>
      </c>
      <c r="E35" s="240">
        <v>5012</v>
      </c>
      <c r="F35" s="240">
        <v>4642</v>
      </c>
      <c r="G35" s="240">
        <v>4366</v>
      </c>
      <c r="H35" s="240">
        <v>4280</v>
      </c>
      <c r="I35" s="241">
        <v>4216</v>
      </c>
    </row>
    <row r="36" spans="2:9">
      <c r="B36" s="245" t="s">
        <v>232</v>
      </c>
      <c r="C36" s="242"/>
      <c r="D36" s="243">
        <f>(C35-D35)/C35</f>
        <v>-3.9001560062402497E-4</v>
      </c>
      <c r="E36" s="243">
        <f t="shared" ref="E36" si="15">(D35-E35)/D35</f>
        <v>2.3001949317738791E-2</v>
      </c>
      <c r="F36" s="243">
        <f t="shared" ref="F36" si="16">(E35-F35)/E35</f>
        <v>7.3822825219473268E-2</v>
      </c>
      <c r="G36" s="243">
        <f t="shared" ref="G36" si="17">(F35-G35)/F35</f>
        <v>5.9457130547177939E-2</v>
      </c>
      <c r="H36" s="243">
        <f t="shared" ref="H36" si="18">(G35-H35)/G35</f>
        <v>1.9697663765460376E-2</v>
      </c>
      <c r="I36" s="244">
        <f t="shared" ref="I36" si="19">(H35-I35)/H35</f>
        <v>1.4953271028037384E-2</v>
      </c>
    </row>
    <row r="62" spans="3:9" ht="18.5">
      <c r="C62" s="234"/>
    </row>
    <row r="64" spans="3:9">
      <c r="C64" s="2"/>
      <c r="D64" s="2"/>
      <c r="E64" s="2"/>
      <c r="F64" s="2"/>
      <c r="G64" s="2"/>
      <c r="H64" s="2"/>
      <c r="I64" s="2"/>
    </row>
    <row r="65" spans="3:9">
      <c r="C65" s="2"/>
      <c r="D65" s="34"/>
      <c r="E65" s="34"/>
      <c r="F65" s="34"/>
      <c r="G65" s="34"/>
      <c r="H65" s="34"/>
      <c r="I65" s="34"/>
    </row>
  </sheetData>
  <mergeCells count="8">
    <mergeCell ref="I23:J23"/>
    <mergeCell ref="I24:J24"/>
    <mergeCell ref="I25:J25"/>
    <mergeCell ref="I26:J26"/>
    <mergeCell ref="K26:L26"/>
    <mergeCell ref="K25:L25"/>
    <mergeCell ref="K24:L24"/>
    <mergeCell ref="K23:L23"/>
  </mergeCells>
  <printOptions headings="1" gridLines="1"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7ACA-445A-F24D-8480-1758A4AD5E6B}">
  <dimension ref="A1:Z81"/>
  <sheetViews>
    <sheetView topLeftCell="A6" zoomScale="76" zoomScaleNormal="76" workbookViewId="0">
      <selection activeCell="D39" sqref="D39"/>
    </sheetView>
  </sheetViews>
  <sheetFormatPr defaultColWidth="24.796875" defaultRowHeight="13"/>
  <cols>
    <col min="5" max="5" width="30" bestFit="1" customWidth="1"/>
    <col min="261" max="261" width="30" bestFit="1" customWidth="1"/>
    <col min="517" max="517" width="30" bestFit="1" customWidth="1"/>
    <col min="773" max="773" width="30" bestFit="1" customWidth="1"/>
    <col min="1029" max="1029" width="30" bestFit="1" customWidth="1"/>
    <col min="1285" max="1285" width="30" bestFit="1" customWidth="1"/>
    <col min="1541" max="1541" width="30" bestFit="1" customWidth="1"/>
    <col min="1797" max="1797" width="30" bestFit="1" customWidth="1"/>
    <col min="2053" max="2053" width="30" bestFit="1" customWidth="1"/>
    <col min="2309" max="2309" width="30" bestFit="1" customWidth="1"/>
    <col min="2565" max="2565" width="30" bestFit="1" customWidth="1"/>
    <col min="2821" max="2821" width="30" bestFit="1" customWidth="1"/>
    <col min="3077" max="3077" width="30" bestFit="1" customWidth="1"/>
    <col min="3333" max="3333" width="30" bestFit="1" customWidth="1"/>
    <col min="3589" max="3589" width="30" bestFit="1" customWidth="1"/>
    <col min="3845" max="3845" width="30" bestFit="1" customWidth="1"/>
    <col min="4101" max="4101" width="30" bestFit="1" customWidth="1"/>
    <col min="4357" max="4357" width="30" bestFit="1" customWidth="1"/>
    <col min="4613" max="4613" width="30" bestFit="1" customWidth="1"/>
    <col min="4869" max="4869" width="30" bestFit="1" customWidth="1"/>
    <col min="5125" max="5125" width="30" bestFit="1" customWidth="1"/>
    <col min="5381" max="5381" width="30" bestFit="1" customWidth="1"/>
    <col min="5637" max="5637" width="30" bestFit="1" customWidth="1"/>
    <col min="5893" max="5893" width="30" bestFit="1" customWidth="1"/>
    <col min="6149" max="6149" width="30" bestFit="1" customWidth="1"/>
    <col min="6405" max="6405" width="30" bestFit="1" customWidth="1"/>
    <col min="6661" max="6661" width="30" bestFit="1" customWidth="1"/>
    <col min="6917" max="6917" width="30" bestFit="1" customWidth="1"/>
    <col min="7173" max="7173" width="30" bestFit="1" customWidth="1"/>
    <col min="7429" max="7429" width="30" bestFit="1" customWidth="1"/>
    <col min="7685" max="7685" width="30" bestFit="1" customWidth="1"/>
    <col min="7941" max="7941" width="30" bestFit="1" customWidth="1"/>
    <col min="8197" max="8197" width="30" bestFit="1" customWidth="1"/>
    <col min="8453" max="8453" width="30" bestFit="1" customWidth="1"/>
    <col min="8709" max="8709" width="30" bestFit="1" customWidth="1"/>
    <col min="8965" max="8965" width="30" bestFit="1" customWidth="1"/>
    <col min="9221" max="9221" width="30" bestFit="1" customWidth="1"/>
    <col min="9477" max="9477" width="30" bestFit="1" customWidth="1"/>
    <col min="9733" max="9733" width="30" bestFit="1" customWidth="1"/>
    <col min="9989" max="9989" width="30" bestFit="1" customWidth="1"/>
    <col min="10245" max="10245" width="30" bestFit="1" customWidth="1"/>
    <col min="10501" max="10501" width="30" bestFit="1" customWidth="1"/>
    <col min="10757" max="10757" width="30" bestFit="1" customWidth="1"/>
    <col min="11013" max="11013" width="30" bestFit="1" customWidth="1"/>
    <col min="11269" max="11269" width="30" bestFit="1" customWidth="1"/>
    <col min="11525" max="11525" width="30" bestFit="1" customWidth="1"/>
    <col min="11781" max="11781" width="30" bestFit="1" customWidth="1"/>
    <col min="12037" max="12037" width="30" bestFit="1" customWidth="1"/>
    <col min="12293" max="12293" width="30" bestFit="1" customWidth="1"/>
    <col min="12549" max="12549" width="30" bestFit="1" customWidth="1"/>
    <col min="12805" max="12805" width="30" bestFit="1" customWidth="1"/>
    <col min="13061" max="13061" width="30" bestFit="1" customWidth="1"/>
    <col min="13317" max="13317" width="30" bestFit="1" customWidth="1"/>
    <col min="13573" max="13573" width="30" bestFit="1" customWidth="1"/>
    <col min="13829" max="13829" width="30" bestFit="1" customWidth="1"/>
    <col min="14085" max="14085" width="30" bestFit="1" customWidth="1"/>
    <col min="14341" max="14341" width="30" bestFit="1" customWidth="1"/>
    <col min="14597" max="14597" width="30" bestFit="1" customWidth="1"/>
    <col min="14853" max="14853" width="30" bestFit="1" customWidth="1"/>
    <col min="15109" max="15109" width="30" bestFit="1" customWidth="1"/>
    <col min="15365" max="15365" width="30" bestFit="1" customWidth="1"/>
    <col min="15621" max="15621" width="30" bestFit="1" customWidth="1"/>
    <col min="15877" max="15877" width="30" bestFit="1" customWidth="1"/>
    <col min="16133" max="16133" width="30" bestFit="1" customWidth="1"/>
  </cols>
  <sheetData>
    <row r="1" spans="1:2">
      <c r="A1" t="s">
        <v>290</v>
      </c>
    </row>
    <row r="2" spans="1:2">
      <c r="A2" t="s">
        <v>291</v>
      </c>
    </row>
    <row r="4" spans="1:2">
      <c r="A4" t="s">
        <v>292</v>
      </c>
      <c r="B4" t="s">
        <v>293</v>
      </c>
    </row>
    <row r="6" spans="1:2">
      <c r="A6" t="s">
        <v>294</v>
      </c>
    </row>
    <row r="7" spans="1:2">
      <c r="A7" t="s">
        <v>295</v>
      </c>
      <c r="B7" t="s">
        <v>292</v>
      </c>
    </row>
    <row r="8" spans="1:2">
      <c r="A8" s="272">
        <v>43101</v>
      </c>
      <c r="B8" s="273">
        <v>75.7826086956522</v>
      </c>
    </row>
    <row r="9" spans="1:2">
      <c r="A9" s="272">
        <v>43132</v>
      </c>
      <c r="B9" s="273">
        <v>77.650000000000006</v>
      </c>
    </row>
    <row r="10" spans="1:2">
      <c r="A10" s="272">
        <v>43160</v>
      </c>
      <c r="B10" s="273">
        <v>71.318181818181799</v>
      </c>
    </row>
    <row r="11" spans="1:2">
      <c r="A11" s="272">
        <v>43191</v>
      </c>
      <c r="B11" s="273">
        <v>66.3333333333333</v>
      </c>
    </row>
    <row r="12" spans="1:2">
      <c r="A12" s="272">
        <v>43221</v>
      </c>
      <c r="B12" s="273">
        <v>66.630434782608702</v>
      </c>
    </row>
    <row r="13" spans="1:2">
      <c r="A13" s="272">
        <v>43252</v>
      </c>
      <c r="B13" s="273">
        <v>66.857142857142904</v>
      </c>
    </row>
    <row r="14" spans="1:2">
      <c r="A14" s="272">
        <v>43282</v>
      </c>
      <c r="B14" s="273">
        <v>67.045454545454504</v>
      </c>
    </row>
    <row r="15" spans="1:2">
      <c r="A15" s="272">
        <v>43313</v>
      </c>
      <c r="B15" s="273">
        <v>68.021739130434796</v>
      </c>
    </row>
    <row r="16" spans="1:2">
      <c r="A16" s="272">
        <v>43344</v>
      </c>
      <c r="B16" s="273">
        <v>68.8</v>
      </c>
    </row>
    <row r="17" spans="1:21">
      <c r="A17" s="272">
        <v>43374</v>
      </c>
      <c r="B17" s="273">
        <v>72.021739130434796</v>
      </c>
    </row>
    <row r="18" spans="1:21">
      <c r="A18" s="272">
        <v>43405</v>
      </c>
      <c r="B18" s="273">
        <v>72.295454545454504</v>
      </c>
    </row>
    <row r="19" spans="1:21">
      <c r="A19" s="272">
        <v>43435</v>
      </c>
      <c r="B19" s="273">
        <v>68.904761904761898</v>
      </c>
    </row>
    <row r="20" spans="1:21">
      <c r="A20" s="272">
        <v>43466</v>
      </c>
      <c r="B20" s="273">
        <v>75.2</v>
      </c>
    </row>
    <row r="21" spans="1:21">
      <c r="A21" s="272">
        <v>43497</v>
      </c>
      <c r="B21" s="273">
        <v>87.59</v>
      </c>
    </row>
    <row r="22" spans="1:21">
      <c r="A22" s="272">
        <v>43525</v>
      </c>
      <c r="B22" s="273">
        <v>87.071428571428598</v>
      </c>
    </row>
    <row r="23" spans="1:21">
      <c r="A23" s="272">
        <v>43556</v>
      </c>
      <c r="B23" s="273">
        <v>94.5</v>
      </c>
    </row>
    <row r="24" spans="1:21">
      <c r="A24" s="272">
        <v>43586</v>
      </c>
      <c r="B24" s="273">
        <v>101.76086956521701</v>
      </c>
      <c r="Q24" s="274"/>
    </row>
    <row r="25" spans="1:21">
      <c r="A25" s="272">
        <v>43617</v>
      </c>
      <c r="B25" s="273">
        <v>109.55</v>
      </c>
      <c r="Q25" s="274"/>
    </row>
    <row r="26" spans="1:21">
      <c r="A26" s="272">
        <v>43647</v>
      </c>
      <c r="B26" s="273">
        <v>119.586956521739</v>
      </c>
      <c r="Q26" s="274"/>
    </row>
    <row r="27" spans="1:21">
      <c r="A27" s="272">
        <v>43678</v>
      </c>
      <c r="B27" s="273">
        <v>93.5</v>
      </c>
      <c r="Q27" s="274"/>
      <c r="U27" s="275"/>
    </row>
    <row r="28" spans="1:21">
      <c r="A28" s="272">
        <v>43709</v>
      </c>
      <c r="B28" s="273">
        <v>92.261904761904802</v>
      </c>
      <c r="Q28" s="450"/>
    </row>
    <row r="29" spans="1:21">
      <c r="A29" s="272">
        <v>43739</v>
      </c>
      <c r="B29" s="273">
        <v>88.586956521739097</v>
      </c>
      <c r="Q29" s="450"/>
    </row>
    <row r="30" spans="1:21">
      <c r="A30" s="272">
        <v>43770</v>
      </c>
      <c r="B30" s="273">
        <v>82.904761904761898</v>
      </c>
    </row>
    <row r="31" spans="1:21">
      <c r="A31" s="272">
        <v>43800</v>
      </c>
      <c r="B31" s="273">
        <v>90.977272727272705</v>
      </c>
    </row>
    <row r="32" spans="1:21">
      <c r="A32" s="272">
        <v>43831</v>
      </c>
      <c r="B32" s="273">
        <v>95.2173913043478</v>
      </c>
    </row>
    <row r="33" spans="1:24">
      <c r="A33" s="272">
        <v>43862</v>
      </c>
      <c r="B33" s="273">
        <v>87.625</v>
      </c>
    </row>
    <row r="34" spans="1:24">
      <c r="A34" s="272">
        <v>43891</v>
      </c>
      <c r="B34" s="273">
        <v>88.659090909090907</v>
      </c>
    </row>
    <row r="35" spans="1:24">
      <c r="A35" s="272">
        <v>43922</v>
      </c>
      <c r="B35" s="273">
        <v>83.75</v>
      </c>
    </row>
    <row r="36" spans="1:24">
      <c r="A36" s="272">
        <v>43952</v>
      </c>
      <c r="B36" s="273">
        <v>91.3333333333333</v>
      </c>
    </row>
    <row r="37" spans="1:24">
      <c r="A37" s="272">
        <v>43983</v>
      </c>
      <c r="B37" s="273">
        <v>103.34090909090899</v>
      </c>
    </row>
    <row r="38" spans="1:24">
      <c r="A38" s="272">
        <v>44013</v>
      </c>
      <c r="B38" s="273">
        <v>108.02173913043499</v>
      </c>
    </row>
    <row r="39" spans="1:24">
      <c r="A39" s="272">
        <v>44044</v>
      </c>
      <c r="B39" s="273">
        <v>120.071428571429</v>
      </c>
      <c r="E39" s="276" t="s">
        <v>296</v>
      </c>
      <c r="F39" s="268">
        <f>AVERAGE(B20:B81)</f>
        <v>120.53280315832451</v>
      </c>
      <c r="G39" s="276" t="s">
        <v>297</v>
      </c>
      <c r="H39" s="277" t="s">
        <v>255</v>
      </c>
      <c r="I39" s="277" t="s">
        <v>298</v>
      </c>
      <c r="J39" s="277" t="s">
        <v>299</v>
      </c>
      <c r="K39" s="277" t="s">
        <v>300</v>
      </c>
      <c r="L39" s="277" t="s">
        <v>301</v>
      </c>
      <c r="M39" s="277" t="s">
        <v>302</v>
      </c>
    </row>
    <row r="40" spans="1:24">
      <c r="A40" s="272">
        <v>44075</v>
      </c>
      <c r="B40" s="273">
        <v>123</v>
      </c>
      <c r="E40" s="278"/>
      <c r="F40" s="215"/>
      <c r="H40" s="279"/>
      <c r="M40" s="162"/>
      <c r="O40" s="274"/>
      <c r="P40" s="274"/>
      <c r="Q40" s="274"/>
    </row>
    <row r="41" spans="1:24">
      <c r="A41" s="272">
        <v>44105</v>
      </c>
      <c r="B41" s="273">
        <v>119.25</v>
      </c>
      <c r="E41" s="278" t="s">
        <v>303</v>
      </c>
      <c r="F41" s="215">
        <f>AVERAGE(B20:B31)</f>
        <v>93.624179214505261</v>
      </c>
      <c r="G41">
        <v>2019</v>
      </c>
      <c r="H41">
        <v>28927</v>
      </c>
      <c r="I41">
        <f>($F$39/F41)*H41</f>
        <v>37240.939533071643</v>
      </c>
      <c r="K41">
        <f>76437/5</f>
        <v>15287.4</v>
      </c>
      <c r="L41" s="280">
        <f>K41/I41</f>
        <v>0.41049984752463337</v>
      </c>
      <c r="M41" s="162">
        <v>2762.8</v>
      </c>
      <c r="N41" s="34"/>
      <c r="R41" s="449"/>
      <c r="S41" s="449"/>
      <c r="T41" s="448"/>
      <c r="U41" s="448"/>
      <c r="V41" s="448"/>
      <c r="W41" s="448"/>
      <c r="X41" s="448"/>
    </row>
    <row r="42" spans="1:24">
      <c r="A42" s="272">
        <v>44136</v>
      </c>
      <c r="B42" s="273">
        <v>123.52380952381</v>
      </c>
      <c r="E42" s="278" t="s">
        <v>304</v>
      </c>
      <c r="F42" s="215">
        <f>AVERAGE(B32:B43)</f>
        <v>108.07149327122158</v>
      </c>
      <c r="G42">
        <v>2020</v>
      </c>
      <c r="H42">
        <v>41219.599999999999</v>
      </c>
      <c r="I42">
        <f>($F$39/F42)*H42</f>
        <v>45972.474171298309</v>
      </c>
      <c r="J42" s="280">
        <f>I42/I41-1</f>
        <v>0.2344606432518348</v>
      </c>
      <c r="K42" s="282">
        <f>90948/5</f>
        <v>18189.599999999999</v>
      </c>
      <c r="L42" s="280">
        <f>K42/I42</f>
        <v>0.39566284669003504</v>
      </c>
      <c r="M42" s="162">
        <v>3319.4</v>
      </c>
      <c r="N42" s="34"/>
      <c r="R42" s="449"/>
      <c r="S42" s="449"/>
      <c r="T42" s="448"/>
      <c r="U42" s="448"/>
      <c r="V42" s="448"/>
      <c r="W42" s="448"/>
      <c r="X42" s="448"/>
    </row>
    <row r="43" spans="1:24">
      <c r="A43" s="272">
        <v>44166</v>
      </c>
      <c r="B43" s="273">
        <v>153.065217391304</v>
      </c>
      <c r="E43" s="278" t="s">
        <v>305</v>
      </c>
      <c r="F43" s="215">
        <f>AVERAGE(B44:B55)</f>
        <v>158.16166811235095</v>
      </c>
      <c r="G43">
        <v>2021</v>
      </c>
      <c r="H43">
        <v>58704.800000000003</v>
      </c>
      <c r="I43">
        <f>($F$39/F43)*H43</f>
        <v>44738.109981379559</v>
      </c>
      <c r="J43" s="280">
        <f>I43/I42-1</f>
        <v>-2.6850070877616372E-2</v>
      </c>
      <c r="K43" s="282">
        <f>117267/5</f>
        <v>23453.4</v>
      </c>
      <c r="L43" s="280">
        <f>K43/I43</f>
        <v>0.52423761329572338</v>
      </c>
      <c r="M43" s="162">
        <v>3275.8</v>
      </c>
      <c r="N43" s="34"/>
    </row>
    <row r="44" spans="1:24">
      <c r="A44" s="272">
        <v>44197</v>
      </c>
      <c r="B44" s="273">
        <v>166.73809523809501</v>
      </c>
      <c r="E44" s="278" t="s">
        <v>306</v>
      </c>
      <c r="F44" s="215">
        <f>AVERAGE(B56:B67)</f>
        <v>120.70386473429961</v>
      </c>
      <c r="G44">
        <v>2022</v>
      </c>
      <c r="H44">
        <v>45301.599999999999</v>
      </c>
      <c r="I44">
        <f>($F$39/F44)*H44</f>
        <v>45237.398550384016</v>
      </c>
      <c r="J44" s="280">
        <f>I44/I43-1</f>
        <v>1.1160251723022485E-2</v>
      </c>
      <c r="K44" s="282">
        <f>124195/5</f>
        <v>24839</v>
      </c>
      <c r="L44" s="280">
        <f>K44/I44</f>
        <v>0.54908108768312769</v>
      </c>
      <c r="M44" s="162">
        <v>3277.2</v>
      </c>
      <c r="N44" s="34"/>
    </row>
    <row r="45" spans="1:24" ht="13" customHeight="1">
      <c r="A45" s="272">
        <v>44228</v>
      </c>
      <c r="B45" s="273">
        <v>162.32499999999999</v>
      </c>
      <c r="E45" s="211" t="s">
        <v>307</v>
      </c>
      <c r="F45" s="283">
        <f>AVERAGE(B68:B79)</f>
        <v>120.31531698977342</v>
      </c>
      <c r="G45" s="284">
        <v>2023</v>
      </c>
      <c r="H45" s="284">
        <v>41613.199999999997</v>
      </c>
      <c r="I45" s="284">
        <f>($F$39/F45)*H45</f>
        <v>41688.421473504648</v>
      </c>
      <c r="J45" s="243">
        <f>I45/I44-1</f>
        <v>-7.8452280427368626E-2</v>
      </c>
      <c r="K45" s="284">
        <f>120016/5</f>
        <v>24003.200000000001</v>
      </c>
      <c r="L45" s="243">
        <f>K45/I45</f>
        <v>0.57577617841096218</v>
      </c>
      <c r="M45" s="216">
        <v>3060</v>
      </c>
      <c r="N45" s="34"/>
      <c r="O45" s="274"/>
      <c r="P45" s="449"/>
      <c r="Q45" s="449"/>
    </row>
    <row r="46" spans="1:24" ht="13" customHeight="1">
      <c r="A46" s="272">
        <v>44256</v>
      </c>
      <c r="B46" s="273">
        <v>166.73913043478299</v>
      </c>
      <c r="P46" s="449"/>
      <c r="Q46" s="449"/>
    </row>
    <row r="47" spans="1:24">
      <c r="A47" s="272">
        <v>44287</v>
      </c>
      <c r="B47" s="273">
        <v>178.25</v>
      </c>
    </row>
    <row r="48" spans="1:24">
      <c r="A48" s="272">
        <v>44317</v>
      </c>
      <c r="B48" s="273">
        <v>202.857142857143</v>
      </c>
      <c r="E48" s="285" t="s">
        <v>308</v>
      </c>
      <c r="F48" s="166"/>
      <c r="G48" s="166"/>
      <c r="H48" s="166"/>
      <c r="I48" s="286">
        <f>AVERAGE(I41:I45)</f>
        <v>42975.468741927631</v>
      </c>
      <c r="J48" s="287">
        <f>AVERAGE(J42:J45)</f>
        <v>3.5079635917468072E-2</v>
      </c>
      <c r="K48" s="166"/>
      <c r="L48" s="287">
        <f>AVERAGE(L41:L45)</f>
        <v>0.49105151472089636</v>
      </c>
      <c r="M48" s="288">
        <f>AVERAGE(M41:M45)</f>
        <v>3139.04</v>
      </c>
    </row>
    <row r="49" spans="1:26">
      <c r="A49" s="272">
        <v>44348</v>
      </c>
      <c r="B49" s="273">
        <v>215.81578947368399</v>
      </c>
      <c r="L49" s="204"/>
    </row>
    <row r="50" spans="1:26">
      <c r="A50" s="272">
        <v>44378</v>
      </c>
      <c r="B50" s="273">
        <v>214.34090909090901</v>
      </c>
    </row>
    <row r="51" spans="1:26">
      <c r="A51" s="272">
        <v>44409</v>
      </c>
      <c r="B51" s="273">
        <v>162.09090909090901</v>
      </c>
    </row>
    <row r="52" spans="1:26">
      <c r="A52" s="272">
        <v>44440</v>
      </c>
      <c r="B52" s="273">
        <v>113.71875</v>
      </c>
    </row>
    <row r="53" spans="1:26">
      <c r="A53" s="272">
        <v>44470</v>
      </c>
      <c r="B53" s="273">
        <v>114.47619047619</v>
      </c>
      <c r="Q53" s="449"/>
      <c r="R53" s="449"/>
      <c r="S53" s="448"/>
      <c r="T53" s="448"/>
      <c r="U53" s="448"/>
      <c r="V53" s="448"/>
      <c r="W53" s="448"/>
    </row>
    <row r="54" spans="1:26">
      <c r="A54" s="272">
        <v>44501</v>
      </c>
      <c r="B54" s="273">
        <v>90.131578947368396</v>
      </c>
      <c r="Q54" s="449"/>
      <c r="R54" s="449"/>
      <c r="S54" s="448"/>
      <c r="T54" s="448"/>
      <c r="U54" s="448"/>
      <c r="V54" s="448"/>
      <c r="W54" s="448"/>
    </row>
    <row r="55" spans="1:26" ht="15.5">
      <c r="A55" s="272">
        <v>44531</v>
      </c>
      <c r="B55" s="273">
        <v>110.45652173913</v>
      </c>
      <c r="H55" s="281"/>
      <c r="X55" s="448"/>
      <c r="Y55" s="448"/>
      <c r="Z55" s="448">
        <v>-29446</v>
      </c>
    </row>
    <row r="56" spans="1:26" ht="13" customHeight="1">
      <c r="A56" s="272">
        <v>44562</v>
      </c>
      <c r="B56" s="273">
        <v>133.04545454545499</v>
      </c>
      <c r="K56" s="449"/>
      <c r="L56" s="449"/>
      <c r="M56" s="448"/>
      <c r="N56" s="448"/>
      <c r="O56" s="448"/>
      <c r="P56" s="448"/>
      <c r="X56" s="448"/>
      <c r="Y56" s="448"/>
      <c r="Z56" s="448"/>
    </row>
    <row r="57" spans="1:26" ht="13" customHeight="1">
      <c r="A57" s="272">
        <v>44593</v>
      </c>
      <c r="B57" s="273">
        <v>139.69999999999999</v>
      </c>
      <c r="K57" s="449"/>
      <c r="L57" s="449"/>
      <c r="M57" s="448"/>
      <c r="N57" s="448"/>
      <c r="O57" s="448"/>
      <c r="P57" s="448"/>
    </row>
    <row r="58" spans="1:26">
      <c r="A58" s="272">
        <v>44621</v>
      </c>
      <c r="B58" s="273">
        <v>147.34782608695701</v>
      </c>
    </row>
    <row r="59" spans="1:26">
      <c r="A59" s="272">
        <v>44652</v>
      </c>
      <c r="B59" s="273">
        <v>146.666666666667</v>
      </c>
    </row>
    <row r="60" spans="1:26">
      <c r="A60" s="272">
        <v>44682</v>
      </c>
      <c r="B60" s="273">
        <v>131.09090909090901</v>
      </c>
    </row>
    <row r="61" spans="1:26">
      <c r="A61" s="272">
        <v>44713</v>
      </c>
      <c r="B61" s="273">
        <v>131.04545454545499</v>
      </c>
    </row>
    <row r="62" spans="1:26">
      <c r="A62" s="272">
        <v>44743</v>
      </c>
      <c r="B62" s="273">
        <v>109.04761904761899</v>
      </c>
    </row>
    <row r="63" spans="1:26">
      <c r="A63" s="272">
        <v>44774</v>
      </c>
      <c r="B63" s="273">
        <v>109.065217391304</v>
      </c>
    </row>
    <row r="64" spans="1:26">
      <c r="A64" s="272">
        <v>44805</v>
      </c>
      <c r="B64" s="273">
        <v>100.84090909090899</v>
      </c>
    </row>
    <row r="65" spans="1:2">
      <c r="A65" s="272">
        <v>44835</v>
      </c>
      <c r="B65" s="273">
        <v>94.619047619047606</v>
      </c>
    </row>
    <row r="66" spans="1:2">
      <c r="A66" s="272">
        <v>44866</v>
      </c>
      <c r="B66" s="273">
        <v>94.568181818181799</v>
      </c>
    </row>
    <row r="67" spans="1:2">
      <c r="A67" s="272">
        <v>44896</v>
      </c>
      <c r="B67" s="273">
        <v>111.40909090909101</v>
      </c>
    </row>
    <row r="68" spans="1:2">
      <c r="A68" s="272">
        <v>44927</v>
      </c>
      <c r="B68" s="273">
        <v>122.431818181818</v>
      </c>
    </row>
    <row r="69" spans="1:2">
      <c r="A69" s="272">
        <v>44958</v>
      </c>
      <c r="B69" s="273">
        <v>127.075</v>
      </c>
    </row>
    <row r="70" spans="1:2">
      <c r="A70" s="272">
        <v>44986</v>
      </c>
      <c r="B70" s="273">
        <v>127.97826086956501</v>
      </c>
    </row>
    <row r="71" spans="1:2">
      <c r="A71" s="272">
        <v>45017</v>
      </c>
      <c r="B71" s="273">
        <v>117.125</v>
      </c>
    </row>
    <row r="72" spans="1:2">
      <c r="A72" s="272">
        <v>45047</v>
      </c>
      <c r="B72" s="273">
        <v>104.52173913043499</v>
      </c>
    </row>
    <row r="73" spans="1:2">
      <c r="A73" s="272">
        <v>45078</v>
      </c>
      <c r="B73" s="273">
        <v>113.09090909090899</v>
      </c>
    </row>
    <row r="74" spans="1:2">
      <c r="A74" s="272">
        <v>45108</v>
      </c>
      <c r="B74" s="273">
        <v>113.97619047619</v>
      </c>
    </row>
    <row r="75" spans="1:2">
      <c r="A75" s="272">
        <v>45139</v>
      </c>
      <c r="B75" s="273">
        <v>109.60869565217401</v>
      </c>
    </row>
    <row r="76" spans="1:2">
      <c r="A76" s="272">
        <v>45170</v>
      </c>
      <c r="B76" s="273">
        <v>120.428571428571</v>
      </c>
    </row>
    <row r="77" spans="1:2">
      <c r="A77" s="272">
        <v>45200</v>
      </c>
      <c r="B77" s="273">
        <v>118.75</v>
      </c>
    </row>
    <row r="78" spans="1:2">
      <c r="A78" s="272">
        <v>45231</v>
      </c>
      <c r="B78" s="273">
        <v>131.25</v>
      </c>
    </row>
    <row r="79" spans="1:2">
      <c r="A79" s="272">
        <v>45261</v>
      </c>
      <c r="B79" s="273">
        <v>137.54761904761901</v>
      </c>
    </row>
    <row r="80" spans="1:2">
      <c r="A80" s="272">
        <v>45292</v>
      </c>
      <c r="B80" s="273">
        <v>136.58695652173901</v>
      </c>
    </row>
    <row r="81" spans="1:2">
      <c r="A81" s="272">
        <v>45323</v>
      </c>
      <c r="B81" s="273">
        <v>125.928571428571</v>
      </c>
    </row>
  </sheetData>
  <mergeCells count="26">
    <mergeCell ref="Q28:Q29"/>
    <mergeCell ref="R41:R42"/>
    <mergeCell ref="S41:S42"/>
    <mergeCell ref="T41:T42"/>
    <mergeCell ref="U41:U42"/>
    <mergeCell ref="W41:W42"/>
    <mergeCell ref="X41:X42"/>
    <mergeCell ref="P45:P46"/>
    <mergeCell ref="Q45:Q46"/>
    <mergeCell ref="Q53:Q54"/>
    <mergeCell ref="R53:R54"/>
    <mergeCell ref="S53:S54"/>
    <mergeCell ref="T53:T54"/>
    <mergeCell ref="U53:U54"/>
    <mergeCell ref="V53:V54"/>
    <mergeCell ref="V41:V42"/>
    <mergeCell ref="W53:W54"/>
    <mergeCell ref="X55:X56"/>
    <mergeCell ref="Y55:Y56"/>
    <mergeCell ref="Z55:Z56"/>
    <mergeCell ref="K56:K57"/>
    <mergeCell ref="L56:L57"/>
    <mergeCell ref="M56:M57"/>
    <mergeCell ref="N56:N57"/>
    <mergeCell ref="O56:O57"/>
    <mergeCell ref="P56:P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Z368"/>
  <sheetViews>
    <sheetView showGridLines="0" topLeftCell="A263" zoomScaleNormal="100" workbookViewId="0">
      <selection activeCell="L228" sqref="L228"/>
    </sheetView>
  </sheetViews>
  <sheetFormatPr defaultColWidth="9.3984375" defaultRowHeight="13"/>
  <cols>
    <col min="1" max="1" width="9.3984375" style="2"/>
    <col min="2" max="2" width="30.19921875" style="2" customWidth="1"/>
    <col min="3" max="3" width="12" style="2" customWidth="1"/>
    <col min="4" max="4" width="22.19921875" style="2" bestFit="1" customWidth="1"/>
    <col min="5" max="5" width="19.3984375" style="2" bestFit="1" customWidth="1"/>
    <col min="6" max="8" width="10.19921875" style="2" bestFit="1" customWidth="1"/>
    <col min="9" max="10" width="12.796875" style="2" bestFit="1" customWidth="1"/>
    <col min="11" max="11" width="10.19921875" style="2" bestFit="1" customWidth="1"/>
    <col min="12" max="12" width="13.796875" style="2" bestFit="1" customWidth="1"/>
    <col min="13" max="13" width="9.3984375" style="2"/>
    <col min="14" max="14" width="10.796875" style="2" bestFit="1" customWidth="1"/>
    <col min="15" max="15" width="9.3984375" style="2"/>
    <col min="16" max="16" width="10.796875" style="2" bestFit="1" customWidth="1"/>
    <col min="17" max="16384" width="9.3984375" style="2"/>
  </cols>
  <sheetData>
    <row r="3" spans="2:20" s="1" customFormat="1" ht="17.5">
      <c r="B3" s="7" t="s">
        <v>2</v>
      </c>
      <c r="C3" s="8"/>
      <c r="D3" s="8"/>
      <c r="E3" s="8"/>
      <c r="F3" s="8"/>
      <c r="G3" s="8"/>
      <c r="H3" s="8"/>
      <c r="I3" s="8"/>
      <c r="J3" s="8"/>
      <c r="K3"/>
    </row>
    <row r="5" spans="2:20" ht="16">
      <c r="B5"/>
      <c r="C5" s="5" t="s">
        <v>0</v>
      </c>
      <c r="D5" s="6"/>
      <c r="E5" s="6"/>
      <c r="F5" s="5" t="s">
        <v>1</v>
      </c>
      <c r="G5" s="5"/>
      <c r="H5" s="5"/>
      <c r="I5" s="5"/>
      <c r="J5" s="5"/>
      <c r="K5" s="5"/>
      <c r="L5" s="5"/>
    </row>
    <row r="6" spans="2:20">
      <c r="B6"/>
      <c r="C6" s="4">
        <v>2021</v>
      </c>
      <c r="D6" s="4">
        <v>2022</v>
      </c>
      <c r="E6" s="4">
        <v>2023</v>
      </c>
      <c r="F6" s="3">
        <v>2024</v>
      </c>
      <c r="G6" s="4">
        <f t="shared" ref="G6:L6" si="0">F6+1</f>
        <v>2025</v>
      </c>
      <c r="H6" s="4">
        <f t="shared" si="0"/>
        <v>2026</v>
      </c>
      <c r="I6" s="4">
        <f t="shared" si="0"/>
        <v>2027</v>
      </c>
      <c r="J6" s="4">
        <f t="shared" si="0"/>
        <v>2028</v>
      </c>
      <c r="K6" s="4">
        <f t="shared" si="0"/>
        <v>2029</v>
      </c>
      <c r="L6" s="4">
        <f t="shared" si="0"/>
        <v>2030</v>
      </c>
    </row>
    <row r="7" spans="2:20" ht="6" customHeight="1"/>
    <row r="8" spans="2:20" s="15" customFormat="1">
      <c r="B8" s="14" t="s">
        <v>3</v>
      </c>
      <c r="C8" s="20">
        <v>44737</v>
      </c>
      <c r="D8" s="410">
        <v>45302</v>
      </c>
      <c r="E8" s="21">
        <v>41613</v>
      </c>
      <c r="F8">
        <f>E8*(1+F9)</f>
        <v>43485.584999999999</v>
      </c>
      <c r="G8">
        <f t="shared" ref="G8:L8" si="1">F8+(F8*G9)</f>
        <v>45442.436325000002</v>
      </c>
      <c r="H8">
        <f t="shared" si="1"/>
        <v>47487.345959625003</v>
      </c>
      <c r="I8">
        <f t="shared" si="1"/>
        <v>49624.276527808128</v>
      </c>
      <c r="J8">
        <f t="shared" si="1"/>
        <v>51857.368971559496</v>
      </c>
      <c r="K8">
        <f t="shared" si="1"/>
        <v>54190.950575279676</v>
      </c>
      <c r="L8">
        <f t="shared" si="1"/>
        <v>56629.54335116726</v>
      </c>
    </row>
    <row r="9" spans="2:20" s="11" customFormat="1">
      <c r="B9" s="10" t="s">
        <v>4</v>
      </c>
      <c r="C9" s="16"/>
      <c r="D9" s="16">
        <f>(D8/C8)-1</f>
        <v>1.2629367190468699E-2</v>
      </c>
      <c r="E9" s="16">
        <f>(E8/D8)-1</f>
        <v>-8.1431283387046971E-2</v>
      </c>
      <c r="F9" s="24">
        <v>4.4999999999999998E-2</v>
      </c>
      <c r="G9" s="24">
        <v>4.4999999999999998E-2</v>
      </c>
      <c r="H9" s="24">
        <v>4.4999999999999998E-2</v>
      </c>
      <c r="I9" s="24">
        <v>4.4999999999999998E-2</v>
      </c>
      <c r="J9" s="24">
        <v>4.4999999999999998E-2</v>
      </c>
      <c r="K9" s="24">
        <v>4.4999999999999998E-2</v>
      </c>
      <c r="L9" s="24">
        <v>4.4999999999999998E-2</v>
      </c>
    </row>
    <row r="10" spans="2:20" ht="6" customHeight="1"/>
    <row r="11" spans="2:20">
      <c r="B11" s="12" t="s">
        <v>5</v>
      </c>
    </row>
    <row r="12" spans="2:20">
      <c r="B12" s="9" t="s">
        <v>6</v>
      </c>
      <c r="C12" s="9">
        <v>23453</v>
      </c>
      <c r="D12" s="9">
        <v>24839</v>
      </c>
      <c r="E12" s="2">
        <v>24003</v>
      </c>
      <c r="F12" s="2">
        <f>F8*F13</f>
        <v>23047.360049999999</v>
      </c>
      <c r="G12" s="2">
        <f t="shared" ref="G12:L12" si="2">G8*G13</f>
        <v>24084.491252250002</v>
      </c>
      <c r="H12" s="2">
        <f t="shared" si="2"/>
        <v>25168.293358601251</v>
      </c>
      <c r="I12" s="2">
        <f t="shared" si="2"/>
        <v>26300.866559738308</v>
      </c>
      <c r="J12" s="2">
        <f t="shared" si="2"/>
        <v>27484.405554926532</v>
      </c>
      <c r="K12" s="2">
        <f t="shared" si="2"/>
        <v>28721.203804898229</v>
      </c>
      <c r="L12" s="2">
        <f t="shared" si="2"/>
        <v>30013.657976118648</v>
      </c>
    </row>
    <row r="13" spans="2:20" s="17" customFormat="1">
      <c r="B13" s="10" t="s">
        <v>7</v>
      </c>
      <c r="C13" s="16">
        <f>C12/C8</f>
        <v>0.52424167914701481</v>
      </c>
      <c r="D13" s="16">
        <f>D12/D8</f>
        <v>0.5482980883846188</v>
      </c>
      <c r="E13" s="16">
        <f>E12/E8</f>
        <v>0.57681493763967995</v>
      </c>
      <c r="F13" s="23">
        <v>0.53</v>
      </c>
      <c r="G13" s="23">
        <v>0.53</v>
      </c>
      <c r="H13" s="23">
        <v>0.53</v>
      </c>
      <c r="I13" s="23">
        <v>0.53</v>
      </c>
      <c r="J13" s="23">
        <v>0.53</v>
      </c>
      <c r="K13" s="23">
        <v>0.53</v>
      </c>
      <c r="L13" s="23">
        <v>0.53</v>
      </c>
      <c r="T13" s="17" t="s">
        <v>170</v>
      </c>
    </row>
    <row r="14" spans="2:20" ht="6" customHeight="1">
      <c r="B14" s="13"/>
    </row>
    <row r="15" spans="2:20">
      <c r="B15" s="9" t="s">
        <v>8</v>
      </c>
      <c r="C15" s="9">
        <v>3275.8</v>
      </c>
      <c r="D15" s="9">
        <v>3277.2</v>
      </c>
      <c r="E15" s="2">
        <v>3060</v>
      </c>
      <c r="F15" s="2">
        <f>F8*F16</f>
        <v>3174.4477049999996</v>
      </c>
      <c r="G15" s="2">
        <f t="shared" ref="G15:L15" si="3">G8*G16</f>
        <v>3317.2978517249999</v>
      </c>
      <c r="H15" s="2">
        <f t="shared" si="3"/>
        <v>3466.5762550526251</v>
      </c>
      <c r="I15" s="2">
        <f t="shared" si="3"/>
        <v>3622.5721865299929</v>
      </c>
      <c r="J15" s="2">
        <f t="shared" si="3"/>
        <v>3785.587934923843</v>
      </c>
      <c r="K15" s="2">
        <f t="shared" si="3"/>
        <v>3955.9393919954159</v>
      </c>
      <c r="L15" s="2">
        <f t="shared" si="3"/>
        <v>4133.9566646352096</v>
      </c>
      <c r="R15" s="157" t="s">
        <v>169</v>
      </c>
      <c r="T15" s="157" t="s">
        <v>171</v>
      </c>
    </row>
    <row r="16" spans="2:20" s="17" customFormat="1">
      <c r="B16" s="10" t="s">
        <v>7</v>
      </c>
      <c r="C16" s="16">
        <f>C15/C8</f>
        <v>7.3223506269977881E-2</v>
      </c>
      <c r="D16" s="16">
        <f>D15/D8</f>
        <v>7.234117698997837E-2</v>
      </c>
      <c r="E16" s="16">
        <f>E15/E8</f>
        <v>7.3534712709970446E-2</v>
      </c>
      <c r="F16" s="24">
        <v>7.2999999999999995E-2</v>
      </c>
      <c r="G16" s="24">
        <v>7.2999999999999995E-2</v>
      </c>
      <c r="H16" s="24">
        <v>7.2999999999999995E-2</v>
      </c>
      <c r="I16" s="24">
        <v>7.2999999999999995E-2</v>
      </c>
      <c r="J16" s="24">
        <v>7.2999999999999995E-2</v>
      </c>
      <c r="K16" s="24">
        <v>7.2999999999999995E-2</v>
      </c>
      <c r="L16" s="24">
        <v>7.2999999999999995E-2</v>
      </c>
      <c r="T16" s="17" t="s">
        <v>172</v>
      </c>
    </row>
    <row r="17" spans="2:20" ht="4.5" customHeight="1">
      <c r="B17" s="13"/>
      <c r="C17" s="19" t="s">
        <v>17</v>
      </c>
      <c r="D17" s="19" t="s">
        <v>17</v>
      </c>
      <c r="E17" s="19" t="s">
        <v>17</v>
      </c>
      <c r="F17" s="19" t="s">
        <v>17</v>
      </c>
      <c r="G17" s="19" t="s">
        <v>17</v>
      </c>
      <c r="H17" s="19" t="s">
        <v>17</v>
      </c>
      <c r="I17" s="19" t="s">
        <v>17</v>
      </c>
      <c r="J17" s="19" t="s">
        <v>17</v>
      </c>
      <c r="K17" s="19" t="s">
        <v>17</v>
      </c>
      <c r="L17" s="19" t="s">
        <v>17</v>
      </c>
    </row>
    <row r="18" spans="2:20">
      <c r="B18" s="9" t="s">
        <v>9</v>
      </c>
      <c r="C18" s="410">
        <f>SUM(C15,C12)</f>
        <v>26728.799999999999</v>
      </c>
      <c r="D18" s="410">
        <f>SUM(D15,D12)</f>
        <v>28116.2</v>
      </c>
      <c r="E18" s="22">
        <f>SUM(E15,E12)</f>
        <v>27063</v>
      </c>
      <c r="F18" s="22">
        <f t="shared" ref="F18:L18" si="4">SUM(F15,F12)</f>
        <v>26221.807754999998</v>
      </c>
      <c r="G18" s="22">
        <f t="shared" si="4"/>
        <v>27401.789103975003</v>
      </c>
      <c r="H18" s="22">
        <f t="shared" si="4"/>
        <v>28634.869613653878</v>
      </c>
      <c r="I18" s="22">
        <f t="shared" si="4"/>
        <v>29923.438746268301</v>
      </c>
      <c r="J18" s="22">
        <f t="shared" si="4"/>
        <v>31269.993489850374</v>
      </c>
      <c r="K18" s="22">
        <f t="shared" si="4"/>
        <v>32677.143196893645</v>
      </c>
      <c r="L18" s="22">
        <f t="shared" si="4"/>
        <v>34147.614640753854</v>
      </c>
      <c r="T18" s="157" t="s">
        <v>173</v>
      </c>
    </row>
    <row r="19" spans="2:20" s="17" customFormat="1">
      <c r="B19" s="10" t="s">
        <v>7</v>
      </c>
      <c r="C19" s="16">
        <f>C18/C8</f>
        <v>0.59746518541699267</v>
      </c>
      <c r="D19" s="16">
        <f>D18/D8</f>
        <v>0.62063926537459713</v>
      </c>
      <c r="E19" s="16">
        <f>E18/E8</f>
        <v>0.65034965034965031</v>
      </c>
      <c r="F19" s="16">
        <f t="shared" ref="F19:L19" si="5">F18/F8</f>
        <v>0.60299999999999998</v>
      </c>
      <c r="G19" s="16">
        <f t="shared" si="5"/>
        <v>0.60299999999999998</v>
      </c>
      <c r="H19" s="16">
        <f t="shared" si="5"/>
        <v>0.60299999999999998</v>
      </c>
      <c r="I19" s="16">
        <f t="shared" si="5"/>
        <v>0.60299999999999998</v>
      </c>
      <c r="J19" s="16">
        <f t="shared" si="5"/>
        <v>0.60299999999999998</v>
      </c>
      <c r="K19" s="16">
        <f t="shared" si="5"/>
        <v>0.60299999999999998</v>
      </c>
      <c r="L19" s="16">
        <f t="shared" si="5"/>
        <v>0.60299999999999998</v>
      </c>
      <c r="T19" s="17" t="s">
        <v>174</v>
      </c>
    </row>
    <row r="20" spans="2:20" ht="6" customHeight="1">
      <c r="B20" s="13"/>
    </row>
    <row r="21" spans="2:20">
      <c r="B21" s="12" t="s">
        <v>16</v>
      </c>
      <c r="T21" s="157" t="s">
        <v>175</v>
      </c>
    </row>
    <row r="22" spans="2:20">
      <c r="B22" s="9" t="s">
        <v>15</v>
      </c>
      <c r="C22" s="9">
        <v>474.8</v>
      </c>
      <c r="D22" s="9">
        <v>489.4</v>
      </c>
      <c r="E22" s="2">
        <v>504.6</v>
      </c>
      <c r="F22" s="2">
        <f>F8*F23</f>
        <v>521.82701999999995</v>
      </c>
      <c r="G22" s="2">
        <f t="shared" ref="G22:L22" si="6">G8*G23</f>
        <v>545.30923590000009</v>
      </c>
      <c r="H22" s="2">
        <f t="shared" si="6"/>
        <v>569.84815151550004</v>
      </c>
      <c r="I22" s="2">
        <f t="shared" si="6"/>
        <v>595.49131833369756</v>
      </c>
      <c r="J22" s="2">
        <f t="shared" si="6"/>
        <v>622.288427658714</v>
      </c>
      <c r="K22" s="2">
        <f t="shared" si="6"/>
        <v>650.29140690335612</v>
      </c>
      <c r="L22" s="2">
        <f t="shared" si="6"/>
        <v>679.55452021400708</v>
      </c>
    </row>
    <row r="23" spans="2:20" s="17" customFormat="1">
      <c r="B23" s="10" t="s">
        <v>7</v>
      </c>
      <c r="C23" s="16">
        <f>C22/C8</f>
        <v>1.0613139012450545E-2</v>
      </c>
      <c r="D23" s="16">
        <f>D22/D8</f>
        <v>1.0803055052757053E-2</v>
      </c>
      <c r="E23" s="16">
        <f>E22/E8</f>
        <v>1.2126018311585322E-2</v>
      </c>
      <c r="F23" s="24">
        <v>1.2E-2</v>
      </c>
      <c r="G23" s="24">
        <v>1.2E-2</v>
      </c>
      <c r="H23" s="24">
        <v>1.2E-2</v>
      </c>
      <c r="I23" s="24">
        <v>1.2E-2</v>
      </c>
      <c r="J23" s="24">
        <v>1.2E-2</v>
      </c>
      <c r="K23" s="24">
        <v>1.2E-2</v>
      </c>
      <c r="L23" s="24">
        <v>1.2E-2</v>
      </c>
      <c r="Q23" s="23"/>
      <c r="R23" s="23"/>
      <c r="S23" s="23"/>
    </row>
    <row r="24" spans="2:20" ht="6" customHeight="1">
      <c r="B24" s="13"/>
    </row>
    <row r="25" spans="2:20">
      <c r="B25" s="18" t="s">
        <v>19</v>
      </c>
      <c r="C25" s="9">
        <v>1748</v>
      </c>
      <c r="D25" s="9">
        <v>1762</v>
      </c>
      <c r="E25" s="2">
        <v>1500</v>
      </c>
      <c r="F25" s="2">
        <f>F8*F26</f>
        <v>1565.4810599999998</v>
      </c>
      <c r="G25" s="2">
        <f t="shared" ref="G25:L25" si="7">G8*G26</f>
        <v>1635.9277076999999</v>
      </c>
      <c r="H25" s="2">
        <f t="shared" si="7"/>
        <v>1709.5444545465</v>
      </c>
      <c r="I25" s="2">
        <f t="shared" si="7"/>
        <v>1786.4739550010925</v>
      </c>
      <c r="J25" s="2">
        <f t="shared" si="7"/>
        <v>1866.8652829761418</v>
      </c>
      <c r="K25" s="2">
        <f t="shared" si="7"/>
        <v>1950.8742207100681</v>
      </c>
      <c r="L25" s="2">
        <f t="shared" si="7"/>
        <v>2038.6635606420211</v>
      </c>
    </row>
    <row r="26" spans="2:20" s="17" customFormat="1">
      <c r="B26" s="10" t="s">
        <v>7</v>
      </c>
      <c r="C26" s="16">
        <f>C25/C8</f>
        <v>3.9072803272459038E-2</v>
      </c>
      <c r="D26" s="16">
        <f>D25/D8</f>
        <v>3.8894530042823713E-2</v>
      </c>
      <c r="E26" s="16">
        <f>E25/E8</f>
        <v>3.6046427799005118E-2</v>
      </c>
      <c r="F26" s="24">
        <v>3.5999999999999997E-2</v>
      </c>
      <c r="G26" s="24">
        <v>3.5999999999999997E-2</v>
      </c>
      <c r="H26" s="24">
        <v>3.5999999999999997E-2</v>
      </c>
      <c r="I26" s="24">
        <v>3.5999999999999997E-2</v>
      </c>
      <c r="J26" s="24">
        <v>3.5999999999999997E-2</v>
      </c>
      <c r="K26" s="24">
        <v>3.5999999999999997E-2</v>
      </c>
      <c r="L26" s="24">
        <v>3.5999999999999997E-2</v>
      </c>
    </row>
    <row r="27" spans="2:20" ht="6" customHeight="1">
      <c r="B27" s="13"/>
      <c r="C27" s="19" t="s">
        <v>17</v>
      </c>
      <c r="D27" s="19" t="s">
        <v>17</v>
      </c>
      <c r="E27" s="19" t="s">
        <v>17</v>
      </c>
      <c r="F27" s="19" t="s">
        <v>17</v>
      </c>
      <c r="G27" s="19" t="s">
        <v>17</v>
      </c>
      <c r="H27" s="19" t="s">
        <v>17</v>
      </c>
      <c r="I27" s="19" t="s">
        <v>17</v>
      </c>
      <c r="J27" s="19" t="s">
        <v>17</v>
      </c>
      <c r="K27" s="19" t="s">
        <v>17</v>
      </c>
      <c r="L27" s="19" t="s">
        <v>17</v>
      </c>
    </row>
    <row r="28" spans="2:20">
      <c r="B28" s="9" t="s">
        <v>14</v>
      </c>
      <c r="C28" s="410">
        <f>SUM(C25,C22)</f>
        <v>2222.8000000000002</v>
      </c>
      <c r="D28" s="410">
        <f>SUM(D25,D22)</f>
        <v>2251.4</v>
      </c>
      <c r="E28" s="22">
        <f>SUM(E25,E22)</f>
        <v>2004.6</v>
      </c>
      <c r="F28" s="2">
        <f>SUM(F22,F25)</f>
        <v>2087.3080799999998</v>
      </c>
      <c r="G28" s="2">
        <f t="shared" ref="G28:L28" si="8">SUM(G22,G25)</f>
        <v>2181.2369435999999</v>
      </c>
      <c r="H28" s="2">
        <f t="shared" si="8"/>
        <v>2279.3926060620001</v>
      </c>
      <c r="I28" s="2">
        <f t="shared" si="8"/>
        <v>2381.9652733347903</v>
      </c>
      <c r="J28" s="2">
        <f t="shared" si="8"/>
        <v>2489.153710634856</v>
      </c>
      <c r="K28" s="2">
        <f t="shared" si="8"/>
        <v>2601.1656276134245</v>
      </c>
      <c r="L28" s="2">
        <f t="shared" si="8"/>
        <v>2718.2180808560283</v>
      </c>
    </row>
    <row r="29" spans="2:20" s="17" customFormat="1">
      <c r="B29" s="10" t="s">
        <v>7</v>
      </c>
      <c r="C29" s="16">
        <f>C28/C8</f>
        <v>4.9685942284909586E-2</v>
      </c>
      <c r="D29" s="16">
        <f>D28/D8</f>
        <v>4.9697585095580768E-2</v>
      </c>
      <c r="E29" s="16">
        <f>E28/E8</f>
        <v>4.817244611059044E-2</v>
      </c>
      <c r="F29" s="23">
        <f>F28/F8</f>
        <v>4.7999999999999994E-2</v>
      </c>
      <c r="G29" s="23">
        <f t="shared" ref="G29:L29" si="9">G28/G8</f>
        <v>4.7999999999999994E-2</v>
      </c>
      <c r="H29" s="23">
        <f t="shared" si="9"/>
        <v>4.8000000000000001E-2</v>
      </c>
      <c r="I29" s="23">
        <f t="shared" si="9"/>
        <v>4.8000000000000001E-2</v>
      </c>
      <c r="J29" s="23">
        <f t="shared" si="9"/>
        <v>4.8000000000000001E-2</v>
      </c>
      <c r="K29" s="23">
        <f t="shared" si="9"/>
        <v>4.8000000000000001E-2</v>
      </c>
      <c r="L29" s="23">
        <f t="shared" si="9"/>
        <v>4.7999999999999994E-2</v>
      </c>
    </row>
    <row r="30" spans="2:20" ht="6" customHeight="1">
      <c r="B30" s="13"/>
    </row>
    <row r="31" spans="2:20" ht="6" customHeight="1">
      <c r="B31" s="13"/>
    </row>
    <row r="32" spans="2:20">
      <c r="B32" s="9" t="s">
        <v>10</v>
      </c>
      <c r="C32" s="410">
        <f>C8-SUM(C12,C28)</f>
        <v>19061.2</v>
      </c>
      <c r="D32" s="410">
        <f t="shared" ref="D32:L32" si="10">D8-SUM(D12,D28)</f>
        <v>18211.599999999999</v>
      </c>
      <c r="E32" s="22">
        <f t="shared" si="10"/>
        <v>15605.400000000001</v>
      </c>
      <c r="F32" s="22">
        <f t="shared" si="10"/>
        <v>18350.916870000001</v>
      </c>
      <c r="G32" s="22">
        <f t="shared" si="10"/>
        <v>19176.70812915</v>
      </c>
      <c r="H32" s="22">
        <f t="shared" si="10"/>
        <v>20039.659994961752</v>
      </c>
      <c r="I32" s="22">
        <f t="shared" si="10"/>
        <v>20941.44469473503</v>
      </c>
      <c r="J32" s="22">
        <f t="shared" si="10"/>
        <v>21883.809705998108</v>
      </c>
      <c r="K32" s="22">
        <f t="shared" si="10"/>
        <v>22868.581142768024</v>
      </c>
      <c r="L32" s="22">
        <f t="shared" si="10"/>
        <v>23897.667294192583</v>
      </c>
    </row>
    <row r="33" spans="2:12" s="17" customFormat="1">
      <c r="B33" s="10" t="s">
        <v>11</v>
      </c>
      <c r="C33" s="16">
        <f>C32/C8</f>
        <v>0.42607237856807567</v>
      </c>
      <c r="D33" s="16">
        <f>D32/D8</f>
        <v>0.40200432651980039</v>
      </c>
      <c r="E33" s="16">
        <f>E32/E8</f>
        <v>0.3750126162497297</v>
      </c>
      <c r="F33" s="16">
        <f t="shared" ref="F33:L33" si="11">F32/F8</f>
        <v>0.42200000000000004</v>
      </c>
      <c r="G33" s="16">
        <f t="shared" si="11"/>
        <v>0.42199999999999999</v>
      </c>
      <c r="H33" s="16">
        <f t="shared" si="11"/>
        <v>0.42200000000000004</v>
      </c>
      <c r="I33" s="16">
        <f t="shared" si="11"/>
        <v>0.42199999999999999</v>
      </c>
      <c r="J33" s="16">
        <f t="shared" si="11"/>
        <v>0.42200000000000004</v>
      </c>
      <c r="K33" s="16">
        <f t="shared" si="11"/>
        <v>0.42199999999999999</v>
      </c>
      <c r="L33" s="16">
        <f t="shared" si="11"/>
        <v>0.42199999999999999</v>
      </c>
    </row>
    <row r="34" spans="2:12" s="17" customFormat="1">
      <c r="B34" s="10" t="s">
        <v>4</v>
      </c>
      <c r="C34" s="16"/>
      <c r="D34" s="16">
        <f>D32/C32-1</f>
        <v>-4.4572220007135011E-2</v>
      </c>
      <c r="E34" s="16">
        <f>E32/D32-1</f>
        <v>-0.1431065914032813</v>
      </c>
      <c r="F34" s="16">
        <f t="shared" ref="F34:L34" si="12">F32/E32-1</f>
        <v>0.1759337710023452</v>
      </c>
      <c r="G34" s="16">
        <f t="shared" si="12"/>
        <v>4.4999999999999929E-2</v>
      </c>
      <c r="H34" s="16">
        <f t="shared" si="12"/>
        <v>4.5000000000000151E-2</v>
      </c>
      <c r="I34" s="16">
        <f t="shared" si="12"/>
        <v>4.4999999999999929E-2</v>
      </c>
      <c r="J34" s="16">
        <f t="shared" si="12"/>
        <v>4.5000000000000151E-2</v>
      </c>
      <c r="K34" s="16">
        <f t="shared" si="12"/>
        <v>4.4999999999999929E-2</v>
      </c>
      <c r="L34" s="16">
        <f t="shared" si="12"/>
        <v>4.4999999999999929E-2</v>
      </c>
    </row>
    <row r="35" spans="2:12" ht="6" customHeight="1">
      <c r="B35" s="9"/>
    </row>
    <row r="36" spans="2:12">
      <c r="B36" s="9" t="s">
        <v>12</v>
      </c>
      <c r="C36" s="410">
        <f>C32-C15</f>
        <v>15785.400000000001</v>
      </c>
      <c r="D36" s="410">
        <f>D32-D15</f>
        <v>14934.399999999998</v>
      </c>
      <c r="E36" s="22">
        <f>E32-E15</f>
        <v>12545.400000000001</v>
      </c>
      <c r="F36" s="22">
        <f t="shared" ref="F36:L36" si="13">F32-F15</f>
        <v>15176.469165000002</v>
      </c>
      <c r="G36" s="22">
        <f t="shared" si="13"/>
        <v>15859.410277425</v>
      </c>
      <c r="H36" s="22">
        <f t="shared" si="13"/>
        <v>16573.083739909125</v>
      </c>
      <c r="I36" s="22">
        <f t="shared" si="13"/>
        <v>17318.872508205037</v>
      </c>
      <c r="J36" s="22">
        <f t="shared" si="13"/>
        <v>18098.221771074266</v>
      </c>
      <c r="K36" s="22">
        <f t="shared" si="13"/>
        <v>18912.641750772607</v>
      </c>
      <c r="L36" s="22">
        <f t="shared" si="13"/>
        <v>19763.710629557372</v>
      </c>
    </row>
    <row r="37" spans="2:12" s="17" customFormat="1">
      <c r="B37" s="10" t="s">
        <v>11</v>
      </c>
      <c r="C37" s="16">
        <f>C36/C8</f>
        <v>0.3528488722980978</v>
      </c>
      <c r="D37" s="16">
        <f>D36/D8</f>
        <v>0.32966314952982201</v>
      </c>
      <c r="E37" s="16">
        <f>E36/E8</f>
        <v>0.30147790353975923</v>
      </c>
      <c r="F37" s="16">
        <f t="shared" ref="F37:L37" si="14">F36/F8</f>
        <v>0.34900000000000003</v>
      </c>
      <c r="G37" s="16">
        <f t="shared" si="14"/>
        <v>0.34899999999999998</v>
      </c>
      <c r="H37" s="16">
        <f t="shared" si="14"/>
        <v>0.34899999999999998</v>
      </c>
      <c r="I37" s="16">
        <f t="shared" si="14"/>
        <v>0.34900000000000003</v>
      </c>
      <c r="J37" s="16">
        <f t="shared" si="14"/>
        <v>0.34900000000000003</v>
      </c>
      <c r="K37" s="16">
        <f t="shared" si="14"/>
        <v>0.34900000000000003</v>
      </c>
      <c r="L37" s="16">
        <f t="shared" si="14"/>
        <v>0.34899999999999998</v>
      </c>
    </row>
    <row r="38" spans="2:12" ht="6" customHeight="1">
      <c r="B38" s="9"/>
    </row>
    <row r="39" spans="2:12">
      <c r="B39" s="9" t="s">
        <v>18</v>
      </c>
      <c r="C39" s="9">
        <v>5460.2</v>
      </c>
      <c r="D39" s="9">
        <v>5636.8</v>
      </c>
      <c r="E39" s="2">
        <v>5889.2</v>
      </c>
      <c r="F39" s="2">
        <v>6500</v>
      </c>
      <c r="G39" s="2">
        <f t="shared" ref="G39:L39" si="15">G8*G40</f>
        <v>6816.3654487499998</v>
      </c>
      <c r="H39" s="2">
        <f t="shared" si="15"/>
        <v>7123.1018939437499</v>
      </c>
      <c r="I39" s="2">
        <f t="shared" si="15"/>
        <v>7443.6414791712186</v>
      </c>
      <c r="J39" s="2">
        <f t="shared" si="15"/>
        <v>7778.605345733924</v>
      </c>
      <c r="K39" s="2">
        <f t="shared" si="15"/>
        <v>8128.6425862919514</v>
      </c>
      <c r="L39" s="2">
        <f t="shared" si="15"/>
        <v>8494.4315026750883</v>
      </c>
    </row>
    <row r="40" spans="2:12" s="17" customFormat="1">
      <c r="B40" s="10" t="s">
        <v>13</v>
      </c>
      <c r="C40" s="16">
        <f>C39/C8</f>
        <v>0.12205109864318126</v>
      </c>
      <c r="D40" s="16">
        <f>D39/D8</f>
        <v>0.12442717760805262</v>
      </c>
      <c r="E40" s="16">
        <f>E39/E8</f>
        <v>0.14152308172926728</v>
      </c>
      <c r="F40" s="23">
        <v>0.15</v>
      </c>
      <c r="G40" s="23">
        <v>0.15</v>
      </c>
      <c r="H40" s="23">
        <v>0.15</v>
      </c>
      <c r="I40" s="23">
        <v>0.15</v>
      </c>
      <c r="J40" s="23">
        <v>0.15</v>
      </c>
      <c r="K40" s="23">
        <v>0.15</v>
      </c>
      <c r="L40" s="23">
        <v>0.15</v>
      </c>
    </row>
    <row r="41" spans="2:12" s="17" customFormat="1">
      <c r="B41" s="10"/>
      <c r="C41" s="16"/>
      <c r="D41" s="16"/>
      <c r="E41" s="16"/>
    </row>
    <row r="42" spans="2:12" s="17" customFormat="1">
      <c r="B42" s="10"/>
      <c r="C42" s="16"/>
      <c r="D42" s="16"/>
      <c r="E42" s="16"/>
    </row>
    <row r="43" spans="2:12" s="17" customFormat="1">
      <c r="B43" s="10"/>
      <c r="C43" s="16"/>
      <c r="D43" s="16"/>
      <c r="E43" s="16"/>
    </row>
    <row r="44" spans="2:12" ht="17.5">
      <c r="B44" s="7" t="s">
        <v>20</v>
      </c>
      <c r="C44" s="8"/>
      <c r="D44" s="8"/>
      <c r="E44" s="8"/>
      <c r="F44" s="8"/>
      <c r="G44" s="8"/>
      <c r="H44" s="8"/>
      <c r="I44" s="8"/>
      <c r="J44" s="8"/>
    </row>
    <row r="46" spans="2:12" ht="16">
      <c r="B46"/>
      <c r="C46"/>
      <c r="D46"/>
      <c r="E46" s="25" t="s">
        <v>0</v>
      </c>
      <c r="F46" s="5" t="s">
        <v>1</v>
      </c>
      <c r="G46" s="5"/>
      <c r="H46" s="5"/>
      <c r="I46" s="5"/>
      <c r="J46" s="5"/>
    </row>
    <row r="47" spans="2:12">
      <c r="B47"/>
      <c r="C47"/>
      <c r="D47"/>
      <c r="E47" s="4">
        <f t="shared" ref="E47:L47" si="16">E6</f>
        <v>2023</v>
      </c>
      <c r="F47" s="4">
        <f t="shared" si="16"/>
        <v>2024</v>
      </c>
      <c r="G47" s="4">
        <f t="shared" si="16"/>
        <v>2025</v>
      </c>
      <c r="H47" s="4">
        <f t="shared" si="16"/>
        <v>2026</v>
      </c>
      <c r="I47" s="4">
        <f t="shared" si="16"/>
        <v>2027</v>
      </c>
      <c r="J47" s="4">
        <f t="shared" si="16"/>
        <v>2028</v>
      </c>
      <c r="K47" s="4">
        <f t="shared" si="16"/>
        <v>2029</v>
      </c>
      <c r="L47" s="4">
        <f t="shared" si="16"/>
        <v>2030</v>
      </c>
    </row>
    <row r="49" spans="2:22">
      <c r="B49" s="9" t="s">
        <v>3</v>
      </c>
      <c r="E49" s="22">
        <f t="shared" ref="E49:J49" si="17">E8</f>
        <v>41613</v>
      </c>
      <c r="F49" s="22">
        <f t="shared" si="17"/>
        <v>43485.584999999999</v>
      </c>
      <c r="G49" s="22">
        <f t="shared" si="17"/>
        <v>45442.436325000002</v>
      </c>
      <c r="H49" s="22">
        <f t="shared" si="17"/>
        <v>47487.345959625003</v>
      </c>
      <c r="I49" s="22">
        <f t="shared" si="17"/>
        <v>49624.276527808128</v>
      </c>
      <c r="J49" s="22">
        <f t="shared" si="17"/>
        <v>51857.368971559496</v>
      </c>
      <c r="K49" s="22">
        <f>K8</f>
        <v>54190.950575279676</v>
      </c>
      <c r="L49" s="22">
        <f>L8</f>
        <v>56629.54335116726</v>
      </c>
    </row>
    <row r="50" spans="2:22">
      <c r="B50" s="9" t="s">
        <v>21</v>
      </c>
      <c r="E50" s="22">
        <f t="shared" ref="E50:J50" si="18">-E18</f>
        <v>-27063</v>
      </c>
      <c r="F50" s="22">
        <f t="shared" si="18"/>
        <v>-26221.807754999998</v>
      </c>
      <c r="G50" s="22">
        <f t="shared" si="18"/>
        <v>-27401.789103975003</v>
      </c>
      <c r="H50" s="22">
        <f t="shared" si="18"/>
        <v>-28634.869613653878</v>
      </c>
      <c r="I50" s="22">
        <f t="shared" si="18"/>
        <v>-29923.438746268301</v>
      </c>
      <c r="J50" s="22">
        <f t="shared" si="18"/>
        <v>-31269.993489850374</v>
      </c>
      <c r="K50" s="22">
        <f>-K18</f>
        <v>-32677.143196893645</v>
      </c>
      <c r="L50" s="22">
        <f>-L18</f>
        <v>-34147.614640753854</v>
      </c>
    </row>
    <row r="51" spans="2:22" ht="14.5">
      <c r="B51" s="9"/>
      <c r="E51" s="26" t="s">
        <v>17</v>
      </c>
      <c r="F51" s="26" t="s">
        <v>17</v>
      </c>
      <c r="G51" s="26" t="s">
        <v>17</v>
      </c>
      <c r="H51" s="26" t="s">
        <v>17</v>
      </c>
      <c r="I51" s="26" t="s">
        <v>17</v>
      </c>
      <c r="J51" s="26" t="s">
        <v>17</v>
      </c>
      <c r="K51" s="26" t="s">
        <v>17</v>
      </c>
      <c r="L51" s="26" t="s">
        <v>17</v>
      </c>
    </row>
    <row r="52" spans="2:22">
      <c r="B52" s="9" t="s">
        <v>22</v>
      </c>
      <c r="E52" s="22">
        <f t="shared" ref="E52:J52" si="19">SUM(E49:E51)</f>
        <v>14550</v>
      </c>
      <c r="F52" s="22">
        <f t="shared" si="19"/>
        <v>17263.777245000001</v>
      </c>
      <c r="G52" s="22">
        <f t="shared" si="19"/>
        <v>18040.647221024999</v>
      </c>
      <c r="H52" s="22">
        <f t="shared" si="19"/>
        <v>18852.476345971125</v>
      </c>
      <c r="I52" s="22">
        <f t="shared" si="19"/>
        <v>19700.837781539827</v>
      </c>
      <c r="J52" s="22">
        <f t="shared" si="19"/>
        <v>20587.375481709121</v>
      </c>
      <c r="K52" s="22">
        <f>SUM(K49:K51)</f>
        <v>21513.807378386031</v>
      </c>
      <c r="L52" s="22">
        <f>SUM(L49:L51)</f>
        <v>22481.928710413405</v>
      </c>
    </row>
    <row r="53" spans="2:22">
      <c r="B53" s="9"/>
      <c r="F53" s="13"/>
      <c r="G53" s="13"/>
      <c r="H53" s="13"/>
      <c r="I53" s="13"/>
      <c r="J53" s="13"/>
      <c r="K53" s="13"/>
      <c r="L53" s="13"/>
    </row>
    <row r="54" spans="2:22">
      <c r="B54" s="9" t="s">
        <v>23</v>
      </c>
      <c r="E54" s="22">
        <f t="shared" ref="E54:J54" si="20">-E28</f>
        <v>-2004.6</v>
      </c>
      <c r="F54" s="22">
        <f t="shared" si="20"/>
        <v>-2087.3080799999998</v>
      </c>
      <c r="G54" s="22">
        <f t="shared" si="20"/>
        <v>-2181.2369435999999</v>
      </c>
      <c r="H54" s="22">
        <f t="shared" si="20"/>
        <v>-2279.3926060620001</v>
      </c>
      <c r="I54" s="22">
        <f t="shared" si="20"/>
        <v>-2381.9652733347903</v>
      </c>
      <c r="J54" s="22">
        <f t="shared" si="20"/>
        <v>-2489.153710634856</v>
      </c>
      <c r="K54" s="22">
        <f>-K28</f>
        <v>-2601.1656276134245</v>
      </c>
      <c r="L54" s="22">
        <f>-L28</f>
        <v>-2718.2180808560283</v>
      </c>
    </row>
    <row r="55" spans="2:22" ht="14.5">
      <c r="B55" s="9"/>
      <c r="E55" s="26" t="s">
        <v>17</v>
      </c>
      <c r="F55" s="26" t="s">
        <v>17</v>
      </c>
      <c r="G55" s="26" t="s">
        <v>17</v>
      </c>
      <c r="H55" s="26" t="s">
        <v>17</v>
      </c>
      <c r="I55" s="26" t="s">
        <v>17</v>
      </c>
      <c r="J55" s="26" t="s">
        <v>17</v>
      </c>
      <c r="K55" s="26" t="s">
        <v>17</v>
      </c>
      <c r="L55" s="26" t="s">
        <v>17</v>
      </c>
    </row>
    <row r="56" spans="2:22">
      <c r="B56" s="9" t="s">
        <v>24</v>
      </c>
      <c r="E56" s="22">
        <f t="shared" ref="E56:J56" si="21">SUM(E52:E54)</f>
        <v>12545.4</v>
      </c>
      <c r="F56" s="22">
        <f t="shared" si="21"/>
        <v>15176.469165000002</v>
      </c>
      <c r="G56" s="22">
        <f t="shared" si="21"/>
        <v>15859.410277424999</v>
      </c>
      <c r="H56" s="22">
        <f t="shared" si="21"/>
        <v>16573.083739909125</v>
      </c>
      <c r="I56" s="22">
        <f t="shared" si="21"/>
        <v>17318.872508205037</v>
      </c>
      <c r="J56" s="22">
        <f t="shared" si="21"/>
        <v>18098.221771074266</v>
      </c>
      <c r="K56" s="22">
        <f>SUM(K52:K54)</f>
        <v>18912.641750772607</v>
      </c>
      <c r="L56" s="22">
        <f>SUM(L52:L54)</f>
        <v>19763.710629557376</v>
      </c>
      <c r="Q56" s="34"/>
      <c r="R56" s="34"/>
      <c r="S56" s="34"/>
      <c r="T56" s="34"/>
      <c r="U56" s="34"/>
      <c r="V56" s="34"/>
    </row>
    <row r="57" spans="2:22">
      <c r="B57" s="9"/>
      <c r="Q57" s="34"/>
      <c r="R57" s="34"/>
      <c r="S57" s="34"/>
      <c r="T57" s="34"/>
      <c r="U57" s="34"/>
      <c r="V57" s="34"/>
    </row>
    <row r="58" spans="2:22">
      <c r="B58" s="12" t="s">
        <v>25</v>
      </c>
      <c r="D58" s="27" t="s">
        <v>26</v>
      </c>
    </row>
    <row r="59" spans="2:22">
      <c r="B59" s="9" t="s">
        <v>27</v>
      </c>
      <c r="D59" s="30">
        <v>5.8000000000000003E-2</v>
      </c>
      <c r="F59" s="22">
        <f>6963/5</f>
        <v>1392.6</v>
      </c>
      <c r="G59" s="22">
        <f>5825/5</f>
        <v>1165</v>
      </c>
      <c r="H59" s="22">
        <f>6276/5</f>
        <v>1255.2</v>
      </c>
      <c r="I59" s="22">
        <f>11256/5</f>
        <v>2251.1999999999998</v>
      </c>
      <c r="J59" s="22">
        <f>7767/5</f>
        <v>1553.4</v>
      </c>
      <c r="K59" s="22">
        <f>7767/5</f>
        <v>1553.4</v>
      </c>
      <c r="L59" s="22">
        <f>7767/5</f>
        <v>1553.4</v>
      </c>
    </row>
    <row r="60" spans="2:22">
      <c r="B60" s="9"/>
    </row>
    <row r="61" spans="2:22">
      <c r="B61" s="9" t="s">
        <v>28</v>
      </c>
      <c r="D61" s="30">
        <v>0.04</v>
      </c>
      <c r="F61" s="29">
        <f t="shared" ref="F61:L61" si="22">-$D61*E90</f>
        <v>-93.9696</v>
      </c>
      <c r="G61" s="29">
        <f t="shared" si="22"/>
        <v>-91.04876717341935</v>
      </c>
      <c r="H61" s="29">
        <f t="shared" si="22"/>
        <v>-95.145961696223239</v>
      </c>
      <c r="I61" s="29">
        <f t="shared" si="22"/>
        <v>-99.427529972553273</v>
      </c>
      <c r="J61" s="29">
        <f t="shared" si="22"/>
        <v>-103.90176882131817</v>
      </c>
      <c r="K61" s="29">
        <f t="shared" si="22"/>
        <v>-108.5773484182775</v>
      </c>
      <c r="L61" s="29">
        <f t="shared" si="22"/>
        <v>-113.46332909709997</v>
      </c>
    </row>
    <row r="62" spans="2:22">
      <c r="B62" s="9" t="s">
        <v>321</v>
      </c>
      <c r="D62" s="349">
        <v>7</v>
      </c>
      <c r="F62" s="29">
        <f t="shared" ref="F62:L62" si="23">$E$145 /$D$62</f>
        <v>17.09714285714286</v>
      </c>
      <c r="G62" s="29">
        <f t="shared" si="23"/>
        <v>17.09714285714286</v>
      </c>
      <c r="H62" s="29">
        <f t="shared" si="23"/>
        <v>17.09714285714286</v>
      </c>
      <c r="I62" s="29">
        <f t="shared" si="23"/>
        <v>17.09714285714286</v>
      </c>
      <c r="J62" s="29">
        <f t="shared" si="23"/>
        <v>17.09714285714286</v>
      </c>
      <c r="K62" s="29">
        <f t="shared" si="23"/>
        <v>17.09714285714286</v>
      </c>
      <c r="L62" s="29">
        <f t="shared" si="23"/>
        <v>17.09714285714286</v>
      </c>
    </row>
    <row r="63" spans="2:22" ht="14.5">
      <c r="B63" s="9"/>
      <c r="D63" s="349"/>
      <c r="F63" s="26"/>
      <c r="G63" s="26" t="s">
        <v>17</v>
      </c>
      <c r="H63" s="26" t="s">
        <v>17</v>
      </c>
      <c r="I63" s="26" t="s">
        <v>17</v>
      </c>
      <c r="J63" s="26" t="s">
        <v>17</v>
      </c>
      <c r="K63" s="26" t="s">
        <v>17</v>
      </c>
      <c r="L63" s="26" t="s">
        <v>17</v>
      </c>
    </row>
    <row r="64" spans="2:22" ht="14.5">
      <c r="B64" s="9"/>
      <c r="D64" s="349"/>
      <c r="F64" s="26"/>
      <c r="G64" s="26"/>
      <c r="H64" s="26"/>
      <c r="I64" s="26"/>
      <c r="J64" s="26"/>
      <c r="K64" s="26"/>
      <c r="L64" s="26"/>
    </row>
    <row r="65" spans="2:14">
      <c r="B65" s="9" t="s">
        <v>29</v>
      </c>
      <c r="F65" s="22">
        <f t="shared" ref="F65:L65" si="24">F56-SUM(F59:F63)</f>
        <v>13860.741622142859</v>
      </c>
      <c r="G65" s="22">
        <f t="shared" si="24"/>
        <v>14768.361901741275</v>
      </c>
      <c r="H65" s="22">
        <f t="shared" si="24"/>
        <v>15395.932558748205</v>
      </c>
      <c r="I65" s="22">
        <f t="shared" si="24"/>
        <v>15150.002895320447</v>
      </c>
      <c r="J65" s="22">
        <f t="shared" si="24"/>
        <v>16631.626397038443</v>
      </c>
      <c r="K65" s="22">
        <f t="shared" si="24"/>
        <v>17450.721956333742</v>
      </c>
      <c r="L65" s="22">
        <f t="shared" si="24"/>
        <v>18306.676815797335</v>
      </c>
    </row>
    <row r="66" spans="2:14">
      <c r="B66" s="9" t="s">
        <v>30</v>
      </c>
      <c r="D66" s="28">
        <v>0.34</v>
      </c>
      <c r="F66" s="22">
        <f t="shared" ref="F66:L66" si="25">-F65*$D$66</f>
        <v>-4712.6521515285722</v>
      </c>
      <c r="G66" s="22">
        <f t="shared" si="25"/>
        <v>-5021.2430465920334</v>
      </c>
      <c r="H66" s="22">
        <f t="shared" si="25"/>
        <v>-5234.6170699743898</v>
      </c>
      <c r="I66" s="22">
        <f t="shared" si="25"/>
        <v>-5151.0009844089527</v>
      </c>
      <c r="J66" s="22">
        <f t="shared" si="25"/>
        <v>-5654.7529749930709</v>
      </c>
      <c r="K66" s="22">
        <f t="shared" si="25"/>
        <v>-5933.2454651534727</v>
      </c>
      <c r="L66" s="22">
        <f t="shared" si="25"/>
        <v>-6224.2701173710939</v>
      </c>
    </row>
    <row r="67" spans="2:14" ht="14.5">
      <c r="B67" s="13"/>
      <c r="F67" s="26" t="s">
        <v>17</v>
      </c>
      <c r="G67" s="26" t="s">
        <v>17</v>
      </c>
      <c r="H67" s="26" t="s">
        <v>17</v>
      </c>
      <c r="I67" s="26" t="s">
        <v>17</v>
      </c>
      <c r="J67" s="26" t="s">
        <v>17</v>
      </c>
      <c r="K67" s="26" t="s">
        <v>17</v>
      </c>
      <c r="L67" s="26" t="s">
        <v>17</v>
      </c>
    </row>
    <row r="68" spans="2:14">
      <c r="B68" s="9" t="s">
        <v>31</v>
      </c>
      <c r="F68" s="22">
        <f t="shared" ref="F68:L68" si="26">SUM(F65:F67)</f>
        <v>9148.0894706142863</v>
      </c>
      <c r="G68" s="22">
        <f t="shared" si="26"/>
        <v>9747.1188551492414</v>
      </c>
      <c r="H68" s="22">
        <f t="shared" si="26"/>
        <v>10161.315488773816</v>
      </c>
      <c r="I68" s="22">
        <f t="shared" si="26"/>
        <v>9999.0019109114946</v>
      </c>
      <c r="J68" s="22">
        <f t="shared" si="26"/>
        <v>10976.873422045372</v>
      </c>
      <c r="K68" s="22">
        <f t="shared" si="26"/>
        <v>11517.47649118027</v>
      </c>
      <c r="L68" s="22">
        <f t="shared" si="26"/>
        <v>12082.406698426241</v>
      </c>
    </row>
    <row r="69" spans="2:14">
      <c r="B69" s="9" t="s">
        <v>32</v>
      </c>
      <c r="F69" s="409">
        <v>4300</v>
      </c>
      <c r="G69" s="409">
        <v>4300</v>
      </c>
      <c r="H69" s="409">
        <v>4300</v>
      </c>
      <c r="I69" s="409">
        <v>4300</v>
      </c>
      <c r="J69" s="409">
        <v>4300</v>
      </c>
      <c r="K69" s="409">
        <v>4300</v>
      </c>
      <c r="L69" s="409">
        <v>4300</v>
      </c>
    </row>
    <row r="70" spans="2:14">
      <c r="B70" s="9" t="s">
        <v>33</v>
      </c>
      <c r="F70" s="31">
        <f t="shared" ref="F70:L70" si="27">F68/F69</f>
        <v>2.1274626675847177</v>
      </c>
      <c r="G70" s="31">
        <f t="shared" si="27"/>
        <v>2.2667718267788932</v>
      </c>
      <c r="H70" s="31">
        <f t="shared" si="27"/>
        <v>2.3630966252962362</v>
      </c>
      <c r="I70" s="31">
        <f t="shared" si="27"/>
        <v>2.3253492816073242</v>
      </c>
      <c r="J70" s="31">
        <f t="shared" si="27"/>
        <v>2.5527612609407839</v>
      </c>
      <c r="K70" s="31">
        <f t="shared" si="27"/>
        <v>2.6784829049256444</v>
      </c>
      <c r="L70" s="31">
        <f t="shared" si="27"/>
        <v>2.8098620228898232</v>
      </c>
    </row>
    <row r="71" spans="2:14">
      <c r="B71" s="13"/>
      <c r="F71" s="33"/>
    </row>
    <row r="72" spans="2:14">
      <c r="B72" s="32" t="s">
        <v>34</v>
      </c>
    </row>
    <row r="73" spans="2:14">
      <c r="B73" s="22" t="str">
        <f>"  "&amp;B56</f>
        <v xml:space="preserve">  EBIT</v>
      </c>
      <c r="F73" s="22">
        <f t="shared" ref="F73:L73" si="28">F56</f>
        <v>15176.469165000002</v>
      </c>
      <c r="G73" s="22">
        <f t="shared" si="28"/>
        <v>15859.410277424999</v>
      </c>
      <c r="H73" s="22">
        <f t="shared" si="28"/>
        <v>16573.083739909125</v>
      </c>
      <c r="I73" s="22">
        <f t="shared" si="28"/>
        <v>17318.872508205037</v>
      </c>
      <c r="J73" s="22">
        <f t="shared" si="28"/>
        <v>18098.221771074266</v>
      </c>
      <c r="K73" s="22">
        <f t="shared" si="28"/>
        <v>18912.641750772607</v>
      </c>
      <c r="L73" s="22">
        <f t="shared" si="28"/>
        <v>19763.710629557376</v>
      </c>
    </row>
    <row r="74" spans="2:14">
      <c r="B74" s="9" t="s">
        <v>36</v>
      </c>
      <c r="F74" s="22">
        <f t="shared" ref="F74:L74" si="29">F15</f>
        <v>3174.4477049999996</v>
      </c>
      <c r="G74" s="22">
        <f t="shared" si="29"/>
        <v>3317.2978517249999</v>
      </c>
      <c r="H74" s="22">
        <f t="shared" si="29"/>
        <v>3466.5762550526251</v>
      </c>
      <c r="I74" s="22">
        <f t="shared" si="29"/>
        <v>3622.5721865299929</v>
      </c>
      <c r="J74" s="22">
        <f t="shared" si="29"/>
        <v>3785.587934923843</v>
      </c>
      <c r="K74" s="22">
        <f t="shared" si="29"/>
        <v>3955.9393919954159</v>
      </c>
      <c r="L74" s="22">
        <f t="shared" si="29"/>
        <v>4133.9566646352096</v>
      </c>
    </row>
    <row r="75" spans="2:14" ht="14.5">
      <c r="B75" s="13"/>
      <c r="E75" s="26"/>
      <c r="F75" s="26" t="s">
        <v>17</v>
      </c>
      <c r="G75" s="26" t="s">
        <v>17</v>
      </c>
      <c r="H75" s="26" t="s">
        <v>17</v>
      </c>
      <c r="I75" s="26" t="s">
        <v>17</v>
      </c>
      <c r="J75" s="26" t="s">
        <v>17</v>
      </c>
      <c r="K75" s="26" t="s">
        <v>17</v>
      </c>
      <c r="L75" s="26" t="s">
        <v>17</v>
      </c>
    </row>
    <row r="76" spans="2:14">
      <c r="B76" s="9" t="s">
        <v>35</v>
      </c>
      <c r="F76" s="22">
        <f t="shared" ref="F76:L76" si="30">SUM(F73:F75)</f>
        <v>18350.916870000001</v>
      </c>
      <c r="G76" s="22">
        <f t="shared" si="30"/>
        <v>19176.70812915</v>
      </c>
      <c r="H76" s="22">
        <f t="shared" si="30"/>
        <v>20039.659994961752</v>
      </c>
      <c r="I76" s="22">
        <f t="shared" si="30"/>
        <v>20941.44469473503</v>
      </c>
      <c r="J76" s="22">
        <f t="shared" si="30"/>
        <v>21883.809705998108</v>
      </c>
      <c r="K76" s="22">
        <f t="shared" si="30"/>
        <v>22868.581142768024</v>
      </c>
      <c r="L76" s="22">
        <f t="shared" si="30"/>
        <v>23897.667294192586</v>
      </c>
    </row>
    <row r="79" spans="2:14">
      <c r="G79" s="59"/>
      <c r="H79" s="59"/>
      <c r="I79" s="59"/>
      <c r="J79" s="59"/>
      <c r="K79" s="59"/>
      <c r="L79" s="59"/>
      <c r="N79" s="174"/>
    </row>
    <row r="81" spans="2:12" ht="17.5">
      <c r="B81" s="455" t="s">
        <v>37</v>
      </c>
      <c r="C81" s="455"/>
      <c r="D81" s="455"/>
      <c r="E81" s="455"/>
      <c r="F81" s="455"/>
      <c r="G81" s="455"/>
      <c r="H81" s="455"/>
      <c r="I81" s="455"/>
      <c r="J81" s="455"/>
      <c r="K81" s="455"/>
      <c r="L81" s="455"/>
    </row>
    <row r="82" spans="2:12">
      <c r="G82" s="16"/>
      <c r="H82" s="16"/>
      <c r="I82" s="16"/>
      <c r="J82" s="16"/>
    </row>
    <row r="83" spans="2:12" ht="16">
      <c r="B83"/>
      <c r="C83" s="5"/>
      <c r="D83" s="6"/>
      <c r="E83" s="6" t="s">
        <v>38</v>
      </c>
      <c r="F83" s="5" t="s">
        <v>1</v>
      </c>
      <c r="G83" s="35"/>
      <c r="H83" s="35"/>
      <c r="I83" s="35"/>
      <c r="J83" s="35"/>
      <c r="K83" s="35"/>
      <c r="L83" s="35"/>
    </row>
    <row r="84" spans="2:12">
      <c r="B84" s="10"/>
      <c r="C84" s="16"/>
      <c r="D84" s="16"/>
      <c r="E84" s="4">
        <f t="shared" ref="E84:L84" si="31">E47</f>
        <v>2023</v>
      </c>
      <c r="F84" s="4">
        <f t="shared" si="31"/>
        <v>2024</v>
      </c>
      <c r="G84" s="4">
        <f t="shared" si="31"/>
        <v>2025</v>
      </c>
      <c r="H84" s="4">
        <f t="shared" si="31"/>
        <v>2026</v>
      </c>
      <c r="I84" s="4">
        <f t="shared" si="31"/>
        <v>2027</v>
      </c>
      <c r="J84" s="4">
        <f t="shared" si="31"/>
        <v>2028</v>
      </c>
      <c r="K84" s="4">
        <f t="shared" si="31"/>
        <v>2029</v>
      </c>
      <c r="L84" s="4">
        <f t="shared" si="31"/>
        <v>2030</v>
      </c>
    </row>
    <row r="85" spans="2:12">
      <c r="B85" s="10"/>
      <c r="C85" s="16"/>
      <c r="D85" s="16"/>
      <c r="E85" s="16"/>
      <c r="F85" s="16"/>
      <c r="G85" s="16"/>
      <c r="H85" s="16"/>
      <c r="I85" s="16"/>
      <c r="J85" s="16"/>
    </row>
    <row r="86" spans="2:12">
      <c r="B86" s="36" t="s">
        <v>39</v>
      </c>
      <c r="C86" s="16"/>
      <c r="D86" s="16"/>
      <c r="E86" s="58">
        <f>E49</f>
        <v>41613</v>
      </c>
      <c r="F86" s="58">
        <f t="shared" ref="F86:L86" si="32">F49</f>
        <v>43485.584999999999</v>
      </c>
      <c r="G86" s="58">
        <f t="shared" si="32"/>
        <v>45442.436325000002</v>
      </c>
      <c r="H86" s="58">
        <f t="shared" si="32"/>
        <v>47487.345959625003</v>
      </c>
      <c r="I86" s="58">
        <f t="shared" si="32"/>
        <v>49624.276527808128</v>
      </c>
      <c r="J86" s="58">
        <f t="shared" si="32"/>
        <v>51857.368971559496</v>
      </c>
      <c r="K86" s="58">
        <f t="shared" si="32"/>
        <v>54190.950575279676</v>
      </c>
      <c r="L86" s="58">
        <f t="shared" si="32"/>
        <v>56629.54335116726</v>
      </c>
    </row>
    <row r="87" spans="2:12">
      <c r="B87" s="36" t="s">
        <v>40</v>
      </c>
      <c r="C87" s="16"/>
      <c r="D87" s="16"/>
      <c r="E87" s="57">
        <f>E50</f>
        <v>-27063</v>
      </c>
      <c r="F87" s="57">
        <f t="shared" ref="F87:L87" si="33">F50</f>
        <v>-26221.807754999998</v>
      </c>
      <c r="G87" s="57">
        <f t="shared" si="33"/>
        <v>-27401.789103975003</v>
      </c>
      <c r="H87" s="57">
        <f t="shared" si="33"/>
        <v>-28634.869613653878</v>
      </c>
      <c r="I87" s="57">
        <f t="shared" si="33"/>
        <v>-29923.438746268301</v>
      </c>
      <c r="J87" s="57">
        <f t="shared" si="33"/>
        <v>-31269.993489850374</v>
      </c>
      <c r="K87" s="57">
        <f t="shared" si="33"/>
        <v>-32677.143196893645</v>
      </c>
      <c r="L87" s="57">
        <f t="shared" si="33"/>
        <v>-34147.614640753854</v>
      </c>
    </row>
    <row r="88" spans="2:12">
      <c r="B88" s="36"/>
      <c r="C88" s="16"/>
      <c r="D88" s="16"/>
      <c r="E88" s="37"/>
      <c r="F88" s="37"/>
      <c r="G88" s="37"/>
      <c r="H88" s="37"/>
      <c r="I88" s="37"/>
      <c r="J88" s="37"/>
    </row>
    <row r="89" spans="2:12">
      <c r="B89" s="36" t="s">
        <v>41</v>
      </c>
      <c r="C89" s="16"/>
      <c r="D89" s="16"/>
      <c r="E89" s="37"/>
      <c r="F89" s="37"/>
      <c r="G89" s="37"/>
      <c r="H89" s="37"/>
      <c r="I89" s="37"/>
      <c r="J89" s="37"/>
    </row>
    <row r="90" spans="2:12">
      <c r="B90" s="38" t="s">
        <v>42</v>
      </c>
      <c r="C90" s="39"/>
      <c r="D90" s="39"/>
      <c r="E90" s="37">
        <f>E126</f>
        <v>2349.2399999999998</v>
      </c>
      <c r="F90" s="37">
        <f>-F110*F87</f>
        <v>2276.2191793354837</v>
      </c>
      <c r="G90" s="37">
        <f t="shared" ref="G90:L90" si="34">-G110*G87</f>
        <v>2378.649042405581</v>
      </c>
      <c r="H90" s="37">
        <f t="shared" si="34"/>
        <v>2485.6882493138319</v>
      </c>
      <c r="I90" s="37">
        <f t="shared" si="34"/>
        <v>2597.5442205329541</v>
      </c>
      <c r="J90" s="37">
        <f t="shared" si="34"/>
        <v>2714.4337104569372</v>
      </c>
      <c r="K90" s="37">
        <f t="shared" si="34"/>
        <v>2836.5832274274994</v>
      </c>
      <c r="L90" s="37">
        <f t="shared" si="34"/>
        <v>2964.2294726617365</v>
      </c>
    </row>
    <row r="91" spans="2:12">
      <c r="B91" s="36" t="s">
        <v>43</v>
      </c>
      <c r="C91" s="16"/>
      <c r="D91" s="16"/>
      <c r="E91" s="37">
        <f>E131</f>
        <v>4063</v>
      </c>
      <c r="F91" s="37">
        <f>F111*F86</f>
        <v>4245.835</v>
      </c>
      <c r="G91" s="37">
        <f t="shared" ref="G91:L91" si="35">G111*G86</f>
        <v>4436.897575</v>
      </c>
      <c r="H91" s="37">
        <f t="shared" si="35"/>
        <v>4636.5579658750003</v>
      </c>
      <c r="I91" s="37">
        <f t="shared" si="35"/>
        <v>4845.2030743393752</v>
      </c>
      <c r="J91" s="37">
        <f t="shared" si="35"/>
        <v>5063.2372126846476</v>
      </c>
      <c r="K91" s="37">
        <f t="shared" si="35"/>
        <v>5291.0828872554566</v>
      </c>
      <c r="L91" s="37">
        <f t="shared" si="35"/>
        <v>5529.1816171819528</v>
      </c>
    </row>
    <row r="92" spans="2:12">
      <c r="B92" s="36" t="s">
        <v>44</v>
      </c>
      <c r="C92" s="16"/>
      <c r="D92" s="16"/>
      <c r="E92" s="37">
        <v>4536</v>
      </c>
      <c r="F92" s="37">
        <f>-F113*F87</f>
        <v>4395.0086825806447</v>
      </c>
      <c r="G92" s="37">
        <f t="shared" ref="G92:L92" si="36">-G113*G87</f>
        <v>4592.7840732967743</v>
      </c>
      <c r="H92" s="37">
        <f t="shared" si="36"/>
        <v>4799.4593565951291</v>
      </c>
      <c r="I92" s="37">
        <f t="shared" si="36"/>
        <v>5015.43502764191</v>
      </c>
      <c r="J92" s="37">
        <f t="shared" si="36"/>
        <v>5241.1296038857954</v>
      </c>
      <c r="K92" s="37">
        <f t="shared" si="36"/>
        <v>5476.9804360606577</v>
      </c>
      <c r="L92" s="37">
        <f t="shared" si="36"/>
        <v>5723.4445556833862</v>
      </c>
    </row>
    <row r="93" spans="2:12">
      <c r="B93" s="36" t="s">
        <v>45</v>
      </c>
      <c r="C93" s="16"/>
      <c r="D93" s="16"/>
      <c r="E93" s="37">
        <f>E133</f>
        <v>429</v>
      </c>
      <c r="F93" s="37">
        <f>-F115*F87</f>
        <v>415.66550370967741</v>
      </c>
      <c r="G93" s="37">
        <f t="shared" ref="G93:L93" si="37">-G115*G87</f>
        <v>434.37045137661295</v>
      </c>
      <c r="H93" s="37">
        <f t="shared" si="37"/>
        <v>453.91712168856054</v>
      </c>
      <c r="I93" s="37">
        <f t="shared" si="37"/>
        <v>474.34339216454572</v>
      </c>
      <c r="J93" s="37">
        <f t="shared" si="37"/>
        <v>495.68884481195028</v>
      </c>
      <c r="K93" s="37">
        <f t="shared" si="37"/>
        <v>517.99484282848812</v>
      </c>
      <c r="L93" s="37">
        <f t="shared" si="37"/>
        <v>541.30461075577</v>
      </c>
    </row>
    <row r="94" spans="2:12">
      <c r="B94" s="36" t="s">
        <v>90</v>
      </c>
      <c r="C94" s="16"/>
      <c r="D94" s="16"/>
      <c r="E94" s="37">
        <v>7577</v>
      </c>
      <c r="F94" s="37">
        <f>-F118*F87</f>
        <v>7341.4860643548382</v>
      </c>
      <c r="G94" s="37">
        <f t="shared" ref="G94:L94" si="38">-G118*G87</f>
        <v>7671.8529372508074</v>
      </c>
      <c r="H94" s="37">
        <f t="shared" si="38"/>
        <v>8017.0863194270942</v>
      </c>
      <c r="I94" s="37">
        <f t="shared" si="38"/>
        <v>8377.8552038013131</v>
      </c>
      <c r="J94" s="37">
        <f t="shared" si="38"/>
        <v>8754.8586879723716</v>
      </c>
      <c r="K94" s="37">
        <f t="shared" si="38"/>
        <v>9148.8273289311292</v>
      </c>
      <c r="L94" s="37">
        <f t="shared" si="38"/>
        <v>9560.5245587330301</v>
      </c>
    </row>
    <row r="95" spans="2:12" ht="14.5">
      <c r="B95" s="36"/>
      <c r="C95" s="16"/>
      <c r="D95" s="16"/>
      <c r="E95" s="40" t="s">
        <v>17</v>
      </c>
      <c r="F95" s="40" t="s">
        <v>17</v>
      </c>
      <c r="G95" s="40" t="s">
        <v>17</v>
      </c>
      <c r="H95" s="40" t="s">
        <v>17</v>
      </c>
      <c r="I95" s="40" t="s">
        <v>17</v>
      </c>
      <c r="J95" s="40" t="s">
        <v>17</v>
      </c>
      <c r="K95" s="40" t="s">
        <v>17</v>
      </c>
      <c r="L95" s="40" t="s">
        <v>17</v>
      </c>
    </row>
    <row r="96" spans="2:12">
      <c r="B96" s="36" t="s">
        <v>46</v>
      </c>
      <c r="C96" s="16"/>
      <c r="D96" s="16"/>
      <c r="E96" s="37">
        <f>E136</f>
        <v>18105</v>
      </c>
      <c r="F96" s="37">
        <f>SUM(F90:F94)</f>
        <v>18674.214429980646</v>
      </c>
      <c r="G96" s="37">
        <f t="shared" ref="G96:L96" si="39">SUM(G90:G94)</f>
        <v>19514.554079329777</v>
      </c>
      <c r="H96" s="37">
        <f t="shared" si="39"/>
        <v>20392.709012899617</v>
      </c>
      <c r="I96" s="37">
        <f t="shared" si="39"/>
        <v>21310.380918480099</v>
      </c>
      <c r="J96" s="37">
        <f t="shared" si="39"/>
        <v>22269.348059811702</v>
      </c>
      <c r="K96" s="37">
        <f t="shared" si="39"/>
        <v>23271.468722503232</v>
      </c>
      <c r="L96" s="37">
        <f t="shared" si="39"/>
        <v>24318.684815015873</v>
      </c>
    </row>
    <row r="97" spans="2:12">
      <c r="B97" s="36"/>
      <c r="C97" s="16"/>
      <c r="D97" s="16"/>
      <c r="E97" s="37"/>
      <c r="F97" s="37"/>
      <c r="G97" s="37"/>
      <c r="H97" s="37"/>
      <c r="I97" s="37"/>
      <c r="J97" s="37"/>
      <c r="K97" s="37"/>
      <c r="L97" s="37"/>
    </row>
    <row r="98" spans="2:12">
      <c r="B98" s="36" t="s">
        <v>47</v>
      </c>
      <c r="C98" s="16"/>
      <c r="D98" s="16"/>
      <c r="E98" s="37"/>
      <c r="F98" s="37"/>
      <c r="G98" s="37"/>
      <c r="H98" s="37"/>
      <c r="I98" s="37"/>
      <c r="J98" s="37"/>
      <c r="K98" s="37"/>
      <c r="L98" s="37"/>
    </row>
    <row r="99" spans="2:12">
      <c r="B99" s="36" t="s">
        <v>48</v>
      </c>
      <c r="C99" s="16"/>
      <c r="D99" s="16"/>
      <c r="E99" s="37">
        <f>E150</f>
        <v>4101</v>
      </c>
      <c r="F99" s="37">
        <f>-F116*F87</f>
        <v>3973.5296753225807</v>
      </c>
      <c r="G99" s="37">
        <f t="shared" ref="G99:L99" si="40">-G116*G87</f>
        <v>4152.3385107120976</v>
      </c>
      <c r="H99" s="37">
        <f t="shared" si="40"/>
        <v>4339.1937436941416</v>
      </c>
      <c r="I99" s="37">
        <f t="shared" si="40"/>
        <v>4534.4574621603779</v>
      </c>
      <c r="J99" s="37">
        <f t="shared" si="40"/>
        <v>4738.5080479575954</v>
      </c>
      <c r="K99" s="37">
        <f t="shared" si="40"/>
        <v>4951.7409101156873</v>
      </c>
      <c r="L99" s="37">
        <f t="shared" si="40"/>
        <v>5174.5692510708923</v>
      </c>
    </row>
    <row r="100" spans="2:12">
      <c r="B100" s="36" t="s">
        <v>49</v>
      </c>
      <c r="C100" s="16"/>
      <c r="D100" s="16"/>
      <c r="E100" s="37">
        <f>E151</f>
        <v>637</v>
      </c>
      <c r="F100" s="37">
        <f>-F117*F87</f>
        <v>617.20029338709674</v>
      </c>
      <c r="G100" s="37">
        <f t="shared" ref="G100:L100" si="41">-G117*G87</f>
        <v>644.97430658951623</v>
      </c>
      <c r="H100" s="37">
        <f t="shared" si="41"/>
        <v>673.99815038604447</v>
      </c>
      <c r="I100" s="37">
        <f t="shared" si="41"/>
        <v>704.32806715341633</v>
      </c>
      <c r="J100" s="37">
        <f t="shared" si="41"/>
        <v>736.02283017532011</v>
      </c>
      <c r="K100" s="37">
        <f t="shared" si="41"/>
        <v>769.1438575332096</v>
      </c>
      <c r="L100" s="37">
        <f t="shared" si="41"/>
        <v>803.75533112220398</v>
      </c>
    </row>
    <row r="101" spans="2:12">
      <c r="B101" s="36" t="s">
        <v>90</v>
      </c>
      <c r="C101" s="16"/>
      <c r="D101" s="16"/>
      <c r="E101" s="37">
        <f>E152</f>
        <v>9451.6</v>
      </c>
      <c r="F101" s="37">
        <f>-F119*F87</f>
        <v>9157.8183563225793</v>
      </c>
      <c r="G101" s="37">
        <f t="shared" ref="G101:L101" si="42">-G119*G87</f>
        <v>9569.9201823570984</v>
      </c>
      <c r="H101" s="37">
        <f t="shared" si="42"/>
        <v>10000.566590563167</v>
      </c>
      <c r="I101" s="37">
        <f t="shared" si="42"/>
        <v>10450.59208713851</v>
      </c>
      <c r="J101" s="37">
        <f t="shared" si="42"/>
        <v>10920.868731059742</v>
      </c>
      <c r="K101" s="37">
        <f t="shared" si="42"/>
        <v>11412.307823957432</v>
      </c>
      <c r="L101" s="37">
        <f t="shared" si="42"/>
        <v>11925.861676035514</v>
      </c>
    </row>
    <row r="102" spans="2:12" ht="14.5">
      <c r="C102" s="16"/>
      <c r="D102" s="16"/>
      <c r="E102" s="40" t="s">
        <v>17</v>
      </c>
      <c r="F102" s="40" t="s">
        <v>17</v>
      </c>
      <c r="G102" s="40" t="s">
        <v>17</v>
      </c>
      <c r="H102" s="40" t="s">
        <v>17</v>
      </c>
      <c r="I102" s="40" t="s">
        <v>17</v>
      </c>
      <c r="J102" s="40" t="s">
        <v>17</v>
      </c>
      <c r="K102" s="40" t="s">
        <v>17</v>
      </c>
      <c r="L102" s="40" t="s">
        <v>17</v>
      </c>
    </row>
    <row r="103" spans="2:12">
      <c r="B103" s="36" t="s">
        <v>50</v>
      </c>
      <c r="C103" s="16"/>
      <c r="D103" s="16"/>
      <c r="E103" s="37">
        <f>E154</f>
        <v>14189.6</v>
      </c>
      <c r="F103" s="37">
        <f>SUM(F99:F101)</f>
        <v>13748.548325032258</v>
      </c>
      <c r="G103" s="37">
        <f t="shared" ref="G103:L103" si="43">SUM(G99:G101)</f>
        <v>14367.232999658712</v>
      </c>
      <c r="H103" s="37">
        <f t="shared" si="43"/>
        <v>15013.758484643353</v>
      </c>
      <c r="I103" s="37">
        <f t="shared" si="43"/>
        <v>15689.377616452304</v>
      </c>
      <c r="J103" s="37">
        <f t="shared" si="43"/>
        <v>16395.399609192656</v>
      </c>
      <c r="K103" s="37">
        <f t="shared" si="43"/>
        <v>17133.192591606326</v>
      </c>
      <c r="L103" s="37">
        <f t="shared" si="43"/>
        <v>17904.186258228612</v>
      </c>
    </row>
    <row r="104" spans="2:12">
      <c r="B104" s="36"/>
      <c r="C104" s="16"/>
      <c r="D104" s="16"/>
      <c r="E104" s="41"/>
      <c r="F104" s="41"/>
      <c r="G104" s="41"/>
      <c r="H104" s="41"/>
      <c r="I104" s="41"/>
      <c r="J104" s="41"/>
    </row>
    <row r="105" spans="2:12">
      <c r="B105" s="36" t="s">
        <v>51</v>
      </c>
      <c r="C105" s="16"/>
      <c r="D105" s="16"/>
      <c r="E105" s="41"/>
      <c r="F105" s="41"/>
      <c r="G105" s="41"/>
      <c r="H105" s="41"/>
      <c r="I105" s="41"/>
      <c r="J105" s="41"/>
    </row>
    <row r="106" spans="2:12">
      <c r="B106" s="36" t="s">
        <v>52</v>
      </c>
      <c r="C106" s="16"/>
      <c r="D106" s="16"/>
      <c r="E106" s="41">
        <f>E96-E103</f>
        <v>3915.3999999999996</v>
      </c>
      <c r="F106" s="41">
        <f t="shared" ref="F106:L106" si="44">F96-F103</f>
        <v>4925.6661049483882</v>
      </c>
      <c r="G106" s="41">
        <f t="shared" si="44"/>
        <v>5147.3210796710646</v>
      </c>
      <c r="H106" s="41">
        <f t="shared" si="44"/>
        <v>5378.9505282562641</v>
      </c>
      <c r="I106" s="41">
        <f t="shared" si="44"/>
        <v>5621.0033020277951</v>
      </c>
      <c r="J106" s="41">
        <f t="shared" si="44"/>
        <v>5873.9484506190456</v>
      </c>
      <c r="K106" s="41">
        <f t="shared" si="44"/>
        <v>6138.2761308969057</v>
      </c>
      <c r="L106" s="41">
        <f t="shared" si="44"/>
        <v>6414.4985567872609</v>
      </c>
    </row>
    <row r="107" spans="2:12">
      <c r="B107" s="36" t="s">
        <v>53</v>
      </c>
      <c r="C107" s="16"/>
      <c r="D107" s="16"/>
      <c r="E107" s="41"/>
      <c r="F107" s="41">
        <f>E106-F106</f>
        <v>-1010.2661049483886</v>
      </c>
      <c r="G107" s="41">
        <f t="shared" ref="G107:L107" si="45">F106-G106</f>
        <v>-221.65497472267634</v>
      </c>
      <c r="H107" s="41">
        <f t="shared" si="45"/>
        <v>-231.6294485851995</v>
      </c>
      <c r="I107" s="41">
        <f t="shared" si="45"/>
        <v>-242.05277377153106</v>
      </c>
      <c r="J107" s="41">
        <f t="shared" si="45"/>
        <v>-252.94514859125047</v>
      </c>
      <c r="K107" s="41">
        <f t="shared" si="45"/>
        <v>-264.32768027786005</v>
      </c>
      <c r="L107" s="41">
        <f t="shared" si="45"/>
        <v>-276.22242589035523</v>
      </c>
    </row>
    <row r="108" spans="2:12">
      <c r="B108" s="10"/>
      <c r="C108" s="16"/>
      <c r="D108" s="16"/>
      <c r="E108" s="16"/>
      <c r="F108" s="16"/>
      <c r="G108" s="16"/>
      <c r="H108" s="16"/>
      <c r="I108" s="16"/>
      <c r="J108" s="16"/>
    </row>
    <row r="109" spans="2:12">
      <c r="B109" s="10" t="s">
        <v>54</v>
      </c>
      <c r="C109" s="16"/>
      <c r="D109" s="16"/>
      <c r="E109" s="16"/>
      <c r="F109" s="16"/>
      <c r="G109" s="16"/>
      <c r="H109" s="16"/>
      <c r="I109" s="16"/>
      <c r="J109" s="16"/>
    </row>
    <row r="110" spans="2:12">
      <c r="B110" s="42" t="s">
        <v>55</v>
      </c>
      <c r="C110" s="39"/>
      <c r="D110" s="39"/>
      <c r="E110" s="16">
        <f>-E90/E87</f>
        <v>8.6806340760447839E-2</v>
      </c>
      <c r="F110" s="16">
        <f t="shared" ref="F110:F119" si="46">E110</f>
        <v>8.6806340760447839E-2</v>
      </c>
      <c r="G110" s="16">
        <f t="shared" ref="G110:L110" si="47">F110</f>
        <v>8.6806340760447839E-2</v>
      </c>
      <c r="H110" s="16">
        <f t="shared" si="47"/>
        <v>8.6806340760447839E-2</v>
      </c>
      <c r="I110" s="16">
        <f t="shared" si="47"/>
        <v>8.6806340760447839E-2</v>
      </c>
      <c r="J110" s="16">
        <f t="shared" si="47"/>
        <v>8.6806340760447839E-2</v>
      </c>
      <c r="K110" s="16">
        <f t="shared" si="47"/>
        <v>8.6806340760447839E-2</v>
      </c>
      <c r="L110" s="16">
        <f t="shared" si="47"/>
        <v>8.6806340760447839E-2</v>
      </c>
    </row>
    <row r="111" spans="2:12">
      <c r="B111" s="10" t="s">
        <v>56</v>
      </c>
      <c r="C111" s="16"/>
      <c r="D111" s="16"/>
      <c r="E111" s="16">
        <f>E91/E86</f>
        <v>9.7637757431571867E-2</v>
      </c>
      <c r="F111" s="16">
        <f t="shared" si="46"/>
        <v>9.7637757431571867E-2</v>
      </c>
      <c r="G111" s="16">
        <f t="shared" ref="G111:L111" si="48">F111</f>
        <v>9.7637757431571867E-2</v>
      </c>
      <c r="H111" s="16">
        <f t="shared" si="48"/>
        <v>9.7637757431571867E-2</v>
      </c>
      <c r="I111" s="16">
        <f t="shared" si="48"/>
        <v>9.7637757431571867E-2</v>
      </c>
      <c r="J111" s="16">
        <f t="shared" si="48"/>
        <v>9.7637757431571867E-2</v>
      </c>
      <c r="K111" s="16">
        <f t="shared" si="48"/>
        <v>9.7637757431571867E-2</v>
      </c>
      <c r="L111" s="16">
        <f t="shared" si="48"/>
        <v>9.7637757431571867E-2</v>
      </c>
    </row>
    <row r="112" spans="2:12">
      <c r="B112" s="10" t="s">
        <v>57</v>
      </c>
      <c r="C112" s="16"/>
      <c r="D112" s="16"/>
      <c r="E112" s="43">
        <f>E111*365</f>
        <v>35.637781462523733</v>
      </c>
      <c r="F112" s="43">
        <f t="shared" si="46"/>
        <v>35.637781462523733</v>
      </c>
      <c r="G112" s="43">
        <f t="shared" ref="G112:L112" si="49">F112</f>
        <v>35.637781462523733</v>
      </c>
      <c r="H112" s="43">
        <f t="shared" si="49"/>
        <v>35.637781462523733</v>
      </c>
      <c r="I112" s="43">
        <f t="shared" si="49"/>
        <v>35.637781462523733</v>
      </c>
      <c r="J112" s="43">
        <f t="shared" si="49"/>
        <v>35.637781462523733</v>
      </c>
      <c r="K112" s="43">
        <f t="shared" si="49"/>
        <v>35.637781462523733</v>
      </c>
      <c r="L112" s="43">
        <f t="shared" si="49"/>
        <v>35.637781462523733</v>
      </c>
    </row>
    <row r="113" spans="2:14">
      <c r="B113" s="10" t="s">
        <v>58</v>
      </c>
      <c r="C113" s="16"/>
      <c r="D113" s="16"/>
      <c r="E113" s="16">
        <f>-E92/E87</f>
        <v>0.1676089125374127</v>
      </c>
      <c r="F113" s="16">
        <f t="shared" si="46"/>
        <v>0.1676089125374127</v>
      </c>
      <c r="G113" s="16">
        <f t="shared" ref="G113:L113" si="50">F113</f>
        <v>0.1676089125374127</v>
      </c>
      <c r="H113" s="16">
        <f t="shared" si="50"/>
        <v>0.1676089125374127</v>
      </c>
      <c r="I113" s="16">
        <f t="shared" si="50"/>
        <v>0.1676089125374127</v>
      </c>
      <c r="J113" s="16">
        <f t="shared" si="50"/>
        <v>0.1676089125374127</v>
      </c>
      <c r="K113" s="16">
        <f t="shared" si="50"/>
        <v>0.1676089125374127</v>
      </c>
      <c r="L113" s="16">
        <f t="shared" si="50"/>
        <v>0.1676089125374127</v>
      </c>
    </row>
    <row r="114" spans="2:14">
      <c r="B114" s="10" t="s">
        <v>59</v>
      </c>
      <c r="C114" s="16"/>
      <c r="D114" s="16"/>
      <c r="E114" s="44">
        <f>365*E113</f>
        <v>61.177253076155637</v>
      </c>
      <c r="F114" s="44">
        <f t="shared" si="46"/>
        <v>61.177253076155637</v>
      </c>
      <c r="G114" s="44">
        <f t="shared" ref="G114:L114" si="51">F114</f>
        <v>61.177253076155637</v>
      </c>
      <c r="H114" s="44">
        <f t="shared" si="51"/>
        <v>61.177253076155637</v>
      </c>
      <c r="I114" s="44">
        <f t="shared" si="51"/>
        <v>61.177253076155637</v>
      </c>
      <c r="J114" s="44">
        <f t="shared" si="51"/>
        <v>61.177253076155637</v>
      </c>
      <c r="K114" s="44">
        <f t="shared" si="51"/>
        <v>61.177253076155637</v>
      </c>
      <c r="L114" s="44">
        <f t="shared" si="51"/>
        <v>61.177253076155637</v>
      </c>
    </row>
    <row r="115" spans="2:14">
      <c r="B115" s="10" t="s">
        <v>60</v>
      </c>
      <c r="C115" s="16"/>
      <c r="D115" s="16"/>
      <c r="E115" s="16">
        <f>-E93/E87</f>
        <v>1.5851901119609799E-2</v>
      </c>
      <c r="F115" s="16">
        <f t="shared" si="46"/>
        <v>1.5851901119609799E-2</v>
      </c>
      <c r="G115" s="16">
        <f t="shared" ref="G115:L115" si="52">F115</f>
        <v>1.5851901119609799E-2</v>
      </c>
      <c r="H115" s="16">
        <f t="shared" si="52"/>
        <v>1.5851901119609799E-2</v>
      </c>
      <c r="I115" s="16">
        <f t="shared" si="52"/>
        <v>1.5851901119609799E-2</v>
      </c>
      <c r="J115" s="16">
        <f t="shared" si="52"/>
        <v>1.5851901119609799E-2</v>
      </c>
      <c r="K115" s="16">
        <f t="shared" si="52"/>
        <v>1.5851901119609799E-2</v>
      </c>
      <c r="L115" s="16">
        <f t="shared" si="52"/>
        <v>1.5851901119609799E-2</v>
      </c>
    </row>
    <row r="116" spans="2:14">
      <c r="B116" s="10" t="s">
        <v>61</v>
      </c>
      <c r="C116" s="16"/>
      <c r="D116" s="16"/>
      <c r="E116" s="16">
        <f>-E99/E87</f>
        <v>0.15153530650703914</v>
      </c>
      <c r="F116" s="16">
        <f t="shared" si="46"/>
        <v>0.15153530650703914</v>
      </c>
      <c r="G116" s="16">
        <f t="shared" ref="G116:L116" si="53">F116</f>
        <v>0.15153530650703914</v>
      </c>
      <c r="H116" s="16">
        <f t="shared" si="53"/>
        <v>0.15153530650703914</v>
      </c>
      <c r="I116" s="16">
        <f t="shared" si="53"/>
        <v>0.15153530650703914</v>
      </c>
      <c r="J116" s="16">
        <f t="shared" si="53"/>
        <v>0.15153530650703914</v>
      </c>
      <c r="K116" s="16">
        <f t="shared" si="53"/>
        <v>0.15153530650703914</v>
      </c>
      <c r="L116" s="16">
        <f t="shared" si="53"/>
        <v>0.15153530650703914</v>
      </c>
    </row>
    <row r="117" spans="2:14">
      <c r="B117" s="10" t="s">
        <v>62</v>
      </c>
      <c r="C117" s="16"/>
      <c r="D117" s="16"/>
      <c r="E117" s="16">
        <f>-E100/E87</f>
        <v>2.3537671359420611E-2</v>
      </c>
      <c r="F117" s="16">
        <f t="shared" si="46"/>
        <v>2.3537671359420611E-2</v>
      </c>
      <c r="G117" s="16">
        <f t="shared" ref="G117:L119" si="54">F117</f>
        <v>2.3537671359420611E-2</v>
      </c>
      <c r="H117" s="16">
        <f t="shared" si="54"/>
        <v>2.3537671359420611E-2</v>
      </c>
      <c r="I117" s="16">
        <f t="shared" si="54"/>
        <v>2.3537671359420611E-2</v>
      </c>
      <c r="J117" s="16">
        <f t="shared" si="54"/>
        <v>2.3537671359420611E-2</v>
      </c>
      <c r="K117" s="16">
        <f t="shared" si="54"/>
        <v>2.3537671359420611E-2</v>
      </c>
      <c r="L117" s="16">
        <f t="shared" si="54"/>
        <v>2.3537671359420611E-2</v>
      </c>
    </row>
    <row r="118" spans="2:14">
      <c r="B118" s="10" t="s">
        <v>94</v>
      </c>
      <c r="C118" s="16"/>
      <c r="D118" s="16"/>
      <c r="E118" s="16">
        <f>-E94/E87</f>
        <v>0.27997635147618521</v>
      </c>
      <c r="F118" s="16">
        <f t="shared" si="46"/>
        <v>0.27997635147618521</v>
      </c>
      <c r="G118" s="16">
        <f t="shared" si="54"/>
        <v>0.27997635147618521</v>
      </c>
      <c r="H118" s="16">
        <f t="shared" si="54"/>
        <v>0.27997635147618521</v>
      </c>
      <c r="I118" s="16">
        <f t="shared" si="54"/>
        <v>0.27997635147618521</v>
      </c>
      <c r="J118" s="16">
        <f t="shared" si="54"/>
        <v>0.27997635147618521</v>
      </c>
      <c r="K118" s="16">
        <f t="shared" si="54"/>
        <v>0.27997635147618521</v>
      </c>
      <c r="L118" s="16">
        <f t="shared" si="54"/>
        <v>0.27997635147618521</v>
      </c>
    </row>
    <row r="119" spans="2:14">
      <c r="B119" s="10" t="s">
        <v>95</v>
      </c>
      <c r="E119" s="59">
        <f>-E101/E87</f>
        <v>0.34924435576248014</v>
      </c>
      <c r="F119" s="59">
        <f t="shared" si="46"/>
        <v>0.34924435576248014</v>
      </c>
      <c r="G119" s="59">
        <f t="shared" si="54"/>
        <v>0.34924435576248014</v>
      </c>
      <c r="H119" s="59">
        <f t="shared" si="54"/>
        <v>0.34924435576248014</v>
      </c>
      <c r="I119" s="59">
        <f t="shared" si="54"/>
        <v>0.34924435576248014</v>
      </c>
      <c r="J119" s="59">
        <f t="shared" si="54"/>
        <v>0.34924435576248014</v>
      </c>
      <c r="K119" s="59">
        <f t="shared" si="54"/>
        <v>0.34924435576248014</v>
      </c>
      <c r="L119" s="59">
        <f t="shared" si="54"/>
        <v>0.34924435576248014</v>
      </c>
    </row>
    <row r="121" spans="2:14" ht="17.5">
      <c r="B121" s="7" t="s">
        <v>63</v>
      </c>
      <c r="C121" s="7"/>
      <c r="D121" s="7"/>
      <c r="E121" s="7"/>
      <c r="F121" s="7"/>
      <c r="G121" s="7"/>
      <c r="H121" s="7"/>
      <c r="I121" s="7"/>
      <c r="J121" s="7"/>
    </row>
    <row r="122" spans="2:14">
      <c r="B122" s="13"/>
      <c r="C122" s="13"/>
      <c r="D122" s="13"/>
      <c r="E122" s="13"/>
      <c r="F122" s="13"/>
      <c r="G122" s="13"/>
      <c r="H122" s="13"/>
      <c r="I122" s="13"/>
      <c r="J122" s="13"/>
    </row>
    <row r="123" spans="2:14" ht="16">
      <c r="B123"/>
      <c r="C123" s="13"/>
      <c r="D123"/>
      <c r="E123" s="25" t="s">
        <v>0</v>
      </c>
      <c r="F123" s="45" t="s">
        <v>1</v>
      </c>
      <c r="G123" s="45"/>
      <c r="H123" s="45"/>
      <c r="I123" s="45"/>
      <c r="J123" s="45"/>
      <c r="K123" s="45"/>
      <c r="L123" s="45"/>
    </row>
    <row r="124" spans="2:14">
      <c r="B124"/>
      <c r="C124" s="46"/>
      <c r="D124"/>
      <c r="E124" s="47">
        <v>45291</v>
      </c>
      <c r="F124" s="48">
        <f t="shared" ref="F124:L124" si="55">EOMONTH(E124,12)</f>
        <v>45657</v>
      </c>
      <c r="G124" s="48">
        <f t="shared" si="55"/>
        <v>46022</v>
      </c>
      <c r="H124" s="48">
        <f t="shared" si="55"/>
        <v>46387</v>
      </c>
      <c r="I124" s="48">
        <f t="shared" si="55"/>
        <v>46752</v>
      </c>
      <c r="J124" s="48">
        <f t="shared" si="55"/>
        <v>47118</v>
      </c>
      <c r="K124" s="48">
        <f t="shared" si="55"/>
        <v>47483</v>
      </c>
      <c r="L124" s="48">
        <f t="shared" si="55"/>
        <v>47848</v>
      </c>
    </row>
    <row r="125" spans="2:14">
      <c r="B125" s="49" t="s">
        <v>64</v>
      </c>
      <c r="C125" s="13"/>
      <c r="D125" s="13"/>
      <c r="E125" s="13"/>
      <c r="F125" s="50"/>
      <c r="G125" s="50"/>
      <c r="H125" s="50"/>
      <c r="I125" s="50"/>
      <c r="J125" s="50"/>
    </row>
    <row r="126" spans="2:14">
      <c r="B126" s="9" t="s">
        <v>42</v>
      </c>
      <c r="C126" s="13"/>
      <c r="D126" s="13"/>
      <c r="E126" s="51">
        <f>0.6*E106</f>
        <v>2349.2399999999998</v>
      </c>
      <c r="F126" s="361">
        <f t="shared" ref="F126:L126" si="56">0.6*F106</f>
        <v>2955.3996629690328</v>
      </c>
      <c r="G126" s="361">
        <f t="shared" si="56"/>
        <v>3088.3926478026387</v>
      </c>
      <c r="H126" s="361">
        <f t="shared" si="56"/>
        <v>3227.3703169537584</v>
      </c>
      <c r="I126" s="361">
        <f t="shared" si="56"/>
        <v>3372.6019812166769</v>
      </c>
      <c r="J126" s="361">
        <f t="shared" si="56"/>
        <v>3524.3690703714274</v>
      </c>
      <c r="K126" s="361">
        <f t="shared" si="56"/>
        <v>3682.9656785381435</v>
      </c>
      <c r="L126" s="361">
        <f t="shared" si="56"/>
        <v>3848.6991340723562</v>
      </c>
      <c r="N126" s="157"/>
    </row>
    <row r="127" spans="2:14">
      <c r="B127" s="9" t="s">
        <v>65</v>
      </c>
      <c r="E127" s="51">
        <f>E129-E126</f>
        <v>1195.7600000000002</v>
      </c>
      <c r="F127" s="361">
        <f t="shared" ref="F127:L127" si="57">F129-F126</f>
        <v>479.40033703096742</v>
      </c>
      <c r="G127" s="361">
        <f t="shared" si="57"/>
        <v>501.00735219736134</v>
      </c>
      <c r="H127" s="361">
        <f t="shared" si="57"/>
        <v>523.52968304624164</v>
      </c>
      <c r="I127" s="361">
        <f t="shared" si="57"/>
        <v>547.09801878332291</v>
      </c>
      <c r="J127" s="361">
        <f t="shared" si="57"/>
        <v>571.73092962857299</v>
      </c>
      <c r="K127" s="361">
        <f t="shared" si="57"/>
        <v>597.43432146185614</v>
      </c>
      <c r="L127" s="361">
        <f t="shared" si="57"/>
        <v>624.30086592764383</v>
      </c>
      <c r="N127" s="157"/>
    </row>
    <row r="128" spans="2:14" ht="14.5">
      <c r="B128" s="9"/>
      <c r="E128" s="52" t="s">
        <v>17</v>
      </c>
      <c r="F128" s="52" t="s">
        <v>17</v>
      </c>
      <c r="G128" s="52" t="s">
        <v>17</v>
      </c>
      <c r="H128" s="52" t="s">
        <v>17</v>
      </c>
      <c r="I128" s="52" t="s">
        <v>17</v>
      </c>
      <c r="J128" s="52" t="s">
        <v>17</v>
      </c>
      <c r="K128" s="52" t="s">
        <v>17</v>
      </c>
      <c r="L128" s="52" t="s">
        <v>17</v>
      </c>
    </row>
    <row r="129" spans="2:20">
      <c r="B129" s="18" t="s">
        <v>66</v>
      </c>
      <c r="C129" s="53"/>
      <c r="D129" s="53"/>
      <c r="E129" s="54">
        <v>3545</v>
      </c>
      <c r="F129" s="415">
        <v>3434.8</v>
      </c>
      <c r="G129" s="414">
        <v>3589.4</v>
      </c>
      <c r="H129" s="414">
        <v>3750.9</v>
      </c>
      <c r="I129" s="414">
        <v>3919.7</v>
      </c>
      <c r="J129" s="414">
        <v>4096.1000000000004</v>
      </c>
      <c r="K129" s="414">
        <v>4280.3999999999996</v>
      </c>
      <c r="L129" s="414">
        <v>4473</v>
      </c>
    </row>
    <row r="130" spans="2:20">
      <c r="B130" s="18"/>
      <c r="C130" s="53"/>
      <c r="D130" s="53"/>
      <c r="E130" s="55"/>
      <c r="F130" s="53"/>
      <c r="G130" s="414"/>
      <c r="H130" s="53"/>
      <c r="I130" s="53"/>
      <c r="J130" s="53"/>
    </row>
    <row r="131" spans="2:20">
      <c r="B131" s="9" t="s">
        <v>67</v>
      </c>
      <c r="E131" s="9">
        <v>4063</v>
      </c>
      <c r="F131" s="2">
        <f>F91</f>
        <v>4245.835</v>
      </c>
      <c r="G131" s="2">
        <f t="shared" ref="G131:L131" si="58">G91</f>
        <v>4436.897575</v>
      </c>
      <c r="H131" s="2">
        <f t="shared" si="58"/>
        <v>4636.5579658750003</v>
      </c>
      <c r="I131" s="2">
        <f t="shared" si="58"/>
        <v>4845.2030743393752</v>
      </c>
      <c r="J131" s="2">
        <f t="shared" si="58"/>
        <v>5063.2372126846476</v>
      </c>
      <c r="K131" s="2">
        <f t="shared" si="58"/>
        <v>5291.0828872554566</v>
      </c>
      <c r="L131" s="2">
        <f t="shared" si="58"/>
        <v>5529.1816171819528</v>
      </c>
    </row>
    <row r="132" spans="2:20">
      <c r="B132" s="9" t="s">
        <v>68</v>
      </c>
      <c r="E132" s="9">
        <v>4536</v>
      </c>
      <c r="F132" s="2">
        <f>F92</f>
        <v>4395.0086825806447</v>
      </c>
      <c r="G132" s="2">
        <f t="shared" ref="G132:L132" si="59">G92</f>
        <v>4592.7840732967743</v>
      </c>
      <c r="H132" s="2">
        <f t="shared" si="59"/>
        <v>4799.4593565951291</v>
      </c>
      <c r="I132" s="2">
        <f t="shared" si="59"/>
        <v>5015.43502764191</v>
      </c>
      <c r="J132" s="2">
        <f t="shared" si="59"/>
        <v>5241.1296038857954</v>
      </c>
      <c r="K132" s="2">
        <f t="shared" si="59"/>
        <v>5476.9804360606577</v>
      </c>
      <c r="L132" s="2">
        <f t="shared" si="59"/>
        <v>5723.4445556833862</v>
      </c>
      <c r="O132" s="33"/>
      <c r="P132" s="33"/>
      <c r="Q132" s="33"/>
      <c r="R132" s="33"/>
      <c r="S132" s="33"/>
      <c r="T132" s="33"/>
    </row>
    <row r="133" spans="2:20">
      <c r="B133" s="9" t="s">
        <v>69</v>
      </c>
      <c r="E133" s="9">
        <v>429</v>
      </c>
      <c r="F133" s="2">
        <f>F93</f>
        <v>415.66550370967741</v>
      </c>
      <c r="G133" s="2">
        <f t="shared" ref="G133:L133" si="60">G93</f>
        <v>434.37045137661295</v>
      </c>
      <c r="H133" s="2">
        <f t="shared" si="60"/>
        <v>453.91712168856054</v>
      </c>
      <c r="I133" s="2">
        <f t="shared" si="60"/>
        <v>474.34339216454572</v>
      </c>
      <c r="J133" s="2">
        <f t="shared" si="60"/>
        <v>495.68884481195028</v>
      </c>
      <c r="K133" s="2">
        <f t="shared" si="60"/>
        <v>517.99484282848812</v>
      </c>
      <c r="L133" s="2">
        <f t="shared" si="60"/>
        <v>541.30461075577</v>
      </c>
    </row>
    <row r="134" spans="2:20">
      <c r="B134" s="9" t="s">
        <v>89</v>
      </c>
      <c r="E134" s="9">
        <v>5532</v>
      </c>
      <c r="F134" s="2">
        <f>F94</f>
        <v>7341.4860643548382</v>
      </c>
      <c r="G134" s="2">
        <f t="shared" ref="G134:L134" si="61">G94</f>
        <v>7671.8529372508074</v>
      </c>
      <c r="H134" s="2">
        <f t="shared" si="61"/>
        <v>8017.0863194270942</v>
      </c>
      <c r="I134" s="2">
        <f t="shared" si="61"/>
        <v>8377.8552038013131</v>
      </c>
      <c r="J134" s="2">
        <f t="shared" si="61"/>
        <v>8754.8586879723716</v>
      </c>
      <c r="K134" s="2">
        <f t="shared" si="61"/>
        <v>9148.8273289311292</v>
      </c>
      <c r="L134" s="2">
        <f t="shared" si="61"/>
        <v>9560.5245587330301</v>
      </c>
    </row>
    <row r="135" spans="2:20" ht="14.5">
      <c r="B135" s="9"/>
      <c r="E135" s="19" t="s">
        <v>17</v>
      </c>
    </row>
    <row r="136" spans="2:20">
      <c r="B136" s="9" t="s">
        <v>70</v>
      </c>
      <c r="E136" s="22">
        <f>SUM(E131:E134,E129)</f>
        <v>18105</v>
      </c>
      <c r="F136" s="22">
        <f>SUM(F131:F134,F129)</f>
        <v>19832.795250645158</v>
      </c>
      <c r="G136" s="22">
        <f t="shared" ref="G136:L136" si="62">SUM(G131:G134,G129)</f>
        <v>20725.305036924197</v>
      </c>
      <c r="H136" s="22">
        <f t="shared" si="62"/>
        <v>21657.920763585786</v>
      </c>
      <c r="I136" s="22">
        <f t="shared" si="62"/>
        <v>22632.536697947147</v>
      </c>
      <c r="J136" s="22">
        <f t="shared" si="62"/>
        <v>23651.014349354766</v>
      </c>
      <c r="K136" s="22">
        <f t="shared" si="62"/>
        <v>24715.285495075732</v>
      </c>
      <c r="L136" s="22">
        <f t="shared" si="62"/>
        <v>25827.455342354137</v>
      </c>
    </row>
    <row r="137" spans="2:20">
      <c r="B137" s="9"/>
    </row>
    <row r="138" spans="2:20">
      <c r="B138" s="9" t="s">
        <v>71</v>
      </c>
      <c r="E138" s="9">
        <f>394424/5</f>
        <v>78884.800000000003</v>
      </c>
      <c r="F138" s="2">
        <f>E138+F39</f>
        <v>85384.8</v>
      </c>
      <c r="G138" s="2">
        <f t="shared" ref="G138:L138" si="63">F138+G39</f>
        <v>92201.165448750005</v>
      </c>
      <c r="H138" s="2">
        <f t="shared" si="63"/>
        <v>99324.267342693754</v>
      </c>
      <c r="I138">
        <f t="shared" si="63"/>
        <v>106767.90882186497</v>
      </c>
      <c r="J138">
        <f t="shared" si="63"/>
        <v>114546.5141675989</v>
      </c>
      <c r="K138">
        <f t="shared" si="63"/>
        <v>122675.15675389086</v>
      </c>
      <c r="L138">
        <f t="shared" si="63"/>
        <v>131169.58825656594</v>
      </c>
    </row>
    <row r="139" spans="2:20">
      <c r="B139" s="9" t="s">
        <v>72</v>
      </c>
      <c r="E139" s="9">
        <f>-160122/5</f>
        <v>-32024.400000000001</v>
      </c>
      <c r="F139" s="2">
        <f>E139-F15</f>
        <v>-35198.847705</v>
      </c>
      <c r="G139" s="2">
        <f t="shared" ref="G139:L139" si="64">F139-G15</f>
        <v>-38516.145556725001</v>
      </c>
      <c r="H139" s="2">
        <f t="shared" si="64"/>
        <v>-41982.721811777628</v>
      </c>
      <c r="I139" s="2">
        <f t="shared" si="64"/>
        <v>-45605.293998307621</v>
      </c>
      <c r="J139" s="2">
        <f t="shared" si="64"/>
        <v>-49390.881933231467</v>
      </c>
      <c r="K139" s="2">
        <f t="shared" si="64"/>
        <v>-53346.821325226883</v>
      </c>
      <c r="L139" s="2">
        <f t="shared" si="64"/>
        <v>-57480.777989862094</v>
      </c>
    </row>
    <row r="140" spans="2:20" ht="14.5">
      <c r="B140" s="9"/>
      <c r="E140" s="19" t="s">
        <v>17</v>
      </c>
    </row>
    <row r="141" spans="2:20">
      <c r="B141" s="9" t="s">
        <v>73</v>
      </c>
      <c r="E141" s="22">
        <f>E138+E139</f>
        <v>46860.4</v>
      </c>
      <c r="F141" s="22">
        <f t="shared" ref="F141:L141" si="65">F138+F139</f>
        <v>50185.952295000003</v>
      </c>
      <c r="G141" s="22">
        <f t="shared" si="65"/>
        <v>53685.019892025004</v>
      </c>
      <c r="H141" s="22">
        <f t="shared" si="65"/>
        <v>57341.545530916126</v>
      </c>
      <c r="I141" s="22">
        <f t="shared" si="65"/>
        <v>61162.614823557349</v>
      </c>
      <c r="J141" s="22">
        <f t="shared" si="65"/>
        <v>65155.632234367433</v>
      </c>
      <c r="K141" s="22">
        <f t="shared" si="65"/>
        <v>69328.335428663966</v>
      </c>
      <c r="L141" s="22">
        <f t="shared" si="65"/>
        <v>73688.810266703847</v>
      </c>
    </row>
    <row r="142" spans="2:20">
      <c r="B142" s="9"/>
    </row>
    <row r="143" spans="2:20">
      <c r="B143" s="9" t="s">
        <v>74</v>
      </c>
      <c r="E143" s="9">
        <f>11261.8</f>
        <v>11261.8</v>
      </c>
      <c r="F143" s="2">
        <v>12318</v>
      </c>
      <c r="G143" s="2">
        <v>11793.6</v>
      </c>
      <c r="H143" s="2">
        <v>15576.2</v>
      </c>
      <c r="I143" s="2">
        <v>17217.2</v>
      </c>
      <c r="J143" s="2">
        <v>19014.599999999999</v>
      </c>
      <c r="K143" s="2">
        <v>20899.900000000001</v>
      </c>
      <c r="L143" s="2">
        <v>22877.3</v>
      </c>
      <c r="N143" s="59"/>
    </row>
    <row r="144" spans="2:20">
      <c r="B144" s="9" t="s">
        <v>91</v>
      </c>
      <c r="E144" s="9">
        <v>14850.32</v>
      </c>
      <c r="F144" s="2">
        <v>20199.433000000001</v>
      </c>
      <c r="G144" s="2">
        <v>29631.02</v>
      </c>
      <c r="H144" s="2">
        <v>35157.9</v>
      </c>
      <c r="I144" s="2">
        <v>42413.3</v>
      </c>
      <c r="J144" s="2">
        <v>50599.6</v>
      </c>
      <c r="K144" s="2">
        <v>59205.4</v>
      </c>
      <c r="L144" s="2">
        <v>68250.399999999994</v>
      </c>
    </row>
    <row r="145" spans="2:23">
      <c r="B145" s="9" t="s">
        <v>322</v>
      </c>
      <c r="E145" s="9">
        <f>0.01*E159</f>
        <v>119.68</v>
      </c>
      <c r="F145" s="350">
        <f>E145-F62</f>
        <v>102.58285714285715</v>
      </c>
      <c r="G145" s="350">
        <f>F145-G62</f>
        <v>85.485714285714295</v>
      </c>
      <c r="H145" s="350">
        <f t="shared" ref="H145:L145" si="66">G145-H62</f>
        <v>68.388571428571439</v>
      </c>
      <c r="I145" s="350">
        <f t="shared" si="66"/>
        <v>51.291428571428582</v>
      </c>
      <c r="J145" s="350">
        <f t="shared" si="66"/>
        <v>34.194285714285726</v>
      </c>
      <c r="K145" s="350">
        <f t="shared" si="66"/>
        <v>17.097142857142867</v>
      </c>
      <c r="L145" s="350">
        <f t="shared" si="66"/>
        <v>0</v>
      </c>
    </row>
    <row r="146" spans="2:23" ht="14.5">
      <c r="E146" s="19" t="s">
        <v>17</v>
      </c>
      <c r="F146" s="19" t="s">
        <v>17</v>
      </c>
      <c r="G146" s="19" t="s">
        <v>17</v>
      </c>
      <c r="H146" s="19" t="s">
        <v>17</v>
      </c>
      <c r="I146" s="19" t="s">
        <v>17</v>
      </c>
      <c r="J146" s="19" t="s">
        <v>17</v>
      </c>
      <c r="K146" s="19" t="s">
        <v>17</v>
      </c>
      <c r="L146" s="19" t="s">
        <v>17</v>
      </c>
      <c r="P146" s="157"/>
    </row>
    <row r="147" spans="2:23" ht="14.5">
      <c r="B147" s="9" t="s">
        <v>75</v>
      </c>
      <c r="E147" s="61">
        <f>SUM(E141:E146,E136)</f>
        <v>91197.199999999983</v>
      </c>
      <c r="F147" s="61">
        <f t="shared" ref="F147:L147" si="67">SUM(F141:F146,F136)</f>
        <v>102638.76340278801</v>
      </c>
      <c r="G147" s="61">
        <f t="shared" si="67"/>
        <v>115920.43064323491</v>
      </c>
      <c r="H147" s="61">
        <f t="shared" si="67"/>
        <v>129801.9548659305</v>
      </c>
      <c r="I147" s="61">
        <f t="shared" si="67"/>
        <v>143476.94295007593</v>
      </c>
      <c r="J147" s="61">
        <f t="shared" si="67"/>
        <v>158455.04086943646</v>
      </c>
      <c r="K147" s="61">
        <f t="shared" si="67"/>
        <v>174166.01806659682</v>
      </c>
      <c r="L147" s="61">
        <f t="shared" si="67"/>
        <v>190643.96560905798</v>
      </c>
    </row>
    <row r="148" spans="2:23">
      <c r="B148" s="9"/>
      <c r="F148" s="33"/>
      <c r="G148" s="33"/>
      <c r="H148" s="33"/>
      <c r="I148" s="33"/>
      <c r="J148" s="33"/>
      <c r="K148" s="33"/>
      <c r="L148" s="33"/>
    </row>
    <row r="149" spans="2:23">
      <c r="B149" s="49" t="s">
        <v>76</v>
      </c>
    </row>
    <row r="150" spans="2:23">
      <c r="B150" s="9" t="s">
        <v>77</v>
      </c>
      <c r="E150" s="9">
        <v>4101</v>
      </c>
      <c r="F150" s="2">
        <f t="shared" ref="F150:L152" si="68">F99</f>
        <v>3973.5296753225807</v>
      </c>
      <c r="G150" s="2">
        <f t="shared" si="68"/>
        <v>4152.3385107120976</v>
      </c>
      <c r="H150" s="2">
        <f t="shared" si="68"/>
        <v>4339.1937436941416</v>
      </c>
      <c r="I150" s="2">
        <f t="shared" si="68"/>
        <v>4534.4574621603779</v>
      </c>
      <c r="J150" s="2">
        <f t="shared" si="68"/>
        <v>4738.5080479575954</v>
      </c>
      <c r="K150" s="2">
        <f t="shared" si="68"/>
        <v>4951.7409101156873</v>
      </c>
      <c r="L150" s="2">
        <f t="shared" si="68"/>
        <v>5174.5692510708923</v>
      </c>
      <c r="P150"/>
      <c r="Q150"/>
      <c r="R150"/>
      <c r="S150"/>
      <c r="T150"/>
      <c r="U150"/>
      <c r="V150"/>
      <c r="W150"/>
    </row>
    <row r="151" spans="2:23">
      <c r="B151" s="9" t="s">
        <v>78</v>
      </c>
      <c r="E151" s="9">
        <v>637</v>
      </c>
      <c r="F151" s="2">
        <f t="shared" si="68"/>
        <v>617.20029338709674</v>
      </c>
      <c r="G151" s="2">
        <f t="shared" si="68"/>
        <v>644.97430658951623</v>
      </c>
      <c r="H151" s="2">
        <f t="shared" si="68"/>
        <v>673.99815038604447</v>
      </c>
      <c r="I151" s="2">
        <f t="shared" si="68"/>
        <v>704.32806715341633</v>
      </c>
      <c r="J151" s="2">
        <f t="shared" si="68"/>
        <v>736.02283017532011</v>
      </c>
      <c r="K151" s="2">
        <f t="shared" si="68"/>
        <v>769.1438575332096</v>
      </c>
      <c r="L151" s="2">
        <f t="shared" si="68"/>
        <v>803.75533112220398</v>
      </c>
    </row>
    <row r="152" spans="2:23">
      <c r="B152" s="9" t="s">
        <v>89</v>
      </c>
      <c r="E152" s="9">
        <v>9451.6</v>
      </c>
      <c r="F152" s="2">
        <f t="shared" si="68"/>
        <v>9157.8183563225793</v>
      </c>
      <c r="G152" s="2">
        <f t="shared" si="68"/>
        <v>9569.9201823570984</v>
      </c>
      <c r="H152" s="2">
        <f t="shared" si="68"/>
        <v>10000.566590563167</v>
      </c>
      <c r="I152" s="2">
        <f t="shared" si="68"/>
        <v>10450.59208713851</v>
      </c>
      <c r="J152" s="2">
        <f t="shared" si="68"/>
        <v>10920.868731059742</v>
      </c>
      <c r="K152" s="2">
        <f t="shared" si="68"/>
        <v>11412.307823957432</v>
      </c>
      <c r="L152" s="2">
        <f t="shared" si="68"/>
        <v>11925.861676035514</v>
      </c>
    </row>
    <row r="153" spans="2:23" ht="14.5">
      <c r="B153" s="9"/>
      <c r="E153" s="19" t="s">
        <v>17</v>
      </c>
      <c r="F153" s="19" t="s">
        <v>17</v>
      </c>
      <c r="G153" s="19" t="s">
        <v>17</v>
      </c>
      <c r="H153" s="19" t="s">
        <v>17</v>
      </c>
      <c r="I153" s="19" t="s">
        <v>17</v>
      </c>
      <c r="J153" s="19" t="s">
        <v>17</v>
      </c>
      <c r="K153" s="19" t="s">
        <v>17</v>
      </c>
      <c r="L153" s="19" t="s">
        <v>17</v>
      </c>
    </row>
    <row r="154" spans="2:23">
      <c r="B154" s="9" t="s">
        <v>79</v>
      </c>
      <c r="E154" s="22">
        <f>SUM(E150:E152)</f>
        <v>14189.6</v>
      </c>
      <c r="F154" s="22">
        <f>SUM(F150:F152)</f>
        <v>13748.548325032258</v>
      </c>
      <c r="G154" s="22">
        <f t="shared" ref="G154:L154" si="69">SUM(G150:G152)</f>
        <v>14367.232999658712</v>
      </c>
      <c r="H154" s="22">
        <f t="shared" si="69"/>
        <v>15013.758484643353</v>
      </c>
      <c r="I154" s="22">
        <f t="shared" si="69"/>
        <v>15689.377616452304</v>
      </c>
      <c r="J154" s="22">
        <f t="shared" si="69"/>
        <v>16395.399609192656</v>
      </c>
      <c r="K154" s="22">
        <f t="shared" si="69"/>
        <v>17133.192591606326</v>
      </c>
      <c r="L154" s="22">
        <f t="shared" si="69"/>
        <v>17904.186258228612</v>
      </c>
    </row>
    <row r="155" spans="2:23">
      <c r="B155" s="9"/>
    </row>
    <row r="156" spans="2:23">
      <c r="B156" s="9" t="s">
        <v>93</v>
      </c>
      <c r="E156" s="9">
        <v>1160.96</v>
      </c>
      <c r="F156" s="2">
        <f>F159-F157</f>
        <v>1427.7999999999993</v>
      </c>
      <c r="G156" s="2">
        <f t="shared" ref="G156:L156" si="70">G159-G157</f>
        <v>1712.6999999999989</v>
      </c>
      <c r="H156" s="2">
        <f t="shared" si="70"/>
        <v>2009.5999999999985</v>
      </c>
      <c r="I156" s="2">
        <f t="shared" si="70"/>
        <v>2301.7999999999993</v>
      </c>
      <c r="J156" s="2">
        <f t="shared" si="70"/>
        <v>2622.6000000000022</v>
      </c>
      <c r="K156" s="2">
        <f t="shared" si="70"/>
        <v>2959.1000000000022</v>
      </c>
      <c r="L156" s="2">
        <f t="shared" si="70"/>
        <v>3312.1999999999971</v>
      </c>
    </row>
    <row r="157" spans="2:23">
      <c r="B157" s="9" t="s">
        <v>92</v>
      </c>
      <c r="E157" s="9">
        <v>10807.5</v>
      </c>
      <c r="F157" s="2">
        <v>13297</v>
      </c>
      <c r="G157" s="2">
        <v>15949.9</v>
      </c>
      <c r="H157" s="2">
        <v>18715.5</v>
      </c>
      <c r="I157" s="2">
        <v>21436.5</v>
      </c>
      <c r="J157" s="2">
        <v>24423.599999999999</v>
      </c>
      <c r="K157" s="2">
        <v>27557.8</v>
      </c>
      <c r="L157" s="2">
        <v>30845.5</v>
      </c>
      <c r="N157" s="59"/>
    </row>
    <row r="158" spans="2:23" ht="14.5">
      <c r="B158" s="9"/>
      <c r="E158" s="19" t="s">
        <v>17</v>
      </c>
      <c r="F158" s="19" t="s">
        <v>17</v>
      </c>
      <c r="G158" s="19" t="s">
        <v>17</v>
      </c>
      <c r="H158" s="19" t="s">
        <v>17</v>
      </c>
      <c r="I158" s="19" t="s">
        <v>17</v>
      </c>
      <c r="J158" s="19" t="s">
        <v>17</v>
      </c>
      <c r="K158" s="19" t="s">
        <v>17</v>
      </c>
      <c r="L158" s="19" t="s">
        <v>17</v>
      </c>
      <c r="Q158" s="157"/>
    </row>
    <row r="159" spans="2:23">
      <c r="B159" s="9" t="s">
        <v>83</v>
      </c>
      <c r="E159" s="22">
        <v>11968</v>
      </c>
      <c r="F159" s="2">
        <v>14724.8</v>
      </c>
      <c r="G159" s="13">
        <v>17662.599999999999</v>
      </c>
      <c r="H159" s="2">
        <v>20725.099999999999</v>
      </c>
      <c r="I159" s="2">
        <v>23738.3</v>
      </c>
      <c r="J159" s="2">
        <v>27046.2</v>
      </c>
      <c r="K159" s="2">
        <v>30516.9</v>
      </c>
      <c r="L159" s="2">
        <v>34157.699999999997</v>
      </c>
    </row>
    <row r="160" spans="2:23">
      <c r="B160" s="9"/>
    </row>
    <row r="161" spans="2:19">
      <c r="B161" s="9" t="s">
        <v>84</v>
      </c>
      <c r="E161" s="9">
        <v>25374.2</v>
      </c>
      <c r="F161" s="2">
        <f>E161 -22.274</f>
        <v>25351.925999999999</v>
      </c>
      <c r="G161" s="2">
        <f>F161 - 21.932555</f>
        <v>25329.993445</v>
      </c>
      <c r="H161" s="2">
        <f>G161 +  11.179</f>
        <v>25341.172445</v>
      </c>
      <c r="I161" s="2">
        <f>H161 -12.833</f>
        <v>25328.339445000001</v>
      </c>
      <c r="J161" s="2">
        <f>I161 -12.697</f>
        <v>25315.642445000001</v>
      </c>
      <c r="K161" s="2">
        <f>J161 - 14.993</f>
        <v>25300.649445000003</v>
      </c>
      <c r="L161" s="2">
        <f>K161 -16.252</f>
        <v>25284.397445000002</v>
      </c>
    </row>
    <row r="162" spans="2:19" ht="14.5">
      <c r="B162" s="9"/>
      <c r="E162" s="19" t="s">
        <v>17</v>
      </c>
      <c r="F162" s="19" t="s">
        <v>17</v>
      </c>
      <c r="G162" s="19" t="s">
        <v>17</v>
      </c>
      <c r="H162" s="19" t="s">
        <v>17</v>
      </c>
      <c r="I162" s="19" t="s">
        <v>17</v>
      </c>
      <c r="J162" s="19" t="s">
        <v>17</v>
      </c>
      <c r="K162" s="19" t="s">
        <v>17</v>
      </c>
      <c r="L162" s="19" t="s">
        <v>17</v>
      </c>
      <c r="S162" s="59"/>
    </row>
    <row r="163" spans="2:19">
      <c r="B163" s="9" t="s">
        <v>85</v>
      </c>
      <c r="E163" s="22">
        <f>SUM(E161,E159,E154)</f>
        <v>51531.799999999996</v>
      </c>
      <c r="F163" s="22">
        <f t="shared" ref="F163:L163" si="71">SUM(F161,F159,F154)</f>
        <v>53825.274325032253</v>
      </c>
      <c r="G163" s="22">
        <f t="shared" si="71"/>
        <v>57359.826444658713</v>
      </c>
      <c r="H163" s="22">
        <f t="shared" si="71"/>
        <v>61080.030929643348</v>
      </c>
      <c r="I163" s="22">
        <f t="shared" si="71"/>
        <v>64756.017061452309</v>
      </c>
      <c r="J163" s="22">
        <f t="shared" si="71"/>
        <v>68757.242054192655</v>
      </c>
      <c r="K163" s="22">
        <f t="shared" si="71"/>
        <v>72950.742036606331</v>
      </c>
      <c r="L163" s="22">
        <f t="shared" si="71"/>
        <v>77346.283703228604</v>
      </c>
    </row>
    <row r="164" spans="2:19">
      <c r="B164" s="9"/>
      <c r="Q164"/>
    </row>
    <row r="165" spans="2:19">
      <c r="B165" s="9" t="s">
        <v>86</v>
      </c>
      <c r="E165" s="9">
        <v>39665.4</v>
      </c>
      <c r="F165" s="2">
        <f t="shared" ref="F165:L165" si="72">E165+F68</f>
        <v>48813.489470614288</v>
      </c>
      <c r="G165" s="2">
        <f t="shared" si="72"/>
        <v>58560.608325763533</v>
      </c>
      <c r="H165" s="2">
        <f t="shared" si="72"/>
        <v>68721.923814537353</v>
      </c>
      <c r="I165" s="2">
        <f t="shared" si="72"/>
        <v>78720.925725448848</v>
      </c>
      <c r="J165" s="2">
        <f t="shared" si="72"/>
        <v>89697.799147494225</v>
      </c>
      <c r="K165">
        <f t="shared" si="72"/>
        <v>101215.2756386745</v>
      </c>
      <c r="L165">
        <f t="shared" si="72"/>
        <v>113297.68233710075</v>
      </c>
    </row>
    <row r="166" spans="2:19" ht="14.5">
      <c r="B166" s="9"/>
      <c r="E166" s="19" t="s">
        <v>17</v>
      </c>
      <c r="F166" s="19" t="s">
        <v>17</v>
      </c>
      <c r="G166" s="19" t="s">
        <v>17</v>
      </c>
      <c r="H166" s="19" t="s">
        <v>17</v>
      </c>
      <c r="I166" s="19" t="s">
        <v>17</v>
      </c>
      <c r="J166" s="19" t="s">
        <v>17</v>
      </c>
      <c r="K166" s="19" t="s">
        <v>17</v>
      </c>
      <c r="L166" s="19" t="s">
        <v>17</v>
      </c>
    </row>
    <row r="167" spans="2:19" ht="14.5">
      <c r="B167" s="9" t="s">
        <v>87</v>
      </c>
      <c r="E167" s="61">
        <f>SUM(E163:E166)</f>
        <v>91197.2</v>
      </c>
      <c r="F167" s="61">
        <f t="shared" ref="F167:L167" si="73">SUM(F163:F166)</f>
        <v>102638.76379564655</v>
      </c>
      <c r="G167" s="61">
        <f t="shared" si="73"/>
        <v>115920.43477042225</v>
      </c>
      <c r="H167" s="61">
        <f t="shared" si="73"/>
        <v>129801.95474418069</v>
      </c>
      <c r="I167" s="61">
        <f t="shared" si="73"/>
        <v>143476.94278690114</v>
      </c>
      <c r="J167" s="61">
        <f t="shared" si="73"/>
        <v>158455.04120168689</v>
      </c>
      <c r="K167" s="61">
        <f t="shared" si="73"/>
        <v>174166.01767528083</v>
      </c>
      <c r="L167" s="61">
        <f t="shared" si="73"/>
        <v>190643.96604032937</v>
      </c>
    </row>
    <row r="168" spans="2:19">
      <c r="B168" s="9"/>
    </row>
    <row r="169" spans="2:19">
      <c r="B169" s="9" t="s">
        <v>88</v>
      </c>
      <c r="E169" s="56">
        <f>ABS(E167-E147)</f>
        <v>1.4551915228366852E-11</v>
      </c>
      <c r="F169" s="56">
        <f t="shared" ref="F169:L169" si="74">ABS(F167-F147)</f>
        <v>3.9285853563342243E-4</v>
      </c>
      <c r="G169" s="62">
        <f t="shared" si="74"/>
        <v>4.1271873342338949E-3</v>
      </c>
      <c r="H169" s="56">
        <f t="shared" si="74"/>
        <v>1.2174980656709522E-4</v>
      </c>
      <c r="I169" s="56">
        <f t="shared" si="74"/>
        <v>1.6317478730343282E-4</v>
      </c>
      <c r="J169" s="56">
        <f t="shared" si="74"/>
        <v>3.3225043443962932E-4</v>
      </c>
      <c r="K169" s="56">
        <f t="shared" si="74"/>
        <v>3.9131598896346986E-4</v>
      </c>
      <c r="L169" s="56">
        <f t="shared" si="74"/>
        <v>4.3127138633280993E-4</v>
      </c>
    </row>
    <row r="173" spans="2:19" ht="17.5">
      <c r="B173" s="7" t="s">
        <v>96</v>
      </c>
      <c r="C173" s="7"/>
      <c r="D173" s="7"/>
      <c r="E173" s="7"/>
      <c r="F173" s="7"/>
      <c r="G173" s="7"/>
      <c r="H173" s="7"/>
      <c r="I173" s="7"/>
      <c r="J173" s="7"/>
    </row>
    <row r="174" spans="2:19">
      <c r="B174" s="13"/>
      <c r="C174" s="13"/>
      <c r="D174" s="13"/>
      <c r="E174" s="13"/>
      <c r="F174" s="13"/>
      <c r="G174" s="13"/>
      <c r="H174" s="13"/>
      <c r="I174" s="13"/>
      <c r="J174" s="13"/>
    </row>
    <row r="175" spans="2:19" ht="16">
      <c r="B175"/>
      <c r="C175" s="13"/>
      <c r="D175"/>
      <c r="E175" s="25"/>
      <c r="F175" s="45" t="s">
        <v>1</v>
      </c>
      <c r="G175" s="45"/>
      <c r="H175" s="45"/>
      <c r="I175" s="45"/>
      <c r="J175" s="45"/>
      <c r="K175" s="45"/>
      <c r="L175" s="45"/>
    </row>
    <row r="176" spans="2:19">
      <c r="B176"/>
      <c r="C176" s="46"/>
      <c r="D176"/>
      <c r="E176" s="47"/>
      <c r="F176" s="48">
        <f t="shared" ref="F176:L176" si="75">F124</f>
        <v>45657</v>
      </c>
      <c r="G176" s="48">
        <f t="shared" si="75"/>
        <v>46022</v>
      </c>
      <c r="H176" s="48">
        <f t="shared" si="75"/>
        <v>46387</v>
      </c>
      <c r="I176" s="48">
        <f t="shared" si="75"/>
        <v>46752</v>
      </c>
      <c r="J176" s="48">
        <f t="shared" si="75"/>
        <v>47118</v>
      </c>
      <c r="K176" s="48">
        <f t="shared" si="75"/>
        <v>47483</v>
      </c>
      <c r="L176" s="48">
        <f t="shared" si="75"/>
        <v>47848</v>
      </c>
    </row>
    <row r="177" spans="2:12">
      <c r="B177"/>
    </row>
    <row r="178" spans="2:12">
      <c r="B178" s="49" t="s">
        <v>97</v>
      </c>
    </row>
    <row r="180" spans="2:12">
      <c r="B180" s="14" t="s">
        <v>31</v>
      </c>
      <c r="F180" s="62">
        <f t="shared" ref="F180:L180" si="76">F68</f>
        <v>9148.0894706142863</v>
      </c>
      <c r="G180" s="62">
        <f t="shared" si="76"/>
        <v>9747.1188551492414</v>
      </c>
      <c r="H180" s="62">
        <f t="shared" si="76"/>
        <v>10161.315488773816</v>
      </c>
      <c r="I180" s="62">
        <f t="shared" si="76"/>
        <v>9999.0019109114946</v>
      </c>
      <c r="J180" s="62">
        <f t="shared" si="76"/>
        <v>10976.873422045372</v>
      </c>
      <c r="K180" s="62">
        <f t="shared" si="76"/>
        <v>11517.47649118027</v>
      </c>
      <c r="L180" s="62">
        <f t="shared" si="76"/>
        <v>12082.406698426241</v>
      </c>
    </row>
    <row r="181" spans="2:12">
      <c r="B181" s="9" t="s">
        <v>8</v>
      </c>
      <c r="F181" s="62">
        <f t="shared" ref="F181:L181" si="77">F15</f>
        <v>3174.4477049999996</v>
      </c>
      <c r="G181" s="62">
        <f t="shared" si="77"/>
        <v>3317.2978517249999</v>
      </c>
      <c r="H181" s="62">
        <f t="shared" si="77"/>
        <v>3466.5762550526251</v>
      </c>
      <c r="I181" s="62">
        <f t="shared" si="77"/>
        <v>3622.5721865299929</v>
      </c>
      <c r="J181" s="62">
        <f t="shared" si="77"/>
        <v>3785.587934923843</v>
      </c>
      <c r="K181" s="62">
        <f t="shared" si="77"/>
        <v>3955.9393919954159</v>
      </c>
      <c r="L181" s="62">
        <f t="shared" si="77"/>
        <v>4133.9566646352096</v>
      </c>
    </row>
    <row r="182" spans="2:12">
      <c r="B182" s="9" t="s">
        <v>109</v>
      </c>
      <c r="F182" s="22">
        <v>950</v>
      </c>
      <c r="G182" s="22">
        <f t="shared" ref="G182:L182" si="78">F182*1.05</f>
        <v>997.5</v>
      </c>
      <c r="H182" s="22">
        <f t="shared" si="78"/>
        <v>1047.375</v>
      </c>
      <c r="I182" s="22">
        <f t="shared" si="78"/>
        <v>1099.7437500000001</v>
      </c>
      <c r="J182" s="22">
        <f t="shared" si="78"/>
        <v>1154.7309375000002</v>
      </c>
      <c r="K182" s="22">
        <f t="shared" si="78"/>
        <v>1212.4674843750004</v>
      </c>
      <c r="L182" s="22">
        <f t="shared" si="78"/>
        <v>1273.0908585937505</v>
      </c>
    </row>
    <row r="183" spans="2:12" ht="14.5">
      <c r="B183" s="9"/>
      <c r="F183" s="63" t="s">
        <v>17</v>
      </c>
      <c r="G183" s="63" t="s">
        <v>17</v>
      </c>
      <c r="H183" s="63" t="s">
        <v>17</v>
      </c>
      <c r="I183" s="63" t="s">
        <v>17</v>
      </c>
      <c r="J183" s="63" t="s">
        <v>17</v>
      </c>
      <c r="K183" s="63" t="s">
        <v>17</v>
      </c>
      <c r="L183" s="63" t="s">
        <v>17</v>
      </c>
    </row>
    <row r="184" spans="2:12">
      <c r="B184" s="9" t="s">
        <v>98</v>
      </c>
      <c r="F184" s="22">
        <f t="shared" ref="F184:L184" si="79">SUM(F180:F183)</f>
        <v>13272.537175614285</v>
      </c>
      <c r="G184" s="22">
        <f t="shared" si="79"/>
        <v>14061.916706874241</v>
      </c>
      <c r="H184" s="22">
        <f t="shared" si="79"/>
        <v>14675.266743826442</v>
      </c>
      <c r="I184" s="22">
        <f t="shared" si="79"/>
        <v>14721.317847441487</v>
      </c>
      <c r="J184" s="22">
        <f t="shared" si="79"/>
        <v>15917.192294469216</v>
      </c>
      <c r="K184" s="22">
        <f t="shared" si="79"/>
        <v>16685.883367550687</v>
      </c>
      <c r="L184" s="22">
        <f t="shared" si="79"/>
        <v>17489.4542216552</v>
      </c>
    </row>
    <row r="185" spans="2:12">
      <c r="B185" s="18" t="s">
        <v>99</v>
      </c>
      <c r="F185" s="22">
        <f t="shared" ref="F185:L185" si="80">F107</f>
        <v>-1010.2661049483886</v>
      </c>
      <c r="G185" s="22">
        <f t="shared" si="80"/>
        <v>-221.65497472267634</v>
      </c>
      <c r="H185" s="22">
        <f t="shared" si="80"/>
        <v>-231.6294485851995</v>
      </c>
      <c r="I185" s="22">
        <f t="shared" si="80"/>
        <v>-242.05277377153106</v>
      </c>
      <c r="J185" s="22">
        <f t="shared" si="80"/>
        <v>-252.94514859125047</v>
      </c>
      <c r="K185" s="22">
        <f t="shared" si="80"/>
        <v>-264.32768027786005</v>
      </c>
      <c r="L185" s="22">
        <f t="shared" si="80"/>
        <v>-276.22242589035523</v>
      </c>
    </row>
    <row r="186" spans="2:12" ht="14.5">
      <c r="B186" s="9"/>
      <c r="F186" s="63" t="s">
        <v>17</v>
      </c>
      <c r="G186" s="63" t="s">
        <v>17</v>
      </c>
      <c r="H186" s="63" t="s">
        <v>17</v>
      </c>
      <c r="I186" s="63" t="s">
        <v>17</v>
      </c>
      <c r="J186" s="63" t="s">
        <v>17</v>
      </c>
      <c r="K186" s="63" t="s">
        <v>17</v>
      </c>
      <c r="L186" s="63" t="s">
        <v>17</v>
      </c>
    </row>
    <row r="187" spans="2:12">
      <c r="B187" s="9" t="s">
        <v>100</v>
      </c>
      <c r="F187" s="22">
        <f t="shared" ref="F187:L187" si="81">SUM(F184:F186)</f>
        <v>12262.271070665896</v>
      </c>
      <c r="G187" s="22">
        <f t="shared" si="81"/>
        <v>13840.261732151565</v>
      </c>
      <c r="H187" s="22">
        <f t="shared" si="81"/>
        <v>14443.637295241242</v>
      </c>
      <c r="I187" s="22">
        <f t="shared" si="81"/>
        <v>14479.265073669956</v>
      </c>
      <c r="J187" s="22">
        <f t="shared" si="81"/>
        <v>15664.247145877966</v>
      </c>
      <c r="K187" s="22">
        <f t="shared" si="81"/>
        <v>16421.555687272827</v>
      </c>
      <c r="L187" s="22">
        <f t="shared" si="81"/>
        <v>17213.231795764845</v>
      </c>
    </row>
    <row r="188" spans="2:12">
      <c r="B188" s="9"/>
      <c r="G188" s="13"/>
      <c r="H188" s="13"/>
      <c r="I188" s="13"/>
      <c r="J188" s="13"/>
    </row>
    <row r="189" spans="2:12">
      <c r="B189" s="49" t="s">
        <v>101</v>
      </c>
      <c r="G189" s="13"/>
      <c r="H189" s="13"/>
      <c r="I189" s="13"/>
      <c r="J189" s="13"/>
    </row>
    <row r="190" spans="2:12">
      <c r="B190" s="9"/>
      <c r="G190" s="13"/>
      <c r="H190" s="13"/>
      <c r="I190" s="13"/>
      <c r="J190" s="13"/>
    </row>
    <row r="191" spans="2:12">
      <c r="B191" s="64" t="s">
        <v>102</v>
      </c>
      <c r="F191" s="22">
        <f t="shared" ref="F191:L191" si="82">-F39</f>
        <v>-6500</v>
      </c>
      <c r="G191" s="22">
        <f t="shared" si="82"/>
        <v>-6816.3654487499998</v>
      </c>
      <c r="H191" s="22">
        <f t="shared" si="82"/>
        <v>-7123.1018939437499</v>
      </c>
      <c r="I191" s="22">
        <f t="shared" si="82"/>
        <v>-7443.6414791712186</v>
      </c>
      <c r="J191" s="22">
        <f t="shared" si="82"/>
        <v>-7778.605345733924</v>
      </c>
      <c r="K191" s="22">
        <f t="shared" si="82"/>
        <v>-8128.6425862919514</v>
      </c>
      <c r="L191" s="22">
        <f t="shared" si="82"/>
        <v>-8494.4315026750883</v>
      </c>
    </row>
    <row r="192" spans="2:12">
      <c r="B192" s="64" t="s">
        <v>103</v>
      </c>
      <c r="F192" s="22">
        <v>0</v>
      </c>
      <c r="G192" s="22">
        <v>0</v>
      </c>
      <c r="H192" s="22">
        <v>0</v>
      </c>
      <c r="I192" s="22">
        <v>0</v>
      </c>
      <c r="J192" s="22">
        <v>0</v>
      </c>
      <c r="K192" s="22">
        <v>0</v>
      </c>
      <c r="L192" s="22">
        <v>0</v>
      </c>
    </row>
    <row r="193" spans="2:15" ht="14.5">
      <c r="B193" s="60"/>
      <c r="F193" s="63" t="s">
        <v>17</v>
      </c>
      <c r="G193" s="63" t="s">
        <v>17</v>
      </c>
      <c r="H193" s="63" t="s">
        <v>17</v>
      </c>
      <c r="I193" s="63" t="s">
        <v>17</v>
      </c>
      <c r="J193" s="63" t="s">
        <v>17</v>
      </c>
      <c r="K193" s="63" t="s">
        <v>17</v>
      </c>
      <c r="L193" s="63" t="s">
        <v>17</v>
      </c>
    </row>
    <row r="194" spans="2:15">
      <c r="B194" s="60" t="s">
        <v>104</v>
      </c>
      <c r="F194" s="22">
        <f t="shared" ref="F194:L194" si="83">SUM(F191:F193)</f>
        <v>-6500</v>
      </c>
      <c r="G194" s="22">
        <f t="shared" si="83"/>
        <v>-6816.3654487499998</v>
      </c>
      <c r="H194" s="22">
        <f t="shared" si="83"/>
        <v>-7123.1018939437499</v>
      </c>
      <c r="I194" s="22">
        <f t="shared" si="83"/>
        <v>-7443.6414791712186</v>
      </c>
      <c r="J194" s="22">
        <f t="shared" si="83"/>
        <v>-7778.605345733924</v>
      </c>
      <c r="K194" s="22">
        <f t="shared" si="83"/>
        <v>-8128.6425862919514</v>
      </c>
      <c r="L194" s="22">
        <f t="shared" si="83"/>
        <v>-8494.4315026750883</v>
      </c>
    </row>
    <row r="195" spans="2:15">
      <c r="B195" s="9"/>
      <c r="F195" s="22"/>
      <c r="G195" s="22"/>
      <c r="H195" s="22"/>
      <c r="I195" s="22"/>
      <c r="J195" s="22"/>
    </row>
    <row r="196" spans="2:15">
      <c r="B196" s="9"/>
      <c r="G196" s="13"/>
      <c r="H196" s="13"/>
      <c r="I196" s="13"/>
      <c r="J196" s="13"/>
    </row>
    <row r="197" spans="2:15">
      <c r="B197" s="9" t="s">
        <v>105</v>
      </c>
      <c r="F197" s="22">
        <f>SUM(F187,F194)</f>
        <v>5762.2710706658963</v>
      </c>
      <c r="G197" s="22">
        <f t="shared" ref="G197:L197" si="84">SUM(G187,G194)</f>
        <v>7023.8962834015647</v>
      </c>
      <c r="H197" s="22">
        <f t="shared" si="84"/>
        <v>7320.5354012974922</v>
      </c>
      <c r="I197" s="22">
        <f t="shared" si="84"/>
        <v>7035.6235944987375</v>
      </c>
      <c r="J197" s="22">
        <f t="shared" si="84"/>
        <v>7885.6418001440416</v>
      </c>
      <c r="K197" s="22">
        <f t="shared" si="84"/>
        <v>8292.9131009808752</v>
      </c>
      <c r="L197" s="22">
        <f t="shared" si="84"/>
        <v>8718.8002930897565</v>
      </c>
    </row>
    <row r="198" spans="2:15">
      <c r="B198" s="9"/>
    </row>
    <row r="199" spans="2:15">
      <c r="B199" s="49" t="s">
        <v>106</v>
      </c>
    </row>
    <row r="200" spans="2:15">
      <c r="B200" s="9"/>
    </row>
    <row r="201" spans="2:15">
      <c r="B201" s="9" t="s">
        <v>80</v>
      </c>
      <c r="F201" s="350">
        <f>F227</f>
        <v>0</v>
      </c>
      <c r="G201" s="350">
        <f t="shared" ref="G201:L201" si="85">G227</f>
        <v>0</v>
      </c>
      <c r="H201" s="350">
        <f t="shared" si="85"/>
        <v>0</v>
      </c>
      <c r="I201" s="350">
        <f t="shared" si="85"/>
        <v>0</v>
      </c>
      <c r="J201" s="350">
        <f t="shared" si="85"/>
        <v>0</v>
      </c>
      <c r="K201" s="350">
        <f t="shared" si="85"/>
        <v>0</v>
      </c>
      <c r="L201" s="350">
        <f t="shared" si="85"/>
        <v>0</v>
      </c>
      <c r="M201" s="157"/>
    </row>
    <row r="202" spans="2:15">
      <c r="B202" s="9" t="s">
        <v>81</v>
      </c>
      <c r="F202" s="350">
        <f>-F228</f>
        <v>-1709.7142857142858</v>
      </c>
      <c r="G202" s="350">
        <f t="shared" ref="G202:L202" si="86">-G228</f>
        <v>-1709.7142857142858</v>
      </c>
      <c r="H202" s="350">
        <f t="shared" si="86"/>
        <v>-1709.7142857142858</v>
      </c>
      <c r="I202" s="350">
        <f t="shared" si="86"/>
        <v>-1709.7142857142858</v>
      </c>
      <c r="J202" s="350">
        <f t="shared" si="86"/>
        <v>-1709.7142857142858</v>
      </c>
      <c r="K202" s="350">
        <f t="shared" si="86"/>
        <v>-1709.7142857142858</v>
      </c>
      <c r="L202" s="350">
        <f t="shared" si="86"/>
        <v>-1709.7142857142858</v>
      </c>
    </row>
    <row r="203" spans="2:15">
      <c r="B203" s="9" t="s">
        <v>82</v>
      </c>
      <c r="F203" s="350">
        <f t="shared" ref="F203:L203" si="87">F229</f>
        <v>0</v>
      </c>
      <c r="G203" s="350">
        <f t="shared" si="87"/>
        <v>0</v>
      </c>
      <c r="H203" s="350">
        <f t="shared" si="87"/>
        <v>0</v>
      </c>
      <c r="I203" s="350">
        <f t="shared" si="87"/>
        <v>0</v>
      </c>
      <c r="J203" s="350">
        <f t="shared" si="87"/>
        <v>0</v>
      </c>
      <c r="K203" s="350">
        <f t="shared" si="87"/>
        <v>0</v>
      </c>
      <c r="L203" s="350">
        <f t="shared" si="87"/>
        <v>0</v>
      </c>
    </row>
    <row r="204" spans="2:15">
      <c r="B204" s="9" t="s">
        <v>404</v>
      </c>
      <c r="F204" s="350">
        <f>F61</f>
        <v>-93.9696</v>
      </c>
      <c r="G204" s="350">
        <f t="shared" ref="G204:L204" si="88">G61</f>
        <v>-91.04876717341935</v>
      </c>
      <c r="H204" s="350">
        <f t="shared" si="88"/>
        <v>-95.145961696223239</v>
      </c>
      <c r="I204" s="350">
        <f t="shared" si="88"/>
        <v>-99.427529972553273</v>
      </c>
      <c r="J204" s="350">
        <f t="shared" si="88"/>
        <v>-103.90176882131817</v>
      </c>
      <c r="K204" s="350">
        <f t="shared" si="88"/>
        <v>-108.5773484182775</v>
      </c>
      <c r="L204" s="350">
        <f t="shared" si="88"/>
        <v>-113.46332909709997</v>
      </c>
    </row>
    <row r="205" spans="2:15">
      <c r="B205" s="9" t="s">
        <v>405</v>
      </c>
      <c r="F205" s="350">
        <v>2300</v>
      </c>
      <c r="G205" s="350">
        <v>2300</v>
      </c>
      <c r="H205" s="350">
        <v>2300</v>
      </c>
      <c r="I205" s="350">
        <v>2300</v>
      </c>
      <c r="J205" s="350">
        <v>2300</v>
      </c>
      <c r="K205" s="350">
        <v>2300</v>
      </c>
      <c r="L205" s="350">
        <v>2300</v>
      </c>
    </row>
    <row r="206" spans="2:15">
      <c r="B206" s="9" t="s">
        <v>403</v>
      </c>
      <c r="F206" s="350">
        <f>-(0.6) *F68</f>
        <v>-5488.8536823685718</v>
      </c>
      <c r="G206" s="350">
        <f t="shared" ref="G206:L206" si="89">-(0.6) *G68</f>
        <v>-5848.2713130895445</v>
      </c>
      <c r="H206" s="350">
        <f t="shared" si="89"/>
        <v>-6096.7892932642899</v>
      </c>
      <c r="I206" s="350">
        <f t="shared" si="89"/>
        <v>-5999.4011465468966</v>
      </c>
      <c r="J206" s="350">
        <f t="shared" si="89"/>
        <v>-6586.1240532272232</v>
      </c>
      <c r="K206" s="350">
        <f t="shared" si="89"/>
        <v>-6910.485894708162</v>
      </c>
      <c r="L206" s="350">
        <f t="shared" si="89"/>
        <v>-7249.4440190557443</v>
      </c>
    </row>
    <row r="207" spans="2:15" ht="14.5">
      <c r="B207" s="9"/>
      <c r="F207" s="63" t="s">
        <v>17</v>
      </c>
      <c r="G207" s="63" t="s">
        <v>17</v>
      </c>
      <c r="H207" s="63" t="s">
        <v>17</v>
      </c>
      <c r="I207" s="63" t="s">
        <v>17</v>
      </c>
      <c r="J207" s="63" t="s">
        <v>17</v>
      </c>
      <c r="K207" s="63" t="s">
        <v>17</v>
      </c>
      <c r="L207" s="63" t="s">
        <v>17</v>
      </c>
    </row>
    <row r="208" spans="2:15" ht="14.5">
      <c r="B208" s="9" t="s">
        <v>107</v>
      </c>
      <c r="F208" s="350">
        <f>SUM(F201:F206)</f>
        <v>-4992.5375680828574</v>
      </c>
      <c r="G208" s="350">
        <f t="shared" ref="G208:L208" si="90">SUM(G201:G206)</f>
        <v>-5349.0343659772498</v>
      </c>
      <c r="H208" s="350">
        <f t="shared" si="90"/>
        <v>-5601.649540674799</v>
      </c>
      <c r="I208" s="350">
        <f t="shared" si="90"/>
        <v>-5508.542962233736</v>
      </c>
      <c r="J208" s="350">
        <f t="shared" si="90"/>
        <v>-6099.7401077628274</v>
      </c>
      <c r="K208" s="350">
        <f t="shared" si="90"/>
        <v>-6428.7775288407256</v>
      </c>
      <c r="L208" s="350">
        <f t="shared" si="90"/>
        <v>-6772.6216338671302</v>
      </c>
      <c r="O208" s="63"/>
    </row>
    <row r="209" spans="2:15" ht="14.5">
      <c r="B209" s="9"/>
      <c r="F209" s="350"/>
      <c r="G209" s="421"/>
      <c r="H209" s="421"/>
      <c r="I209" s="421"/>
      <c r="J209" s="421"/>
      <c r="K209" s="421"/>
      <c r="L209" s="421"/>
      <c r="N209" s="59"/>
      <c r="O209" s="63"/>
    </row>
    <row r="210" spans="2:15" ht="14.5">
      <c r="B210" s="9"/>
      <c r="F210" s="63"/>
      <c r="G210" s="350"/>
      <c r="H210" s="350"/>
      <c r="I210" s="350"/>
      <c r="J210" s="350"/>
      <c r="K210" s="350"/>
      <c r="L210" s="350"/>
    </row>
    <row r="211" spans="2:15">
      <c r="B211" s="9" t="s">
        <v>108</v>
      </c>
      <c r="F211" s="362">
        <f t="shared" ref="F211:L211" si="91">SUM(F197,F208)</f>
        <v>769.7335025830389</v>
      </c>
      <c r="G211" s="362">
        <f t="shared" si="91"/>
        <v>1674.8619174243149</v>
      </c>
      <c r="H211" s="362">
        <f t="shared" si="91"/>
        <v>1718.8858606226931</v>
      </c>
      <c r="I211" s="362">
        <f t="shared" si="91"/>
        <v>1527.0806322650014</v>
      </c>
      <c r="J211" s="362">
        <f t="shared" si="91"/>
        <v>1785.9016923812142</v>
      </c>
      <c r="K211" s="362">
        <f t="shared" si="91"/>
        <v>1864.1355721401496</v>
      </c>
      <c r="L211" s="362">
        <f t="shared" si="91"/>
        <v>1946.1786592226263</v>
      </c>
    </row>
    <row r="212" spans="2:15">
      <c r="B212" s="9"/>
      <c r="F212" s="65"/>
    </row>
    <row r="214" spans="2:15">
      <c r="C214" s="351"/>
      <c r="D214" s="351"/>
      <c r="E214" s="351"/>
      <c r="F214" s="351"/>
      <c r="G214" s="351"/>
      <c r="H214" s="351"/>
      <c r="I214" s="351"/>
      <c r="J214" s="351"/>
    </row>
    <row r="215" spans="2:15" ht="13" customHeight="1">
      <c r="B215" s="456" t="s">
        <v>415</v>
      </c>
      <c r="C215" s="456"/>
      <c r="D215" s="456"/>
      <c r="E215" s="456"/>
      <c r="F215" s="456"/>
      <c r="G215" s="456"/>
      <c r="H215" s="456"/>
      <c r="I215" s="456"/>
      <c r="J215" s="456"/>
      <c r="K215" s="456"/>
      <c r="L215" s="456"/>
    </row>
    <row r="216" spans="2:15" ht="16">
      <c r="B216"/>
      <c r="E216"/>
      <c r="F216" s="45" t="s">
        <v>1</v>
      </c>
      <c r="G216" s="45"/>
      <c r="H216" s="45"/>
      <c r="I216" s="45"/>
      <c r="J216" s="45"/>
      <c r="K216" s="45"/>
      <c r="L216" s="45"/>
    </row>
    <row r="217" spans="2:15">
      <c r="B217"/>
      <c r="E217"/>
      <c r="F217" s="359">
        <f t="shared" ref="F217:L217" si="92">F176</f>
        <v>45657</v>
      </c>
      <c r="G217" s="359">
        <f t="shared" si="92"/>
        <v>46022</v>
      </c>
      <c r="H217" s="359">
        <f t="shared" si="92"/>
        <v>46387</v>
      </c>
      <c r="I217" s="359">
        <f t="shared" si="92"/>
        <v>46752</v>
      </c>
      <c r="J217" s="359">
        <f t="shared" si="92"/>
        <v>47118</v>
      </c>
      <c r="K217" s="359">
        <f t="shared" si="92"/>
        <v>47483</v>
      </c>
      <c r="L217" s="359">
        <f t="shared" si="92"/>
        <v>47848</v>
      </c>
    </row>
    <row r="218" spans="2:15">
      <c r="B218" s="302"/>
    </row>
    <row r="219" spans="2:15">
      <c r="B219" s="352" t="s">
        <v>323</v>
      </c>
      <c r="F219" s="9"/>
    </row>
    <row r="220" spans="2:15">
      <c r="B220" s="64" t="s">
        <v>80</v>
      </c>
      <c r="F220" s="356">
        <v>0</v>
      </c>
      <c r="G220" s="356">
        <v>0</v>
      </c>
      <c r="H220" s="356">
        <v>0</v>
      </c>
      <c r="I220" s="356">
        <v>0</v>
      </c>
      <c r="J220" s="356">
        <v>0</v>
      </c>
      <c r="K220" s="356">
        <v>0</v>
      </c>
      <c r="L220" s="356">
        <v>0</v>
      </c>
    </row>
    <row r="221" spans="2:15">
      <c r="B221" s="55" t="s">
        <v>81</v>
      </c>
      <c r="C221" s="353" t="s">
        <v>324</v>
      </c>
      <c r="D221" s="354"/>
      <c r="E221" s="355">
        <v>7</v>
      </c>
      <c r="F221" s="356">
        <f>IF(ISERROR(E159/E221),"NA", E159/E221)</f>
        <v>1709.7142857142858</v>
      </c>
      <c r="G221" s="356">
        <f>F221</f>
        <v>1709.7142857142858</v>
      </c>
      <c r="H221" s="356">
        <f>G221</f>
        <v>1709.7142857142858</v>
      </c>
      <c r="I221" s="356">
        <f>H221</f>
        <v>1709.7142857142858</v>
      </c>
      <c r="J221" s="356">
        <f>I221</f>
        <v>1709.7142857142858</v>
      </c>
      <c r="K221" s="356">
        <f t="shared" ref="K221:L221" si="93">J221</f>
        <v>1709.7142857142858</v>
      </c>
      <c r="L221" s="356">
        <f t="shared" si="93"/>
        <v>1709.7142857142858</v>
      </c>
    </row>
    <row r="222" spans="2:15">
      <c r="B222" s="55" t="s">
        <v>82</v>
      </c>
      <c r="C222" s="157"/>
      <c r="D222" s="157"/>
      <c r="E222" s="157"/>
      <c r="F222" s="356">
        <v>0</v>
      </c>
      <c r="G222" s="356">
        <v>0</v>
      </c>
      <c r="H222" s="356">
        <v>0</v>
      </c>
      <c r="I222" s="356">
        <v>0</v>
      </c>
      <c r="J222" s="356">
        <v>0</v>
      </c>
      <c r="K222" s="356">
        <v>0</v>
      </c>
      <c r="L222" s="356">
        <v>0</v>
      </c>
    </row>
    <row r="223" spans="2:15">
      <c r="B223" s="9"/>
      <c r="C223" s="157"/>
      <c r="D223" s="157"/>
      <c r="E223" s="157"/>
      <c r="F223"/>
      <c r="G223" s="302"/>
      <c r="H223" s="302"/>
      <c r="I223" s="302"/>
      <c r="J223" s="302"/>
    </row>
    <row r="224" spans="2:15">
      <c r="B224" s="49" t="s">
        <v>325</v>
      </c>
      <c r="C224" s="157"/>
      <c r="D224" s="157"/>
      <c r="E224" s="157"/>
      <c r="F224"/>
      <c r="G224" s="302"/>
      <c r="H224" s="302"/>
      <c r="I224" s="302"/>
      <c r="J224" s="302"/>
    </row>
    <row r="225" spans="2:12">
      <c r="B225" s="49"/>
      <c r="C225" s="157"/>
      <c r="D225" s="157"/>
      <c r="E225" s="157"/>
      <c r="F225"/>
      <c r="G225" s="302"/>
      <c r="H225" s="302"/>
      <c r="I225" s="302"/>
      <c r="J225" s="302"/>
    </row>
    <row r="226" spans="2:12">
      <c r="B226" s="352" t="s">
        <v>326</v>
      </c>
      <c r="C226" s="302"/>
      <c r="D226" s="302"/>
      <c r="E226" s="4"/>
      <c r="F226"/>
      <c r="G226" s="302"/>
      <c r="H226" s="302"/>
      <c r="I226" s="302"/>
      <c r="J226" s="302"/>
    </row>
    <row r="227" spans="2:12">
      <c r="B227" s="55" t="s">
        <v>80</v>
      </c>
      <c r="C227" s="302"/>
      <c r="D227" s="302"/>
      <c r="E227" s="4"/>
      <c r="F227" s="22">
        <f t="shared" ref="F227:L227" si="94">MIN(F220,E156)</f>
        <v>0</v>
      </c>
      <c r="G227" s="22">
        <f t="shared" si="94"/>
        <v>0</v>
      </c>
      <c r="H227" s="22">
        <f t="shared" si="94"/>
        <v>0</v>
      </c>
      <c r="I227" s="22">
        <f t="shared" si="94"/>
        <v>0</v>
      </c>
      <c r="J227" s="22">
        <f t="shared" si="94"/>
        <v>0</v>
      </c>
      <c r="K227" s="22">
        <f t="shared" si="94"/>
        <v>0</v>
      </c>
      <c r="L227" s="22">
        <f t="shared" si="94"/>
        <v>0</v>
      </c>
    </row>
    <row r="228" spans="2:12">
      <c r="B228" s="55" t="s">
        <v>81</v>
      </c>
      <c r="C228"/>
      <c r="D228"/>
      <c r="E228"/>
      <c r="F228" s="22">
        <f>MIN(F221,E159)</f>
        <v>1709.7142857142858</v>
      </c>
      <c r="G228" s="22">
        <f t="shared" ref="G228:L229" si="95">MIN(G221,F157)</f>
        <v>1709.7142857142858</v>
      </c>
      <c r="H228" s="22">
        <f t="shared" si="95"/>
        <v>1709.7142857142858</v>
      </c>
      <c r="I228" s="22">
        <f t="shared" si="95"/>
        <v>1709.7142857142858</v>
      </c>
      <c r="J228" s="22">
        <f t="shared" si="95"/>
        <v>1709.7142857142858</v>
      </c>
      <c r="K228" s="22">
        <f t="shared" si="95"/>
        <v>1709.7142857142858</v>
      </c>
      <c r="L228" s="22">
        <f t="shared" si="95"/>
        <v>1709.7142857142858</v>
      </c>
    </row>
    <row r="229" spans="2:12">
      <c r="B229" s="55" t="s">
        <v>82</v>
      </c>
      <c r="C229" s="157"/>
      <c r="D229" s="157"/>
      <c r="E229" s="157"/>
      <c r="F229" s="22">
        <f>MIN(F222,E158)</f>
        <v>0</v>
      </c>
      <c r="G229" s="22">
        <f t="shared" si="95"/>
        <v>0</v>
      </c>
      <c r="H229" s="22">
        <f t="shared" si="95"/>
        <v>0</v>
      </c>
      <c r="I229" s="22">
        <f t="shared" si="95"/>
        <v>0</v>
      </c>
      <c r="J229" s="22">
        <f t="shared" si="95"/>
        <v>0</v>
      </c>
      <c r="K229" s="22">
        <f t="shared" si="95"/>
        <v>0</v>
      </c>
      <c r="L229" s="22">
        <f t="shared" si="95"/>
        <v>0</v>
      </c>
    </row>
    <row r="230" spans="2:12" ht="14.5">
      <c r="B230" s="9"/>
      <c r="C230" s="157"/>
      <c r="D230" s="157"/>
      <c r="E230" s="157"/>
      <c r="F230" s="19" t="s">
        <v>17</v>
      </c>
      <c r="G230" s="19" t="s">
        <v>17</v>
      </c>
      <c r="H230" s="19" t="s">
        <v>17</v>
      </c>
      <c r="I230" s="19" t="s">
        <v>17</v>
      </c>
      <c r="J230" s="19" t="s">
        <v>17</v>
      </c>
      <c r="K230" s="19" t="s">
        <v>17</v>
      </c>
      <c r="L230" s="19" t="s">
        <v>17</v>
      </c>
    </row>
    <row r="231" spans="2:12">
      <c r="B231" s="9" t="s">
        <v>326</v>
      </c>
      <c r="C231" s="157"/>
      <c r="D231" s="157"/>
      <c r="E231" s="157"/>
      <c r="F231" s="22">
        <f>SUM(F227:F230)</f>
        <v>1709.7142857142858</v>
      </c>
      <c r="G231" s="22">
        <f>SUM(G227:G230)</f>
        <v>1709.7142857142858</v>
      </c>
      <c r="H231" s="22">
        <f>SUM(H227:H230)</f>
        <v>1709.7142857142858</v>
      </c>
      <c r="I231" s="22">
        <f>SUM(I227:I230)</f>
        <v>1709.7142857142858</v>
      </c>
      <c r="J231" s="22">
        <f>SUM(J227:J230)</f>
        <v>1709.7142857142858</v>
      </c>
      <c r="K231" s="22">
        <f t="shared" ref="K231:L231" si="96">SUM(K227:K230)</f>
        <v>1709.7142857142858</v>
      </c>
      <c r="L231" s="22">
        <f t="shared" si="96"/>
        <v>1709.7142857142858</v>
      </c>
    </row>
    <row r="232" spans="2:12">
      <c r="B232" s="9"/>
      <c r="C232" s="157"/>
      <c r="D232" s="157"/>
      <c r="E232" s="157"/>
      <c r="G232" s="157"/>
      <c r="H232" s="157"/>
      <c r="I232" s="157"/>
      <c r="J232" s="157"/>
    </row>
    <row r="233" spans="2:12" ht="14.5">
      <c r="B233" s="9"/>
      <c r="F233" s="19" t="s">
        <v>17</v>
      </c>
      <c r="G233" s="19" t="s">
        <v>17</v>
      </c>
      <c r="H233" s="19" t="s">
        <v>17</v>
      </c>
      <c r="I233" s="19" t="s">
        <v>17</v>
      </c>
      <c r="J233" s="19" t="s">
        <v>17</v>
      </c>
      <c r="K233" s="19" t="s">
        <v>17</v>
      </c>
      <c r="L233" s="19" t="s">
        <v>17</v>
      </c>
    </row>
    <row r="234" spans="2:12">
      <c r="B234" s="9" t="s">
        <v>327</v>
      </c>
      <c r="F234" s="22">
        <f t="shared" ref="F234:L234" si="97">SUM(F233:F233,F231)</f>
        <v>1709.7142857142858</v>
      </c>
      <c r="G234" s="22">
        <f t="shared" si="97"/>
        <v>1709.7142857142858</v>
      </c>
      <c r="H234" s="22">
        <f t="shared" si="97"/>
        <v>1709.7142857142858</v>
      </c>
      <c r="I234" s="22">
        <f t="shared" si="97"/>
        <v>1709.7142857142858</v>
      </c>
      <c r="J234" s="22">
        <f t="shared" si="97"/>
        <v>1709.7142857142858</v>
      </c>
      <c r="K234" s="22">
        <f t="shared" si="97"/>
        <v>1709.7142857142858</v>
      </c>
      <c r="L234" s="22">
        <f t="shared" si="97"/>
        <v>1709.7142857142858</v>
      </c>
    </row>
    <row r="235" spans="2:12">
      <c r="B235" s="9" t="s">
        <v>328</v>
      </c>
      <c r="F235" s="22">
        <f>MAX(F244-F234,0)</f>
        <v>5248.3167849516103</v>
      </c>
      <c r="G235" s="22">
        <f>MAX(G244-G234,0)</f>
        <v>5793.5823347182468</v>
      </c>
      <c r="H235" s="22">
        <f>MAX(H244-H234,0)</f>
        <v>6111.8284677805677</v>
      </c>
      <c r="I235" s="22">
        <f>MAX(I244-I234,0)</f>
        <v>5849.4389918306933</v>
      </c>
      <c r="J235" s="22">
        <f>MAX(J244-J234,0)</f>
        <v>6723.0255332130782</v>
      </c>
      <c r="K235" s="22">
        <f t="shared" ref="K235:L235" si="98">MAX(K244-K234,0)</f>
        <v>7154.929744895162</v>
      </c>
      <c r="L235" s="22">
        <f t="shared" si="98"/>
        <v>7606.5203288373268</v>
      </c>
    </row>
    <row r="236" spans="2:12" ht="14.5">
      <c r="B236" s="9"/>
      <c r="F236" s="19" t="s">
        <v>17</v>
      </c>
      <c r="G236" s="19" t="s">
        <v>17</v>
      </c>
      <c r="H236" s="19" t="s">
        <v>17</v>
      </c>
      <c r="I236" s="19" t="s">
        <v>17</v>
      </c>
      <c r="J236" s="19" t="s">
        <v>17</v>
      </c>
      <c r="K236" s="19" t="s">
        <v>17</v>
      </c>
      <c r="L236" s="19" t="s">
        <v>17</v>
      </c>
    </row>
    <row r="237" spans="2:12">
      <c r="B237" s="357" t="s">
        <v>329</v>
      </c>
      <c r="F237" s="29">
        <f>SUM(F234:F235)</f>
        <v>6958.0310706658966</v>
      </c>
      <c r="G237" s="29">
        <f>SUM(G234:G235)</f>
        <v>7503.296620432533</v>
      </c>
      <c r="H237" s="29">
        <f>SUM(H234:H235)</f>
        <v>7821.542753494854</v>
      </c>
      <c r="I237" s="29">
        <f>SUM(I234:I235)</f>
        <v>7559.1532775449796</v>
      </c>
      <c r="J237" s="29">
        <f>SUM(J234:J235)</f>
        <v>8432.7398189273645</v>
      </c>
      <c r="K237" s="29">
        <f t="shared" ref="K237:L237" si="99">SUM(K234:K235)</f>
        <v>8864.6440306094482</v>
      </c>
      <c r="L237" s="29">
        <f t="shared" si="99"/>
        <v>9316.234614551613</v>
      </c>
    </row>
    <row r="238" spans="2:12">
      <c r="B238" s="9"/>
      <c r="G238" s="157"/>
      <c r="H238" s="157"/>
      <c r="I238" s="157"/>
      <c r="J238" s="157"/>
      <c r="K238" s="157"/>
      <c r="L238" s="157"/>
    </row>
    <row r="239" spans="2:12">
      <c r="B239" s="49" t="s">
        <v>330</v>
      </c>
      <c r="G239" s="157"/>
      <c r="H239" s="157"/>
      <c r="I239" s="157"/>
      <c r="J239" s="157"/>
      <c r="K239" s="157"/>
      <c r="L239" s="157"/>
    </row>
    <row r="240" spans="2:12">
      <c r="B240" s="9"/>
      <c r="G240" s="157"/>
      <c r="H240" s="157"/>
      <c r="I240" s="157"/>
      <c r="J240" s="157"/>
      <c r="K240" s="157"/>
      <c r="L240" s="157"/>
    </row>
    <row r="241" spans="2:12">
      <c r="B241" s="9" t="s">
        <v>331</v>
      </c>
      <c r="F241" s="358">
        <f t="shared" ref="F241:L241" si="100">E127</f>
        <v>1195.7600000000002</v>
      </c>
      <c r="G241" s="358">
        <f t="shared" si="100"/>
        <v>479.40033703096742</v>
      </c>
      <c r="H241" s="358">
        <f t="shared" si="100"/>
        <v>501.00735219736134</v>
      </c>
      <c r="I241" s="358">
        <f t="shared" si="100"/>
        <v>523.52968304624164</v>
      </c>
      <c r="J241" s="358">
        <f t="shared" si="100"/>
        <v>547.09801878332291</v>
      </c>
      <c r="K241" s="358">
        <f t="shared" si="100"/>
        <v>571.73092962857299</v>
      </c>
      <c r="L241" s="358">
        <f t="shared" si="100"/>
        <v>597.43432146185614</v>
      </c>
    </row>
    <row r="242" spans="2:12">
      <c r="B242" s="9" t="s">
        <v>332</v>
      </c>
      <c r="F242" s="22">
        <f t="shared" ref="F242:L242" si="101">F197</f>
        <v>5762.2710706658963</v>
      </c>
      <c r="G242" s="22">
        <f t="shared" si="101"/>
        <v>7023.8962834015647</v>
      </c>
      <c r="H242" s="22">
        <f t="shared" si="101"/>
        <v>7320.5354012974922</v>
      </c>
      <c r="I242" s="22">
        <f t="shared" si="101"/>
        <v>7035.6235944987375</v>
      </c>
      <c r="J242" s="22">
        <f t="shared" si="101"/>
        <v>7885.6418001440416</v>
      </c>
      <c r="K242" s="22">
        <f t="shared" si="101"/>
        <v>8292.9131009808752</v>
      </c>
      <c r="L242" s="22">
        <f t="shared" si="101"/>
        <v>8718.8002930897565</v>
      </c>
    </row>
    <row r="243" spans="2:12" ht="14.5">
      <c r="B243" s="9"/>
      <c r="F243" s="19" t="s">
        <v>17</v>
      </c>
      <c r="G243" s="19" t="s">
        <v>17</v>
      </c>
      <c r="H243" s="19" t="s">
        <v>17</v>
      </c>
      <c r="I243" s="19" t="s">
        <v>17</v>
      </c>
      <c r="J243" s="19" t="s">
        <v>17</v>
      </c>
      <c r="K243" s="19" t="s">
        <v>17</v>
      </c>
      <c r="L243" s="19" t="s">
        <v>17</v>
      </c>
    </row>
    <row r="244" spans="2:12">
      <c r="B244" s="9" t="s">
        <v>333</v>
      </c>
      <c r="F244" s="22">
        <f>SUM(F241:F243)</f>
        <v>6958.0310706658966</v>
      </c>
      <c r="G244" s="22">
        <f>SUM(G241:G243)</f>
        <v>7503.2966204325321</v>
      </c>
      <c r="H244" s="22">
        <f>SUM(H241:H243)</f>
        <v>7821.542753494854</v>
      </c>
      <c r="I244" s="22">
        <f>SUM(I241:I243)</f>
        <v>7559.1532775449796</v>
      </c>
      <c r="J244" s="22">
        <f>SUM(J241:J243)</f>
        <v>8432.7398189273645</v>
      </c>
      <c r="K244" s="22">
        <f t="shared" ref="K244:L244" si="102">SUM(K241:K243)</f>
        <v>8864.6440306094482</v>
      </c>
      <c r="L244" s="22">
        <f t="shared" si="102"/>
        <v>9316.234614551613</v>
      </c>
    </row>
    <row r="245" spans="2:12">
      <c r="B245" s="9" t="s">
        <v>334</v>
      </c>
      <c r="F245" s="22">
        <f>MAX(F237-F244,0)</f>
        <v>0</v>
      </c>
      <c r="G245" s="22">
        <f t="shared" ref="G245:L245" si="103">MAX(G237-G244,0)</f>
        <v>9.0949470177292824E-13</v>
      </c>
      <c r="H245" s="22">
        <f t="shared" si="103"/>
        <v>0</v>
      </c>
      <c r="I245" s="22">
        <f t="shared" si="103"/>
        <v>0</v>
      </c>
      <c r="J245" s="22">
        <f t="shared" si="103"/>
        <v>0</v>
      </c>
      <c r="K245" s="22">
        <f t="shared" si="103"/>
        <v>0</v>
      </c>
      <c r="L245" s="22">
        <f t="shared" si="103"/>
        <v>0</v>
      </c>
    </row>
    <row r="246" spans="2:12" ht="14.5">
      <c r="B246" s="9"/>
      <c r="F246" s="19" t="s">
        <v>17</v>
      </c>
      <c r="G246" s="19" t="s">
        <v>17</v>
      </c>
      <c r="H246" s="19" t="s">
        <v>17</v>
      </c>
      <c r="I246" s="19" t="s">
        <v>17</v>
      </c>
      <c r="J246" s="19" t="s">
        <v>17</v>
      </c>
      <c r="K246" s="19" t="s">
        <v>17</v>
      </c>
      <c r="L246" s="19" t="s">
        <v>17</v>
      </c>
    </row>
    <row r="247" spans="2:12">
      <c r="B247" s="357" t="s">
        <v>335</v>
      </c>
      <c r="F247" s="2">
        <f>SUM(F244:F245)</f>
        <v>6958.0310706658966</v>
      </c>
      <c r="G247" s="2">
        <f t="shared" ref="G247:L247" si="104">SUM(G244:G245)</f>
        <v>7503.296620432533</v>
      </c>
      <c r="H247" s="2">
        <f t="shared" si="104"/>
        <v>7821.542753494854</v>
      </c>
      <c r="I247" s="2">
        <f t="shared" si="104"/>
        <v>7559.1532775449796</v>
      </c>
      <c r="J247" s="2">
        <f t="shared" si="104"/>
        <v>8432.7398189273645</v>
      </c>
      <c r="K247" s="2">
        <f t="shared" si="104"/>
        <v>8864.6440306094482</v>
      </c>
      <c r="L247" s="2">
        <f t="shared" si="104"/>
        <v>9316.234614551613</v>
      </c>
    </row>
    <row r="248" spans="2:12">
      <c r="B248" s="9"/>
      <c r="G248" s="157"/>
      <c r="H248" s="157"/>
      <c r="I248" s="157"/>
      <c r="J248" s="157"/>
      <c r="K248" s="157"/>
      <c r="L248" s="157"/>
    </row>
    <row r="249" spans="2:12">
      <c r="B249" s="9" t="s">
        <v>336</v>
      </c>
      <c r="F249" s="56">
        <f>ABS(F247-F237)</f>
        <v>0</v>
      </c>
      <c r="G249" s="56">
        <f>ABS(G247-G237)</f>
        <v>0</v>
      </c>
      <c r="H249" s="56">
        <f>ABS(H247-H237)</f>
        <v>0</v>
      </c>
      <c r="I249" s="56">
        <f>ABS(I247-I237)</f>
        <v>0</v>
      </c>
      <c r="J249" s="56">
        <f>ABS(J247-J237)</f>
        <v>0</v>
      </c>
      <c r="K249" s="56">
        <f t="shared" ref="K249:L249" si="105">ABS(K247-K237)</f>
        <v>0</v>
      </c>
      <c r="L249" s="56">
        <f t="shared" si="105"/>
        <v>0</v>
      </c>
    </row>
    <row r="250" spans="2:12">
      <c r="B250" s="9"/>
    </row>
    <row r="251" spans="2:12">
      <c r="B251" s="9"/>
    </row>
    <row r="253" spans="2:12">
      <c r="B253" s="214" t="s">
        <v>184</v>
      </c>
      <c r="C253"/>
      <c r="D253"/>
      <c r="E253"/>
      <c r="F253"/>
      <c r="G253"/>
      <c r="H253"/>
      <c r="I253"/>
      <c r="J253"/>
      <c r="K253"/>
    </row>
    <row r="254" spans="2:12">
      <c r="B254"/>
      <c r="C254"/>
      <c r="D254"/>
      <c r="E254"/>
      <c r="F254"/>
      <c r="G254" s="201" t="s">
        <v>185</v>
      </c>
      <c r="H254" s="202"/>
      <c r="I254" s="203">
        <v>5.7000000000000002E-2</v>
      </c>
      <c r="J254" s="204"/>
      <c r="K254"/>
    </row>
    <row r="255" spans="2:12">
      <c r="B255" s="205" t="s">
        <v>186</v>
      </c>
      <c r="C255" s="206" t="s">
        <v>187</v>
      </c>
      <c r="D255"/>
      <c r="E255"/>
      <c r="F255"/>
      <c r="G255" s="237" t="s">
        <v>242</v>
      </c>
      <c r="H255" s="162"/>
      <c r="I255" s="257">
        <v>5.5E-2</v>
      </c>
      <c r="J255" s="204"/>
    </row>
    <row r="256" spans="2:12">
      <c r="B256" s="207" t="s">
        <v>188</v>
      </c>
      <c r="C256" s="209">
        <v>0.93</v>
      </c>
      <c r="D256"/>
      <c r="E256"/>
      <c r="F256"/>
      <c r="G256" s="237" t="s">
        <v>243</v>
      </c>
      <c r="H256" s="162"/>
      <c r="I256" s="208">
        <v>8.0000000000000002E-3</v>
      </c>
      <c r="J256"/>
    </row>
    <row r="257" spans="2:16">
      <c r="B257" s="207" t="s">
        <v>189</v>
      </c>
      <c r="C257" s="209">
        <v>1.2</v>
      </c>
      <c r="D257"/>
      <c r="E257"/>
      <c r="F257"/>
      <c r="G257" s="237" t="s">
        <v>241</v>
      </c>
      <c r="H257" s="162"/>
      <c r="I257" s="265">
        <f>I254+(I255*C261)</f>
        <v>0.1179125</v>
      </c>
      <c r="J257"/>
    </row>
    <row r="258" spans="2:16">
      <c r="B258" s="207" t="s">
        <v>190</v>
      </c>
      <c r="C258" s="209">
        <v>1.24</v>
      </c>
      <c r="D258"/>
      <c r="E258"/>
      <c r="F258"/>
      <c r="G258" s="207" t="s">
        <v>191</v>
      </c>
      <c r="H258" s="162"/>
      <c r="I258" s="255">
        <v>0.12</v>
      </c>
      <c r="J258" s="204"/>
    </row>
    <row r="259" spans="2:16">
      <c r="B259" s="211" t="s">
        <v>192</v>
      </c>
      <c r="C259" s="212">
        <v>1.06</v>
      </c>
      <c r="D259"/>
      <c r="E259"/>
      <c r="F259"/>
      <c r="G259" s="207" t="s">
        <v>193</v>
      </c>
      <c r="H259" s="162"/>
      <c r="I259" s="208">
        <v>5.8000000000000003E-2</v>
      </c>
      <c r="J259" t="s">
        <v>194</v>
      </c>
      <c r="K259"/>
      <c r="L259" s="158"/>
    </row>
    <row r="260" spans="2:16">
      <c r="B260"/>
      <c r="C260"/>
      <c r="D260"/>
      <c r="E260"/>
      <c r="F260"/>
      <c r="G260" s="207" t="s">
        <v>195</v>
      </c>
      <c r="H260" s="162"/>
      <c r="I260" s="213">
        <v>0.34</v>
      </c>
      <c r="J260"/>
      <c r="K260"/>
      <c r="M260" s="262" t="s">
        <v>217</v>
      </c>
      <c r="N260" s="168" t="s">
        <v>220</v>
      </c>
      <c r="O260" s="168" t="s">
        <v>238</v>
      </c>
      <c r="P260" s="263"/>
    </row>
    <row r="261" spans="2:16" ht="15.5">
      <c r="B261" s="411" t="s">
        <v>196</v>
      </c>
      <c r="C261" s="412">
        <f>AVERAGE(C256:C259)</f>
        <v>1.1074999999999999</v>
      </c>
      <c r="D261" s="215"/>
      <c r="E261"/>
      <c r="F261"/>
      <c r="G261" s="207" t="s">
        <v>197</v>
      </c>
      <c r="H261" s="162"/>
      <c r="I261" s="162">
        <v>0.26</v>
      </c>
      <c r="J261"/>
      <c r="K261"/>
      <c r="L261" s="168" t="s">
        <v>236</v>
      </c>
      <c r="M261" s="259">
        <v>0.1</v>
      </c>
      <c r="N261" s="260">
        <v>4.2999999999999997E-2</v>
      </c>
      <c r="O261" s="451">
        <f>0.25*M261 +(0.75*N261)</f>
        <v>5.7250000000000002E-2</v>
      </c>
      <c r="P261" s="452"/>
    </row>
    <row r="262" spans="2:16">
      <c r="B262"/>
      <c r="C262"/>
      <c r="D262"/>
      <c r="E262"/>
      <c r="F262"/>
      <c r="G262" s="211" t="s">
        <v>198</v>
      </c>
      <c r="H262" s="216"/>
      <c r="I262" s="216">
        <v>0.74</v>
      </c>
      <c r="J262"/>
      <c r="K262"/>
      <c r="L262" s="262" t="s">
        <v>237</v>
      </c>
      <c r="M262" s="264">
        <v>0.08</v>
      </c>
      <c r="N262" s="261">
        <v>4.5999999999999999E-2</v>
      </c>
      <c r="O262" s="453">
        <f>0.25*M262 +(0.75*N262)</f>
        <v>5.4500000000000007E-2</v>
      </c>
      <c r="P262" s="454"/>
    </row>
    <row r="263" spans="2:16">
      <c r="B263"/>
      <c r="C263"/>
      <c r="D263"/>
      <c r="E263"/>
      <c r="F263"/>
      <c r="G263"/>
      <c r="H263"/>
      <c r="I263"/>
      <c r="J263"/>
      <c r="K263"/>
    </row>
    <row r="264" spans="2:16" ht="15.5">
      <c r="B264"/>
      <c r="C264"/>
      <c r="D264"/>
      <c r="E264"/>
      <c r="F264"/>
      <c r="G264" s="217" t="s">
        <v>133</v>
      </c>
      <c r="H264" s="218"/>
      <c r="I264" s="256">
        <f>(I258*I262)+(I261*I259*(1-I260))</f>
        <v>9.8752799999999988E-2</v>
      </c>
      <c r="J264"/>
      <c r="K264"/>
      <c r="L264" s="347" t="s">
        <v>245</v>
      </c>
      <c r="M264" s="348"/>
      <c r="N264" s="157" t="s">
        <v>244</v>
      </c>
    </row>
    <row r="265" spans="2:16">
      <c r="L265" s="158"/>
    </row>
    <row r="266" spans="2:16">
      <c r="L266" s="360"/>
    </row>
    <row r="269" spans="2:16" ht="17.5">
      <c r="B269" s="66" t="s">
        <v>110</v>
      </c>
      <c r="C269" s="67"/>
      <c r="D269" s="67"/>
      <c r="E269" s="67"/>
      <c r="F269" s="67"/>
      <c r="G269" s="67"/>
      <c r="H269" s="67"/>
      <c r="I269" s="67"/>
      <c r="J269" s="66"/>
      <c r="K269" s="67"/>
      <c r="L269" s="68"/>
    </row>
    <row r="270" spans="2:16" ht="20">
      <c r="B270" s="69"/>
      <c r="C270" s="70"/>
      <c r="D270" s="70"/>
      <c r="E270" s="71"/>
      <c r="F270" s="72" t="s">
        <v>1</v>
      </c>
      <c r="G270" s="72"/>
      <c r="H270" s="72"/>
      <c r="I270" s="72"/>
      <c r="J270" s="112"/>
      <c r="K270" s="111"/>
      <c r="L270" s="113"/>
    </row>
    <row r="271" spans="2:16">
      <c r="B271" s="73"/>
      <c r="C271" s="70"/>
      <c r="D271" s="70"/>
      <c r="E271" s="74" t="s">
        <v>139</v>
      </c>
      <c r="F271" s="114">
        <f t="shared" ref="F271:L271" si="106">F176</f>
        <v>45657</v>
      </c>
      <c r="G271" s="114">
        <f t="shared" si="106"/>
        <v>46022</v>
      </c>
      <c r="H271" s="114">
        <f t="shared" si="106"/>
        <v>46387</v>
      </c>
      <c r="I271" s="114">
        <f t="shared" si="106"/>
        <v>46752</v>
      </c>
      <c r="J271" s="114">
        <f t="shared" si="106"/>
        <v>47118</v>
      </c>
      <c r="K271" s="114">
        <f t="shared" si="106"/>
        <v>47483</v>
      </c>
      <c r="L271" s="247">
        <f t="shared" si="106"/>
        <v>47848</v>
      </c>
    </row>
    <row r="272" spans="2:16" ht="13.5">
      <c r="B272" s="75"/>
      <c r="C272" s="76"/>
      <c r="D272" s="76"/>
      <c r="E272" s="77">
        <v>0</v>
      </c>
      <c r="F272" s="78">
        <f>E272+1</f>
        <v>1</v>
      </c>
      <c r="G272" s="78">
        <f>F272+1</f>
        <v>2</v>
      </c>
      <c r="H272" s="78">
        <f>G272+1</f>
        <v>3</v>
      </c>
      <c r="I272" s="78">
        <f>H272+1</f>
        <v>4</v>
      </c>
      <c r="J272" s="78">
        <f t="shared" ref="J272:L272" si="107">I272+1</f>
        <v>5</v>
      </c>
      <c r="K272" s="78">
        <f t="shared" si="107"/>
        <v>6</v>
      </c>
      <c r="L272" s="248">
        <f t="shared" si="107"/>
        <v>7</v>
      </c>
    </row>
    <row r="273" spans="2:12" ht="17.5">
      <c r="B273" s="79" t="s">
        <v>111</v>
      </c>
      <c r="C273" s="70"/>
      <c r="D273" s="70"/>
      <c r="E273" s="74"/>
      <c r="F273" s="74"/>
      <c r="G273" s="74"/>
      <c r="H273" s="74"/>
      <c r="I273" s="74"/>
      <c r="J273" s="111"/>
      <c r="K273" s="111"/>
      <c r="L273" s="113"/>
    </row>
    <row r="274" spans="2:12" ht="17.5">
      <c r="B274" s="80"/>
      <c r="C274" s="70"/>
      <c r="D274" s="70"/>
      <c r="E274" s="74"/>
      <c r="F274" s="74"/>
      <c r="G274" s="74"/>
      <c r="H274" s="74"/>
      <c r="I274" s="74"/>
      <c r="J274" s="111"/>
      <c r="K274" s="111"/>
      <c r="L274" s="113"/>
    </row>
    <row r="275" spans="2:12">
      <c r="B275" s="81" t="s">
        <v>112</v>
      </c>
      <c r="C275" s="82"/>
      <c r="D275" s="82"/>
      <c r="E275" s="82"/>
      <c r="F275" s="118">
        <f t="shared" ref="F275:L276" si="108">F73</f>
        <v>15176.469165000002</v>
      </c>
      <c r="G275" s="118">
        <f t="shared" si="108"/>
        <v>15859.410277424999</v>
      </c>
      <c r="H275" s="118">
        <f t="shared" si="108"/>
        <v>16573.083739909125</v>
      </c>
      <c r="I275" s="118">
        <f t="shared" si="108"/>
        <v>17318.872508205037</v>
      </c>
      <c r="J275" s="118">
        <f t="shared" si="108"/>
        <v>18098.221771074266</v>
      </c>
      <c r="K275" s="118">
        <f t="shared" si="108"/>
        <v>18912.641750772607</v>
      </c>
      <c r="L275" s="249">
        <f t="shared" si="108"/>
        <v>19763.710629557376</v>
      </c>
    </row>
    <row r="276" spans="2:12">
      <c r="B276" s="81" t="s">
        <v>113</v>
      </c>
      <c r="C276" s="82"/>
      <c r="D276" s="82"/>
      <c r="E276" s="82"/>
      <c r="F276" s="84">
        <f t="shared" si="108"/>
        <v>3174.4477049999996</v>
      </c>
      <c r="G276" s="84">
        <f t="shared" si="108"/>
        <v>3317.2978517249999</v>
      </c>
      <c r="H276" s="84">
        <f t="shared" si="108"/>
        <v>3466.5762550526251</v>
      </c>
      <c r="I276" s="84">
        <f t="shared" si="108"/>
        <v>3622.5721865299929</v>
      </c>
      <c r="J276" s="84">
        <f t="shared" si="108"/>
        <v>3785.587934923843</v>
      </c>
      <c r="K276" s="84">
        <f t="shared" si="108"/>
        <v>3955.9393919954159</v>
      </c>
      <c r="L276" s="250">
        <f t="shared" si="108"/>
        <v>4133.9566646352096</v>
      </c>
    </row>
    <row r="277" spans="2:12" ht="14.5">
      <c r="B277" s="81"/>
      <c r="C277" s="82"/>
      <c r="D277" s="82"/>
      <c r="E277" s="82"/>
      <c r="F277" s="85" t="s">
        <v>17</v>
      </c>
      <c r="G277" s="85" t="s">
        <v>17</v>
      </c>
      <c r="H277" s="85" t="s">
        <v>17</v>
      </c>
      <c r="I277" s="85" t="s">
        <v>17</v>
      </c>
      <c r="J277" s="85" t="s">
        <v>17</v>
      </c>
      <c r="K277" s="85" t="s">
        <v>17</v>
      </c>
      <c r="L277" s="251" t="s">
        <v>17</v>
      </c>
    </row>
    <row r="278" spans="2:12">
      <c r="B278" s="86" t="s">
        <v>114</v>
      </c>
      <c r="C278" s="87"/>
      <c r="D278" s="87"/>
      <c r="E278" s="87"/>
      <c r="F278" s="88">
        <f t="shared" ref="F278:L278" si="109">F76</f>
        <v>18350.916870000001</v>
      </c>
      <c r="G278" s="88">
        <f t="shared" si="109"/>
        <v>19176.70812915</v>
      </c>
      <c r="H278" s="88">
        <f t="shared" si="109"/>
        <v>20039.659994961752</v>
      </c>
      <c r="I278" s="88">
        <f t="shared" si="109"/>
        <v>20941.44469473503</v>
      </c>
      <c r="J278" s="88">
        <f t="shared" si="109"/>
        <v>21883.809705998108</v>
      </c>
      <c r="K278" s="88">
        <f t="shared" si="109"/>
        <v>22868.581142768024</v>
      </c>
      <c r="L278" s="252">
        <f t="shared" si="109"/>
        <v>23897.667294192586</v>
      </c>
    </row>
    <row r="279" spans="2:12">
      <c r="B279" s="81" t="s">
        <v>115</v>
      </c>
      <c r="C279" s="82"/>
      <c r="D279" s="82"/>
      <c r="E279" s="82"/>
      <c r="F279" s="84">
        <f t="shared" ref="F279:L279" si="110">-F39</f>
        <v>-6500</v>
      </c>
      <c r="G279" s="84">
        <f t="shared" si="110"/>
        <v>-6816.3654487499998</v>
      </c>
      <c r="H279" s="84">
        <f t="shared" si="110"/>
        <v>-7123.1018939437499</v>
      </c>
      <c r="I279" s="84">
        <f t="shared" si="110"/>
        <v>-7443.6414791712186</v>
      </c>
      <c r="J279" s="84">
        <f t="shared" si="110"/>
        <v>-7778.605345733924</v>
      </c>
      <c r="K279" s="84">
        <f t="shared" si="110"/>
        <v>-8128.6425862919514</v>
      </c>
      <c r="L279" s="250">
        <f t="shared" si="110"/>
        <v>-8494.4315026750883</v>
      </c>
    </row>
    <row r="280" spans="2:12" ht="14.5">
      <c r="B280" s="81"/>
      <c r="C280" s="82"/>
      <c r="D280" s="82"/>
      <c r="E280" s="82"/>
      <c r="F280" s="85" t="s">
        <v>17</v>
      </c>
      <c r="G280" s="85" t="s">
        <v>17</v>
      </c>
      <c r="H280" s="85" t="s">
        <v>17</v>
      </c>
      <c r="I280" s="85" t="s">
        <v>17</v>
      </c>
      <c r="J280" s="85" t="s">
        <v>17</v>
      </c>
      <c r="K280" s="85" t="s">
        <v>17</v>
      </c>
      <c r="L280" s="251" t="s">
        <v>17</v>
      </c>
    </row>
    <row r="281" spans="2:12">
      <c r="B281" s="86" t="s">
        <v>116</v>
      </c>
      <c r="C281" s="87"/>
      <c r="D281" s="87"/>
      <c r="E281" s="87"/>
      <c r="F281" s="88">
        <f t="shared" ref="F281:L281" si="111">SUM(F278:F280)</f>
        <v>11850.916870000001</v>
      </c>
      <c r="G281" s="88">
        <f t="shared" si="111"/>
        <v>12360.342680400001</v>
      </c>
      <c r="H281" s="88">
        <f t="shared" si="111"/>
        <v>12916.558101018003</v>
      </c>
      <c r="I281" s="88">
        <f t="shared" si="111"/>
        <v>13497.80321556381</v>
      </c>
      <c r="J281" s="88">
        <f t="shared" si="111"/>
        <v>14105.204360264184</v>
      </c>
      <c r="K281" s="88">
        <f t="shared" si="111"/>
        <v>14739.938556476072</v>
      </c>
      <c r="L281" s="252">
        <f t="shared" si="111"/>
        <v>15403.235791517498</v>
      </c>
    </row>
    <row r="282" spans="2:12">
      <c r="B282" s="81" t="s">
        <v>117</v>
      </c>
      <c r="C282" s="82"/>
      <c r="D282" s="89">
        <v>0.34</v>
      </c>
      <c r="E282" s="82"/>
      <c r="F282" s="84">
        <f t="shared" ref="F282:L282" si="112">F66</f>
        <v>-4712.6521515285722</v>
      </c>
      <c r="G282" s="84">
        <f t="shared" si="112"/>
        <v>-5021.2430465920334</v>
      </c>
      <c r="H282" s="84">
        <f t="shared" si="112"/>
        <v>-5234.6170699743898</v>
      </c>
      <c r="I282" s="84">
        <f t="shared" si="112"/>
        <v>-5151.0009844089527</v>
      </c>
      <c r="J282" s="84">
        <f t="shared" si="112"/>
        <v>-5654.7529749930709</v>
      </c>
      <c r="K282" s="84">
        <f t="shared" si="112"/>
        <v>-5933.2454651534727</v>
      </c>
      <c r="L282" s="250">
        <f t="shared" si="112"/>
        <v>-6224.2701173710939</v>
      </c>
    </row>
    <row r="283" spans="2:12">
      <c r="B283" s="81" t="s">
        <v>118</v>
      </c>
      <c r="C283" s="82"/>
      <c r="D283" s="82"/>
      <c r="E283" s="82"/>
      <c r="F283" s="84">
        <f t="shared" ref="F283:L283" si="113">F107</f>
        <v>-1010.2661049483886</v>
      </c>
      <c r="G283" s="84">
        <f t="shared" si="113"/>
        <v>-221.65497472267634</v>
      </c>
      <c r="H283" s="84">
        <f t="shared" si="113"/>
        <v>-231.6294485851995</v>
      </c>
      <c r="I283" s="84">
        <f t="shared" si="113"/>
        <v>-242.05277377153106</v>
      </c>
      <c r="J283" s="84">
        <f t="shared" si="113"/>
        <v>-252.94514859125047</v>
      </c>
      <c r="K283" s="84">
        <f t="shared" si="113"/>
        <v>-264.32768027786005</v>
      </c>
      <c r="L283" s="250">
        <f t="shared" si="113"/>
        <v>-276.22242589035523</v>
      </c>
    </row>
    <row r="284" spans="2:12" ht="14.5">
      <c r="B284" s="81"/>
      <c r="C284" s="82"/>
      <c r="D284" s="82"/>
      <c r="E284" s="82"/>
      <c r="F284" s="85" t="s">
        <v>17</v>
      </c>
      <c r="G284" s="85" t="s">
        <v>17</v>
      </c>
      <c r="H284" s="85" t="s">
        <v>17</v>
      </c>
      <c r="I284" s="85" t="s">
        <v>17</v>
      </c>
      <c r="J284" s="85" t="s">
        <v>17</v>
      </c>
      <c r="K284" s="85" t="s">
        <v>17</v>
      </c>
      <c r="L284" s="251" t="s">
        <v>17</v>
      </c>
    </row>
    <row r="285" spans="2:12">
      <c r="B285" s="86" t="s">
        <v>119</v>
      </c>
      <c r="C285" s="87"/>
      <c r="D285" s="87"/>
      <c r="E285" s="87"/>
      <c r="F285" s="88">
        <f>SUM(F281:F284)</f>
        <v>6127.9986135230401</v>
      </c>
      <c r="G285" s="88">
        <f t="shared" ref="G285:L285" si="114">SUM(G281:G284)</f>
        <v>7117.4446590852913</v>
      </c>
      <c r="H285" s="88">
        <f t="shared" si="114"/>
        <v>7450.3115824584138</v>
      </c>
      <c r="I285" s="88">
        <f t="shared" si="114"/>
        <v>8104.7494573833264</v>
      </c>
      <c r="J285" s="88">
        <f t="shared" si="114"/>
        <v>8197.5062366798629</v>
      </c>
      <c r="K285" s="88">
        <f t="shared" si="114"/>
        <v>8542.3654110447387</v>
      </c>
      <c r="L285" s="252">
        <f t="shared" si="114"/>
        <v>8902.7432482560489</v>
      </c>
    </row>
    <row r="286" spans="2:12" ht="17.5">
      <c r="B286" s="90"/>
      <c r="C286" s="82"/>
      <c r="D286" s="82"/>
      <c r="E286" s="82"/>
      <c r="F286" s="82"/>
      <c r="G286" s="82"/>
      <c r="H286" s="82"/>
      <c r="I286" s="82"/>
      <c r="J286" s="111"/>
      <c r="K286" s="111"/>
      <c r="L286" s="113"/>
    </row>
    <row r="287" spans="2:12" ht="17.5">
      <c r="B287" s="80" t="s">
        <v>120</v>
      </c>
      <c r="C287" s="70"/>
      <c r="D287" s="70"/>
      <c r="E287" s="74"/>
      <c r="F287" s="74"/>
      <c r="G287" s="74"/>
      <c r="H287" s="74"/>
      <c r="I287" s="74"/>
      <c r="J287" s="111"/>
      <c r="K287" s="111"/>
      <c r="L287" s="113"/>
    </row>
    <row r="288" spans="2:12" ht="17.5">
      <c r="B288" s="80"/>
      <c r="C288" s="70"/>
      <c r="D288" s="70"/>
      <c r="E288" s="74"/>
      <c r="F288" s="74"/>
      <c r="G288" s="74"/>
      <c r="H288" s="74"/>
      <c r="I288" s="74"/>
      <c r="J288" s="111"/>
      <c r="K288" s="111"/>
      <c r="L288" s="113"/>
    </row>
    <row r="289" spans="2:12" ht="17.5">
      <c r="B289" s="92" t="s">
        <v>121</v>
      </c>
      <c r="C289" s="70"/>
      <c r="D289" s="70"/>
      <c r="E289" s="74"/>
      <c r="F289" s="74"/>
      <c r="G289" s="74"/>
      <c r="H289" s="74"/>
      <c r="I289" s="74"/>
      <c r="J289" s="111"/>
      <c r="K289" s="111"/>
      <c r="L289" s="113"/>
    </row>
    <row r="290" spans="2:12" ht="17.5">
      <c r="B290" s="81" t="s">
        <v>122</v>
      </c>
      <c r="C290" s="82"/>
      <c r="D290" s="82"/>
      <c r="E290" s="82"/>
      <c r="F290" s="82"/>
      <c r="G290" s="82"/>
      <c r="H290" s="82"/>
      <c r="I290" s="82"/>
      <c r="J290" s="111"/>
      <c r="K290" s="111"/>
      <c r="L290" s="130">
        <v>0.03</v>
      </c>
    </row>
    <row r="291" spans="2:12" ht="17.5">
      <c r="B291" s="81" t="s">
        <v>123</v>
      </c>
      <c r="C291" s="82"/>
      <c r="D291" s="82"/>
      <c r="E291" s="82"/>
      <c r="F291" s="82"/>
      <c r="G291" s="82"/>
      <c r="H291" s="82"/>
      <c r="I291" s="82"/>
      <c r="J291" s="111"/>
      <c r="K291" s="111"/>
      <c r="L291" s="113">
        <f>L285*(1+L290)</f>
        <v>9169.8255457037303</v>
      </c>
    </row>
    <row r="292" spans="2:12" ht="17.5">
      <c r="B292" s="81" t="s">
        <v>124</v>
      </c>
      <c r="C292" s="82"/>
      <c r="D292" s="82"/>
      <c r="E292" s="82"/>
      <c r="F292" s="82"/>
      <c r="G292" s="82"/>
      <c r="H292" s="82"/>
      <c r="I292" s="82"/>
      <c r="J292" s="111"/>
      <c r="K292" s="111"/>
      <c r="L292" s="130">
        <v>0.1</v>
      </c>
    </row>
    <row r="293" spans="2:12" ht="17.5">
      <c r="B293" s="81" t="s">
        <v>125</v>
      </c>
      <c r="C293" s="82"/>
      <c r="D293" s="82"/>
      <c r="E293" s="82"/>
      <c r="F293" s="82"/>
      <c r="G293" s="82"/>
      <c r="H293" s="82"/>
      <c r="I293" s="82"/>
      <c r="J293" s="111"/>
      <c r="K293" s="111"/>
      <c r="L293" s="113">
        <f>L291/(L292-L290)</f>
        <v>130997.50779576757</v>
      </c>
    </row>
    <row r="294" spans="2:12" ht="17.5">
      <c r="B294" s="81" t="s">
        <v>126</v>
      </c>
      <c r="C294" s="82"/>
      <c r="D294" s="82"/>
      <c r="E294" s="82"/>
      <c r="F294" s="82"/>
      <c r="G294" s="82"/>
      <c r="H294" s="82"/>
      <c r="I294" s="82"/>
      <c r="J294" s="111"/>
      <c r="K294" s="111"/>
      <c r="L294" s="423">
        <f>L293/L278</f>
        <v>5.4816022912663742</v>
      </c>
    </row>
    <row r="295" spans="2:12" ht="17.5">
      <c r="B295" s="90"/>
      <c r="C295" s="82"/>
      <c r="D295" s="82"/>
      <c r="E295" s="82"/>
      <c r="F295" s="82"/>
      <c r="G295" s="82"/>
      <c r="H295" s="82"/>
      <c r="I295" s="82"/>
      <c r="J295" s="111"/>
      <c r="K295" s="111"/>
      <c r="L295" s="113"/>
    </row>
    <row r="296" spans="2:12" ht="17.5">
      <c r="B296" s="93" t="s">
        <v>127</v>
      </c>
      <c r="C296" s="82"/>
      <c r="D296" s="82"/>
      <c r="E296" s="82"/>
      <c r="F296" s="82"/>
      <c r="G296" s="82"/>
      <c r="H296" s="82"/>
      <c r="I296" s="82"/>
      <c r="J296" s="111"/>
      <c r="K296" s="111"/>
      <c r="L296" s="113"/>
    </row>
    <row r="297" spans="2:12" ht="17.5">
      <c r="B297" s="81" t="s">
        <v>119</v>
      </c>
      <c r="C297" s="82"/>
      <c r="D297" s="82"/>
      <c r="E297" s="82"/>
      <c r="F297" s="84"/>
      <c r="G297" s="84"/>
      <c r="H297" s="84"/>
      <c r="I297" s="84"/>
      <c r="J297" s="111"/>
      <c r="K297" s="111"/>
      <c r="L297" s="113"/>
    </row>
    <row r="298" spans="2:12">
      <c r="B298" s="81" t="s">
        <v>128</v>
      </c>
      <c r="C298" s="82"/>
      <c r="D298" s="82"/>
      <c r="E298" s="82"/>
      <c r="F298" s="84">
        <f t="shared" ref="F298:L298" si="115">F285/(1+$L$292)^F272</f>
        <v>5570.9078304754903</v>
      </c>
      <c r="G298" s="84">
        <f t="shared" si="115"/>
        <v>5882.1856686655292</v>
      </c>
      <c r="H298" s="84">
        <f t="shared" si="115"/>
        <v>5597.5293632294606</v>
      </c>
      <c r="I298" s="84">
        <f t="shared" si="115"/>
        <v>5535.652931755566</v>
      </c>
      <c r="J298" s="84">
        <f t="shared" si="115"/>
        <v>5090.0064182649348</v>
      </c>
      <c r="K298" s="84">
        <f t="shared" si="115"/>
        <v>4821.9425755278735</v>
      </c>
      <c r="L298" s="250">
        <f t="shared" si="115"/>
        <v>4568.5149723662007</v>
      </c>
    </row>
    <row r="299" spans="2:12" ht="14.5">
      <c r="B299" s="90"/>
      <c r="C299" s="82"/>
      <c r="D299" s="82"/>
      <c r="E299" s="82"/>
      <c r="F299" s="85" t="s">
        <v>17</v>
      </c>
      <c r="G299" s="85" t="s">
        <v>17</v>
      </c>
      <c r="H299" s="85" t="s">
        <v>17</v>
      </c>
      <c r="I299" s="85" t="s">
        <v>17</v>
      </c>
      <c r="J299" s="85" t="s">
        <v>17</v>
      </c>
      <c r="K299" s="85" t="s">
        <v>17</v>
      </c>
      <c r="L299" s="250">
        <f>L293/(1+$L$292)^L272</f>
        <v>67222.434593388389</v>
      </c>
    </row>
    <row r="300" spans="2:12">
      <c r="B300" s="94" t="s">
        <v>129</v>
      </c>
      <c r="C300" s="95"/>
      <c r="D300" s="95"/>
      <c r="E300" s="96">
        <f>SUM(F300:L300)</f>
        <v>104289.17435367344</v>
      </c>
      <c r="F300" s="97">
        <f>F298</f>
        <v>5570.9078304754903</v>
      </c>
      <c r="G300" s="97">
        <f t="shared" ref="G300:K300" si="116">G298</f>
        <v>5882.1856686655292</v>
      </c>
      <c r="H300" s="97">
        <f t="shared" si="116"/>
        <v>5597.5293632294606</v>
      </c>
      <c r="I300" s="97">
        <f t="shared" si="116"/>
        <v>5535.652931755566</v>
      </c>
      <c r="J300" s="97">
        <f t="shared" si="116"/>
        <v>5090.0064182649348</v>
      </c>
      <c r="K300" s="97">
        <f t="shared" si="116"/>
        <v>4821.9425755278735</v>
      </c>
      <c r="L300" s="253">
        <f>SUM(L298:L299)</f>
        <v>71790.949565754592</v>
      </c>
    </row>
    <row r="301" spans="2:12">
      <c r="B301" s="9"/>
      <c r="C301" s="13"/>
      <c r="D301" s="13"/>
      <c r="E301" s="13"/>
      <c r="F301" s="22"/>
      <c r="G301" s="22"/>
      <c r="H301" s="22"/>
      <c r="I301" s="22"/>
      <c r="J301" s="22"/>
      <c r="K301" s="13"/>
    </row>
    <row r="302" spans="2:12" ht="16">
      <c r="B302" s="98" t="s">
        <v>130</v>
      </c>
      <c r="C302" s="99"/>
      <c r="D302" s="99"/>
      <c r="E302" s="100"/>
      <c r="F302" s="13"/>
      <c r="G302" s="101" t="s">
        <v>131</v>
      </c>
      <c r="H302" s="102"/>
      <c r="I302" s="102"/>
      <c r="J302" s="103"/>
      <c r="K302" s="103"/>
      <c r="L302" s="103"/>
    </row>
    <row r="303" spans="2:12" ht="16">
      <c r="B303" s="81" t="s">
        <v>132</v>
      </c>
      <c r="C303" s="83">
        <f>E300</f>
        <v>104289.17435367344</v>
      </c>
      <c r="D303" s="422">
        <f>C303/E32</f>
        <v>6.6828901760719646</v>
      </c>
      <c r="E303" s="129"/>
      <c r="F303" s="104"/>
      <c r="G303" s="120"/>
      <c r="H303" s="101" t="s">
        <v>133</v>
      </c>
      <c r="I303" s="128"/>
      <c r="J303" s="103"/>
      <c r="K303" s="103"/>
      <c r="L303" s="103"/>
    </row>
    <row r="304" spans="2:12" ht="16">
      <c r="B304" s="81" t="s">
        <v>134</v>
      </c>
      <c r="C304" s="84">
        <f>-F159</f>
        <v>-14724.8</v>
      </c>
      <c r="D304" s="82"/>
      <c r="E304" s="91"/>
      <c r="F304" s="13"/>
      <c r="G304" s="417">
        <f>C308</f>
        <v>20.940412718768467</v>
      </c>
      <c r="H304" s="108">
        <v>0.09</v>
      </c>
      <c r="I304" s="116">
        <v>0.1</v>
      </c>
      <c r="J304" s="116">
        <v>0.11</v>
      </c>
      <c r="K304" s="116">
        <v>0.12</v>
      </c>
      <c r="L304" s="117">
        <v>0.13</v>
      </c>
    </row>
    <row r="305" spans="2:12">
      <c r="B305" s="81" t="s">
        <v>140</v>
      </c>
      <c r="C305" s="105">
        <f>F127</f>
        <v>479.40033703096742</v>
      </c>
      <c r="D305" s="82"/>
      <c r="E305" s="91"/>
      <c r="F305" s="13"/>
      <c r="G305" s="119">
        <v>0.02</v>
      </c>
      <c r="H305" s="121">
        <f t="dataTable" ref="H305:L308" dt2D="1" dtr="1" r1="L292" r2="L290"/>
        <v>22.120393807965627</v>
      </c>
      <c r="I305" s="106">
        <v>18.853466510461647</v>
      </c>
      <c r="J305" s="122">
        <v>16.315512420228011</v>
      </c>
      <c r="K305" s="122">
        <v>14.287695742004082</v>
      </c>
      <c r="L305" s="123">
        <v>12.630765961249722</v>
      </c>
    </row>
    <row r="306" spans="2:12">
      <c r="B306" s="81" t="s">
        <v>135</v>
      </c>
      <c r="C306" s="84">
        <f>SUM(C303:C305)</f>
        <v>90043.774690704406</v>
      </c>
      <c r="D306" s="82"/>
      <c r="E306" s="91"/>
      <c r="F306" s="13"/>
      <c r="G306" s="119">
        <v>0.03</v>
      </c>
      <c r="H306" s="106">
        <v>25.059715468281027</v>
      </c>
      <c r="I306" s="258">
        <v>20.940412718768467</v>
      </c>
      <c r="J306" s="122">
        <v>17.85290586135574</v>
      </c>
      <c r="K306" s="122">
        <v>15.453175533584906</v>
      </c>
      <c r="L306" s="123">
        <v>13.534815121316885</v>
      </c>
    </row>
    <row r="307" spans="2:12">
      <c r="B307" s="81" t="s">
        <v>136</v>
      </c>
      <c r="C307" s="107">
        <v>4300</v>
      </c>
      <c r="D307" s="82"/>
      <c r="E307" s="91"/>
      <c r="F307" s="13"/>
      <c r="G307" s="119">
        <v>0.04</v>
      </c>
      <c r="H307" s="106">
        <v>29.174765792722596</v>
      </c>
      <c r="I307" s="106">
        <v>23.723007663177555</v>
      </c>
      <c r="J307" s="122">
        <v>19.829554571377113</v>
      </c>
      <c r="K307" s="122">
        <v>16.910025273060935</v>
      </c>
      <c r="L307" s="123">
        <v>14.639764094732307</v>
      </c>
    </row>
    <row r="308" spans="2:12">
      <c r="B308" s="188" t="s">
        <v>137</v>
      </c>
      <c r="C308" s="189">
        <f>C306/C307</f>
        <v>20.940412718768467</v>
      </c>
      <c r="D308" s="109">
        <f>C308/F70</f>
        <v>9.8429049016130854</v>
      </c>
      <c r="E308" s="110" t="s">
        <v>138</v>
      </c>
      <c r="F308" s="104"/>
      <c r="G308" s="115">
        <v>0.05</v>
      </c>
      <c r="H308" s="124">
        <v>35.347341279384949</v>
      </c>
      <c r="I308" s="127">
        <v>27.618640585350285</v>
      </c>
      <c r="J308" s="126">
        <v>22.46508618473894</v>
      </c>
      <c r="K308" s="126">
        <v>18.783117795244401</v>
      </c>
      <c r="L308" s="125">
        <v>16.020950311501583</v>
      </c>
    </row>
    <row r="310" spans="2:12">
      <c r="B310" s="168" t="s">
        <v>157</v>
      </c>
      <c r="C310" s="166">
        <v>2020</v>
      </c>
      <c r="D310" s="166">
        <f>C310+1</f>
        <v>2021</v>
      </c>
      <c r="E310" s="166">
        <f>D310+1</f>
        <v>2022</v>
      </c>
      <c r="F310" s="167">
        <f>E310+1</f>
        <v>2023</v>
      </c>
    </row>
    <row r="311" spans="2:12">
      <c r="B311" s="169" t="s">
        <v>162</v>
      </c>
      <c r="C311" s="2">
        <f>38405/5</f>
        <v>7681</v>
      </c>
      <c r="D311" s="2">
        <f>159147/5</f>
        <v>31829.4</v>
      </c>
      <c r="E311" s="2">
        <f>101704/5</f>
        <v>20340.8</v>
      </c>
      <c r="F311" s="159">
        <f>55554/5</f>
        <v>11110.8</v>
      </c>
    </row>
    <row r="312" spans="2:12">
      <c r="B312" s="169" t="s">
        <v>163</v>
      </c>
      <c r="C312" s="2">
        <f>26713/5</f>
        <v>5342.6</v>
      </c>
      <c r="D312" s="157">
        <f>121228/5</f>
        <v>24245.599999999999</v>
      </c>
      <c r="E312" s="157">
        <f>95924/5</f>
        <v>19184.8</v>
      </c>
      <c r="F312" s="159">
        <f>39940/5</f>
        <v>7988</v>
      </c>
      <c r="H312" s="158"/>
      <c r="I312" s="158"/>
      <c r="J312" s="158"/>
      <c r="K312" s="158"/>
    </row>
    <row r="313" spans="2:12">
      <c r="B313" s="169" t="s">
        <v>164</v>
      </c>
      <c r="C313" s="158">
        <f>18709/5</f>
        <v>3741.8</v>
      </c>
      <c r="D313" s="158">
        <f>73287/5</f>
        <v>14657.4</v>
      </c>
      <c r="E313" s="160">
        <f>34157/5</f>
        <v>6831.4</v>
      </c>
      <c r="F313" s="161">
        <f>27967/5</f>
        <v>5593.4</v>
      </c>
    </row>
    <row r="314" spans="2:12">
      <c r="B314" s="169" t="s">
        <v>160</v>
      </c>
      <c r="C314">
        <f>12.93/5</f>
        <v>2.5859999999999999</v>
      </c>
      <c r="D314">
        <f>29.6/5</f>
        <v>5.92</v>
      </c>
      <c r="E314">
        <f>19.08/5</f>
        <v>3.8159999999999998</v>
      </c>
      <c r="F314" s="162">
        <f>10.45/5</f>
        <v>2.09</v>
      </c>
    </row>
    <row r="315" spans="2:12">
      <c r="B315" s="169" t="s">
        <v>159</v>
      </c>
      <c r="C315" s="33">
        <f>2.41/5</f>
        <v>0.48200000000000004</v>
      </c>
      <c r="D315" s="33">
        <f>14.65/5</f>
        <v>2.93</v>
      </c>
      <c r="E315" s="33">
        <f>7.58/5</f>
        <v>1.516</v>
      </c>
      <c r="F315" s="163">
        <f>6.08/5</f>
        <v>1.216</v>
      </c>
    </row>
    <row r="316" spans="2:12">
      <c r="B316" s="169" t="s">
        <v>158</v>
      </c>
      <c r="C316" s="158">
        <v>6.77</v>
      </c>
      <c r="D316" s="158">
        <v>19.04</v>
      </c>
      <c r="E316" s="158">
        <v>6.11</v>
      </c>
      <c r="F316" s="161">
        <v>8.43</v>
      </c>
      <c r="G316" s="200" t="s">
        <v>183</v>
      </c>
      <c r="H316" s="59"/>
      <c r="I316" s="59"/>
    </row>
    <row r="317" spans="2:12">
      <c r="B317" s="169" t="s">
        <v>180</v>
      </c>
      <c r="C317" s="195">
        <f>C313/C312</f>
        <v>0.70037060607195001</v>
      </c>
      <c r="D317" s="195">
        <f t="shared" ref="D317:F317" si="117">D313/D312</f>
        <v>0.60453855544923618</v>
      </c>
      <c r="E317" s="195">
        <f t="shared" si="117"/>
        <v>0.35608398315332973</v>
      </c>
      <c r="F317" s="196">
        <f t="shared" si="117"/>
        <v>0.70022533800701048</v>
      </c>
      <c r="G317" s="199">
        <f>AVERAGE(C317:F317)</f>
        <v>0.59030462067038159</v>
      </c>
    </row>
    <row r="318" spans="2:12">
      <c r="B318" s="197" t="s">
        <v>181</v>
      </c>
      <c r="C318" s="198">
        <f>C313/C311</f>
        <v>0.48715011066267416</v>
      </c>
      <c r="D318" s="164">
        <f t="shared" ref="D318:F318" si="118">D313/D311</f>
        <v>0.46049878414296214</v>
      </c>
      <c r="E318" s="164">
        <f t="shared" si="118"/>
        <v>0.3358471643199874</v>
      </c>
      <c r="F318" s="165">
        <f t="shared" si="118"/>
        <v>0.50342009576268132</v>
      </c>
      <c r="G318" s="199">
        <f>AVERAGE(C318:F318)</f>
        <v>0.44672903872207625</v>
      </c>
    </row>
    <row r="319" spans="2:12">
      <c r="F319" s="158"/>
    </row>
    <row r="320" spans="2:12" ht="24" thickBot="1">
      <c r="B320" s="131" t="s">
        <v>165</v>
      </c>
      <c r="C320" s="132"/>
      <c r="D320" s="133"/>
      <c r="E320" s="133"/>
      <c r="F320" s="134"/>
      <c r="G320" s="133"/>
      <c r="H320" s="133"/>
      <c r="I320" s="133"/>
      <c r="J320" s="133"/>
      <c r="K320" s="133"/>
      <c r="L320" s="133"/>
    </row>
    <row r="321" spans="2:26" ht="13.5" thickTop="1">
      <c r="B321" s="135"/>
      <c r="C321" s="135"/>
      <c r="D321" s="135"/>
      <c r="E321" s="135"/>
      <c r="F321" s="135"/>
      <c r="G321" s="135"/>
      <c r="H321" s="135"/>
      <c r="I321" s="135"/>
      <c r="J321" s="135"/>
      <c r="K321" s="135"/>
      <c r="L321" s="135"/>
    </row>
    <row r="322" spans="2:26">
      <c r="B322" s="136" t="s">
        <v>141</v>
      </c>
      <c r="C322" s="137"/>
      <c r="D322" s="137"/>
      <c r="E322" s="135"/>
      <c r="F322" s="135"/>
      <c r="G322" s="135"/>
      <c r="H322" s="135"/>
      <c r="I322" s="135"/>
      <c r="J322" s="135"/>
      <c r="K322" s="135"/>
      <c r="L322" s="135"/>
    </row>
    <row r="323" spans="2:26">
      <c r="B323" s="137" t="s">
        <v>161</v>
      </c>
      <c r="C323" s="137"/>
      <c r="D323" s="138">
        <v>5593</v>
      </c>
      <c r="E323" s="135"/>
      <c r="K323" s="135"/>
      <c r="L323" s="135"/>
    </row>
    <row r="324" spans="2:26">
      <c r="B324" s="137" t="s">
        <v>142</v>
      </c>
      <c r="C324" s="137"/>
      <c r="D324" s="172">
        <v>0.05</v>
      </c>
      <c r="E324" s="135"/>
      <c r="K324" s="135"/>
      <c r="L324" s="135"/>
    </row>
    <row r="325" spans="2:26">
      <c r="B325" s="137" t="s">
        <v>143</v>
      </c>
      <c r="C325" s="137"/>
      <c r="D325" s="171">
        <v>0.12</v>
      </c>
      <c r="E325" s="135"/>
      <c r="K325" s="135"/>
      <c r="L325" s="135"/>
    </row>
    <row r="326" spans="2:26">
      <c r="B326" s="137" t="s">
        <v>144</v>
      </c>
      <c r="C326" s="137"/>
      <c r="D326" s="137">
        <v>4300</v>
      </c>
      <c r="E326" s="135"/>
      <c r="F326" s="135"/>
      <c r="G326" s="135"/>
      <c r="H326" s="135"/>
      <c r="I326" s="135"/>
      <c r="J326" s="135"/>
      <c r="K326" s="135"/>
      <c r="L326" s="135"/>
    </row>
    <row r="327" spans="2:26">
      <c r="B327" s="137" t="s">
        <v>178</v>
      </c>
      <c r="C327" s="137"/>
      <c r="D327" s="139">
        <v>0.6</v>
      </c>
      <c r="E327" s="135"/>
      <c r="F327" s="135"/>
      <c r="G327" s="135"/>
      <c r="H327" s="135"/>
      <c r="J327" s="135"/>
      <c r="K327" s="135"/>
      <c r="L327" s="135"/>
    </row>
    <row r="328" spans="2:26">
      <c r="B328" s="135"/>
      <c r="C328" s="135"/>
      <c r="D328" s="135"/>
      <c r="E328" s="135"/>
      <c r="K328" s="135"/>
      <c r="L328" s="135"/>
      <c r="V328" s="135" t="s">
        <v>233</v>
      </c>
    </row>
    <row r="329" spans="2:26">
      <c r="B329" s="135"/>
      <c r="C329" s="135"/>
      <c r="D329" s="135"/>
      <c r="E329" s="135"/>
      <c r="K329" s="135"/>
      <c r="L329" s="135"/>
      <c r="V329" s="157" t="s">
        <v>182</v>
      </c>
      <c r="Z329" s="174">
        <v>0.05</v>
      </c>
    </row>
    <row r="330" spans="2:26" ht="13.5" thickBot="1">
      <c r="B330" s="131" t="s">
        <v>145</v>
      </c>
      <c r="C330" s="132"/>
      <c r="D330" s="133"/>
      <c r="E330" s="133"/>
      <c r="F330" s="134"/>
      <c r="G330" s="134"/>
      <c r="H330" s="134"/>
      <c r="I330" s="134"/>
      <c r="J330" s="134"/>
      <c r="K330" s="134"/>
      <c r="L330" s="134"/>
      <c r="S330" s="33"/>
      <c r="V330" s="157" t="s">
        <v>240</v>
      </c>
      <c r="Z330" s="174">
        <v>2.1999999999999999E-2</v>
      </c>
    </row>
    <row r="331" spans="2:26" ht="13.5" thickTop="1">
      <c r="B331" s="135"/>
      <c r="C331" s="135"/>
      <c r="D331" s="135"/>
      <c r="E331" s="135"/>
      <c r="F331" s="135"/>
      <c r="G331" s="135"/>
      <c r="H331" s="135"/>
      <c r="I331" s="135"/>
      <c r="J331" s="135"/>
      <c r="K331" s="135"/>
      <c r="L331" s="135"/>
      <c r="V331" s="135" t="s">
        <v>234</v>
      </c>
      <c r="W331" s="135"/>
      <c r="X331" s="135"/>
      <c r="Y331" s="135"/>
      <c r="Z331" s="175">
        <v>0.06</v>
      </c>
    </row>
    <row r="332" spans="2:26">
      <c r="B332" s="135"/>
      <c r="C332" s="135"/>
      <c r="D332" s="135"/>
      <c r="E332" s="135"/>
      <c r="F332" s="135"/>
      <c r="G332" s="135"/>
      <c r="H332" s="135"/>
      <c r="I332" s="135"/>
      <c r="J332" s="135"/>
      <c r="K332" s="135"/>
      <c r="L332" s="135"/>
      <c r="V332" s="135" t="s">
        <v>235</v>
      </c>
      <c r="W332" s="135"/>
      <c r="X332" s="135"/>
      <c r="Y332" s="135"/>
      <c r="Z332" s="254">
        <v>4.4999999999999998E-2</v>
      </c>
    </row>
    <row r="333" spans="2:26">
      <c r="B333" s="135"/>
      <c r="C333" s="135"/>
      <c r="D333" s="135"/>
      <c r="E333" s="135"/>
      <c r="F333" s="135"/>
      <c r="G333" s="135"/>
      <c r="H333" s="135"/>
      <c r="I333" s="135"/>
      <c r="J333" s="135"/>
      <c r="K333" s="135"/>
      <c r="L333" s="135"/>
      <c r="V333" s="135" t="s">
        <v>239</v>
      </c>
      <c r="W333" s="135"/>
      <c r="X333" s="135"/>
      <c r="Y333" s="135"/>
      <c r="Z333" s="175">
        <v>0.05</v>
      </c>
    </row>
    <row r="334" spans="2:26" ht="16">
      <c r="B334" s="135"/>
      <c r="C334" s="135"/>
      <c r="D334" s="458" t="s">
        <v>177</v>
      </c>
      <c r="E334" s="458"/>
      <c r="F334" s="458"/>
      <c r="G334" s="458"/>
      <c r="H334" s="458"/>
      <c r="I334" s="458"/>
      <c r="J334" s="458"/>
      <c r="K334" s="145"/>
      <c r="L334" s="459"/>
      <c r="M334" s="183"/>
      <c r="N334" s="186" t="s">
        <v>176</v>
      </c>
      <c r="O334" s="184"/>
      <c r="P334" s="184"/>
      <c r="Q334" s="184"/>
      <c r="R334" s="185"/>
      <c r="V334" s="157" t="s">
        <v>182</v>
      </c>
      <c r="Z334" s="174">
        <v>0.05</v>
      </c>
    </row>
    <row r="335" spans="2:26" ht="16">
      <c r="B335" s="135"/>
      <c r="C335" s="135"/>
      <c r="D335" s="458"/>
      <c r="E335" s="458"/>
      <c r="F335" s="458"/>
      <c r="G335" s="458"/>
      <c r="H335" s="458"/>
      <c r="I335" s="458"/>
      <c r="J335" s="458"/>
      <c r="K335" s="145"/>
      <c r="L335" s="460"/>
      <c r="M335" s="179"/>
      <c r="N335" s="180" t="s">
        <v>143</v>
      </c>
      <c r="O335" s="181"/>
      <c r="P335" s="182"/>
      <c r="Q335" s="182"/>
      <c r="R335" s="182"/>
      <c r="V335" s="157" t="s">
        <v>240</v>
      </c>
      <c r="Z335" s="174">
        <v>2.1999999999999999E-2</v>
      </c>
    </row>
    <row r="336" spans="2:26" ht="26.5">
      <c r="B336" s="140" t="s">
        <v>146</v>
      </c>
      <c r="C336" s="141" t="s">
        <v>166</v>
      </c>
      <c r="D336" s="142" t="s">
        <v>147</v>
      </c>
      <c r="E336" s="142" t="s">
        <v>148</v>
      </c>
      <c r="F336" s="142" t="s">
        <v>149</v>
      </c>
      <c r="G336" s="142" t="s">
        <v>150</v>
      </c>
      <c r="H336" s="142" t="s">
        <v>151</v>
      </c>
      <c r="I336" s="142" t="s">
        <v>167</v>
      </c>
      <c r="J336" s="142" t="s">
        <v>168</v>
      </c>
      <c r="K336" s="135"/>
      <c r="L336" s="173"/>
      <c r="M336" s="417">
        <v>18.005108437604843</v>
      </c>
      <c r="N336" s="108">
        <v>0.1</v>
      </c>
      <c r="O336" s="116">
        <v>0.11</v>
      </c>
      <c r="P336" s="116">
        <v>0.12</v>
      </c>
      <c r="Q336" s="116">
        <v>0.13</v>
      </c>
      <c r="R336" s="117">
        <v>0.14000000000000001</v>
      </c>
    </row>
    <row r="337" spans="2:21">
      <c r="B337" s="143" t="s">
        <v>152</v>
      </c>
      <c r="C337" s="144">
        <v>5593</v>
      </c>
      <c r="D337" s="145">
        <f>-F206</f>
        <v>5488.8536823685718</v>
      </c>
      <c r="E337" s="145">
        <f t="shared" ref="E337:J337" si="119">-G206</f>
        <v>5848.2713130895445</v>
      </c>
      <c r="F337" s="145">
        <f t="shared" si="119"/>
        <v>6096.7892932642899</v>
      </c>
      <c r="G337" s="145">
        <f t="shared" si="119"/>
        <v>5999.4011465468966</v>
      </c>
      <c r="H337" s="145">
        <f t="shared" si="119"/>
        <v>6586.1240532272232</v>
      </c>
      <c r="I337" s="145">
        <f t="shared" si="119"/>
        <v>6910.485894708162</v>
      </c>
      <c r="J337" s="145">
        <f t="shared" si="119"/>
        <v>7249.4440190557443</v>
      </c>
      <c r="K337" s="153"/>
      <c r="M337" s="119">
        <v>0.03</v>
      </c>
      <c r="N337" s="121">
        <v>19.755946683614052</v>
      </c>
      <c r="O337" s="106">
        <v>17.244812728816921</v>
      </c>
      <c r="P337" s="122">
        <v>15.293558824251996</v>
      </c>
      <c r="Q337" s="122">
        <v>13.734119592212709</v>
      </c>
      <c r="R337" s="123">
        <v>12.459550781825257</v>
      </c>
    </row>
    <row r="338" spans="2:21">
      <c r="B338" s="146"/>
      <c r="C338" s="145"/>
      <c r="D338" s="145"/>
      <c r="E338" s="145"/>
      <c r="F338" s="145"/>
      <c r="G338" s="145"/>
      <c r="H338" s="145"/>
      <c r="I338" s="145"/>
      <c r="J338" s="145"/>
      <c r="K338" s="153"/>
      <c r="M338" s="119">
        <v>0.04</v>
      </c>
      <c r="N338" s="106">
        <v>22.021795053570447</v>
      </c>
      <c r="O338" s="106">
        <v>18.854384494401167</v>
      </c>
      <c r="P338" s="122">
        <v>16.479861780093866</v>
      </c>
      <c r="Q338" s="122">
        <v>14.633872118295873</v>
      </c>
      <c r="R338" s="123">
        <v>13.157806420994472</v>
      </c>
    </row>
    <row r="339" spans="2:21">
      <c r="B339" s="147" t="s">
        <v>153</v>
      </c>
      <c r="C339" s="148"/>
      <c r="D339" s="148"/>
      <c r="E339" s="148"/>
      <c r="F339" s="148"/>
      <c r="G339" s="148"/>
      <c r="H339" s="135"/>
      <c r="I339" s="145">
        <f>(J337/(D325-D324))</f>
        <v>103563.48598651064</v>
      </c>
      <c r="J339" s="148"/>
      <c r="K339" s="153"/>
      <c r="M339" s="119">
        <v>0.05</v>
      </c>
      <c r="N339" s="106">
        <v>25.193982771509393</v>
      </c>
      <c r="O339" s="106">
        <v>21.000480181846818</v>
      </c>
      <c r="P339" s="418">
        <v>18.005108437604843</v>
      </c>
      <c r="Q339" s="122">
        <v>15.758562775899827</v>
      </c>
      <c r="R339" s="123">
        <v>14.011229979979065</v>
      </c>
    </row>
    <row r="340" spans="2:21" ht="13.5" thickBot="1">
      <c r="B340" s="149" t="s">
        <v>154</v>
      </c>
      <c r="C340" s="150"/>
      <c r="D340" s="170">
        <f t="shared" ref="D340:G340" si="120">SUM(D337:D339)</f>
        <v>5488.8536823685718</v>
      </c>
      <c r="E340" s="170">
        <f t="shared" si="120"/>
        <v>5848.2713130895445</v>
      </c>
      <c r="F340" s="170">
        <f t="shared" si="120"/>
        <v>6096.7892932642899</v>
      </c>
      <c r="G340" s="170">
        <f t="shared" si="120"/>
        <v>5999.4011465468966</v>
      </c>
      <c r="H340" s="170">
        <f>SUM(H337:H339)</f>
        <v>6586.1240532272232</v>
      </c>
      <c r="I340" s="416">
        <f>SUM(I337,I339)</f>
        <v>110473.97188121881</v>
      </c>
      <c r="J340" s="170"/>
      <c r="K340" s="153"/>
      <c r="M340" s="115">
        <v>0.06</v>
      </c>
      <c r="N340" s="124">
        <v>29.952264348417817</v>
      </c>
      <c r="O340" s="127">
        <v>24.005014144270739</v>
      </c>
      <c r="P340" s="126">
        <v>20.038770647619479</v>
      </c>
      <c r="Q340" s="126">
        <v>17.204593621390629</v>
      </c>
      <c r="R340" s="125">
        <v>15.078009428709807</v>
      </c>
    </row>
    <row r="341" spans="2:21" ht="13.5" thickTop="1">
      <c r="B341" s="151" t="s">
        <v>155</v>
      </c>
      <c r="C341" s="152">
        <f>NPV(D325,D340:J340)</f>
        <v>77421.966281700821</v>
      </c>
      <c r="D341" s="153"/>
      <c r="E341" s="153"/>
      <c r="F341" s="153"/>
      <c r="G341" s="153"/>
      <c r="H341" s="153"/>
      <c r="I341" s="153"/>
      <c r="J341" s="153"/>
      <c r="K341" s="135"/>
      <c r="L341" s="153"/>
    </row>
    <row r="342" spans="2:21">
      <c r="B342" s="153"/>
      <c r="C342" s="154"/>
      <c r="D342" s="153"/>
      <c r="E342" s="153"/>
      <c r="F342" s="153"/>
      <c r="G342" s="153"/>
      <c r="H342" s="153"/>
      <c r="I342" s="153"/>
      <c r="J342" s="153"/>
      <c r="K342" s="135"/>
      <c r="L342" s="153"/>
    </row>
    <row r="343" spans="2:21">
      <c r="B343" s="145"/>
      <c r="C343" s="145"/>
      <c r="D343" s="153"/>
      <c r="E343" s="153"/>
      <c r="F343" s="153"/>
      <c r="G343" s="153"/>
      <c r="H343" s="153"/>
      <c r="I343" s="153"/>
      <c r="J343" s="153"/>
      <c r="K343" s="135"/>
      <c r="L343" s="153"/>
    </row>
    <row r="344" spans="2:21" ht="13" customHeight="1">
      <c r="B344" s="135"/>
      <c r="C344" s="177"/>
      <c r="D344" s="135"/>
      <c r="E344" s="135"/>
      <c r="F344" s="135"/>
      <c r="G344" s="135"/>
      <c r="H344" s="135"/>
      <c r="I344" s="135"/>
      <c r="J344" s="135"/>
      <c r="L344" s="135"/>
      <c r="P344" s="427"/>
      <c r="Q344" s="428"/>
      <c r="R344" s="429"/>
      <c r="S344" s="429"/>
      <c r="T344" s="429"/>
      <c r="U344" s="429"/>
    </row>
    <row r="345" spans="2:21" ht="16">
      <c r="B345" s="145"/>
      <c r="C345" s="178"/>
      <c r="D345" s="135"/>
      <c r="E345" s="135"/>
      <c r="F345" s="135"/>
      <c r="G345" s="135"/>
      <c r="H345" s="135"/>
      <c r="I345" s="135"/>
      <c r="J345" s="176"/>
      <c r="L345" s="135"/>
      <c r="P345" s="5"/>
      <c r="Q345" s="5"/>
      <c r="R345" s="6"/>
      <c r="S345" s="429"/>
      <c r="T345" s="429"/>
      <c r="U345" s="429"/>
    </row>
    <row r="346" spans="2:21" ht="16">
      <c r="B346" s="187" t="s">
        <v>156</v>
      </c>
      <c r="C346" s="155">
        <f>C341/D326</f>
        <v>18.005108437604843</v>
      </c>
      <c r="D346" s="135"/>
      <c r="E346" s="156"/>
      <c r="F346" s="135"/>
      <c r="G346" s="135"/>
      <c r="H346" s="135"/>
      <c r="I346" s="135"/>
      <c r="J346" s="135"/>
      <c r="L346" s="135"/>
      <c r="P346" s="430"/>
      <c r="Q346" s="431"/>
      <c r="R346" s="431"/>
      <c r="S346" s="431"/>
      <c r="T346" s="431"/>
      <c r="U346" s="431"/>
    </row>
    <row r="347" spans="2:21">
      <c r="P347" s="431"/>
      <c r="Q347" s="432"/>
      <c r="R347" s="215"/>
      <c r="S347" s="433"/>
      <c r="T347" s="433"/>
      <c r="U347" s="433"/>
    </row>
    <row r="348" spans="2:21">
      <c r="P348" s="431"/>
      <c r="Q348" s="215"/>
      <c r="R348" s="215"/>
      <c r="S348" s="433"/>
      <c r="T348" s="433"/>
      <c r="U348" s="433"/>
    </row>
    <row r="349" spans="2:21">
      <c r="C349" s="457" t="s">
        <v>179</v>
      </c>
      <c r="D349" s="457"/>
      <c r="E349" s="157"/>
      <c r="P349" s="431"/>
      <c r="Q349" s="215"/>
      <c r="R349" s="215"/>
      <c r="S349" s="418"/>
      <c r="T349" s="433"/>
      <c r="U349" s="433"/>
    </row>
    <row r="350" spans="2:21" ht="23.5">
      <c r="B350" s="140" t="s">
        <v>146</v>
      </c>
      <c r="C350" s="141" t="s">
        <v>166</v>
      </c>
      <c r="D350" s="142" t="s">
        <v>147</v>
      </c>
      <c r="E350" s="173"/>
      <c r="P350" s="431"/>
      <c r="Q350" s="434"/>
      <c r="R350" s="435"/>
      <c r="S350" s="436"/>
      <c r="T350" s="436"/>
      <c r="U350" s="436"/>
    </row>
    <row r="351" spans="2:21">
      <c r="B351" s="143" t="s">
        <v>152</v>
      </c>
      <c r="C351" s="144">
        <v>5593</v>
      </c>
      <c r="D351" s="145">
        <f>C351*(1+D324)</f>
        <v>5872.6500000000005</v>
      </c>
      <c r="E351" s="193"/>
    </row>
    <row r="352" spans="2:21">
      <c r="B352" s="146"/>
      <c r="C352" s="145"/>
      <c r="D352" s="145"/>
      <c r="E352" s="193"/>
    </row>
    <row r="353" spans="2:9">
      <c r="B353" s="147" t="s">
        <v>153</v>
      </c>
      <c r="C353" s="148"/>
      <c r="D353" s="191">
        <f>D351/(D325-D324)</f>
        <v>83895.000000000015</v>
      </c>
      <c r="E353" s="148"/>
    </row>
    <row r="354" spans="2:9" ht="13.5" thickBot="1">
      <c r="B354" s="149" t="s">
        <v>154</v>
      </c>
      <c r="C354" s="150"/>
      <c r="D354" s="192">
        <f>D353</f>
        <v>83895.000000000015</v>
      </c>
      <c r="E354" s="194"/>
      <c r="H354" s="190"/>
    </row>
    <row r="355" spans="2:9" ht="13.5" thickTop="1">
      <c r="B355" s="151" t="s">
        <v>155</v>
      </c>
      <c r="C355" s="152">
        <f>NPV(D339,D354:K354)</f>
        <v>83895.000000000015</v>
      </c>
      <c r="D355" s="153"/>
      <c r="E355" s="153"/>
    </row>
    <row r="356" spans="2:9">
      <c r="H356" s="190"/>
    </row>
    <row r="358" spans="2:9">
      <c r="B358" s="187" t="s">
        <v>156</v>
      </c>
      <c r="C358" s="155">
        <f>C355/D326</f>
        <v>19.510465116279072</v>
      </c>
    </row>
    <row r="360" spans="2:9">
      <c r="D360" s="135"/>
      <c r="E360" s="156"/>
    </row>
    <row r="365" spans="2:9">
      <c r="B365" s="157"/>
      <c r="C365" s="157"/>
      <c r="D365" s="157"/>
      <c r="E365" s="157"/>
      <c r="F365" s="157"/>
      <c r="G365" s="157"/>
      <c r="H365" s="157"/>
      <c r="I365" s="157"/>
    </row>
    <row r="367" spans="2:9">
      <c r="B367" s="157"/>
      <c r="E367" s="157"/>
    </row>
    <row r="368" spans="2:9">
      <c r="B368" s="157"/>
    </row>
  </sheetData>
  <mergeCells count="7">
    <mergeCell ref="O261:P261"/>
    <mergeCell ref="O262:P262"/>
    <mergeCell ref="B81:L81"/>
    <mergeCell ref="B215:L215"/>
    <mergeCell ref="C349:D349"/>
    <mergeCell ref="D334:J335"/>
    <mergeCell ref="L334:L335"/>
  </mergeCells>
  <phoneticPr fontId="0" type="noConversion"/>
  <pageMargins left="0.75" right="0.75" top="1" bottom="1" header="0.5" footer="0.5"/>
  <pageSetup orientation="portrait"/>
  <headerFooter alignWithMargins="0"/>
  <ignoredErrors>
    <ignoredError sqref="F202:L202 F228" formula="1"/>
  </ignoredError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DDD6E-98B2-2541-9BF1-D74915E84623}">
  <dimension ref="A1:W87"/>
  <sheetViews>
    <sheetView showGridLines="0" topLeftCell="B54" zoomScaleNormal="68" workbookViewId="0">
      <selection activeCell="A33" sqref="A33"/>
    </sheetView>
  </sheetViews>
  <sheetFormatPr defaultColWidth="11.19921875" defaultRowHeight="13"/>
  <cols>
    <col min="2" max="2" width="30.3984375" customWidth="1"/>
    <col min="3" max="4" width="12.796875" customWidth="1"/>
    <col min="5" max="6" width="14.19921875" customWidth="1"/>
    <col min="7" max="7" width="16" customWidth="1"/>
    <col min="8" max="9" width="12.3984375" customWidth="1"/>
    <col min="10" max="10" width="12.796875" customWidth="1"/>
    <col min="23" max="23" width="20.796875" bestFit="1" customWidth="1"/>
  </cols>
  <sheetData>
    <row r="1" spans="2:10" ht="13.5" thickBot="1"/>
    <row r="2" spans="2:10" ht="13.5" thickBot="1">
      <c r="B2" s="343" t="s">
        <v>249</v>
      </c>
      <c r="C2" s="344" t="s">
        <v>253</v>
      </c>
      <c r="D2" s="344" t="s">
        <v>252</v>
      </c>
      <c r="E2" s="345" t="s">
        <v>247</v>
      </c>
      <c r="F2" s="157"/>
      <c r="G2" s="157"/>
      <c r="H2" s="157"/>
      <c r="I2" s="157"/>
      <c r="J2" s="157"/>
    </row>
    <row r="3" spans="2:10">
      <c r="B3" s="336"/>
      <c r="C3" s="337"/>
      <c r="D3" s="337"/>
      <c r="E3" s="338"/>
      <c r="F3" s="2"/>
      <c r="G3" s="2"/>
      <c r="H3" s="2"/>
      <c r="I3" s="2"/>
      <c r="J3" s="2"/>
    </row>
    <row r="4" spans="2:10" ht="26">
      <c r="B4" s="341" t="s">
        <v>254</v>
      </c>
      <c r="C4" s="341" t="s">
        <v>246</v>
      </c>
      <c r="D4" s="342" t="s">
        <v>251</v>
      </c>
      <c r="E4" s="342" t="s">
        <v>250</v>
      </c>
      <c r="F4" s="266"/>
      <c r="G4" s="266"/>
      <c r="H4" s="266"/>
      <c r="I4" s="266"/>
      <c r="J4" s="266"/>
    </row>
    <row r="5" spans="2:10">
      <c r="B5" s="323"/>
      <c r="C5" s="324"/>
      <c r="D5" s="324"/>
      <c r="E5" s="325"/>
    </row>
    <row r="6" spans="2:10">
      <c r="B6" s="326" t="s">
        <v>255</v>
      </c>
      <c r="C6">
        <v>41.66</v>
      </c>
      <c r="D6">
        <v>54.04</v>
      </c>
      <c r="E6" s="327">
        <v>53.82</v>
      </c>
    </row>
    <row r="7" spans="2:10">
      <c r="B7" s="328" t="s">
        <v>256</v>
      </c>
      <c r="C7">
        <v>67000</v>
      </c>
      <c r="D7">
        <v>57000</v>
      </c>
      <c r="E7" s="327">
        <v>80000</v>
      </c>
    </row>
    <row r="8" spans="2:10">
      <c r="B8" s="329"/>
      <c r="E8" s="327"/>
    </row>
    <row r="9" spans="2:10" ht="13.5" thickBot="1">
      <c r="B9" s="339" t="s">
        <v>320</v>
      </c>
      <c r="C9" s="340"/>
      <c r="D9" s="340"/>
      <c r="E9" s="346"/>
    </row>
    <row r="10" spans="2:10">
      <c r="B10" s="326" t="s">
        <v>280</v>
      </c>
      <c r="C10">
        <v>7.11</v>
      </c>
      <c r="D10">
        <v>9.32</v>
      </c>
      <c r="E10" s="327">
        <v>11.7</v>
      </c>
    </row>
    <row r="11" spans="2:10">
      <c r="B11" s="326" t="s">
        <v>248</v>
      </c>
      <c r="C11">
        <v>1.33</v>
      </c>
      <c r="D11">
        <v>1.87</v>
      </c>
      <c r="E11" s="327">
        <v>3.49</v>
      </c>
    </row>
    <row r="12" spans="2:10">
      <c r="B12" s="326" t="s">
        <v>281</v>
      </c>
      <c r="C12">
        <v>3.65</v>
      </c>
      <c r="D12">
        <v>5.46</v>
      </c>
      <c r="E12" s="327">
        <v>6.74</v>
      </c>
    </row>
    <row r="13" spans="2:10">
      <c r="B13" s="329"/>
      <c r="E13" s="327"/>
    </row>
    <row r="14" spans="2:10" ht="13.5" thickBot="1">
      <c r="B14" s="339" t="s">
        <v>257</v>
      </c>
      <c r="C14" s="340"/>
      <c r="D14" s="340"/>
      <c r="E14" s="340"/>
    </row>
    <row r="15" spans="2:10">
      <c r="B15" s="326" t="s">
        <v>258</v>
      </c>
      <c r="C15">
        <v>1.28</v>
      </c>
      <c r="D15">
        <v>1.69</v>
      </c>
      <c r="E15" s="327">
        <v>1.57</v>
      </c>
    </row>
    <row r="16" spans="2:10">
      <c r="B16" s="326" t="s">
        <v>264</v>
      </c>
      <c r="C16">
        <v>0.96</v>
      </c>
      <c r="D16">
        <v>1.17</v>
      </c>
      <c r="E16" s="327">
        <v>1.22</v>
      </c>
    </row>
    <row r="17" spans="2:5">
      <c r="B17" s="329"/>
      <c r="E17" s="327"/>
    </row>
    <row r="18" spans="2:5" ht="13.5" thickBot="1">
      <c r="B18" s="339" t="s">
        <v>259</v>
      </c>
      <c r="C18" s="340"/>
      <c r="D18" s="340"/>
      <c r="E18" s="340"/>
    </row>
    <row r="19" spans="2:5">
      <c r="B19" s="326" t="s">
        <v>260</v>
      </c>
      <c r="C19" s="204">
        <v>0.39779999999999999</v>
      </c>
      <c r="D19" s="204">
        <v>0.25430000000000003</v>
      </c>
      <c r="E19" s="330">
        <v>0.26819999999999999</v>
      </c>
    </row>
    <row r="20" spans="2:5">
      <c r="B20" s="326" t="s">
        <v>261</v>
      </c>
      <c r="C20" s="204">
        <v>0.18579999999999999</v>
      </c>
      <c r="D20" s="204">
        <v>0.18049999999999999</v>
      </c>
      <c r="E20" s="330">
        <v>3.4000000000000002E-2</v>
      </c>
    </row>
    <row r="21" spans="2:5">
      <c r="B21" s="326" t="s">
        <v>262</v>
      </c>
      <c r="C21">
        <v>21.44</v>
      </c>
      <c r="D21" s="331">
        <v>0.1913</v>
      </c>
      <c r="E21" s="330">
        <v>0.17530000000000001</v>
      </c>
    </row>
    <row r="22" spans="2:5">
      <c r="B22" s="326" t="s">
        <v>263</v>
      </c>
      <c r="C22">
        <v>8.92</v>
      </c>
      <c r="D22" s="332">
        <v>0.1</v>
      </c>
      <c r="E22" s="330">
        <v>7.8399999999999997E-2</v>
      </c>
    </row>
    <row r="23" spans="2:5">
      <c r="B23" s="329"/>
      <c r="E23" s="327"/>
    </row>
    <row r="24" spans="2:5" ht="13.5" thickBot="1">
      <c r="B24" s="339" t="s">
        <v>265</v>
      </c>
      <c r="C24" s="340"/>
      <c r="D24" s="340"/>
      <c r="E24" s="340"/>
    </row>
    <row r="25" spans="2:5">
      <c r="B25" s="326" t="s">
        <v>319</v>
      </c>
      <c r="C25">
        <v>0.14000000000000001</v>
      </c>
      <c r="D25">
        <v>0.13</v>
      </c>
      <c r="E25" s="327">
        <v>0.2</v>
      </c>
    </row>
    <row r="26" spans="2:5">
      <c r="B26" s="326" t="s">
        <v>266</v>
      </c>
      <c r="C26">
        <v>0.35</v>
      </c>
      <c r="D26">
        <v>0.24</v>
      </c>
      <c r="E26" s="327">
        <v>0.54</v>
      </c>
    </row>
    <row r="27" spans="2:5">
      <c r="B27" s="329"/>
      <c r="E27" s="327"/>
    </row>
    <row r="28" spans="2:5" ht="13.5" thickBot="1">
      <c r="B28" s="339" t="s">
        <v>267</v>
      </c>
      <c r="C28" s="340"/>
      <c r="D28" s="340"/>
      <c r="E28" s="346"/>
    </row>
    <row r="29" spans="2:5">
      <c r="B29" s="326" t="s">
        <v>269</v>
      </c>
      <c r="C29">
        <v>5.34</v>
      </c>
      <c r="D29">
        <v>6.07</v>
      </c>
      <c r="E29" s="327">
        <v>7.09</v>
      </c>
    </row>
    <row r="30" spans="2:5">
      <c r="B30" s="333" t="s">
        <v>268</v>
      </c>
      <c r="C30" s="334">
        <v>0.46</v>
      </c>
      <c r="D30" s="334">
        <v>0.54</v>
      </c>
      <c r="E30" s="335">
        <v>0.59</v>
      </c>
    </row>
    <row r="34" spans="1:23">
      <c r="B34" s="312" t="s">
        <v>270</v>
      </c>
      <c r="C34" s="290"/>
      <c r="D34" s="462" t="s">
        <v>278</v>
      </c>
      <c r="E34" s="462"/>
      <c r="F34" s="462"/>
      <c r="G34" s="462"/>
      <c r="H34" s="462"/>
      <c r="I34" s="236"/>
      <c r="J34" s="290"/>
      <c r="K34" s="462" t="s">
        <v>312</v>
      </c>
      <c r="L34" s="462"/>
      <c r="M34" s="462"/>
      <c r="N34" s="462"/>
      <c r="O34" s="291"/>
      <c r="P34" s="290"/>
      <c r="R34" s="462" t="s">
        <v>282</v>
      </c>
      <c r="S34" s="462"/>
      <c r="T34" s="462"/>
      <c r="U34" s="462"/>
    </row>
    <row r="35" spans="1:23">
      <c r="E35" s="463" t="s">
        <v>314</v>
      </c>
      <c r="F35" s="463"/>
      <c r="G35" s="463"/>
      <c r="H35" s="463"/>
      <c r="I35" s="463"/>
      <c r="J35" s="463"/>
      <c r="K35" s="463"/>
      <c r="L35" s="463"/>
      <c r="M35" s="463"/>
    </row>
    <row r="36" spans="1:23" ht="26">
      <c r="B36" s="297" t="s">
        <v>271</v>
      </c>
      <c r="C36" s="235" t="s">
        <v>272</v>
      </c>
      <c r="D36" s="298" t="s">
        <v>273</v>
      </c>
      <c r="E36" s="292" t="s">
        <v>274</v>
      </c>
      <c r="F36" s="235" t="s">
        <v>275</v>
      </c>
      <c r="G36" s="235" t="s">
        <v>276</v>
      </c>
      <c r="H36" s="292" t="s">
        <v>277</v>
      </c>
      <c r="J36" s="293" t="s">
        <v>311</v>
      </c>
      <c r="K36" s="235" t="s">
        <v>3</v>
      </c>
      <c r="L36" s="235" t="s">
        <v>10</v>
      </c>
      <c r="M36" s="235" t="s">
        <v>279</v>
      </c>
      <c r="N36" s="293" t="s">
        <v>309</v>
      </c>
      <c r="O36" s="293" t="s">
        <v>310</v>
      </c>
      <c r="P36" s="292" t="s">
        <v>284</v>
      </c>
      <c r="Q36" s="267"/>
      <c r="R36" s="235" t="s">
        <v>280</v>
      </c>
      <c r="S36" s="235" t="s">
        <v>248</v>
      </c>
      <c r="T36" s="235" t="s">
        <v>281</v>
      </c>
      <c r="U36" s="292" t="s">
        <v>283</v>
      </c>
    </row>
    <row r="37" spans="1:23">
      <c r="A37" s="461" t="s">
        <v>288</v>
      </c>
      <c r="B37" s="207"/>
      <c r="C37" s="209"/>
      <c r="H37" s="162"/>
      <c r="J37" s="201"/>
      <c r="K37" s="300"/>
      <c r="L37" s="300"/>
      <c r="M37" s="300"/>
      <c r="N37" s="300"/>
      <c r="O37" s="300"/>
      <c r="P37" s="202"/>
      <c r="R37" s="207"/>
      <c r="U37" s="162"/>
    </row>
    <row r="38" spans="1:23" ht="13" customHeight="1">
      <c r="A38" s="461"/>
      <c r="B38" s="294" t="s">
        <v>246</v>
      </c>
      <c r="C38" s="169" t="s">
        <v>253</v>
      </c>
      <c r="D38">
        <v>12.18</v>
      </c>
      <c r="E38">
        <v>4.3</v>
      </c>
      <c r="F38" s="215">
        <f>D38*E38</f>
        <v>52.373999999999995</v>
      </c>
      <c r="G38">
        <v>16.2</v>
      </c>
      <c r="H38" s="162">
        <v>64.3</v>
      </c>
      <c r="J38" s="207">
        <v>3.544</v>
      </c>
      <c r="K38">
        <v>41.66</v>
      </c>
      <c r="L38">
        <v>17.440000000000001</v>
      </c>
      <c r="M38" s="215">
        <v>8</v>
      </c>
      <c r="N38" s="301">
        <f>7.36/4.3</f>
        <v>1.7116279069767444</v>
      </c>
      <c r="O38">
        <v>9.02</v>
      </c>
      <c r="P38" s="208">
        <v>9.8599999999999993E-2</v>
      </c>
      <c r="Q38" s="204"/>
      <c r="R38" s="207">
        <v>7.11</v>
      </c>
      <c r="S38">
        <v>1.33</v>
      </c>
      <c r="T38">
        <v>3.65</v>
      </c>
      <c r="U38" s="210">
        <f>(P38/$P$47)</f>
        <v>1.2973684210526315</v>
      </c>
      <c r="W38" s="204"/>
    </row>
    <row r="39" spans="1:23">
      <c r="A39" s="461"/>
      <c r="B39" s="295" t="s">
        <v>251</v>
      </c>
      <c r="C39" s="169" t="s">
        <v>252</v>
      </c>
      <c r="D39">
        <v>63</v>
      </c>
      <c r="E39">
        <v>1.25</v>
      </c>
      <c r="F39" s="215">
        <f t="shared" ref="F39:F40" si="0">D39*E39</f>
        <v>78.75</v>
      </c>
      <c r="G39">
        <v>14.35</v>
      </c>
      <c r="H39" s="162">
        <v>114.78</v>
      </c>
      <c r="J39" s="207">
        <v>10.79</v>
      </c>
      <c r="K39">
        <v>54.04</v>
      </c>
      <c r="L39">
        <v>15.98</v>
      </c>
      <c r="M39">
        <v>10.06</v>
      </c>
      <c r="N39" s="302">
        <f>8.54/E39</f>
        <v>6.831999999999999</v>
      </c>
      <c r="O39" s="302">
        <v>32</v>
      </c>
      <c r="P39" s="208">
        <v>7.1900000000000006E-2</v>
      </c>
      <c r="Q39" s="204"/>
      <c r="R39" s="207">
        <v>9.32</v>
      </c>
      <c r="S39">
        <v>1.87</v>
      </c>
      <c r="T39">
        <v>5.46</v>
      </c>
      <c r="U39" s="210">
        <f>(P39/$P$47)</f>
        <v>0.94605263157894748</v>
      </c>
    </row>
    <row r="40" spans="1:23">
      <c r="A40" s="461"/>
      <c r="B40" s="296" t="s">
        <v>250</v>
      </c>
      <c r="C40" s="299" t="s">
        <v>247</v>
      </c>
      <c r="D40" s="284">
        <v>57.04</v>
      </c>
      <c r="E40" s="284">
        <v>2.5299999999999998</v>
      </c>
      <c r="F40" s="283">
        <f t="shared" si="0"/>
        <v>144.31119999999999</v>
      </c>
      <c r="G40" s="284">
        <v>22.4</v>
      </c>
      <c r="H40" s="216">
        <v>163.16999999999999</v>
      </c>
      <c r="J40" s="211">
        <v>10.35</v>
      </c>
      <c r="K40" s="284">
        <v>53.82</v>
      </c>
      <c r="L40" s="284">
        <v>27.67</v>
      </c>
      <c r="M40" s="284">
        <v>12.92</v>
      </c>
      <c r="N40" s="284">
        <v>4.8849999999999998</v>
      </c>
      <c r="O40" s="284">
        <v>16.11</v>
      </c>
      <c r="P40" s="303">
        <v>5.7500000000000002E-2</v>
      </c>
      <c r="Q40" s="204"/>
      <c r="R40" s="211">
        <v>11.7</v>
      </c>
      <c r="S40" s="284">
        <v>3.49</v>
      </c>
      <c r="T40" s="284">
        <v>6.74</v>
      </c>
      <c r="U40" s="244">
        <f>(P40/$P$47)</f>
        <v>0.75657894736842113</v>
      </c>
    </row>
    <row r="41" spans="1:23">
      <c r="A41" s="271"/>
      <c r="B41" s="266"/>
      <c r="C41" s="157"/>
      <c r="F41" s="215"/>
      <c r="P41" s="204"/>
      <c r="Q41" s="204"/>
      <c r="U41" s="34"/>
    </row>
    <row r="42" spans="1:23">
      <c r="A42" s="271"/>
      <c r="B42" s="266"/>
      <c r="C42" s="157"/>
      <c r="F42" s="215"/>
      <c r="P42" s="204"/>
      <c r="Q42" s="204"/>
      <c r="U42" s="34"/>
    </row>
    <row r="43" spans="1:23">
      <c r="A43" s="271"/>
      <c r="B43" s="266"/>
      <c r="C43" s="157"/>
      <c r="F43" s="215"/>
      <c r="P43" s="204"/>
      <c r="Q43" s="204"/>
      <c r="U43" s="34"/>
    </row>
    <row r="44" spans="1:23">
      <c r="B44" s="313" t="s">
        <v>289</v>
      </c>
      <c r="C44" s="304"/>
      <c r="D44" s="304"/>
      <c r="E44" s="304"/>
      <c r="F44" s="304"/>
      <c r="G44" s="304"/>
      <c r="H44" s="305"/>
      <c r="I44" s="304"/>
      <c r="J44" s="306"/>
      <c r="K44" s="306"/>
      <c r="L44" s="306"/>
      <c r="M44" s="306"/>
      <c r="N44" s="306"/>
      <c r="O44" s="306"/>
      <c r="P44" s="319">
        <f>MIN(P38:P40)</f>
        <v>5.7500000000000002E-2</v>
      </c>
      <c r="Q44" s="306"/>
      <c r="R44" s="315">
        <f>MIN(R38:R40)</f>
        <v>7.11</v>
      </c>
      <c r="S44" s="317">
        <f>MIN(S38:S40)</f>
        <v>1.33</v>
      </c>
      <c r="T44" s="304">
        <f>MIN(T38:T40)</f>
        <v>3.65</v>
      </c>
      <c r="U44" s="321"/>
    </row>
    <row r="45" spans="1:23">
      <c r="B45" s="314" t="s">
        <v>285</v>
      </c>
      <c r="C45" s="307"/>
      <c r="D45" s="307"/>
      <c r="E45" s="307"/>
      <c r="F45" s="307"/>
      <c r="G45" s="307"/>
      <c r="H45" s="307"/>
      <c r="I45" s="307"/>
      <c r="J45" s="308"/>
      <c r="K45" s="308"/>
      <c r="L45" s="308"/>
      <c r="M45" s="308"/>
      <c r="N45" s="308"/>
      <c r="O45" s="308"/>
      <c r="P45" s="320">
        <f>MAX(P38:P40)</f>
        <v>9.8599999999999993E-2</v>
      </c>
      <c r="Q45" s="308"/>
      <c r="R45" s="316">
        <f>MAX(R38:R40)</f>
        <v>11.7</v>
      </c>
      <c r="S45" s="318">
        <f>MAX(S38:S40)</f>
        <v>3.49</v>
      </c>
      <c r="T45" s="307">
        <f>MAX(T38:T40)</f>
        <v>6.74</v>
      </c>
      <c r="U45" s="321"/>
    </row>
    <row r="46" spans="1:23">
      <c r="B46" s="314" t="s">
        <v>286</v>
      </c>
      <c r="C46" s="307"/>
      <c r="D46" s="307"/>
      <c r="E46" s="307"/>
      <c r="F46" s="307"/>
      <c r="G46" s="307"/>
      <c r="H46" s="307"/>
      <c r="I46" s="307"/>
      <c r="J46" s="308"/>
      <c r="K46" s="308"/>
      <c r="L46" s="308"/>
      <c r="M46" s="308"/>
      <c r="N46" s="308"/>
      <c r="O46" s="308"/>
      <c r="P46" s="320">
        <f>MEDIAN(P38:P40)</f>
        <v>7.1900000000000006E-2</v>
      </c>
      <c r="Q46" s="308"/>
      <c r="R46" s="316">
        <f>MEDIAN(R38:R40)</f>
        <v>9.32</v>
      </c>
      <c r="S46" s="318">
        <f>MEDIAN(S38:S40)</f>
        <v>1.87</v>
      </c>
      <c r="T46" s="307">
        <f>MEDIAN(T38:T40)</f>
        <v>5.46</v>
      </c>
      <c r="U46" s="321"/>
    </row>
    <row r="47" spans="1:23">
      <c r="B47" s="383" t="s">
        <v>287</v>
      </c>
      <c r="C47" s="384"/>
      <c r="D47" s="307"/>
      <c r="E47" s="307"/>
      <c r="F47" s="307"/>
      <c r="G47" s="307"/>
      <c r="H47" s="307"/>
      <c r="I47" s="307"/>
      <c r="J47" s="308"/>
      <c r="K47" s="308"/>
      <c r="L47" s="308"/>
      <c r="M47" s="308"/>
      <c r="N47" s="308"/>
      <c r="O47" s="308"/>
      <c r="P47" s="386">
        <f>AVERAGE(P38:P40)</f>
        <v>7.5999999999999998E-2</v>
      </c>
      <c r="Q47" s="387"/>
      <c r="R47" s="388">
        <f>AVERAGE(R38:R40)</f>
        <v>9.3766666666666669</v>
      </c>
      <c r="S47" s="389">
        <f>AVERAGE(S38:S40)</f>
        <v>2.23</v>
      </c>
      <c r="T47" s="390">
        <f>AVERAGE(T38:T40)</f>
        <v>5.2833333333333332</v>
      </c>
      <c r="U47" s="322"/>
    </row>
    <row r="48" spans="1:23">
      <c r="B48" s="380" t="s">
        <v>402</v>
      </c>
      <c r="C48" s="309"/>
      <c r="D48" s="381"/>
      <c r="E48" s="381"/>
      <c r="F48" s="381"/>
      <c r="G48" s="309"/>
      <c r="H48" s="309"/>
      <c r="I48" s="382"/>
      <c r="J48" s="309"/>
      <c r="K48" s="309"/>
      <c r="L48" s="309"/>
      <c r="M48" s="309"/>
      <c r="N48" s="309"/>
      <c r="O48" s="309"/>
      <c r="P48" s="385"/>
      <c r="Q48" s="309"/>
      <c r="R48" s="391">
        <f>(1.05125* R47) - 1.508</f>
        <v>8.3492208333333338</v>
      </c>
      <c r="S48" s="392">
        <f>(0.6555 * S47) + 0.2944</f>
        <v>1.756165</v>
      </c>
      <c r="T48" s="393">
        <f xml:space="preserve"> ( 1.2332 * T47) - 2.1</f>
        <v>4.4154066666666676</v>
      </c>
    </row>
    <row r="49" spans="2:19">
      <c r="D49" s="157"/>
      <c r="E49" s="157"/>
      <c r="F49" s="157"/>
      <c r="G49" s="157"/>
    </row>
    <row r="51" spans="2:19">
      <c r="B51" s="310" t="s">
        <v>315</v>
      </c>
      <c r="C51" s="311" t="s">
        <v>156</v>
      </c>
      <c r="E51" s="302"/>
    </row>
    <row r="52" spans="2:19">
      <c r="B52" s="311" t="s">
        <v>280</v>
      </c>
      <c r="C52" s="363">
        <f>N38*R48</f>
        <v>14.290759379844964</v>
      </c>
    </row>
    <row r="53" spans="2:19">
      <c r="B53" s="311" t="s">
        <v>248</v>
      </c>
      <c r="C53" s="363">
        <f>O38*S48</f>
        <v>15.8406083</v>
      </c>
    </row>
    <row r="54" spans="2:19">
      <c r="B54" s="311" t="s">
        <v>281</v>
      </c>
      <c r="C54" s="363">
        <f>((L38*T48)-G38+J38)/E38</f>
        <v>14.964812155038766</v>
      </c>
    </row>
    <row r="55" spans="2:19">
      <c r="B55" s="311" t="s">
        <v>313</v>
      </c>
      <c r="C55" s="363">
        <f>D38*U38</f>
        <v>15.801947368421052</v>
      </c>
    </row>
    <row r="56" spans="2:19">
      <c r="C56" s="215"/>
    </row>
    <row r="57" spans="2:19" ht="16">
      <c r="B57" s="311" t="s">
        <v>316</v>
      </c>
      <c r="C57" s="363">
        <f>'modelling and valuation'!C308</f>
        <v>20.940412718768467</v>
      </c>
      <c r="G57" s="101" t="s">
        <v>131</v>
      </c>
      <c r="H57" s="102"/>
      <c r="I57" s="102"/>
      <c r="J57" s="103"/>
      <c r="K57" s="103"/>
      <c r="L57" s="103"/>
      <c r="N57" s="101"/>
      <c r="O57" s="102" t="s">
        <v>176</v>
      </c>
      <c r="P57" s="102"/>
      <c r="Q57" s="103"/>
      <c r="R57" s="103"/>
      <c r="S57" s="103"/>
    </row>
    <row r="58" spans="2:19" ht="16">
      <c r="B58" s="311" t="s">
        <v>318</v>
      </c>
      <c r="C58" s="363">
        <f>'modelling and valuation'!C346</f>
        <v>18.005108437604843</v>
      </c>
      <c r="G58" s="120"/>
      <c r="H58" s="101" t="s">
        <v>133</v>
      </c>
      <c r="I58" s="128"/>
      <c r="J58" s="103"/>
      <c r="K58" s="103"/>
      <c r="L58" s="103"/>
      <c r="N58" s="120"/>
      <c r="O58" s="101" t="s">
        <v>143</v>
      </c>
      <c r="P58" s="128"/>
      <c r="Q58" s="103"/>
      <c r="R58" s="103"/>
      <c r="S58" s="103"/>
    </row>
    <row r="59" spans="2:19" ht="16">
      <c r="B59" s="311" t="s">
        <v>317</v>
      </c>
      <c r="C59" s="363">
        <f>'modelling and valuation'!C358</f>
        <v>19.510465116279072</v>
      </c>
      <c r="G59" s="417">
        <f>C63</f>
        <v>0</v>
      </c>
      <c r="H59" s="108">
        <v>0.09</v>
      </c>
      <c r="I59" s="116">
        <v>0.1</v>
      </c>
      <c r="J59" s="116">
        <v>0.11</v>
      </c>
      <c r="K59" s="116">
        <v>0.12</v>
      </c>
      <c r="L59" s="117">
        <v>0.13</v>
      </c>
      <c r="N59" s="417">
        <v>18.005108437604843</v>
      </c>
      <c r="O59" s="108">
        <v>0.1</v>
      </c>
      <c r="P59" s="116">
        <v>0.11</v>
      </c>
      <c r="Q59" s="116">
        <v>0.12</v>
      </c>
      <c r="R59" s="116">
        <v>0.13</v>
      </c>
      <c r="S59" s="117">
        <v>0.14000000000000001</v>
      </c>
    </row>
    <row r="60" spans="2:19">
      <c r="G60" s="119">
        <v>0.02</v>
      </c>
      <c r="H60" s="121">
        <v>22.120393807965627</v>
      </c>
      <c r="I60" s="106">
        <v>18.853466510461647</v>
      </c>
      <c r="J60" s="122">
        <v>16.315512420228011</v>
      </c>
      <c r="K60" s="122">
        <v>14.287695742004082</v>
      </c>
      <c r="L60" s="123">
        <v>12.630765961249722</v>
      </c>
      <c r="N60" s="119">
        <v>0.03</v>
      </c>
      <c r="O60" s="121">
        <v>19.755946683614052</v>
      </c>
      <c r="P60" s="106">
        <v>17.244812728816921</v>
      </c>
      <c r="Q60" s="122">
        <v>15.293558824251996</v>
      </c>
      <c r="R60" s="122">
        <v>13.734119592212709</v>
      </c>
      <c r="S60" s="123">
        <v>12.459550781825257</v>
      </c>
    </row>
    <row r="61" spans="2:19">
      <c r="B61" s="235" t="s">
        <v>344</v>
      </c>
      <c r="C61" s="268">
        <f>AVERAGE(H69:H71)</f>
        <v>17.116666666666667</v>
      </c>
      <c r="G61" s="119">
        <v>0.03</v>
      </c>
      <c r="H61" s="106">
        <v>25.059715468281027</v>
      </c>
      <c r="I61" s="419">
        <v>20.940412718768467</v>
      </c>
      <c r="J61" s="122">
        <v>17.85290586135574</v>
      </c>
      <c r="K61" s="122">
        <v>15.453175533584906</v>
      </c>
      <c r="L61" s="123">
        <v>13.534815121316885</v>
      </c>
      <c r="N61" s="119">
        <v>0.04</v>
      </c>
      <c r="O61" s="106">
        <v>22.021795053570447</v>
      </c>
      <c r="P61" s="420">
        <v>18.854384494401167</v>
      </c>
      <c r="Q61" s="122">
        <v>16.479861780093866</v>
      </c>
      <c r="R61" s="122">
        <v>14.633872118295873</v>
      </c>
      <c r="S61" s="123">
        <v>13.157806420994472</v>
      </c>
    </row>
    <row r="62" spans="2:19">
      <c r="B62" s="235" t="s">
        <v>345</v>
      </c>
      <c r="C62" s="268">
        <f>AVERAGE(H75:H77)</f>
        <v>17.066666666666666</v>
      </c>
      <c r="G62" s="119">
        <v>0.04</v>
      </c>
      <c r="H62" s="106">
        <v>29.174765792722596</v>
      </c>
      <c r="I62" s="106">
        <v>23.723007663177555</v>
      </c>
      <c r="J62" s="122">
        <v>19.829554571377113</v>
      </c>
      <c r="K62" s="122">
        <v>16.910025273060935</v>
      </c>
      <c r="L62" s="123">
        <v>14.639764094732307</v>
      </c>
      <c r="N62" s="119">
        <v>0.05</v>
      </c>
      <c r="O62" s="106">
        <v>25.193982771509393</v>
      </c>
      <c r="P62" s="106">
        <v>21.000480181846818</v>
      </c>
      <c r="Q62" s="418">
        <v>18.005108437604843</v>
      </c>
      <c r="R62" s="122">
        <v>15.758562775899827</v>
      </c>
      <c r="S62" s="123">
        <v>14.011229979979065</v>
      </c>
    </row>
    <row r="63" spans="2:19">
      <c r="G63" s="115">
        <v>0.05</v>
      </c>
      <c r="H63" s="124">
        <v>35.347341279384949</v>
      </c>
      <c r="I63" s="127">
        <v>27.618640585350285</v>
      </c>
      <c r="J63" s="126">
        <v>22.46508618473894</v>
      </c>
      <c r="K63" s="126">
        <v>18.783117795244401</v>
      </c>
      <c r="L63" s="125">
        <v>16.020950311501583</v>
      </c>
      <c r="N63" s="115">
        <v>0.06</v>
      </c>
      <c r="O63" s="124">
        <v>29.952264348417817</v>
      </c>
      <c r="P63" s="127">
        <v>24.005014144270739</v>
      </c>
      <c r="Q63" s="126">
        <v>20.038770647619479</v>
      </c>
      <c r="R63" s="126">
        <v>17.204593621390629</v>
      </c>
      <c r="S63" s="125">
        <v>15.078009428709807</v>
      </c>
    </row>
    <row r="64" spans="2:19">
      <c r="B64" s="413" t="s">
        <v>395</v>
      </c>
    </row>
    <row r="65" spans="2:11">
      <c r="B65" s="235" t="s">
        <v>396</v>
      </c>
      <c r="C65" s="235" t="s">
        <v>398</v>
      </c>
      <c r="F65" s="215"/>
    </row>
    <row r="66" spans="2:11">
      <c r="B66" s="235" t="s">
        <v>397</v>
      </c>
      <c r="C66" s="235" t="s">
        <v>399</v>
      </c>
      <c r="F66" s="463" t="s">
        <v>337</v>
      </c>
      <c r="G66" s="463"/>
      <c r="H66" s="463"/>
      <c r="I66" s="463"/>
      <c r="J66" s="463"/>
      <c r="K66" s="236"/>
    </row>
    <row r="67" spans="2:11">
      <c r="B67" s="235" t="s">
        <v>400</v>
      </c>
      <c r="C67" s="235" t="s">
        <v>401</v>
      </c>
      <c r="F67" s="464" t="s">
        <v>392</v>
      </c>
      <c r="G67" s="464"/>
      <c r="H67" s="464"/>
      <c r="I67" s="464"/>
      <c r="J67" s="464"/>
    </row>
    <row r="68" spans="2:11">
      <c r="B68" s="302"/>
      <c r="F68" s="235" t="s">
        <v>338</v>
      </c>
      <c r="G68" s="235" t="s">
        <v>339</v>
      </c>
      <c r="H68" s="235" t="s">
        <v>340</v>
      </c>
      <c r="I68" s="235" t="s">
        <v>289</v>
      </c>
      <c r="J68" s="235" t="s">
        <v>285</v>
      </c>
      <c r="K68" s="302"/>
    </row>
    <row r="69" spans="2:11">
      <c r="B69" s="373" t="s">
        <v>346</v>
      </c>
      <c r="C69" s="235" t="s">
        <v>347</v>
      </c>
      <c r="D69" s="235" t="s">
        <v>348</v>
      </c>
      <c r="F69" s="365">
        <v>43101</v>
      </c>
      <c r="G69" s="364">
        <v>45291</v>
      </c>
      <c r="H69">
        <v>17.16</v>
      </c>
      <c r="I69">
        <v>15.81</v>
      </c>
      <c r="J69" s="162">
        <v>18.579999999999998</v>
      </c>
    </row>
    <row r="70" spans="2:11">
      <c r="B70" s="235" t="s">
        <v>349</v>
      </c>
      <c r="C70" s="372" t="s">
        <v>351</v>
      </c>
      <c r="D70" s="371">
        <v>15.9</v>
      </c>
      <c r="F70" s="365">
        <v>43466</v>
      </c>
      <c r="G70" s="364">
        <v>45291</v>
      </c>
      <c r="H70">
        <v>16.98</v>
      </c>
      <c r="I70">
        <v>15.82</v>
      </c>
      <c r="J70" s="162">
        <v>18.66</v>
      </c>
    </row>
    <row r="71" spans="2:11">
      <c r="B71" s="235" t="s">
        <v>350</v>
      </c>
      <c r="C71" s="368" t="s">
        <v>352</v>
      </c>
      <c r="D71" s="216">
        <v>18.71</v>
      </c>
      <c r="F71" s="366">
        <v>43831</v>
      </c>
      <c r="G71" s="367">
        <v>45291</v>
      </c>
      <c r="H71" s="284">
        <v>17.21</v>
      </c>
      <c r="I71" s="369">
        <v>16.34</v>
      </c>
      <c r="J71" s="368">
        <v>17.68</v>
      </c>
    </row>
    <row r="72" spans="2:11">
      <c r="F72" s="364"/>
      <c r="G72" s="364"/>
    </row>
    <row r="73" spans="2:11">
      <c r="F73" s="464" t="s">
        <v>394</v>
      </c>
      <c r="G73" s="464"/>
      <c r="H73" s="464"/>
      <c r="I73" s="464"/>
      <c r="J73" s="464"/>
    </row>
    <row r="74" spans="2:11">
      <c r="F74" s="235" t="s">
        <v>338</v>
      </c>
      <c r="G74" s="235" t="s">
        <v>339</v>
      </c>
      <c r="H74" s="235" t="s">
        <v>341</v>
      </c>
      <c r="I74" s="235" t="s">
        <v>289</v>
      </c>
      <c r="J74" s="235" t="s">
        <v>285</v>
      </c>
    </row>
    <row r="75" spans="2:11">
      <c r="F75" s="365">
        <v>43101</v>
      </c>
      <c r="G75" s="364">
        <v>45291</v>
      </c>
      <c r="H75">
        <v>16.940000000000001</v>
      </c>
      <c r="I75">
        <v>15.71</v>
      </c>
      <c r="J75" s="162">
        <v>18.309999999999999</v>
      </c>
    </row>
    <row r="76" spans="2:11">
      <c r="F76" s="365">
        <v>43466</v>
      </c>
      <c r="G76" s="364">
        <v>45291</v>
      </c>
      <c r="H76">
        <v>16.940000000000001</v>
      </c>
      <c r="I76">
        <v>15.64</v>
      </c>
      <c r="J76" s="162">
        <v>18.350000000000001</v>
      </c>
    </row>
    <row r="77" spans="2:11">
      <c r="F77" s="366">
        <v>43831</v>
      </c>
      <c r="G77" s="367">
        <v>45291</v>
      </c>
      <c r="H77" s="284">
        <v>17.32</v>
      </c>
      <c r="I77" s="284">
        <v>15.96</v>
      </c>
      <c r="J77" s="216">
        <v>18.739999999999998</v>
      </c>
    </row>
    <row r="79" spans="2:11">
      <c r="G79" s="235" t="s">
        <v>285</v>
      </c>
      <c r="H79" s="235" t="s">
        <v>289</v>
      </c>
      <c r="I79" s="235" t="s">
        <v>342</v>
      </c>
      <c r="J79" s="235" t="s">
        <v>286</v>
      </c>
    </row>
    <row r="80" spans="2:11">
      <c r="F80" s="370" t="s">
        <v>343</v>
      </c>
      <c r="G80" s="206">
        <f>MAX(J69:J71,J75:J77)</f>
        <v>18.739999999999998</v>
      </c>
      <c r="H80" s="206">
        <f>MIN(I69:I71,I75:I77)</f>
        <v>15.64</v>
      </c>
      <c r="I80" s="268">
        <f>AVERAGE(H69:H71,H75:H77)</f>
        <v>17.091666666666669</v>
      </c>
      <c r="J80" s="216">
        <f>MEDIAN(H69:H71,H75:H77)</f>
        <v>17.07</v>
      </c>
    </row>
    <row r="82" spans="5:10">
      <c r="G82" s="373" t="s">
        <v>346</v>
      </c>
      <c r="H82" s="374"/>
      <c r="I82" s="235" t="s">
        <v>347</v>
      </c>
      <c r="J82" s="235" t="s">
        <v>348</v>
      </c>
    </row>
    <row r="83" spans="5:10">
      <c r="G83" s="466" t="s">
        <v>349</v>
      </c>
      <c r="H83" s="466"/>
      <c r="I83" s="372" t="s">
        <v>351</v>
      </c>
      <c r="J83" s="371">
        <v>15.9</v>
      </c>
    </row>
    <row r="84" spans="5:10">
      <c r="G84" s="439" t="s">
        <v>350</v>
      </c>
      <c r="H84" s="439"/>
      <c r="I84" s="368" t="s">
        <v>352</v>
      </c>
      <c r="J84" s="216">
        <v>18.71</v>
      </c>
    </row>
    <row r="87" spans="5:10">
      <c r="E87" s="447"/>
      <c r="F87" s="465"/>
      <c r="G87" s="215"/>
    </row>
  </sheetData>
  <mergeCells count="11">
    <mergeCell ref="F66:J66"/>
    <mergeCell ref="F67:J67"/>
    <mergeCell ref="F73:J73"/>
    <mergeCell ref="E87:F87"/>
    <mergeCell ref="G83:H83"/>
    <mergeCell ref="G84:H84"/>
    <mergeCell ref="A37:A40"/>
    <mergeCell ref="D34:H34"/>
    <mergeCell ref="K34:N34"/>
    <mergeCell ref="R34:U34"/>
    <mergeCell ref="E35:M3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428E7-2562-AB43-952C-66840C35458A}">
  <dimension ref="C11:F41"/>
  <sheetViews>
    <sheetView zoomScaleNormal="100" workbookViewId="0">
      <selection activeCell="C18" sqref="C18"/>
    </sheetView>
  </sheetViews>
  <sheetFormatPr defaultColWidth="11.19921875" defaultRowHeight="13"/>
  <cols>
    <col min="3" max="3" width="29.796875" bestFit="1" customWidth="1"/>
  </cols>
  <sheetData>
    <row r="11" spans="3:6">
      <c r="D11" s="297" t="s">
        <v>409</v>
      </c>
      <c r="E11" s="235" t="s">
        <v>410</v>
      </c>
      <c r="F11" s="426" t="s">
        <v>411</v>
      </c>
    </row>
    <row r="12" spans="3:6">
      <c r="C12" s="246" t="s">
        <v>408</v>
      </c>
      <c r="D12" s="300">
        <v>11.52</v>
      </c>
      <c r="E12" s="239">
        <f t="shared" ref="E12" si="0">F12-D12</f>
        <v>4.5399999999999991</v>
      </c>
      <c r="F12" s="202">
        <v>16.059999999999999</v>
      </c>
    </row>
    <row r="13" spans="3:6">
      <c r="C13" s="424" t="s">
        <v>406</v>
      </c>
      <c r="D13">
        <v>15.64</v>
      </c>
      <c r="E13" s="209">
        <f t="shared" ref="E13:E16" si="1">F13-D13</f>
        <v>3.0999999999999979</v>
      </c>
      <c r="F13" s="162">
        <v>18.739999999999998</v>
      </c>
    </row>
    <row r="14" spans="3:6">
      <c r="C14" s="424" t="s">
        <v>407</v>
      </c>
      <c r="D14">
        <v>11.1</v>
      </c>
      <c r="E14" s="209">
        <f t="shared" si="1"/>
        <v>8.4</v>
      </c>
      <c r="F14" s="162">
        <v>19.5</v>
      </c>
    </row>
    <row r="15" spans="3:6">
      <c r="C15" s="424" t="s">
        <v>395</v>
      </c>
      <c r="D15">
        <v>17.399999999999999</v>
      </c>
      <c r="E15" s="209">
        <f t="shared" si="1"/>
        <v>0.80000000000000071</v>
      </c>
      <c r="F15" s="162">
        <v>18.2</v>
      </c>
    </row>
    <row r="16" spans="3:6">
      <c r="C16" s="425" t="s">
        <v>315</v>
      </c>
      <c r="D16">
        <v>14.29</v>
      </c>
      <c r="E16" s="209">
        <f t="shared" si="1"/>
        <v>1.5500000000000007</v>
      </c>
      <c r="F16" s="162">
        <v>15.84</v>
      </c>
    </row>
    <row r="17" spans="3:6">
      <c r="C17" s="424" t="s">
        <v>316</v>
      </c>
      <c r="D17">
        <v>19.829999999999998</v>
      </c>
      <c r="E17" s="209">
        <f>F17-D17</f>
        <v>2.2900000000000027</v>
      </c>
      <c r="F17" s="162">
        <v>22.12</v>
      </c>
    </row>
    <row r="18" spans="3:6">
      <c r="C18" s="424" t="s">
        <v>416</v>
      </c>
      <c r="D18">
        <v>17.3</v>
      </c>
      <c r="E18" s="209">
        <f t="shared" ref="E18" si="2">F18-D18</f>
        <v>3.6999999999999993</v>
      </c>
      <c r="F18" s="162">
        <v>21</v>
      </c>
    </row>
    <row r="19" spans="3:6">
      <c r="C19" s="245" t="s">
        <v>412</v>
      </c>
      <c r="D19" s="284">
        <v>11.4</v>
      </c>
      <c r="E19" s="212">
        <v>11.4</v>
      </c>
      <c r="F19" s="216">
        <v>11.4</v>
      </c>
    </row>
    <row r="30" spans="3:6">
      <c r="C30" s="302"/>
    </row>
    <row r="31" spans="3:6">
      <c r="C31" s="302"/>
    </row>
    <row r="32" spans="3:6">
      <c r="C32" s="302"/>
    </row>
    <row r="38" spans="3:3">
      <c r="C38" s="302"/>
    </row>
    <row r="39" spans="3:3">
      <c r="C39" s="302"/>
    </row>
    <row r="40" spans="3:3">
      <c r="C40" s="302"/>
    </row>
    <row r="41" spans="3:3">
      <c r="C41" s="26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C6DB-CC90-854D-8BC8-5D0F0C8C5279}">
  <dimension ref="B3:H60"/>
  <sheetViews>
    <sheetView showGridLines="0" zoomScale="90" zoomScaleNormal="90" workbookViewId="0">
      <selection activeCell="F53" sqref="F53"/>
    </sheetView>
  </sheetViews>
  <sheetFormatPr defaultColWidth="11.19921875" defaultRowHeight="13"/>
  <cols>
    <col min="2" max="2" width="13.796875" bestFit="1" customWidth="1"/>
    <col min="3" max="3" width="10.59765625" bestFit="1" customWidth="1"/>
    <col min="6" max="6" width="11.59765625" customWidth="1"/>
  </cols>
  <sheetData>
    <row r="3" spans="2:7" ht="15.5">
      <c r="B3" s="395" t="s">
        <v>353</v>
      </c>
      <c r="C3" s="395" t="s">
        <v>384</v>
      </c>
      <c r="D3" s="395" t="s">
        <v>385</v>
      </c>
      <c r="E3" s="375"/>
      <c r="F3" s="395" t="s">
        <v>356</v>
      </c>
      <c r="G3" s="406" t="s">
        <v>357</v>
      </c>
    </row>
    <row r="4" spans="2:7" ht="15.5">
      <c r="B4" s="396">
        <v>4.9800000000000004</v>
      </c>
      <c r="C4" s="375">
        <v>5.65</v>
      </c>
      <c r="D4" s="397">
        <v>6.67</v>
      </c>
      <c r="E4" s="375"/>
      <c r="F4" s="396">
        <v>4.9800000000000004</v>
      </c>
      <c r="G4" s="404">
        <v>5.7666666666666666</v>
      </c>
    </row>
    <row r="5" spans="2:7" ht="15.5">
      <c r="B5" s="396">
        <v>5.12</v>
      </c>
      <c r="C5" s="375">
        <v>7.23</v>
      </c>
      <c r="D5" s="397">
        <v>6.86</v>
      </c>
      <c r="E5" s="375"/>
      <c r="F5" s="396">
        <v>5.12</v>
      </c>
      <c r="G5" s="404">
        <v>6.4033333333333333</v>
      </c>
    </row>
    <row r="6" spans="2:7" ht="15.5">
      <c r="B6" s="396">
        <v>5.48</v>
      </c>
      <c r="C6" s="375">
        <v>8.44</v>
      </c>
      <c r="D6" s="397">
        <v>6.38</v>
      </c>
      <c r="E6" s="375"/>
      <c r="F6" s="396">
        <v>5.48</v>
      </c>
      <c r="G6" s="404">
        <v>6.7666666666666666</v>
      </c>
    </row>
    <row r="7" spans="2:7" ht="15.5">
      <c r="B7" s="396">
        <v>5.83</v>
      </c>
      <c r="C7" s="375">
        <v>8.0299999999999994</v>
      </c>
      <c r="D7" s="397">
        <v>7.4</v>
      </c>
      <c r="E7" s="375"/>
      <c r="F7" s="396">
        <v>5.83</v>
      </c>
      <c r="G7" s="404">
        <v>7.086666666666666</v>
      </c>
    </row>
    <row r="8" spans="2:7" ht="15.5">
      <c r="B8" s="396">
        <v>2.75</v>
      </c>
      <c r="C8" s="375">
        <v>6.78</v>
      </c>
      <c r="D8" s="397">
        <v>4.12</v>
      </c>
      <c r="E8" s="375"/>
      <c r="F8" s="396">
        <v>2.75</v>
      </c>
      <c r="G8" s="404">
        <v>4.5500000000000007</v>
      </c>
    </row>
    <row r="9" spans="2:7" ht="15.5">
      <c r="B9" s="396">
        <v>6.85</v>
      </c>
      <c r="C9" s="375">
        <v>4.43</v>
      </c>
      <c r="D9" s="397">
        <v>7.01</v>
      </c>
      <c r="E9" s="375"/>
      <c r="F9" s="396">
        <v>6.85</v>
      </c>
      <c r="G9" s="404">
        <v>6.0966666666666667</v>
      </c>
    </row>
    <row r="10" spans="2:7" ht="15.5">
      <c r="B10" s="396">
        <v>5.17</v>
      </c>
      <c r="C10" s="375">
        <v>8.09</v>
      </c>
      <c r="D10" s="397">
        <v>7.78</v>
      </c>
      <c r="E10" s="375"/>
      <c r="F10" s="396">
        <v>5.17</v>
      </c>
      <c r="G10" s="404">
        <v>7.0133333333333328</v>
      </c>
    </row>
    <row r="11" spans="2:7" ht="15.5">
      <c r="B11" s="398">
        <v>3.84</v>
      </c>
      <c r="C11" s="399">
        <v>7.07</v>
      </c>
      <c r="D11" s="400">
        <v>6.67</v>
      </c>
      <c r="E11" s="375"/>
      <c r="F11" s="398">
        <v>3.84</v>
      </c>
      <c r="G11" s="405">
        <v>5.8599999999999994</v>
      </c>
    </row>
    <row r="12" spans="2:7" ht="15.5">
      <c r="B12" s="375"/>
      <c r="C12" s="375"/>
      <c r="D12" s="375"/>
      <c r="E12" s="375"/>
      <c r="F12" s="375"/>
      <c r="G12" s="376"/>
    </row>
    <row r="13" spans="2:7" ht="15.5">
      <c r="B13" s="375"/>
      <c r="C13" s="375"/>
      <c r="D13" s="375"/>
      <c r="E13" s="375"/>
      <c r="F13" s="375"/>
      <c r="G13" s="376"/>
    </row>
    <row r="14" spans="2:7" ht="15.5">
      <c r="B14" s="375"/>
      <c r="C14" s="375"/>
      <c r="D14" s="375"/>
      <c r="E14" s="375"/>
      <c r="F14" s="375"/>
      <c r="G14" s="376"/>
    </row>
    <row r="15" spans="2:7" ht="15.5">
      <c r="B15" s="375"/>
      <c r="C15" s="375"/>
      <c r="D15" s="375"/>
      <c r="E15" s="375"/>
      <c r="F15" s="375"/>
      <c r="G15" s="376"/>
    </row>
    <row r="16" spans="2:7" ht="15.5">
      <c r="B16" s="375"/>
      <c r="C16" s="375"/>
      <c r="D16" s="375"/>
      <c r="E16" s="375"/>
      <c r="F16" s="375"/>
      <c r="G16" s="376"/>
    </row>
    <row r="17" spans="2:7" ht="15.5">
      <c r="B17" s="395" t="s">
        <v>354</v>
      </c>
      <c r="C17" s="395" t="s">
        <v>386</v>
      </c>
      <c r="D17" s="395" t="s">
        <v>387</v>
      </c>
      <c r="E17" s="375"/>
      <c r="F17" s="395" t="s">
        <v>356</v>
      </c>
      <c r="G17" s="406" t="s">
        <v>359</v>
      </c>
    </row>
    <row r="18" spans="2:7" ht="15.5">
      <c r="B18" s="396">
        <v>1.47</v>
      </c>
      <c r="C18" s="402">
        <v>1</v>
      </c>
      <c r="D18" s="397">
        <v>2.08</v>
      </c>
      <c r="E18" s="375"/>
      <c r="F18" s="396">
        <v>1.47</v>
      </c>
      <c r="G18" s="404">
        <v>1.5166666666666666</v>
      </c>
    </row>
    <row r="19" spans="2:7" ht="15.5">
      <c r="B19" s="396">
        <v>1.54</v>
      </c>
      <c r="C19" s="402">
        <v>2.39</v>
      </c>
      <c r="D19" s="397">
        <v>1.83</v>
      </c>
      <c r="E19" s="375"/>
      <c r="F19" s="396">
        <v>1.54</v>
      </c>
      <c r="G19" s="404">
        <v>1.92</v>
      </c>
    </row>
    <row r="20" spans="2:7" ht="15.5">
      <c r="B20" s="396">
        <v>1.69</v>
      </c>
      <c r="C20" s="402">
        <v>3.11</v>
      </c>
      <c r="D20" s="397">
        <v>2.37</v>
      </c>
      <c r="E20" s="375"/>
      <c r="F20" s="396">
        <v>1.69</v>
      </c>
      <c r="G20" s="404">
        <v>2.39</v>
      </c>
    </row>
    <row r="21" spans="2:7" ht="15.5">
      <c r="B21" s="396">
        <v>2.4</v>
      </c>
      <c r="C21" s="402">
        <v>2.63</v>
      </c>
      <c r="D21" s="397">
        <v>2.58</v>
      </c>
      <c r="E21" s="375"/>
      <c r="F21" s="396">
        <v>2.4</v>
      </c>
      <c r="G21" s="404">
        <v>2.5366666666666666</v>
      </c>
    </row>
    <row r="22" spans="2:7" ht="15.5">
      <c r="B22" s="396">
        <v>1.96</v>
      </c>
      <c r="C22" s="402">
        <v>3.59</v>
      </c>
      <c r="D22" s="397">
        <v>2.11</v>
      </c>
      <c r="E22" s="375"/>
      <c r="F22" s="396">
        <v>1.96</v>
      </c>
      <c r="G22" s="404">
        <v>2.5533333333333332</v>
      </c>
    </row>
    <row r="23" spans="2:7" ht="15.5">
      <c r="B23" s="396">
        <v>2.15</v>
      </c>
      <c r="C23" s="402">
        <v>3.16</v>
      </c>
      <c r="D23" s="397">
        <v>2.2799999999999998</v>
      </c>
      <c r="E23" s="375"/>
      <c r="F23" s="396">
        <v>2.15</v>
      </c>
      <c r="G23" s="404">
        <v>2.5299999999999998</v>
      </c>
    </row>
    <row r="24" spans="2:7" ht="15.5">
      <c r="B24" s="396">
        <v>1.73</v>
      </c>
      <c r="C24" s="402">
        <v>3.4</v>
      </c>
      <c r="D24" s="397">
        <v>2.21</v>
      </c>
      <c r="E24" s="375"/>
      <c r="F24" s="396">
        <v>1.73</v>
      </c>
      <c r="G24" s="404">
        <v>2.4466666666666668</v>
      </c>
    </row>
    <row r="25" spans="2:7" ht="15.5">
      <c r="B25" s="398">
        <v>1.3</v>
      </c>
      <c r="C25" s="403">
        <v>3.53</v>
      </c>
      <c r="D25" s="400">
        <v>1.88</v>
      </c>
      <c r="E25" s="375"/>
      <c r="F25" s="398">
        <v>1.3</v>
      </c>
      <c r="G25" s="405">
        <v>2.2366666666666668</v>
      </c>
    </row>
    <row r="26" spans="2:7" ht="15.5">
      <c r="B26" s="375"/>
      <c r="C26" s="375"/>
      <c r="D26" s="375"/>
      <c r="E26" s="375"/>
      <c r="F26" s="375"/>
      <c r="G26" s="376"/>
    </row>
    <row r="27" spans="2:7" ht="16" customHeight="1">
      <c r="B27" s="467" t="s">
        <v>355</v>
      </c>
      <c r="C27" s="401"/>
      <c r="D27" s="408"/>
      <c r="E27" s="375"/>
      <c r="F27" s="468" t="s">
        <v>355</v>
      </c>
      <c r="G27" s="469" t="s">
        <v>358</v>
      </c>
    </row>
    <row r="28" spans="2:7" ht="34" customHeight="1">
      <c r="B28" s="468"/>
      <c r="C28" s="407" t="s">
        <v>247</v>
      </c>
      <c r="D28" s="407" t="s">
        <v>252</v>
      </c>
      <c r="E28" s="375"/>
      <c r="F28" s="468"/>
      <c r="G28" s="469"/>
    </row>
    <row r="29" spans="2:7" ht="15.5">
      <c r="B29" s="396">
        <v>5.5</v>
      </c>
      <c r="C29" s="402">
        <v>6.42</v>
      </c>
      <c r="D29" s="397">
        <v>6.56</v>
      </c>
      <c r="E29" s="375"/>
      <c r="F29" s="396">
        <v>5.5</v>
      </c>
      <c r="G29" s="404">
        <v>6.16</v>
      </c>
    </row>
    <row r="30" spans="2:7" ht="15.5">
      <c r="B30" s="396">
        <v>4.83</v>
      </c>
      <c r="C30" s="402">
        <v>6.74</v>
      </c>
      <c r="D30" s="397">
        <v>5.83</v>
      </c>
      <c r="E30" s="375"/>
      <c r="F30" s="396">
        <v>4.83</v>
      </c>
      <c r="G30" s="404">
        <v>5.8</v>
      </c>
    </row>
    <row r="31" spans="2:7" ht="15.5">
      <c r="B31" s="396">
        <v>6.85</v>
      </c>
      <c r="C31" s="402">
        <v>7.39</v>
      </c>
      <c r="D31" s="397">
        <v>5.61</v>
      </c>
      <c r="E31" s="375"/>
      <c r="F31" s="396">
        <v>6.85</v>
      </c>
      <c r="G31" s="404">
        <v>6.6166666666666663</v>
      </c>
    </row>
    <row r="32" spans="2:7" ht="15.5">
      <c r="B32" s="396">
        <v>4.63</v>
      </c>
      <c r="C32" s="402">
        <v>6.61</v>
      </c>
      <c r="D32" s="397">
        <v>5.92</v>
      </c>
      <c r="E32" s="375"/>
      <c r="F32" s="396">
        <v>4.63</v>
      </c>
      <c r="G32" s="404">
        <v>5.72</v>
      </c>
    </row>
    <row r="33" spans="2:7" ht="15.5">
      <c r="B33" s="396">
        <v>2.37</v>
      </c>
      <c r="C33" s="402">
        <v>5.2</v>
      </c>
      <c r="D33" s="397">
        <v>3.35</v>
      </c>
      <c r="E33" s="375"/>
      <c r="F33" s="396">
        <v>2.37</v>
      </c>
      <c r="G33" s="404">
        <v>3.64</v>
      </c>
    </row>
    <row r="34" spans="2:7" ht="15.5">
      <c r="B34" s="396">
        <v>4.17</v>
      </c>
      <c r="C34" s="402">
        <v>3.76</v>
      </c>
      <c r="D34" s="397">
        <v>5.22</v>
      </c>
      <c r="E34" s="375"/>
      <c r="F34" s="396">
        <v>4.17</v>
      </c>
      <c r="G34" s="404">
        <v>4.3833333333333329</v>
      </c>
    </row>
    <row r="35" spans="2:7" ht="15.5">
      <c r="B35" s="396">
        <v>4.58</v>
      </c>
      <c r="C35" s="402">
        <v>6.09</v>
      </c>
      <c r="D35" s="397">
        <v>6.27</v>
      </c>
      <c r="E35" s="375"/>
      <c r="F35" s="396">
        <v>4.58</v>
      </c>
      <c r="G35" s="404">
        <v>5.6466666666666656</v>
      </c>
    </row>
    <row r="36" spans="2:7" ht="15.5">
      <c r="B36" s="398">
        <v>3.5</v>
      </c>
      <c r="C36" s="403">
        <v>6.79</v>
      </c>
      <c r="D36" s="400">
        <v>5.4</v>
      </c>
      <c r="E36" s="375"/>
      <c r="F36" s="398">
        <v>3.5</v>
      </c>
      <c r="G36" s="405">
        <v>5.2299999999999995</v>
      </c>
    </row>
    <row r="52" spans="2:8" ht="15.5">
      <c r="B52" s="235" t="s">
        <v>419</v>
      </c>
      <c r="C52" s="395" t="s">
        <v>417</v>
      </c>
      <c r="D52" s="206" t="s">
        <v>248</v>
      </c>
      <c r="E52" s="206" t="s">
        <v>281</v>
      </c>
      <c r="F52" s="206" t="s">
        <v>418</v>
      </c>
    </row>
    <row r="53" spans="2:8" ht="19">
      <c r="B53" s="239">
        <v>2017</v>
      </c>
      <c r="C53" s="396">
        <v>4.9800000000000004</v>
      </c>
      <c r="D53" s="396">
        <v>1.47</v>
      </c>
      <c r="E53" s="396">
        <v>5.5</v>
      </c>
      <c r="F53" s="408">
        <v>11.52</v>
      </c>
      <c r="H53" s="437"/>
    </row>
    <row r="54" spans="2:8" ht="19">
      <c r="B54" s="209">
        <f>B53 +1</f>
        <v>2018</v>
      </c>
      <c r="C54" s="396">
        <v>5.12</v>
      </c>
      <c r="D54" s="396">
        <v>1.54</v>
      </c>
      <c r="E54" s="396">
        <v>4.83</v>
      </c>
      <c r="F54" s="438">
        <v>9.74</v>
      </c>
      <c r="H54" s="437"/>
    </row>
    <row r="55" spans="2:8" ht="19">
      <c r="B55" s="209">
        <f t="shared" ref="B55:B60" si="0">B54 +1</f>
        <v>2019</v>
      </c>
      <c r="C55" s="396">
        <v>5.48</v>
      </c>
      <c r="D55" s="396">
        <v>1.69</v>
      </c>
      <c r="E55" s="396">
        <v>6.85</v>
      </c>
      <c r="F55" s="438">
        <v>13</v>
      </c>
      <c r="H55" s="437"/>
    </row>
    <row r="56" spans="2:8" ht="19">
      <c r="B56" s="209">
        <f t="shared" si="0"/>
        <v>2020</v>
      </c>
      <c r="C56" s="396">
        <v>5.83</v>
      </c>
      <c r="D56" s="396">
        <v>2.4</v>
      </c>
      <c r="E56" s="396">
        <v>4.63</v>
      </c>
      <c r="F56" s="438">
        <v>16.600000000000001</v>
      </c>
      <c r="H56" s="437"/>
    </row>
    <row r="57" spans="2:8" ht="19">
      <c r="B57" s="209">
        <f t="shared" si="0"/>
        <v>2021</v>
      </c>
      <c r="C57" s="396">
        <v>2.75</v>
      </c>
      <c r="D57" s="396">
        <v>1.96</v>
      </c>
      <c r="E57" s="396">
        <v>2.37</v>
      </c>
      <c r="F57" s="438">
        <v>3.13</v>
      </c>
      <c r="H57" s="437"/>
    </row>
    <row r="58" spans="2:8" ht="19">
      <c r="B58" s="209">
        <f t="shared" si="0"/>
        <v>2022</v>
      </c>
      <c r="C58" s="396">
        <v>6.85</v>
      </c>
      <c r="D58" s="396">
        <v>2.15</v>
      </c>
      <c r="E58" s="396">
        <v>4.17</v>
      </c>
      <c r="F58" s="438">
        <v>4.24</v>
      </c>
      <c r="H58" s="437"/>
    </row>
    <row r="59" spans="2:8" ht="19">
      <c r="B59" s="209">
        <f t="shared" si="0"/>
        <v>2023</v>
      </c>
      <c r="C59" s="396">
        <v>5.17</v>
      </c>
      <c r="D59" s="396">
        <v>1.73</v>
      </c>
      <c r="E59" s="396">
        <v>4.58</v>
      </c>
      <c r="F59" s="438">
        <v>8.67</v>
      </c>
      <c r="H59" s="437"/>
    </row>
    <row r="60" spans="2:8" ht="19">
      <c r="B60" s="212">
        <f t="shared" si="0"/>
        <v>2024</v>
      </c>
      <c r="C60" s="398">
        <v>3.84</v>
      </c>
      <c r="D60" s="398">
        <v>1.3</v>
      </c>
      <c r="E60" s="398">
        <v>3.5</v>
      </c>
      <c r="F60" s="407">
        <v>6.44</v>
      </c>
      <c r="H60" s="437"/>
    </row>
  </sheetData>
  <mergeCells count="3">
    <mergeCell ref="B27:B28"/>
    <mergeCell ref="G27:G28"/>
    <mergeCell ref="F27:F28"/>
  </mergeCells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9CF78-F180-C54B-9170-E3C11EEC1C89}">
  <dimension ref="A1:T39"/>
  <sheetViews>
    <sheetView showGridLines="0" showRowColHeaders="0" workbookViewId="0">
      <selection activeCell="V32" sqref="V32"/>
    </sheetView>
  </sheetViews>
  <sheetFormatPr defaultColWidth="11.19921875" defaultRowHeight="13"/>
  <cols>
    <col min="12" max="12" width="13.59765625" customWidth="1"/>
    <col min="13" max="13" width="13.796875" bestFit="1" customWidth="1"/>
  </cols>
  <sheetData>
    <row r="1" spans="1:20">
      <c r="A1" t="s">
        <v>360</v>
      </c>
      <c r="L1" t="s">
        <v>360</v>
      </c>
    </row>
    <row r="2" spans="1:20" ht="13.5" thickBot="1"/>
    <row r="3" spans="1:20" ht="15.5">
      <c r="A3" s="377" t="s">
        <v>361</v>
      </c>
      <c r="B3" s="377"/>
      <c r="L3" s="377" t="s">
        <v>361</v>
      </c>
      <c r="M3" s="377"/>
    </row>
    <row r="4" spans="1:20">
      <c r="A4" t="s">
        <v>362</v>
      </c>
      <c r="B4">
        <v>0.70448057854855484</v>
      </c>
      <c r="L4" t="s">
        <v>362</v>
      </c>
      <c r="M4">
        <v>0.90017755327435378</v>
      </c>
    </row>
    <row r="5" spans="1:20">
      <c r="A5" t="s">
        <v>363</v>
      </c>
      <c r="B5">
        <v>0.49629288555210654</v>
      </c>
      <c r="L5" t="s">
        <v>363</v>
      </c>
      <c r="M5">
        <v>0.8103196274190021</v>
      </c>
    </row>
    <row r="6" spans="1:20">
      <c r="A6" t="s">
        <v>364</v>
      </c>
      <c r="B6">
        <v>0.41234169981079094</v>
      </c>
      <c r="L6" t="s">
        <v>364</v>
      </c>
      <c r="M6">
        <v>0.77870623198883582</v>
      </c>
    </row>
    <row r="7" spans="1:20">
      <c r="A7" t="s">
        <v>365</v>
      </c>
      <c r="B7">
        <v>0.95190930285304842</v>
      </c>
      <c r="L7" t="s">
        <v>365</v>
      </c>
      <c r="M7">
        <v>0.62300072703559572</v>
      </c>
    </row>
    <row r="8" spans="1:20" ht="13.5" thickBot="1">
      <c r="A8" s="378" t="s">
        <v>366</v>
      </c>
      <c r="B8" s="378">
        <v>8</v>
      </c>
      <c r="L8" s="378" t="s">
        <v>366</v>
      </c>
      <c r="M8" s="378">
        <v>8</v>
      </c>
    </row>
    <row r="10" spans="1:20" ht="13.5" thickBot="1">
      <c r="A10" t="s">
        <v>367</v>
      </c>
      <c r="L10" t="s">
        <v>367</v>
      </c>
    </row>
    <row r="11" spans="1:20" ht="15.5">
      <c r="A11" s="379"/>
      <c r="B11" s="379" t="s">
        <v>368</v>
      </c>
      <c r="C11" s="379" t="s">
        <v>369</v>
      </c>
      <c r="D11" s="379" t="s">
        <v>370</v>
      </c>
      <c r="E11" s="379" t="s">
        <v>371</v>
      </c>
      <c r="F11" s="379" t="s">
        <v>372</v>
      </c>
      <c r="L11" s="379"/>
      <c r="M11" s="379" t="s">
        <v>368</v>
      </c>
      <c r="N11" s="379" t="s">
        <v>369</v>
      </c>
      <c r="O11" s="379" t="s">
        <v>370</v>
      </c>
      <c r="P11" s="379" t="s">
        <v>371</v>
      </c>
      <c r="Q11" s="379" t="s">
        <v>372</v>
      </c>
    </row>
    <row r="12" spans="1:20">
      <c r="A12" t="s">
        <v>373</v>
      </c>
      <c r="B12">
        <v>1</v>
      </c>
      <c r="C12">
        <v>5.3567620748509395</v>
      </c>
      <c r="D12">
        <v>5.3567620748509395</v>
      </c>
      <c r="E12">
        <v>5.9116840479343216</v>
      </c>
      <c r="F12">
        <v>5.1065450661941486E-2</v>
      </c>
      <c r="L12" t="s">
        <v>373</v>
      </c>
      <c r="M12">
        <v>1</v>
      </c>
      <c r="N12">
        <v>9.9486080646787105</v>
      </c>
      <c r="O12">
        <v>9.9486080646787105</v>
      </c>
      <c r="P12">
        <v>25.632160557033188</v>
      </c>
      <c r="Q12">
        <v>2.3042520682473584E-3</v>
      </c>
    </row>
    <row r="13" spans="1:20">
      <c r="A13" t="s">
        <v>374</v>
      </c>
      <c r="B13">
        <v>6</v>
      </c>
      <c r="C13">
        <v>5.4367879251490603</v>
      </c>
      <c r="D13">
        <v>0.90613132085817671</v>
      </c>
      <c r="L13" t="s">
        <v>374</v>
      </c>
      <c r="M13">
        <v>6</v>
      </c>
      <c r="N13">
        <v>2.3287794353212852</v>
      </c>
      <c r="O13">
        <v>0.38812990588688084</v>
      </c>
    </row>
    <row r="14" spans="1:20" ht="13.5" thickBot="1">
      <c r="A14" s="378" t="s">
        <v>375</v>
      </c>
      <c r="B14" s="378">
        <v>7</v>
      </c>
      <c r="C14" s="378">
        <v>10.79355</v>
      </c>
      <c r="D14" s="378"/>
      <c r="E14" s="378"/>
      <c r="F14" s="378"/>
      <c r="L14" s="378" t="s">
        <v>375</v>
      </c>
      <c r="M14" s="378">
        <v>7</v>
      </c>
      <c r="N14" s="378">
        <v>12.277387499999996</v>
      </c>
      <c r="O14" s="378"/>
      <c r="P14" s="378"/>
      <c r="Q14" s="378"/>
    </row>
    <row r="15" spans="1:20" ht="13.5" thickBot="1"/>
    <row r="16" spans="1:20" ht="15.5">
      <c r="A16" s="379"/>
      <c r="B16" s="379" t="s">
        <v>376</v>
      </c>
      <c r="C16" s="379" t="s">
        <v>365</v>
      </c>
      <c r="D16" s="379" t="s">
        <v>377</v>
      </c>
      <c r="E16" s="379" t="s">
        <v>378</v>
      </c>
      <c r="F16" s="379" t="s">
        <v>379</v>
      </c>
      <c r="G16" s="379" t="s">
        <v>380</v>
      </c>
      <c r="H16" s="379" t="s">
        <v>381</v>
      </c>
      <c r="I16" s="379" t="s">
        <v>382</v>
      </c>
      <c r="L16" s="379"/>
      <c r="M16" s="379" t="s">
        <v>376</v>
      </c>
      <c r="N16" s="379" t="s">
        <v>365</v>
      </c>
      <c r="O16" s="379" t="s">
        <v>377</v>
      </c>
      <c r="P16" s="379" t="s">
        <v>378</v>
      </c>
      <c r="Q16" s="379" t="s">
        <v>379</v>
      </c>
      <c r="R16" s="379" t="s">
        <v>380</v>
      </c>
      <c r="S16" s="379" t="s">
        <v>381</v>
      </c>
      <c r="T16" s="379" t="s">
        <v>382</v>
      </c>
    </row>
    <row r="17" spans="1:20">
      <c r="A17" t="s">
        <v>383</v>
      </c>
      <c r="B17">
        <v>-1.5084045641934658</v>
      </c>
      <c r="C17">
        <v>2.6989126932618639</v>
      </c>
      <c r="D17">
        <v>-0.55889342695647981</v>
      </c>
      <c r="E17">
        <v>0.59646106825655376</v>
      </c>
      <c r="F17">
        <v>-8.1124060185415097</v>
      </c>
      <c r="G17">
        <v>5.0955968901545772</v>
      </c>
      <c r="H17">
        <v>-8.1124060185415097</v>
      </c>
      <c r="I17">
        <v>5.0955968901545772</v>
      </c>
      <c r="L17" t="s">
        <v>383</v>
      </c>
      <c r="M17">
        <v>-2.105290166841236</v>
      </c>
      <c r="N17">
        <v>1.3335982064206369</v>
      </c>
      <c r="O17">
        <v>-1.5786540179082964</v>
      </c>
      <c r="P17">
        <v>0.16549330069435617</v>
      </c>
      <c r="Q17">
        <v>-5.3684874227975676</v>
      </c>
      <c r="R17">
        <v>1.157907089115096</v>
      </c>
      <c r="S17">
        <v>-5.3684874227975676</v>
      </c>
      <c r="T17">
        <v>1.157907089115096</v>
      </c>
    </row>
    <row r="18" spans="1:20" ht="13.5" thickBot="1">
      <c r="A18" s="378" t="s">
        <v>357</v>
      </c>
      <c r="B18" s="378">
        <v>1.0513470331739434</v>
      </c>
      <c r="C18" s="378">
        <v>0.43240477980479314</v>
      </c>
      <c r="D18" s="378">
        <v>2.4313954939364186</v>
      </c>
      <c r="E18" s="378">
        <v>5.1065450661941521E-2</v>
      </c>
      <c r="F18" s="378">
        <v>-6.7093470221359745E-3</v>
      </c>
      <c r="G18" s="378">
        <v>2.1094034133700226</v>
      </c>
      <c r="H18" s="378">
        <v>-6.7093470221359745E-3</v>
      </c>
      <c r="I18" s="378">
        <v>2.1094034133700226</v>
      </c>
      <c r="L18" s="378" t="s">
        <v>358</v>
      </c>
      <c r="M18" s="378">
        <v>1.2332507446885537</v>
      </c>
      <c r="N18" s="378">
        <v>0.24358962060112938</v>
      </c>
      <c r="O18" s="378">
        <v>5.0628214028378675</v>
      </c>
      <c r="P18" s="378">
        <v>2.3042520682473584E-3</v>
      </c>
      <c r="Q18" s="378">
        <v>0.63720841522374339</v>
      </c>
      <c r="R18" s="378">
        <v>1.829293074153364</v>
      </c>
      <c r="S18" s="378">
        <v>0.63720841522374339</v>
      </c>
      <c r="T18" s="378">
        <v>1.829293074153364</v>
      </c>
    </row>
    <row r="22" spans="1:20">
      <c r="A22" t="s">
        <v>360</v>
      </c>
      <c r="L22" s="394" t="s">
        <v>389</v>
      </c>
      <c r="M22" s="394" t="s">
        <v>281</v>
      </c>
      <c r="N22" s="447" t="s">
        <v>393</v>
      </c>
      <c r="O22" s="447"/>
      <c r="P22" s="447"/>
      <c r="Q22" s="447"/>
    </row>
    <row r="23" spans="1:20" ht="13.5" thickBot="1">
      <c r="L23" s="394" t="s">
        <v>389</v>
      </c>
      <c r="M23" s="394" t="s">
        <v>248</v>
      </c>
      <c r="N23" s="447" t="s">
        <v>390</v>
      </c>
      <c r="O23" s="447"/>
      <c r="P23" s="447"/>
      <c r="Q23" s="447"/>
    </row>
    <row r="24" spans="1:20" ht="15.5">
      <c r="A24" s="377" t="s">
        <v>361</v>
      </c>
      <c r="B24" s="377"/>
      <c r="L24" s="394" t="s">
        <v>389</v>
      </c>
      <c r="M24" s="394" t="s">
        <v>388</v>
      </c>
      <c r="N24" s="447" t="s">
        <v>391</v>
      </c>
      <c r="O24" s="447"/>
      <c r="P24" s="447"/>
      <c r="Q24" s="447"/>
    </row>
    <row r="25" spans="1:20">
      <c r="A25" t="s">
        <v>362</v>
      </c>
      <c r="B25">
        <v>0.65801956479106949</v>
      </c>
      <c r="M25" s="302"/>
    </row>
    <row r="26" spans="1:20">
      <c r="A26" t="s">
        <v>363</v>
      </c>
      <c r="B26">
        <v>0.43298974764782844</v>
      </c>
    </row>
    <row r="27" spans="1:20">
      <c r="A27" t="s">
        <v>364</v>
      </c>
      <c r="B27">
        <v>0.33848803892246648</v>
      </c>
    </row>
    <row r="28" spans="1:20">
      <c r="A28" t="s">
        <v>365</v>
      </c>
      <c r="B28">
        <v>0.29937504998769227</v>
      </c>
    </row>
    <row r="29" spans="1:20" ht="13.5" thickBot="1">
      <c r="A29" s="378" t="s">
        <v>366</v>
      </c>
      <c r="B29" s="378">
        <v>8</v>
      </c>
    </row>
    <row r="31" spans="1:20" ht="13.5" thickBot="1">
      <c r="A31" t="s">
        <v>367</v>
      </c>
    </row>
    <row r="32" spans="1:20" ht="15.5">
      <c r="A32" s="379"/>
      <c r="B32" s="379" t="s">
        <v>368</v>
      </c>
      <c r="C32" s="379" t="s">
        <v>369</v>
      </c>
      <c r="D32" s="379" t="s">
        <v>370</v>
      </c>
      <c r="E32" s="379" t="s">
        <v>371</v>
      </c>
      <c r="F32" s="379" t="s">
        <v>372</v>
      </c>
    </row>
    <row r="33" spans="1:9">
      <c r="A33" t="s">
        <v>373</v>
      </c>
      <c r="B33">
        <v>1</v>
      </c>
      <c r="C33">
        <v>0.41064747666920043</v>
      </c>
      <c r="D33">
        <v>0.41064747666920043</v>
      </c>
      <c r="E33">
        <v>4.5818192442019265</v>
      </c>
      <c r="F33">
        <v>7.6095877149054483E-2</v>
      </c>
    </row>
    <row r="34" spans="1:9">
      <c r="A34" t="s">
        <v>374</v>
      </c>
      <c r="B34">
        <v>6</v>
      </c>
      <c r="C34">
        <v>0.53775252333079948</v>
      </c>
      <c r="D34">
        <v>8.9625420555133242E-2</v>
      </c>
    </row>
    <row r="35" spans="1:9" ht="13.5" thickBot="1">
      <c r="A35" s="378" t="s">
        <v>375</v>
      </c>
      <c r="B35" s="378">
        <v>7</v>
      </c>
      <c r="C35" s="378">
        <v>0.94839999999999991</v>
      </c>
      <c r="D35" s="378"/>
      <c r="E35" s="378"/>
      <c r="F35" s="378"/>
    </row>
    <row r="36" spans="1:9" ht="13.5" thickBot="1"/>
    <row r="37" spans="1:9" ht="15.5">
      <c r="A37" s="379"/>
      <c r="B37" s="379" t="s">
        <v>376</v>
      </c>
      <c r="C37" s="379" t="s">
        <v>365</v>
      </c>
      <c r="D37" s="379" t="s">
        <v>377</v>
      </c>
      <c r="E37" s="379" t="s">
        <v>378</v>
      </c>
      <c r="F37" s="379" t="s">
        <v>379</v>
      </c>
      <c r="G37" s="379" t="s">
        <v>380</v>
      </c>
      <c r="H37" s="379" t="s">
        <v>381</v>
      </c>
      <c r="I37" s="379" t="s">
        <v>382</v>
      </c>
    </row>
    <row r="38" spans="1:9">
      <c r="A38" t="s">
        <v>383</v>
      </c>
      <c r="B38">
        <v>0.2943992273693794</v>
      </c>
      <c r="C38">
        <v>0.70206244821877573</v>
      </c>
      <c r="D38">
        <v>0.419334815750805</v>
      </c>
      <c r="E38">
        <v>0.68957048247713693</v>
      </c>
      <c r="F38">
        <v>-1.4234856974209946</v>
      </c>
      <c r="G38">
        <v>2.0122841521597534</v>
      </c>
      <c r="H38">
        <v>-1.4234856974209946</v>
      </c>
      <c r="I38">
        <v>2.0122841521597534</v>
      </c>
    </row>
    <row r="39" spans="1:9" ht="13.5" thickBot="1">
      <c r="A39" s="378" t="s">
        <v>359</v>
      </c>
      <c r="B39" s="378">
        <v>0.65553260788995948</v>
      </c>
      <c r="C39" s="378">
        <v>0.30624945429304495</v>
      </c>
      <c r="D39" s="378">
        <v>2.1405184521984206</v>
      </c>
      <c r="E39" s="378">
        <v>7.6095877149054567E-2</v>
      </c>
      <c r="F39" s="378">
        <v>-9.3832811226371923E-2</v>
      </c>
      <c r="G39" s="378">
        <v>1.404898027006291</v>
      </c>
      <c r="H39" s="378">
        <v>-9.3832811226371923E-2</v>
      </c>
      <c r="I39" s="378">
        <v>1.404898027006291</v>
      </c>
    </row>
  </sheetData>
  <mergeCells count="3">
    <mergeCell ref="N22:Q22"/>
    <mergeCell ref="N23:Q23"/>
    <mergeCell ref="N24:Q2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production &amp; revenueforecast</vt:lpstr>
      <vt:lpstr>iron ore prices analysis</vt:lpstr>
      <vt:lpstr>modelling and valuation</vt:lpstr>
      <vt:lpstr>relative valuation</vt:lpstr>
      <vt:lpstr>Football</vt:lpstr>
      <vt:lpstr>Relative valuation regression</vt:lpstr>
      <vt:lpstr>Rel valun equation regression </vt:lpstr>
      <vt:lpstr>opcase</vt:lpstr>
    </vt:vector>
  </TitlesOfParts>
  <Company>DealMaven.com,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 Scafaria</dc:creator>
  <cp:lastModifiedBy>shreya patil</cp:lastModifiedBy>
  <cp:lastPrinted>2024-03-22T19:37:52Z</cp:lastPrinted>
  <dcterms:created xsi:type="dcterms:W3CDTF">1999-11-21T04:51:56Z</dcterms:created>
  <dcterms:modified xsi:type="dcterms:W3CDTF">2024-10-21T00:28:38Z</dcterms:modified>
</cp:coreProperties>
</file>