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7BABF17-35F1-4A60-9AC2-1A8F5D0222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63" i="1"/>
  <c r="C55" i="1"/>
  <c r="C57" i="1" s="1"/>
  <c r="C59" i="1" s="1"/>
  <c r="C50" i="1"/>
  <c r="D49" i="1" s="1"/>
  <c r="C48" i="1"/>
  <c r="D47" i="1" l="1"/>
  <c r="C65" i="1" s="1"/>
  <c r="D48" i="1"/>
  <c r="C64" i="1" s="1"/>
  <c r="C66" i="1" l="1"/>
  <c r="L32" i="1" l="1"/>
  <c r="C29" i="1" s="1"/>
  <c r="Q32" i="1"/>
  <c r="P32" i="1"/>
  <c r="O32" i="1"/>
  <c r="P33" i="1" s="1"/>
  <c r="P34" i="1" s="1"/>
  <c r="N32" i="1"/>
  <c r="O33" i="1" s="1"/>
  <c r="O34" i="1" s="1"/>
  <c r="M32" i="1"/>
  <c r="N33" i="1" s="1"/>
  <c r="N34" i="1" s="1"/>
  <c r="C24" i="1"/>
  <c r="C25" i="1" s="1"/>
  <c r="P24" i="1"/>
  <c r="Q24" i="1"/>
  <c r="M23" i="1"/>
  <c r="M24" i="1" s="1"/>
  <c r="N23" i="1"/>
  <c r="N24" i="1" s="1"/>
  <c r="O23" i="1"/>
  <c r="O24" i="1" s="1"/>
  <c r="P23" i="1"/>
  <c r="Q23" i="1"/>
  <c r="E22" i="1"/>
  <c r="Q14" i="1"/>
  <c r="R14" i="1"/>
  <c r="S14" i="1"/>
  <c r="T14" i="1"/>
  <c r="U14" i="1"/>
  <c r="O12" i="1"/>
  <c r="O13" i="1" s="1"/>
  <c r="O14" i="1" s="1"/>
  <c r="P12" i="1"/>
  <c r="P13" i="1" s="1"/>
  <c r="P14" i="1" s="1"/>
  <c r="Q12" i="1"/>
  <c r="R12" i="1"/>
  <c r="S12" i="1"/>
  <c r="U12" i="1"/>
  <c r="T12" i="1"/>
  <c r="C7" i="1"/>
  <c r="H7" i="1"/>
  <c r="G7" i="1"/>
  <c r="F7" i="1"/>
  <c r="E7" i="1"/>
  <c r="D7" i="1"/>
  <c r="D8" i="1" l="1"/>
  <c r="D28" i="1" s="1"/>
  <c r="Q33" i="1"/>
  <c r="Q34" i="1" s="1"/>
  <c r="L25" i="1"/>
  <c r="L26" i="1" s="1"/>
  <c r="D24" i="1" s="1"/>
  <c r="E24" i="1" s="1"/>
  <c r="F24" i="1" s="1"/>
  <c r="G24" i="1" s="1"/>
  <c r="H24" i="1" s="1"/>
  <c r="C30" i="1"/>
  <c r="D29" i="1"/>
  <c r="V14" i="1"/>
  <c r="M33" i="1"/>
  <c r="M34" i="1" s="1"/>
  <c r="F22" i="1"/>
  <c r="C26" i="1"/>
  <c r="C27" i="1" s="1"/>
  <c r="C28" i="1" l="1"/>
  <c r="E28" i="1"/>
  <c r="M35" i="1"/>
  <c r="M42" i="1" s="1"/>
  <c r="E29" i="1"/>
  <c r="D30" i="1"/>
  <c r="G22" i="1"/>
  <c r="F28" i="1"/>
  <c r="C14" i="1"/>
  <c r="C15" i="1" s="1"/>
  <c r="D14" i="1"/>
  <c r="D15" i="1" s="1"/>
  <c r="E14" i="1"/>
  <c r="E15" i="1" s="1"/>
  <c r="F14" i="1"/>
  <c r="F15" i="1" s="1"/>
  <c r="G14" i="1"/>
  <c r="G15" i="1" s="1"/>
  <c r="H14" i="1"/>
  <c r="H15" i="1" s="1"/>
  <c r="F29" i="1" l="1"/>
  <c r="E30" i="1"/>
  <c r="G28" i="1"/>
  <c r="H22" i="1"/>
  <c r="C16" i="1"/>
  <c r="F30" i="1" l="1"/>
  <c r="G29" i="1"/>
  <c r="D23" i="1"/>
  <c r="D25" i="1" s="1"/>
  <c r="D26" i="1" s="1"/>
  <c r="D27" i="1" s="1"/>
  <c r="D31" i="1" s="1"/>
  <c r="D33" i="1" s="1"/>
  <c r="E23" i="1"/>
  <c r="E25" i="1" s="1"/>
  <c r="E26" i="1" s="1"/>
  <c r="E27" i="1" s="1"/>
  <c r="E31" i="1" s="1"/>
  <c r="E33" i="1" s="1"/>
  <c r="F23" i="1"/>
  <c r="F25" i="1" s="1"/>
  <c r="F26" i="1" s="1"/>
  <c r="F27" i="1" s="1"/>
  <c r="G23" i="1"/>
  <c r="G25" i="1" s="1"/>
  <c r="G26" i="1" s="1"/>
  <c r="G27" i="1" s="1"/>
  <c r="H23" i="1"/>
  <c r="H25" i="1" s="1"/>
  <c r="H26" i="1" s="1"/>
  <c r="H27" i="1" s="1"/>
  <c r="H28" i="1"/>
  <c r="F31" i="1" l="1"/>
  <c r="F33" i="1" s="1"/>
  <c r="G30" i="1"/>
  <c r="G31" i="1" s="1"/>
  <c r="G33" i="1" s="1"/>
  <c r="H29" i="1"/>
  <c r="H30" i="1" s="1"/>
  <c r="H31" i="1"/>
  <c r="H32" i="1" s="1"/>
  <c r="H33" i="1" s="1"/>
  <c r="C34" i="1" l="1"/>
  <c r="C39" i="1" s="1"/>
  <c r="C40" i="1" s="1"/>
  <c r="C42" i="1" s="1"/>
</calcChain>
</file>

<file path=xl/sharedStrings.xml><?xml version="1.0" encoding="utf-8"?>
<sst xmlns="http://schemas.openxmlformats.org/spreadsheetml/2006/main" count="81" uniqueCount="70">
  <si>
    <t>WACC</t>
  </si>
  <si>
    <t>ETR</t>
  </si>
  <si>
    <t>CapEx/Revenue</t>
  </si>
  <si>
    <t>year</t>
  </si>
  <si>
    <t>Revenue</t>
  </si>
  <si>
    <t>Operating Income</t>
  </si>
  <si>
    <t>Depreciation &amp;Amortization</t>
  </si>
  <si>
    <t>EBITDA</t>
  </si>
  <si>
    <t>EBITDA/revenue</t>
  </si>
  <si>
    <t>Sales</t>
  </si>
  <si>
    <t>D&amp;A</t>
  </si>
  <si>
    <t>EBIT</t>
  </si>
  <si>
    <t>Net Income</t>
  </si>
  <si>
    <t>NI + D&amp;A</t>
  </si>
  <si>
    <t>CapEx</t>
  </si>
  <si>
    <t>Working Capital (WC)</t>
  </si>
  <si>
    <t>Δ WC</t>
  </si>
  <si>
    <t>Free Cash Flow</t>
  </si>
  <si>
    <t>Terminal Value</t>
  </si>
  <si>
    <t>Total CF</t>
  </si>
  <si>
    <t>NPV</t>
  </si>
  <si>
    <t>Cash Value</t>
  </si>
  <si>
    <t>Debt</t>
  </si>
  <si>
    <t>Preferred Stocks</t>
  </si>
  <si>
    <t>Company Value</t>
  </si>
  <si>
    <t>Outstanding shares</t>
  </si>
  <si>
    <t>Share Price</t>
  </si>
  <si>
    <t>Capital Spending</t>
  </si>
  <si>
    <t>sale/revenue</t>
  </si>
  <si>
    <t>change</t>
  </si>
  <si>
    <t>% chnge</t>
  </si>
  <si>
    <t>average growth</t>
  </si>
  <si>
    <t>282 341</t>
  </si>
  <si>
    <t>Total Current asset</t>
  </si>
  <si>
    <t>Total current liab</t>
  </si>
  <si>
    <t>Working Capital</t>
  </si>
  <si>
    <t>Common Stock</t>
  </si>
  <si>
    <t>Preferred stock</t>
  </si>
  <si>
    <t>Total(V)</t>
  </si>
  <si>
    <t>Income Tax</t>
  </si>
  <si>
    <t>Tax Rate</t>
  </si>
  <si>
    <t>Predicted growth multiple</t>
  </si>
  <si>
    <t>Income without tax</t>
  </si>
  <si>
    <t>Long term bond yield</t>
  </si>
  <si>
    <t>Cost od Debt</t>
  </si>
  <si>
    <t>Risk free Rate</t>
  </si>
  <si>
    <t>Market Risk Premium</t>
  </si>
  <si>
    <t>Beta(market risk)</t>
  </si>
  <si>
    <t>Cost of Equity(Re)</t>
  </si>
  <si>
    <t>Re * We</t>
  </si>
  <si>
    <t>Rd * Wd</t>
  </si>
  <si>
    <t>Weight(Amount/V)</t>
  </si>
  <si>
    <t>Amount(million $)</t>
  </si>
  <si>
    <t>WACC Calculation for Apple:</t>
  </si>
  <si>
    <t>Year</t>
  </si>
  <si>
    <t>CapEx/Revenue:</t>
  </si>
  <si>
    <t>CapEx/Revenue Average</t>
  </si>
  <si>
    <t>EBITDA/revenue Average</t>
  </si>
  <si>
    <t>EBITDA/revenue Average:</t>
  </si>
  <si>
    <t>NVP Calculation:</t>
  </si>
  <si>
    <t>multiplication factor</t>
  </si>
  <si>
    <t>% change</t>
  </si>
  <si>
    <t>Difference</t>
  </si>
  <si>
    <t>average % change</t>
  </si>
  <si>
    <t>Average Depreciation &amp; Amortization calculation:</t>
  </si>
  <si>
    <t>Working Capital and it's % change calculation:</t>
  </si>
  <si>
    <t>change in WC</t>
  </si>
  <si>
    <t>% change in WC</t>
  </si>
  <si>
    <t>average % change in WC</t>
  </si>
  <si>
    <t>But since net WC capital always stable. We assume change in working capital as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</si>
</sst>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262626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7" fontId="0" fillId="0" borderId="1" xfId="0" applyNumberFormat="1" applyBorder="1"/>
    <xf numFmtId="0" fontId="0" fillId="0" borderId="0" xfId="0" applyFill="1"/>
    <xf numFmtId="3" fontId="0" fillId="0" borderId="0" xfId="0" applyNumberFormat="1" applyFill="1"/>
    <xf numFmtId="0" fontId="2" fillId="3" borderId="0" xfId="0" applyFont="1" applyFill="1"/>
    <xf numFmtId="0" fontId="0" fillId="3" borderId="0" xfId="0" applyFill="1"/>
    <xf numFmtId="3" fontId="0" fillId="3" borderId="0" xfId="0" applyNumberFormat="1" applyFill="1"/>
    <xf numFmtId="0" fontId="3" fillId="0" borderId="0" xfId="0" applyFont="1"/>
    <xf numFmtId="7" fontId="0" fillId="0" borderId="3" xfId="0" applyNumberFormat="1" applyFill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0" xfId="0" applyFont="1" applyFill="1" applyBorder="1"/>
    <xf numFmtId="0" fontId="0" fillId="4" borderId="0" xfId="0" applyFill="1"/>
    <xf numFmtId="0" fontId="0" fillId="4" borderId="0" xfId="0" applyFill="1" applyBorder="1"/>
    <xf numFmtId="0" fontId="4" fillId="0" borderId="5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3" fontId="4" fillId="0" borderId="9" xfId="0" applyNumberFormat="1" applyFont="1" applyFill="1" applyBorder="1"/>
    <xf numFmtId="0" fontId="4" fillId="0" borderId="9" xfId="0" applyFont="1" applyFill="1" applyBorder="1"/>
    <xf numFmtId="0" fontId="5" fillId="0" borderId="10" xfId="0" applyFont="1" applyFill="1" applyBorder="1"/>
    <xf numFmtId="0" fontId="4" fillId="0" borderId="12" xfId="0" applyFont="1" applyFill="1" applyBorder="1"/>
    <xf numFmtId="0" fontId="6" fillId="4" borderId="0" xfId="0" applyFont="1" applyFill="1"/>
    <xf numFmtId="0" fontId="2" fillId="0" borderId="13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7" fillId="0" borderId="14" xfId="0" applyFont="1" applyBorder="1"/>
    <xf numFmtId="0" fontId="0" fillId="0" borderId="0" xfId="0" applyFont="1" applyFill="1" applyBorder="1"/>
    <xf numFmtId="0" fontId="0" fillId="0" borderId="9" xfId="0" applyFont="1" applyFill="1" applyBorder="1"/>
    <xf numFmtId="7" fontId="0" fillId="0" borderId="15" xfId="0" applyNumberFormat="1" applyBorder="1"/>
    <xf numFmtId="0" fontId="7" fillId="0" borderId="16" xfId="0" applyFont="1" applyBorder="1"/>
    <xf numFmtId="164" fontId="1" fillId="2" borderId="17" xfId="1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2" fillId="0" borderId="5" xfId="0" applyFont="1" applyFill="1" applyBorder="1"/>
    <xf numFmtId="0" fontId="2" fillId="0" borderId="8" xfId="0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/>
    <xf numFmtId="0" fontId="0" fillId="0" borderId="9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2" fillId="4" borderId="11" xfId="0" applyFont="1" applyFill="1" applyBorder="1"/>
    <xf numFmtId="0" fontId="2" fillId="0" borderId="19" xfId="0" applyFont="1" applyFill="1" applyBorder="1"/>
    <xf numFmtId="0" fontId="2" fillId="4" borderId="20" xfId="0" applyFont="1" applyFill="1" applyBorder="1"/>
    <xf numFmtId="0" fontId="0" fillId="4" borderId="20" xfId="0" applyFill="1" applyBorder="1"/>
    <xf numFmtId="0" fontId="0" fillId="4" borderId="21" xfId="0" applyFill="1" applyBorder="1"/>
    <xf numFmtId="3" fontId="0" fillId="4" borderId="19" xfId="0" applyNumberFormat="1" applyFill="1" applyBorder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8" fillId="4" borderId="3" xfId="0" applyFont="1" applyFill="1" applyBorder="1"/>
    <xf numFmtId="0" fontId="0" fillId="0" borderId="13" xfId="0" applyBorder="1"/>
    <xf numFmtId="44" fontId="0" fillId="0" borderId="22" xfId="0" applyNumberFormat="1" applyBorder="1"/>
    <xf numFmtId="0" fontId="0" fillId="0" borderId="14" xfId="0" applyBorder="1"/>
    <xf numFmtId="44" fontId="0" fillId="0" borderId="15" xfId="0" applyNumberFormat="1" applyBorder="1"/>
    <xf numFmtId="0" fontId="0" fillId="0" borderId="16" xfId="0" applyBorder="1"/>
    <xf numFmtId="44" fontId="0" fillId="0" borderId="18" xfId="0" applyNumberFormat="1" applyBorder="1"/>
    <xf numFmtId="0" fontId="0" fillId="0" borderId="23" xfId="0" applyFill="1" applyBorder="1"/>
    <xf numFmtId="0" fontId="0" fillId="0" borderId="24" xfId="0" applyFill="1" applyBorder="1"/>
    <xf numFmtId="0" fontId="2" fillId="0" borderId="23" xfId="0" applyFont="1" applyFill="1" applyBorder="1"/>
    <xf numFmtId="0" fontId="2" fillId="0" borderId="4" xfId="0" applyFont="1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4" borderId="12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64" zoomScale="115" zoomScaleNormal="115" workbookViewId="0">
      <selection activeCell="W39" sqref="W39"/>
    </sheetView>
  </sheetViews>
  <sheetFormatPr defaultRowHeight="14.4" x14ac:dyDescent="0.3"/>
  <cols>
    <col min="1" max="1" width="8.88671875" style="3"/>
    <col min="2" max="2" width="27.21875" customWidth="1"/>
    <col min="3" max="3" width="20.88671875" customWidth="1"/>
    <col min="4" max="4" width="17.109375" customWidth="1"/>
    <col min="5" max="5" width="17.77734375" customWidth="1"/>
    <col min="6" max="6" width="15.109375" customWidth="1"/>
    <col min="7" max="7" width="18.44140625" customWidth="1"/>
    <col min="8" max="8" width="15.77734375" customWidth="1"/>
    <col min="9" max="9" width="10.77734375" customWidth="1"/>
    <col min="10" max="10" width="17.6640625" customWidth="1"/>
    <col min="11" max="11" width="23.5546875" customWidth="1"/>
    <col min="12" max="12" width="12.44140625" customWidth="1"/>
    <col min="13" max="13" width="12.6640625" customWidth="1"/>
  </cols>
  <sheetData>
    <row r="1" spans="1:22" x14ac:dyDescent="0.3">
      <c r="A1" s="27"/>
      <c r="B1" s="1" t="s">
        <v>0</v>
      </c>
      <c r="C1" s="12">
        <v>6.9099999999999995E-2</v>
      </c>
    </row>
    <row r="2" spans="1:22" x14ac:dyDescent="0.3">
      <c r="A2" s="27"/>
      <c r="B2" s="1" t="s">
        <v>1</v>
      </c>
      <c r="C2" s="13">
        <v>0.28899999999999998</v>
      </c>
      <c r="D2" s="62">
        <f>1-C2</f>
        <v>0.71100000000000008</v>
      </c>
    </row>
    <row r="3" spans="1:22" x14ac:dyDescent="0.3">
      <c r="A3" s="27"/>
      <c r="B3" s="2" t="s">
        <v>2</v>
      </c>
      <c r="C3" s="2"/>
    </row>
    <row r="4" spans="1:22" ht="29.4" customHeight="1" thickBot="1" x14ac:dyDescent="0.55000000000000004">
      <c r="A4" s="27"/>
      <c r="B4" s="65" t="s">
        <v>55</v>
      </c>
      <c r="C4" s="27"/>
      <c r="D4" s="27"/>
      <c r="E4" s="27"/>
      <c r="F4" s="27"/>
      <c r="G4" s="27"/>
      <c r="H4" s="27"/>
      <c r="I4" s="27"/>
    </row>
    <row r="5" spans="1:22" x14ac:dyDescent="0.3">
      <c r="A5" s="27"/>
      <c r="B5" s="48" t="s">
        <v>54</v>
      </c>
      <c r="C5" s="38">
        <v>2018</v>
      </c>
      <c r="D5" s="38">
        <v>2017</v>
      </c>
      <c r="E5" s="38">
        <v>2016</v>
      </c>
      <c r="F5" s="38">
        <v>2015</v>
      </c>
      <c r="G5" s="38">
        <v>2014</v>
      </c>
      <c r="H5" s="39">
        <v>2013</v>
      </c>
      <c r="I5" s="27"/>
    </row>
    <row r="6" spans="1:22" x14ac:dyDescent="0.3">
      <c r="A6" s="27"/>
      <c r="B6" s="49" t="s">
        <v>27</v>
      </c>
      <c r="C6" s="50">
        <v>16700</v>
      </c>
      <c r="D6" s="50">
        <v>14900</v>
      </c>
      <c r="E6" s="50">
        <v>12800</v>
      </c>
      <c r="F6" s="50">
        <v>11200</v>
      </c>
      <c r="G6" s="50">
        <v>9600</v>
      </c>
      <c r="H6" s="51">
        <v>8200</v>
      </c>
      <c r="I6" s="27"/>
    </row>
    <row r="7" spans="1:22" ht="15" thickBot="1" x14ac:dyDescent="0.35">
      <c r="A7" s="27"/>
      <c r="B7" s="49" t="s">
        <v>2</v>
      </c>
      <c r="C7" s="20">
        <f>C6/C11</f>
        <v>6.2877689715544346E-2</v>
      </c>
      <c r="D7" s="20">
        <f>D6/D11</f>
        <v>6.5181063369992215E-2</v>
      </c>
      <c r="E7" s="20">
        <f>E6/E11</f>
        <v>5.9509695896155582E-2</v>
      </c>
      <c r="F7" s="20">
        <f>F6/F11</f>
        <v>4.7921613931497763E-2</v>
      </c>
      <c r="G7" s="20">
        <f>G6/G11</f>
        <v>5.2517847862359475E-2</v>
      </c>
      <c r="H7" s="52">
        <f>H6/H11</f>
        <v>4.7978468199637234E-2</v>
      </c>
      <c r="I7" s="27"/>
    </row>
    <row r="8" spans="1:22" ht="15" thickBot="1" x14ac:dyDescent="0.35">
      <c r="A8" s="27"/>
      <c r="B8" s="57" t="s">
        <v>56</v>
      </c>
      <c r="C8" s="61"/>
      <c r="D8" s="58">
        <f>AVERAGE(C7:H7)</f>
        <v>5.5997729829197769E-2</v>
      </c>
      <c r="E8" s="59"/>
      <c r="F8" s="59"/>
      <c r="G8" s="59"/>
      <c r="H8" s="60"/>
      <c r="I8" s="27"/>
    </row>
    <row r="9" spans="1:22" ht="24" thickBot="1" x14ac:dyDescent="0.5">
      <c r="A9" s="27"/>
      <c r="B9" s="63" t="s">
        <v>58</v>
      </c>
      <c r="I9" s="27"/>
      <c r="J9" s="8"/>
      <c r="K9">
        <v>2023</v>
      </c>
      <c r="L9">
        <v>2022</v>
      </c>
      <c r="M9">
        <v>2021</v>
      </c>
      <c r="N9" s="8">
        <v>2020</v>
      </c>
      <c r="O9" s="8">
        <v>2019</v>
      </c>
      <c r="P9" s="7">
        <v>2018</v>
      </c>
      <c r="Q9" s="7">
        <v>2017</v>
      </c>
      <c r="R9" s="7">
        <v>2016</v>
      </c>
      <c r="S9" s="7">
        <v>2015</v>
      </c>
      <c r="T9" s="7">
        <v>2014</v>
      </c>
      <c r="U9" s="7">
        <v>2013</v>
      </c>
    </row>
    <row r="10" spans="1:22" s="3" customFormat="1" x14ac:dyDescent="0.3">
      <c r="A10" s="27"/>
      <c r="B10" s="48" t="s">
        <v>3</v>
      </c>
      <c r="C10" s="38">
        <v>2018</v>
      </c>
      <c r="D10" s="38">
        <v>2017</v>
      </c>
      <c r="E10" s="38">
        <v>2016</v>
      </c>
      <c r="F10" s="38">
        <v>2015</v>
      </c>
      <c r="G10" s="38">
        <v>2014</v>
      </c>
      <c r="H10" s="39">
        <v>2013</v>
      </c>
      <c r="I10" s="27"/>
      <c r="J10" s="8"/>
      <c r="N10" s="8"/>
      <c r="O10" s="8"/>
      <c r="P10" s="7"/>
      <c r="Q10" s="7"/>
      <c r="R10" s="7"/>
      <c r="S10" s="7"/>
      <c r="T10" s="7"/>
      <c r="U10" s="7"/>
    </row>
    <row r="11" spans="1:22" x14ac:dyDescent="0.3">
      <c r="A11" s="27"/>
      <c r="B11" s="49" t="s">
        <v>4</v>
      </c>
      <c r="C11" s="50">
        <v>265595</v>
      </c>
      <c r="D11" s="50">
        <v>228594</v>
      </c>
      <c r="E11" s="50">
        <v>215091</v>
      </c>
      <c r="F11" s="50">
        <v>233715</v>
      </c>
      <c r="G11" s="50">
        <v>182795</v>
      </c>
      <c r="H11" s="51">
        <v>170910</v>
      </c>
      <c r="I11" s="27"/>
      <c r="J11" s="8" t="s">
        <v>28</v>
      </c>
      <c r="M11" s="10" t="s">
        <v>32</v>
      </c>
      <c r="N11" s="8">
        <v>267376</v>
      </c>
      <c r="O11" s="8">
        <v>256761</v>
      </c>
      <c r="P11" s="9">
        <v>265595</v>
      </c>
      <c r="Q11" s="9">
        <v>228594</v>
      </c>
      <c r="R11" s="9">
        <v>215091</v>
      </c>
      <c r="S11" s="9">
        <v>233715</v>
      </c>
      <c r="T11" s="9">
        <v>182795</v>
      </c>
      <c r="U11" s="9">
        <v>170910</v>
      </c>
    </row>
    <row r="12" spans="1:22" x14ac:dyDescent="0.3">
      <c r="A12" s="27"/>
      <c r="B12" s="49" t="s">
        <v>5</v>
      </c>
      <c r="C12" s="50">
        <v>70662</v>
      </c>
      <c r="D12" s="50">
        <v>60704</v>
      </c>
      <c r="E12" s="50">
        <v>59476</v>
      </c>
      <c r="F12" s="50">
        <v>71230</v>
      </c>
      <c r="G12" s="50">
        <v>52503</v>
      </c>
      <c r="H12" s="51">
        <v>48999</v>
      </c>
      <c r="I12" s="27"/>
      <c r="J12" s="8" t="s">
        <v>29</v>
      </c>
      <c r="N12" s="8">
        <v>14965</v>
      </c>
      <c r="O12" s="8">
        <f t="shared" ref="O12:U12" si="0">N11-O11</f>
        <v>10615</v>
      </c>
      <c r="P12" s="9">
        <f t="shared" si="0"/>
        <v>-8834</v>
      </c>
      <c r="Q12" s="9">
        <f t="shared" si="0"/>
        <v>37001</v>
      </c>
      <c r="R12" s="9">
        <f t="shared" si="0"/>
        <v>13503</v>
      </c>
      <c r="S12" s="9">
        <f t="shared" si="0"/>
        <v>-18624</v>
      </c>
      <c r="T12" s="9">
        <f t="shared" si="0"/>
        <v>50920</v>
      </c>
      <c r="U12" s="9">
        <f t="shared" si="0"/>
        <v>11885</v>
      </c>
    </row>
    <row r="13" spans="1:22" x14ac:dyDescent="0.3">
      <c r="A13" s="27"/>
      <c r="B13" s="49" t="s">
        <v>6</v>
      </c>
      <c r="C13" s="50">
        <v>10903</v>
      </c>
      <c r="D13" s="50">
        <v>10157</v>
      </c>
      <c r="E13" s="50">
        <v>10505</v>
      </c>
      <c r="F13" s="50">
        <v>11257</v>
      </c>
      <c r="G13" s="50">
        <v>7946</v>
      </c>
      <c r="H13" s="51">
        <v>6757</v>
      </c>
      <c r="I13" s="27"/>
      <c r="J13" s="8"/>
      <c r="N13" s="8"/>
      <c r="O13" s="8">
        <f>O12*100</f>
        <v>1061500</v>
      </c>
      <c r="P13" s="8">
        <f>100*P12</f>
        <v>-883400</v>
      </c>
      <c r="Q13" s="8">
        <v>3700100</v>
      </c>
      <c r="R13" s="8">
        <v>1350300</v>
      </c>
      <c r="S13" s="8">
        <v>-1862400</v>
      </c>
      <c r="T13" s="8">
        <v>5092000</v>
      </c>
      <c r="U13" s="8">
        <v>1188500</v>
      </c>
    </row>
    <row r="14" spans="1:22" x14ac:dyDescent="0.3">
      <c r="A14" s="27"/>
      <c r="B14" s="49" t="s">
        <v>7</v>
      </c>
      <c r="C14" s="50">
        <f t="shared" ref="C14:H14" si="1">SUM(C12:C13)</f>
        <v>81565</v>
      </c>
      <c r="D14" s="50">
        <f t="shared" si="1"/>
        <v>70861</v>
      </c>
      <c r="E14" s="50">
        <f t="shared" si="1"/>
        <v>69981</v>
      </c>
      <c r="F14" s="50">
        <f t="shared" si="1"/>
        <v>82487</v>
      </c>
      <c r="G14" s="50">
        <f t="shared" si="1"/>
        <v>60449</v>
      </c>
      <c r="H14" s="51">
        <f t="shared" si="1"/>
        <v>55756</v>
      </c>
      <c r="I14" s="27"/>
      <c r="J14" s="8" t="s">
        <v>30</v>
      </c>
      <c r="N14" s="8">
        <v>5.59</v>
      </c>
      <c r="O14" s="8">
        <f t="shared" ref="O14:U14" si="2">O13/O11</f>
        <v>4.1341948348853599</v>
      </c>
      <c r="P14" s="8">
        <f t="shared" si="2"/>
        <v>-3.3261168320186751</v>
      </c>
      <c r="Q14" s="8">
        <f t="shared" si="2"/>
        <v>16.186339099013971</v>
      </c>
      <c r="R14" s="8">
        <f t="shared" si="2"/>
        <v>6.2778079975452252</v>
      </c>
      <c r="S14" s="8">
        <f t="shared" si="2"/>
        <v>-7.9686798023233427</v>
      </c>
      <c r="T14" s="8">
        <f t="shared" si="2"/>
        <v>27.856341803659838</v>
      </c>
      <c r="U14" s="8">
        <f t="shared" si="2"/>
        <v>6.9539523725937631</v>
      </c>
      <c r="V14" s="8">
        <f>AVERAGE(N14:U14)</f>
        <v>6.9629799341695167</v>
      </c>
    </row>
    <row r="15" spans="1:22" x14ac:dyDescent="0.3">
      <c r="A15" s="27"/>
      <c r="B15" s="49" t="s">
        <v>8</v>
      </c>
      <c r="C15" s="20">
        <f t="shared" ref="C15:H15" si="3">C14/C11</f>
        <v>0.30710291985918409</v>
      </c>
      <c r="D15" s="20">
        <f t="shared" si="3"/>
        <v>0.30998626385644418</v>
      </c>
      <c r="E15" s="20">
        <f t="shared" si="3"/>
        <v>0.32535531472725499</v>
      </c>
      <c r="F15" s="20">
        <f t="shared" si="3"/>
        <v>0.35293840788995146</v>
      </c>
      <c r="G15" s="20">
        <f t="shared" si="3"/>
        <v>0.3306928526491425</v>
      </c>
      <c r="H15" s="52">
        <f t="shared" si="3"/>
        <v>0.32623017962670409</v>
      </c>
      <c r="I15" s="27"/>
      <c r="J15" s="8" t="s">
        <v>31</v>
      </c>
      <c r="K15" s="8"/>
      <c r="L15" s="8"/>
      <c r="M15" s="8"/>
      <c r="N15" s="8"/>
      <c r="O15" s="8"/>
      <c r="P15" s="8"/>
      <c r="Q15" s="8"/>
      <c r="R15" s="8">
        <v>166</v>
      </c>
      <c r="T15">
        <v>-132</v>
      </c>
      <c r="U15">
        <v>291</v>
      </c>
    </row>
    <row r="16" spans="1:22" ht="15" thickBot="1" x14ac:dyDescent="0.35">
      <c r="A16" s="27"/>
      <c r="B16" s="53" t="s">
        <v>57</v>
      </c>
      <c r="C16" s="54">
        <f>AVERAGE(C15:H15)</f>
        <v>0.32538432310144683</v>
      </c>
      <c r="D16" s="54"/>
      <c r="E16" s="54"/>
      <c r="F16" s="54"/>
      <c r="G16" s="54"/>
      <c r="H16" s="55"/>
      <c r="I16" s="27"/>
    </row>
    <row r="17" spans="1:20" x14ac:dyDescent="0.3">
      <c r="A17" s="27"/>
      <c r="B17" s="27"/>
      <c r="C17" s="27"/>
      <c r="D17" s="27"/>
      <c r="E17" s="27"/>
      <c r="F17" s="27"/>
      <c r="G17" s="27"/>
      <c r="H17" s="27"/>
      <c r="I17" s="27"/>
    </row>
    <row r="18" spans="1:20" x14ac:dyDescent="0.3">
      <c r="A18" s="27"/>
      <c r="B18" s="27"/>
      <c r="C18" s="27"/>
      <c r="D18" s="27"/>
      <c r="E18" s="27"/>
      <c r="F18" s="27"/>
      <c r="G18" s="27"/>
      <c r="H18" s="27"/>
      <c r="I18" s="27"/>
    </row>
    <row r="19" spans="1:20" ht="31.8" thickBot="1" x14ac:dyDescent="0.65">
      <c r="A19" s="27"/>
      <c r="B19" s="64" t="s">
        <v>59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21.6" thickBot="1" x14ac:dyDescent="0.45">
      <c r="A20" s="27"/>
      <c r="B20" s="37" t="s">
        <v>54</v>
      </c>
      <c r="C20" s="38">
        <v>2018</v>
      </c>
      <c r="D20" s="38">
        <v>2019</v>
      </c>
      <c r="E20" s="38">
        <v>2020</v>
      </c>
      <c r="F20" s="38">
        <v>2021</v>
      </c>
      <c r="G20" s="38">
        <v>2022</v>
      </c>
      <c r="H20" s="39">
        <v>2023</v>
      </c>
      <c r="I20" s="27"/>
      <c r="J20" s="27"/>
      <c r="K20" s="36" t="s">
        <v>64</v>
      </c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15" thickBot="1" x14ac:dyDescent="0.35">
      <c r="A21" s="27"/>
      <c r="B21" s="40" t="s">
        <v>41</v>
      </c>
      <c r="C21" s="41"/>
      <c r="D21" s="41">
        <v>0.9637</v>
      </c>
      <c r="E21" s="41">
        <v>1.1085</v>
      </c>
      <c r="F21" s="41">
        <v>1.1085</v>
      </c>
      <c r="G21" s="41">
        <v>0.80559999999999998</v>
      </c>
      <c r="H21" s="42">
        <v>1.1029</v>
      </c>
      <c r="I21" s="27"/>
      <c r="J21" s="27"/>
      <c r="K21" s="75" t="s">
        <v>54</v>
      </c>
      <c r="L21" s="76">
        <v>2018</v>
      </c>
      <c r="M21" s="76">
        <v>2017</v>
      </c>
      <c r="N21" s="76">
        <v>2016</v>
      </c>
      <c r="O21" s="76">
        <v>2015</v>
      </c>
      <c r="P21" s="76">
        <v>2014</v>
      </c>
      <c r="Q21" s="77">
        <v>2013</v>
      </c>
      <c r="R21" s="27"/>
      <c r="S21" s="27"/>
      <c r="T21" s="27"/>
    </row>
    <row r="22" spans="1:20" x14ac:dyDescent="0.3">
      <c r="A22" s="27"/>
      <c r="B22" s="40" t="s">
        <v>9</v>
      </c>
      <c r="C22" s="4">
        <v>265595</v>
      </c>
      <c r="D22" s="4">
        <v>256761</v>
      </c>
      <c r="E22" s="4">
        <f>E21*D22</f>
        <v>284619.56849999999</v>
      </c>
      <c r="F22" s="4">
        <f>F21*E22</f>
        <v>315500.79168224998</v>
      </c>
      <c r="G22" s="11">
        <f>G21*F22</f>
        <v>254167.43777922058</v>
      </c>
      <c r="H22" s="43">
        <f>H21*G22</f>
        <v>280321.26712670235</v>
      </c>
      <c r="I22" s="5"/>
      <c r="J22" s="27"/>
      <c r="K22" s="72" t="s">
        <v>6</v>
      </c>
      <c r="L22" s="50">
        <v>10903</v>
      </c>
      <c r="M22" s="50">
        <v>10157</v>
      </c>
      <c r="N22" s="50">
        <v>10505</v>
      </c>
      <c r="O22" s="50">
        <v>11257</v>
      </c>
      <c r="P22" s="50">
        <v>7946</v>
      </c>
      <c r="Q22" s="51">
        <v>6757</v>
      </c>
      <c r="R22" s="27"/>
      <c r="S22" s="27"/>
      <c r="T22" s="27"/>
    </row>
    <row r="23" spans="1:20" x14ac:dyDescent="0.3">
      <c r="A23" s="27"/>
      <c r="B23" s="40" t="s">
        <v>7</v>
      </c>
      <c r="C23" s="4">
        <v>0</v>
      </c>
      <c r="D23" s="4">
        <f>D22*C16</f>
        <v>83546.004183850586</v>
      </c>
      <c r="E23" s="4">
        <f>E22*C16</f>
        <v>92610.745637798376</v>
      </c>
      <c r="F23" s="4">
        <f>F22*C16</f>
        <v>102659.01153949949</v>
      </c>
      <c r="G23" s="4">
        <f>G22*C16</f>
        <v>82702.099696220786</v>
      </c>
      <c r="H23" s="43">
        <f>H22*C16</f>
        <v>91212.145754961908</v>
      </c>
      <c r="I23" s="6"/>
      <c r="J23" s="27"/>
      <c r="K23" s="72" t="s">
        <v>62</v>
      </c>
      <c r="L23" s="20"/>
      <c r="M23" s="50">
        <f>L22-M22</f>
        <v>746</v>
      </c>
      <c r="N23" s="50">
        <f>M22-N22</f>
        <v>-348</v>
      </c>
      <c r="O23" s="50">
        <f>N22-O22</f>
        <v>-752</v>
      </c>
      <c r="P23" s="50">
        <f>O22-P22</f>
        <v>3311</v>
      </c>
      <c r="Q23" s="51">
        <f>P22-Q22</f>
        <v>1189</v>
      </c>
      <c r="R23" s="27"/>
      <c r="S23" s="27"/>
      <c r="T23" s="27"/>
    </row>
    <row r="24" spans="1:20" x14ac:dyDescent="0.3">
      <c r="A24" s="27"/>
      <c r="B24" s="40" t="s">
        <v>10</v>
      </c>
      <c r="C24" s="4">
        <f>C13</f>
        <v>10903</v>
      </c>
      <c r="D24" s="4">
        <f>C24*L26</f>
        <v>12137.590803948569</v>
      </c>
      <c r="E24" s="4">
        <f>D24*L26</f>
        <v>13511.979319829119</v>
      </c>
      <c r="F24" s="4">
        <f>E24*L26</f>
        <v>15041.995408190514</v>
      </c>
      <c r="G24" s="4">
        <f>F24*L26</f>
        <v>16745.261408739778</v>
      </c>
      <c r="H24" s="43">
        <f>G24*L26</f>
        <v>18641.395110009613</v>
      </c>
      <c r="I24" s="6"/>
      <c r="J24" s="27"/>
      <c r="K24" s="72" t="s">
        <v>61</v>
      </c>
      <c r="L24" s="20"/>
      <c r="M24" s="20">
        <f>M23/M22</f>
        <v>7.3446883922418035E-2</v>
      </c>
      <c r="N24" s="20">
        <f>N23/N22</f>
        <v>-3.3127082341742026E-2</v>
      </c>
      <c r="O24" s="20">
        <f>O23/O22</f>
        <v>-6.6802878209114333E-2</v>
      </c>
      <c r="P24" s="20">
        <f>P23/P22</f>
        <v>0.41668764158066951</v>
      </c>
      <c r="Q24" s="52">
        <f>Q23/Q22</f>
        <v>0.17596566523605151</v>
      </c>
      <c r="R24" s="27"/>
      <c r="S24" s="27"/>
      <c r="T24" s="27"/>
    </row>
    <row r="25" spans="1:20" x14ac:dyDescent="0.3">
      <c r="A25" s="27"/>
      <c r="B25" s="40" t="s">
        <v>11</v>
      </c>
      <c r="C25" s="4">
        <f t="shared" ref="C25:H25" si="4">C23-C24</f>
        <v>-10903</v>
      </c>
      <c r="D25" s="4">
        <f t="shared" si="4"/>
        <v>71408.41337990202</v>
      </c>
      <c r="E25" s="4">
        <f t="shared" si="4"/>
        <v>79098.766317969261</v>
      </c>
      <c r="F25" s="4">
        <f t="shared" si="4"/>
        <v>87617.016131308977</v>
      </c>
      <c r="G25" s="4">
        <f t="shared" si="4"/>
        <v>65956.838287481005</v>
      </c>
      <c r="H25" s="43">
        <f t="shared" si="4"/>
        <v>72570.750644952292</v>
      </c>
      <c r="I25" s="5"/>
      <c r="J25" s="27"/>
      <c r="K25" s="74" t="s">
        <v>63</v>
      </c>
      <c r="L25" s="26">
        <f>AVERAGE(M24:Q24)</f>
        <v>0.11323404603765655</v>
      </c>
      <c r="M25" s="20"/>
      <c r="N25" s="20"/>
      <c r="O25" s="20"/>
      <c r="P25" s="20"/>
      <c r="Q25" s="52"/>
      <c r="R25" s="27"/>
      <c r="S25" s="27"/>
      <c r="T25" s="27"/>
    </row>
    <row r="26" spans="1:20" ht="15" thickBot="1" x14ac:dyDescent="0.35">
      <c r="A26" s="27"/>
      <c r="B26" s="40" t="s">
        <v>12</v>
      </c>
      <c r="C26" s="4">
        <f>C25*D2</f>
        <v>-7752.0330000000013</v>
      </c>
      <c r="D26" s="4">
        <f>D25*D2</f>
        <v>50771.381913110345</v>
      </c>
      <c r="E26" s="4">
        <f>E25*D2</f>
        <v>56239.222852076149</v>
      </c>
      <c r="F26" s="4">
        <f>F25*D2</f>
        <v>62295.698469360686</v>
      </c>
      <c r="G26" s="4">
        <f>G25*D2</f>
        <v>46895.312022398997</v>
      </c>
      <c r="H26" s="43">
        <f>H25*D2</f>
        <v>51597.803708561085</v>
      </c>
      <c r="I26" s="5"/>
      <c r="J26" s="27"/>
      <c r="K26" s="73" t="s">
        <v>60</v>
      </c>
      <c r="L26" s="54">
        <f>1+L25</f>
        <v>1.1132340460376566</v>
      </c>
      <c r="M26" s="54"/>
      <c r="N26" s="54"/>
      <c r="O26" s="54"/>
      <c r="P26" s="54"/>
      <c r="Q26" s="55"/>
      <c r="R26" s="27"/>
      <c r="S26" s="27"/>
      <c r="T26" s="27"/>
    </row>
    <row r="27" spans="1:20" x14ac:dyDescent="0.3">
      <c r="A27" s="27"/>
      <c r="B27" s="40" t="s">
        <v>13</v>
      </c>
      <c r="C27" s="4">
        <f t="shared" ref="C27:H27" si="5">C26+C24</f>
        <v>3150.9669999999987</v>
      </c>
      <c r="D27" s="4">
        <f t="shared" si="5"/>
        <v>62908.972717058918</v>
      </c>
      <c r="E27" s="4">
        <f t="shared" si="5"/>
        <v>69751.202171905272</v>
      </c>
      <c r="F27" s="4">
        <f t="shared" si="5"/>
        <v>77337.693877551195</v>
      </c>
      <c r="G27" s="4">
        <f t="shared" si="5"/>
        <v>63640.573431138779</v>
      </c>
      <c r="H27" s="43">
        <f t="shared" si="5"/>
        <v>70239.198818570701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ht="21.6" thickBot="1" x14ac:dyDescent="0.45">
      <c r="A28" s="27"/>
      <c r="B28" s="40" t="s">
        <v>14</v>
      </c>
      <c r="C28" s="4">
        <f>C22*D8</f>
        <v>14872.717053985782</v>
      </c>
      <c r="D28" s="4">
        <f>D22*D8</f>
        <v>14378.033108674648</v>
      </c>
      <c r="E28" s="4">
        <f>E22*D8</f>
        <v>15938.049700965847</v>
      </c>
      <c r="F28" s="4">
        <f>F22*D8</f>
        <v>17667.328093520642</v>
      </c>
      <c r="G28" s="4">
        <f>G22*D8</f>
        <v>14232.799512140227</v>
      </c>
      <c r="H28" s="43">
        <f>H22*D8</f>
        <v>15697.354581939457</v>
      </c>
      <c r="J28" s="27"/>
      <c r="K28" s="36" t="s">
        <v>65</v>
      </c>
      <c r="L28" s="27"/>
      <c r="M28" s="27"/>
      <c r="N28" s="27"/>
      <c r="O28" s="27"/>
      <c r="P28" s="27"/>
      <c r="Q28" s="27"/>
      <c r="R28" s="27"/>
      <c r="S28" s="27"/>
      <c r="T28" s="27"/>
    </row>
    <row r="29" spans="1:20" ht="27" customHeight="1" thickBot="1" x14ac:dyDescent="0.35">
      <c r="A29" s="27"/>
      <c r="B29" s="40" t="s">
        <v>15</v>
      </c>
      <c r="C29" s="4">
        <f>L32</f>
        <v>15410</v>
      </c>
      <c r="D29" s="4">
        <f>C29</f>
        <v>15410</v>
      </c>
      <c r="E29" s="4">
        <f>D29</f>
        <v>15410</v>
      </c>
      <c r="F29" s="4">
        <f>E29</f>
        <v>15410</v>
      </c>
      <c r="G29" s="4">
        <f>F29</f>
        <v>15410</v>
      </c>
      <c r="H29" s="43">
        <f>G29</f>
        <v>15410</v>
      </c>
      <c r="J29" s="27"/>
      <c r="K29" s="75" t="s">
        <v>54</v>
      </c>
      <c r="L29" s="76">
        <v>2018</v>
      </c>
      <c r="M29" s="76">
        <v>2017</v>
      </c>
      <c r="N29" s="76">
        <v>2016</v>
      </c>
      <c r="O29" s="76">
        <v>2015</v>
      </c>
      <c r="P29" s="76">
        <v>2014</v>
      </c>
      <c r="Q29" s="77">
        <v>2013</v>
      </c>
      <c r="R29" s="27"/>
      <c r="S29" s="27"/>
      <c r="T29" s="27"/>
    </row>
    <row r="30" spans="1:20" x14ac:dyDescent="0.3">
      <c r="A30" s="27"/>
      <c r="B30" s="40" t="s">
        <v>16</v>
      </c>
      <c r="C30" s="4">
        <f>C29</f>
        <v>15410</v>
      </c>
      <c r="D30" s="4">
        <f>D29-C29</f>
        <v>0</v>
      </c>
      <c r="E30" s="4">
        <f>E29-D29</f>
        <v>0</v>
      </c>
      <c r="F30" s="4">
        <f>F29-E29</f>
        <v>0</v>
      </c>
      <c r="G30" s="4">
        <f>G29-F29</f>
        <v>0</v>
      </c>
      <c r="H30" s="43">
        <f>H29-G29</f>
        <v>0</v>
      </c>
      <c r="J30" s="27"/>
      <c r="K30" s="14" t="s">
        <v>33</v>
      </c>
      <c r="L30" s="15">
        <v>131339</v>
      </c>
      <c r="M30" s="15">
        <v>128645</v>
      </c>
      <c r="N30" s="15">
        <v>106869</v>
      </c>
      <c r="O30" s="15">
        <v>89378</v>
      </c>
      <c r="P30" s="15">
        <v>68531</v>
      </c>
      <c r="Q30" s="16">
        <v>73286</v>
      </c>
      <c r="R30" s="27"/>
      <c r="S30" s="27"/>
      <c r="T30" s="27"/>
    </row>
    <row r="31" spans="1:20" x14ac:dyDescent="0.3">
      <c r="A31" s="27"/>
      <c r="B31" s="40" t="s">
        <v>17</v>
      </c>
      <c r="C31" s="4"/>
      <c r="D31" s="4">
        <f>D27-D28-D30</f>
        <v>48530.939608384273</v>
      </c>
      <c r="E31" s="4">
        <f>E27-E28-E30</f>
        <v>53813.152470939429</v>
      </c>
      <c r="F31" s="4">
        <f>F27-F28-F30</f>
        <v>59670.365784030553</v>
      </c>
      <c r="G31" s="4">
        <f>G27-G28-G30</f>
        <v>49407.773918998551</v>
      </c>
      <c r="H31" s="43">
        <f>H27-H28-H30</f>
        <v>54541.844236631245</v>
      </c>
      <c r="J31" s="27"/>
      <c r="K31" s="14" t="s">
        <v>34</v>
      </c>
      <c r="L31" s="15">
        <v>115929</v>
      </c>
      <c r="M31" s="15">
        <v>100814</v>
      </c>
      <c r="N31" s="15">
        <v>79006</v>
      </c>
      <c r="O31" s="15">
        <v>80610</v>
      </c>
      <c r="P31" s="15">
        <v>63448</v>
      </c>
      <c r="Q31" s="16">
        <v>43658</v>
      </c>
      <c r="R31" s="27"/>
      <c r="S31" s="27"/>
      <c r="T31" s="27"/>
    </row>
    <row r="32" spans="1:20" x14ac:dyDescent="0.3">
      <c r="A32" s="27"/>
      <c r="B32" s="40" t="s">
        <v>18</v>
      </c>
      <c r="C32" s="4"/>
      <c r="D32" s="4"/>
      <c r="E32" s="4"/>
      <c r="F32" s="4"/>
      <c r="G32" s="4"/>
      <c r="H32" s="43">
        <f>(H31*(1+0.03))/(C1-0.03)</f>
        <v>1436780.0399930994</v>
      </c>
      <c r="J32" s="27"/>
      <c r="K32" s="14" t="s">
        <v>35</v>
      </c>
      <c r="L32" s="15">
        <f t="shared" ref="L32:Q32" si="6">L30-L31</f>
        <v>15410</v>
      </c>
      <c r="M32" s="15">
        <f t="shared" si="6"/>
        <v>27831</v>
      </c>
      <c r="N32" s="15">
        <f t="shared" si="6"/>
        <v>27863</v>
      </c>
      <c r="O32" s="15">
        <f t="shared" si="6"/>
        <v>8768</v>
      </c>
      <c r="P32" s="15">
        <f t="shared" si="6"/>
        <v>5083</v>
      </c>
      <c r="Q32" s="16">
        <f t="shared" si="6"/>
        <v>29628</v>
      </c>
      <c r="R32" s="27"/>
      <c r="S32" s="27"/>
      <c r="T32" s="27"/>
    </row>
    <row r="33" spans="1:20" x14ac:dyDescent="0.3">
      <c r="A33" s="27"/>
      <c r="B33" s="40" t="s">
        <v>19</v>
      </c>
      <c r="C33" s="4">
        <v>0</v>
      </c>
      <c r="D33" s="4">
        <f>SUM(D31:D32)</f>
        <v>48530.939608384273</v>
      </c>
      <c r="E33" s="4">
        <f>SUM(E31:E32)</f>
        <v>53813.152470939429</v>
      </c>
      <c r="F33" s="4">
        <f>SUM(F31:F32)</f>
        <v>59670.365784030553</v>
      </c>
      <c r="G33" s="4">
        <f>SUM(G31:G32)</f>
        <v>49407.773918998551</v>
      </c>
      <c r="H33" s="43">
        <f>SUM(H31:H32)</f>
        <v>1491321.8842297306</v>
      </c>
      <c r="J33" s="27"/>
      <c r="K33" s="14" t="s">
        <v>66</v>
      </c>
      <c r="L33" s="15"/>
      <c r="M33" s="15">
        <f>L32-M32</f>
        <v>-12421</v>
      </c>
      <c r="N33" s="15">
        <f>M32-N32</f>
        <v>-32</v>
      </c>
      <c r="O33" s="15">
        <f>N32-O32</f>
        <v>19095</v>
      </c>
      <c r="P33" s="15">
        <f>O32-P32</f>
        <v>3685</v>
      </c>
      <c r="Q33" s="16">
        <f>P32-Q32</f>
        <v>-24545</v>
      </c>
      <c r="R33" s="27"/>
      <c r="S33" s="27"/>
      <c r="T33" s="27"/>
    </row>
    <row r="34" spans="1:20" ht="15" thickBot="1" x14ac:dyDescent="0.35">
      <c r="A34" s="27"/>
      <c r="B34" s="44" t="s">
        <v>20</v>
      </c>
      <c r="C34" s="45">
        <f>XNPV(C1,C33:H33,C20:H20)</f>
        <v>1701282.2200184548</v>
      </c>
      <c r="D34" s="46"/>
      <c r="E34" s="46"/>
      <c r="F34" s="46"/>
      <c r="G34" s="46"/>
      <c r="H34" s="47"/>
      <c r="J34" s="27"/>
      <c r="K34" s="14" t="s">
        <v>67</v>
      </c>
      <c r="L34" s="15"/>
      <c r="M34" s="15">
        <f>M33/M32</f>
        <v>-0.44630088749955088</v>
      </c>
      <c r="N34" s="15">
        <f>N33/N32</f>
        <v>-1.1484764741772242E-3</v>
      </c>
      <c r="O34" s="15">
        <f>O33/O32</f>
        <v>2.1778056569343067</v>
      </c>
      <c r="P34" s="15">
        <f>P33/P32</f>
        <v>0.7249655715128861</v>
      </c>
      <c r="Q34" s="16">
        <f>Q33/Q32</f>
        <v>-0.82843931416227889</v>
      </c>
      <c r="R34" s="27"/>
      <c r="S34" s="27"/>
      <c r="T34" s="27"/>
    </row>
    <row r="35" spans="1:20" ht="15" thickBot="1" x14ac:dyDescent="0.35">
      <c r="A35" s="27"/>
      <c r="D35" s="27"/>
      <c r="E35" s="27"/>
      <c r="F35" s="27"/>
      <c r="G35" s="27"/>
      <c r="H35" s="27"/>
      <c r="I35" s="27"/>
      <c r="J35" s="27"/>
      <c r="K35" s="17" t="s">
        <v>68</v>
      </c>
      <c r="L35" s="56"/>
      <c r="M35" s="56">
        <f>AVERAGE(M34:Q34)</f>
        <v>0.32537651006223722</v>
      </c>
      <c r="N35" s="56"/>
      <c r="O35" s="56"/>
      <c r="P35" s="56"/>
      <c r="Q35" s="78"/>
      <c r="R35" s="27"/>
      <c r="S35" s="27"/>
      <c r="T35" s="27"/>
    </row>
    <row r="36" spans="1:20" x14ac:dyDescent="0.3">
      <c r="A36" s="27"/>
      <c r="B36" s="66" t="s">
        <v>21</v>
      </c>
      <c r="C36" s="67">
        <v>66301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x14ac:dyDescent="0.3">
      <c r="A37" s="27"/>
      <c r="B37" s="68" t="s">
        <v>22</v>
      </c>
      <c r="C37" s="69">
        <v>114483</v>
      </c>
      <c r="D37" s="27"/>
      <c r="E37" s="27"/>
      <c r="F37" s="27"/>
      <c r="G37" s="27"/>
      <c r="H37" s="27"/>
      <c r="I37" s="27"/>
      <c r="J37" s="27"/>
      <c r="K37" s="27" t="s">
        <v>69</v>
      </c>
      <c r="L37" s="27"/>
      <c r="M37" s="27"/>
      <c r="N37" s="27"/>
      <c r="O37" s="27"/>
      <c r="P37" s="27"/>
      <c r="Q37" s="27"/>
      <c r="R37" s="27"/>
      <c r="S37" s="27"/>
      <c r="T37" s="27"/>
    </row>
    <row r="38" spans="1:20" x14ac:dyDescent="0.3">
      <c r="A38" s="27"/>
      <c r="B38" s="68" t="s">
        <v>23</v>
      </c>
      <c r="C38" s="69">
        <v>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20" x14ac:dyDescent="0.3">
      <c r="A39" s="27"/>
      <c r="B39" s="68" t="s">
        <v>20</v>
      </c>
      <c r="C39" s="69">
        <f>C34</f>
        <v>1701282.2200184548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20" x14ac:dyDescent="0.3">
      <c r="A40" s="27"/>
      <c r="B40" s="68" t="s">
        <v>24</v>
      </c>
      <c r="C40" s="69">
        <f>C39+C36-C37-C38</f>
        <v>1653100.2200184548</v>
      </c>
      <c r="D40" s="27"/>
      <c r="E40" s="27"/>
      <c r="F40" s="27"/>
      <c r="G40" s="27"/>
      <c r="H40" s="27"/>
      <c r="I40" s="27"/>
      <c r="J40" s="15"/>
      <c r="K40" s="27"/>
      <c r="L40" s="27"/>
      <c r="M40" s="27"/>
      <c r="N40" s="27"/>
      <c r="O40" s="27"/>
      <c r="P40" s="27"/>
      <c r="Q40" s="27"/>
      <c r="R40" s="27"/>
    </row>
    <row r="41" spans="1:20" x14ac:dyDescent="0.3">
      <c r="A41" s="27"/>
      <c r="B41" s="68" t="s">
        <v>25</v>
      </c>
      <c r="C41" s="69">
        <v>4607.28</v>
      </c>
      <c r="D41" s="27"/>
      <c r="E41" s="27"/>
      <c r="F41" s="27"/>
      <c r="G41" s="27"/>
      <c r="H41" s="28"/>
      <c r="I41" s="28"/>
    </row>
    <row r="42" spans="1:20" ht="15" thickBot="1" x14ac:dyDescent="0.35">
      <c r="A42" s="27"/>
      <c r="B42" s="70" t="s">
        <v>26</v>
      </c>
      <c r="C42" s="71">
        <f>C40/C41</f>
        <v>358.80177024588369</v>
      </c>
      <c r="D42" s="27"/>
      <c r="E42" s="27"/>
      <c r="F42" s="27"/>
      <c r="G42" s="27"/>
      <c r="H42" s="28"/>
      <c r="I42" s="28"/>
      <c r="M42">
        <f>1+M35</f>
        <v>1.3253765100622372</v>
      </c>
    </row>
    <row r="43" spans="1:20" x14ac:dyDescent="0.3">
      <c r="A43" s="27"/>
      <c r="B43" s="27"/>
      <c r="D43" s="27"/>
      <c r="E43" s="27"/>
      <c r="F43" s="27"/>
      <c r="G43" s="27"/>
      <c r="H43" s="27"/>
      <c r="I43" s="27"/>
    </row>
    <row r="44" spans="1:20" ht="21" x14ac:dyDescent="0.4">
      <c r="A44" s="27"/>
      <c r="B44" s="36" t="s">
        <v>53</v>
      </c>
      <c r="C44" s="27"/>
      <c r="D44" s="27"/>
      <c r="E44" s="27"/>
      <c r="F44" s="27"/>
      <c r="G44" s="27"/>
      <c r="H44" s="27"/>
      <c r="I44" s="27"/>
    </row>
    <row r="45" spans="1:20" ht="15" thickBot="1" x14ac:dyDescent="0.35">
      <c r="A45" s="27"/>
      <c r="B45" s="27"/>
      <c r="C45" s="27"/>
      <c r="D45" s="27"/>
      <c r="G45" s="3"/>
      <c r="H45" s="3"/>
    </row>
    <row r="46" spans="1:20" x14ac:dyDescent="0.3">
      <c r="A46" s="27"/>
      <c r="B46" s="21"/>
      <c r="C46" s="22" t="s">
        <v>52</v>
      </c>
      <c r="D46" s="23" t="s">
        <v>51</v>
      </c>
      <c r="E46" s="27"/>
      <c r="G46" s="3"/>
      <c r="H46" s="3"/>
    </row>
    <row r="47" spans="1:20" x14ac:dyDescent="0.3">
      <c r="A47" s="27"/>
      <c r="B47" s="24" t="s">
        <v>22</v>
      </c>
      <c r="C47" s="15">
        <v>114483</v>
      </c>
      <c r="D47" s="16">
        <f>C47/C50</f>
        <v>0.10981294003202739</v>
      </c>
      <c r="E47" s="27"/>
      <c r="G47" s="3"/>
      <c r="H47" s="3"/>
    </row>
    <row r="48" spans="1:20" x14ac:dyDescent="0.3">
      <c r="A48" s="27"/>
      <c r="B48" s="24" t="s">
        <v>36</v>
      </c>
      <c r="C48" s="15">
        <f>201.43*4607.28</f>
        <v>928044.41039999994</v>
      </c>
      <c r="D48" s="16">
        <f>C48/C50</f>
        <v>0.89018705996797265</v>
      </c>
      <c r="E48" s="27"/>
      <c r="G48" s="3"/>
      <c r="H48" s="3"/>
    </row>
    <row r="49" spans="1:8" x14ac:dyDescent="0.3">
      <c r="A49" s="27"/>
      <c r="B49" s="24" t="s">
        <v>37</v>
      </c>
      <c r="C49" s="15">
        <v>0</v>
      </c>
      <c r="D49" s="16">
        <f>C49/C50</f>
        <v>0</v>
      </c>
      <c r="E49" s="27"/>
      <c r="G49" s="3"/>
      <c r="H49" s="3"/>
    </row>
    <row r="50" spans="1:8" ht="15" thickBot="1" x14ac:dyDescent="0.35">
      <c r="A50" s="27"/>
      <c r="B50" s="25" t="s">
        <v>38</v>
      </c>
      <c r="C50" s="18">
        <f>SUM(C47:C49)</f>
        <v>1042527.4103999999</v>
      </c>
      <c r="D50" s="19"/>
      <c r="E50" s="27"/>
      <c r="F50" s="27"/>
    </row>
    <row r="51" spans="1:8" x14ac:dyDescent="0.3">
      <c r="A51" s="27"/>
      <c r="B51" s="27"/>
      <c r="C51" s="27"/>
      <c r="D51" s="27"/>
      <c r="E51" s="27"/>
    </row>
    <row r="52" spans="1:8" ht="15" thickBot="1" x14ac:dyDescent="0.35">
      <c r="A52" s="27"/>
      <c r="B52" s="27"/>
      <c r="C52" s="27"/>
      <c r="D52" s="27"/>
      <c r="E52" s="27"/>
    </row>
    <row r="53" spans="1:8" x14ac:dyDescent="0.3">
      <c r="A53" s="27"/>
      <c r="B53" s="29"/>
      <c r="C53" s="30" t="s">
        <v>52</v>
      </c>
      <c r="D53" s="27"/>
      <c r="E53" s="27"/>
    </row>
    <row r="54" spans="1:8" x14ac:dyDescent="0.3">
      <c r="A54" s="27"/>
      <c r="B54" s="31" t="s">
        <v>12</v>
      </c>
      <c r="C54" s="32">
        <v>59531</v>
      </c>
      <c r="D54" s="27"/>
      <c r="E54" s="27"/>
    </row>
    <row r="55" spans="1:8" x14ac:dyDescent="0.3">
      <c r="A55" s="27"/>
      <c r="B55" s="31" t="s">
        <v>42</v>
      </c>
      <c r="C55" s="32">
        <f>C54-C56</f>
        <v>46159</v>
      </c>
      <c r="D55" s="27"/>
      <c r="E55" s="27"/>
    </row>
    <row r="56" spans="1:8" x14ac:dyDescent="0.3">
      <c r="A56" s="27"/>
      <c r="B56" s="31" t="s">
        <v>39</v>
      </c>
      <c r="C56" s="32">
        <v>13372</v>
      </c>
      <c r="D56" s="27"/>
      <c r="E56" s="27"/>
    </row>
    <row r="57" spans="1:8" x14ac:dyDescent="0.3">
      <c r="A57" s="27"/>
      <c r="B57" s="31" t="s">
        <v>40</v>
      </c>
      <c r="C57" s="33">
        <f>C56/C55</f>
        <v>0.28969431746788277</v>
      </c>
      <c r="D57" s="27"/>
      <c r="E57" s="27"/>
    </row>
    <row r="58" spans="1:8" x14ac:dyDescent="0.3">
      <c r="A58" s="27"/>
      <c r="B58" s="31" t="s">
        <v>43</v>
      </c>
      <c r="C58" s="33">
        <v>2.9</v>
      </c>
      <c r="D58" s="27"/>
      <c r="E58" s="27"/>
    </row>
    <row r="59" spans="1:8" x14ac:dyDescent="0.3">
      <c r="A59" s="27"/>
      <c r="B59" s="31" t="s">
        <v>44</v>
      </c>
      <c r="C59" s="33">
        <f>C58*(1-C57)</f>
        <v>2.05988647934314</v>
      </c>
      <c r="D59" s="27"/>
      <c r="E59" s="27"/>
    </row>
    <row r="60" spans="1:8" x14ac:dyDescent="0.3">
      <c r="A60" s="27"/>
      <c r="B60" s="31" t="s">
        <v>45</v>
      </c>
      <c r="C60" s="33">
        <v>2.06</v>
      </c>
      <c r="D60" s="27"/>
      <c r="E60" s="27"/>
    </row>
    <row r="61" spans="1:8" x14ac:dyDescent="0.3">
      <c r="B61" s="31" t="s">
        <v>46</v>
      </c>
      <c r="C61" s="33">
        <v>5</v>
      </c>
      <c r="D61" s="27"/>
      <c r="E61" s="27"/>
    </row>
    <row r="62" spans="1:8" x14ac:dyDescent="0.3">
      <c r="B62" s="31" t="s">
        <v>47</v>
      </c>
      <c r="C62" s="33">
        <v>1.0900000000000001</v>
      </c>
      <c r="D62" s="27"/>
      <c r="E62" s="27"/>
    </row>
    <row r="63" spans="1:8" x14ac:dyDescent="0.3">
      <c r="B63" s="31" t="s">
        <v>48</v>
      </c>
      <c r="C63" s="33">
        <f>C62*C61 +C60</f>
        <v>7.51</v>
      </c>
      <c r="D63" s="27"/>
      <c r="E63" s="27"/>
    </row>
    <row r="64" spans="1:8" x14ac:dyDescent="0.3">
      <c r="B64" s="31" t="s">
        <v>49</v>
      </c>
      <c r="C64" s="33">
        <f>C63*D48</f>
        <v>6.685304820359474</v>
      </c>
      <c r="D64" s="27"/>
      <c r="E64" s="27"/>
    </row>
    <row r="65" spans="2:5" x14ac:dyDescent="0.3">
      <c r="B65" s="31" t="s">
        <v>50</v>
      </c>
      <c r="C65" s="33">
        <f>C59*D47</f>
        <v>0.22620219042889225</v>
      </c>
      <c r="D65" s="27"/>
      <c r="E65" s="27"/>
    </row>
    <row r="66" spans="2:5" ht="15" thickBot="1" x14ac:dyDescent="0.35">
      <c r="B66" s="34" t="s">
        <v>0</v>
      </c>
      <c r="C66" s="35">
        <f>SUM(C64:C65)</f>
        <v>6.911507010788366</v>
      </c>
      <c r="D66" s="27"/>
      <c r="E66" s="2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2019-07-10T00:30:21Z</dcterms:modified>
</cp:coreProperties>
</file>