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2024-25 (WBS)\Course\Term 2\Financial Statement Analysis\"/>
    </mc:Choice>
  </mc:AlternateContent>
  <xr:revisionPtr revIDLastSave="0" documentId="13_ncr:1_{752C7769-132B-46FD-964D-C372079BDA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put_Statements" sheetId="2" r:id="rId1"/>
    <sheet name="Re_Income_Statement" sheetId="3" r:id="rId2"/>
    <sheet name="Re_Balance_Sheet" sheetId="4" r:id="rId3"/>
    <sheet name="FCF" sheetId="5" r:id="rId4"/>
    <sheet name="Ratio Analysis" sheetId="6" r:id="rId5"/>
    <sheet name="Part 3" sheetId="7" r:id="rId6"/>
    <sheet name="Forecasts" sheetId="8" r:id="rId7"/>
  </sheets>
  <calcPr calcId="181029"/>
</workbook>
</file>

<file path=xl/calcChain.xml><?xml version="1.0" encoding="utf-8"?>
<calcChain xmlns="http://schemas.openxmlformats.org/spreadsheetml/2006/main">
  <c r="O19" i="8" l="1"/>
  <c r="H19" i="8"/>
  <c r="I6" i="8"/>
  <c r="J6" i="8" s="1"/>
  <c r="D7" i="6"/>
  <c r="E7" i="6"/>
  <c r="F7" i="6"/>
  <c r="G7" i="6"/>
  <c r="H7" i="6"/>
  <c r="C8" i="6"/>
  <c r="C9" i="6"/>
  <c r="C10" i="6"/>
  <c r="C11" i="6"/>
  <c r="C7" i="6"/>
  <c r="E12" i="3"/>
  <c r="F12" i="3"/>
  <c r="G12" i="3"/>
  <c r="H12" i="3"/>
  <c r="I12" i="3"/>
  <c r="D12" i="3"/>
  <c r="F23" i="4"/>
  <c r="G23" i="4"/>
  <c r="H23" i="4"/>
  <c r="I23" i="4"/>
  <c r="J23" i="4"/>
  <c r="E23" i="4"/>
  <c r="F8" i="5"/>
  <c r="G8" i="5"/>
  <c r="H8" i="5"/>
  <c r="I8" i="5"/>
  <c r="J8" i="5"/>
  <c r="E8" i="5"/>
  <c r="J18" i="4"/>
  <c r="J19" i="4" s="1"/>
  <c r="I18" i="4"/>
  <c r="I19" i="4" s="1"/>
  <c r="H18" i="4"/>
  <c r="H19" i="4" s="1"/>
  <c r="G18" i="4"/>
  <c r="G19" i="4" s="1"/>
  <c r="F18" i="4"/>
  <c r="F19" i="4" s="1"/>
  <c r="E18" i="4"/>
  <c r="E19" i="4" s="1"/>
  <c r="J12" i="4"/>
  <c r="I12" i="4"/>
  <c r="H12" i="4"/>
  <c r="G12" i="4"/>
  <c r="F12" i="4"/>
  <c r="E12" i="4"/>
  <c r="J11" i="4"/>
  <c r="I11" i="4"/>
  <c r="H11" i="4"/>
  <c r="G11" i="4"/>
  <c r="F11" i="4"/>
  <c r="E11" i="4"/>
  <c r="E13" i="4" s="1"/>
  <c r="F9" i="4"/>
  <c r="G9" i="4"/>
  <c r="H9" i="4"/>
  <c r="I9" i="4"/>
  <c r="J9" i="4"/>
  <c r="E9" i="4"/>
  <c r="E8" i="3"/>
  <c r="E11" i="3" s="1"/>
  <c r="D9" i="6" s="1"/>
  <c r="F8" i="3"/>
  <c r="F11" i="3" s="1"/>
  <c r="E9" i="6" s="1"/>
  <c r="G8" i="3"/>
  <c r="G11" i="3" s="1"/>
  <c r="F9" i="6" s="1"/>
  <c r="H8" i="3"/>
  <c r="H11" i="3" s="1"/>
  <c r="G6" i="6" s="1"/>
  <c r="I8" i="3"/>
  <c r="I11" i="3" s="1"/>
  <c r="H6" i="6" s="1"/>
  <c r="D8" i="3"/>
  <c r="D11" i="3" s="1"/>
  <c r="G21" i="2"/>
  <c r="H21" i="2"/>
  <c r="I21" i="2"/>
  <c r="J21" i="2"/>
  <c r="K21" i="2"/>
  <c r="L21" i="2"/>
  <c r="G20" i="2"/>
  <c r="H20" i="2"/>
  <c r="I20" i="2"/>
  <c r="J20" i="2"/>
  <c r="K20" i="2"/>
  <c r="L20" i="2"/>
  <c r="G15" i="2"/>
  <c r="H15" i="2"/>
  <c r="I15" i="2"/>
  <c r="J15" i="2"/>
  <c r="K15" i="2"/>
  <c r="L15" i="2"/>
  <c r="G23" i="2"/>
  <c r="N6" i="8" l="1"/>
  <c r="P6" i="8" s="1"/>
  <c r="I7" i="8"/>
  <c r="K6" i="8"/>
  <c r="L6" i="8" s="1"/>
  <c r="M6" i="8" s="1"/>
  <c r="O6" i="8" s="1"/>
  <c r="E6" i="6"/>
  <c r="D6" i="6"/>
  <c r="F6" i="6"/>
  <c r="G13" i="4"/>
  <c r="H13" i="4"/>
  <c r="C6" i="6"/>
  <c r="H9" i="6"/>
  <c r="G9" i="6"/>
  <c r="I13" i="4"/>
  <c r="I15" i="4" s="1"/>
  <c r="J13" i="4"/>
  <c r="J15" i="4" s="1"/>
  <c r="H5" i="6" s="1"/>
  <c r="F13" i="4"/>
  <c r="F15" i="4" s="1"/>
  <c r="D5" i="6" s="1"/>
  <c r="G25" i="4"/>
  <c r="F25" i="4"/>
  <c r="H15" i="4"/>
  <c r="G15" i="4"/>
  <c r="E5" i="6" s="1"/>
  <c r="E25" i="4"/>
  <c r="J25" i="4"/>
  <c r="H10" i="6" s="1"/>
  <c r="I25" i="4"/>
  <c r="G10" i="6" s="1"/>
  <c r="H25" i="4"/>
  <c r="E15" i="4"/>
  <c r="I8" i="8" l="1"/>
  <c r="K7" i="8"/>
  <c r="L7" i="8" s="1"/>
  <c r="J7" i="8"/>
  <c r="D11" i="6"/>
  <c r="D12" i="6" s="1"/>
  <c r="D10" i="6"/>
  <c r="E11" i="6"/>
  <c r="E12" i="6" s="1"/>
  <c r="E10" i="6"/>
  <c r="G11" i="6"/>
  <c r="F11" i="6"/>
  <c r="F10" i="6"/>
  <c r="H11" i="6"/>
  <c r="H12" i="6" s="1"/>
  <c r="H17" i="6" s="1"/>
  <c r="G5" i="6"/>
  <c r="G8" i="6"/>
  <c r="G16" i="6" s="1"/>
  <c r="E8" i="6"/>
  <c r="E16" i="6" s="1"/>
  <c r="C5" i="6"/>
  <c r="C16" i="6"/>
  <c r="F8" i="6"/>
  <c r="F16" i="6" s="1"/>
  <c r="F5" i="6"/>
  <c r="H8" i="6"/>
  <c r="H16" i="6" s="1"/>
  <c r="D8" i="6"/>
  <c r="D16" i="6" s="1"/>
  <c r="C12" i="6" l="1"/>
  <c r="C13" i="6" s="1"/>
  <c r="N7" i="8"/>
  <c r="P7" i="8" s="1"/>
  <c r="M7" i="8"/>
  <c r="O7" i="8" s="1"/>
  <c r="I9" i="8"/>
  <c r="K8" i="8"/>
  <c r="L8" i="8" s="1"/>
  <c r="J8" i="8"/>
  <c r="E17" i="6"/>
  <c r="D13" i="6"/>
  <c r="E18" i="6"/>
  <c r="D18" i="6"/>
  <c r="D17" i="6"/>
  <c r="C18" i="6"/>
  <c r="C17" i="6"/>
  <c r="E13" i="6"/>
  <c r="F12" i="6"/>
  <c r="F18" i="6" s="1"/>
  <c r="G12" i="6"/>
  <c r="G18" i="6" s="1"/>
  <c r="H18" i="6"/>
  <c r="H13" i="6"/>
  <c r="N8" i="8" l="1"/>
  <c r="P8" i="8" s="1"/>
  <c r="M8" i="8"/>
  <c r="O8" i="8" s="1"/>
  <c r="K9" i="8"/>
  <c r="L9" i="8" s="1"/>
  <c r="J9" i="8"/>
  <c r="I10" i="8"/>
  <c r="G17" i="6"/>
  <c r="G13" i="6"/>
  <c r="F13" i="6"/>
  <c r="F17" i="6"/>
  <c r="K10" i="8" l="1"/>
  <c r="L10" i="8" s="1"/>
  <c r="J10" i="8"/>
  <c r="N9" i="8"/>
  <c r="P9" i="8" s="1"/>
  <c r="M9" i="8"/>
  <c r="O9" i="8" s="1"/>
  <c r="M10" i="8" l="1"/>
  <c r="N10" i="8"/>
  <c r="P13" i="8" l="1"/>
  <c r="P14" i="8" s="1"/>
  <c r="P15" i="8" s="1"/>
  <c r="P10" i="8"/>
  <c r="O10" i="8"/>
  <c r="L13" i="8"/>
  <c r="L14" i="8" s="1"/>
  <c r="L15" i="8" s="1"/>
  <c r="O18" i="8" l="1"/>
  <c r="H18" i="8" s="1"/>
  <c r="O17" i="8"/>
  <c r="H17" i="8" l="1"/>
</calcChain>
</file>

<file path=xl/sharedStrings.xml><?xml version="1.0" encoding="utf-8"?>
<sst xmlns="http://schemas.openxmlformats.org/spreadsheetml/2006/main" count="164" uniqueCount="116">
  <si>
    <t>2020</t>
  </si>
  <si>
    <t>2021</t>
  </si>
  <si>
    <t>2022</t>
  </si>
  <si>
    <t>2023</t>
  </si>
  <si>
    <t>2024</t>
  </si>
  <si>
    <t>Revenue</t>
  </si>
  <si>
    <t>Operating Profit</t>
  </si>
  <si>
    <t>Receivables</t>
  </si>
  <si>
    <t>Inventories</t>
  </si>
  <si>
    <t>PPE (Property, Plant &amp; Equipment)</t>
  </si>
  <si>
    <t>Short-Term Financial Debt</t>
  </si>
  <si>
    <t>Long-Term Financial Debt</t>
  </si>
  <si>
    <t>Cash &amp; Cash Equivalents</t>
  </si>
  <si>
    <t>Financial Investments</t>
  </si>
  <si>
    <t>Net Financial Obligations (NFO)</t>
  </si>
  <si>
    <t>Cash from Operations</t>
  </si>
  <si>
    <t>CapEx</t>
  </si>
  <si>
    <t>Depreciation &amp; Amortization</t>
  </si>
  <si>
    <t>Change in Working Capital</t>
  </si>
  <si>
    <t>Tax Paid</t>
  </si>
  <si>
    <t>Interest Received</t>
  </si>
  <si>
    <t>Interest Paid</t>
  </si>
  <si>
    <t xml:space="preserve">Lease liabilities </t>
  </si>
  <si>
    <t>Equity</t>
  </si>
  <si>
    <t>Accrued Expenses / Other Operating Liabilities</t>
  </si>
  <si>
    <t>Trade Payables</t>
  </si>
  <si>
    <t>Total Liabilities</t>
  </si>
  <si>
    <t>Total Assets</t>
  </si>
  <si>
    <t>Net Income</t>
  </si>
  <si>
    <t>Income Tax/Credit</t>
  </si>
  <si>
    <t>Profit Before Tax</t>
  </si>
  <si>
    <t>Net Interest (Income)/Expense</t>
  </si>
  <si>
    <t>Reformulated Income Statement</t>
  </si>
  <si>
    <t>Income Tax Expense</t>
  </si>
  <si>
    <t>Effective Tax Rate = (Income Tax Expense/Profit Before Tax)</t>
  </si>
  <si>
    <t>NOPAT</t>
  </si>
  <si>
    <t>Particulars (in £m)</t>
  </si>
  <si>
    <t>S</t>
  </si>
  <si>
    <t xml:space="preserve">Total Operating Assets </t>
  </si>
  <si>
    <t>Total Operating Liabilities</t>
  </si>
  <si>
    <t>Total Financial Assets</t>
  </si>
  <si>
    <t xml:space="preserve">Total Financial Liabilities </t>
  </si>
  <si>
    <t>Net Operating Assets</t>
  </si>
  <si>
    <t>(294.5)</t>
  </si>
  <si>
    <t>(328.6)</t>
  </si>
  <si>
    <t>(206.7)</t>
  </si>
  <si>
    <t>(257.4)</t>
  </si>
  <si>
    <t>(410.3)</t>
  </si>
  <si>
    <t>(429.3)</t>
  </si>
  <si>
    <t>Free Cash Flow (FCF)</t>
  </si>
  <si>
    <t>Ratio</t>
  </si>
  <si>
    <t>RNOA</t>
  </si>
  <si>
    <t>ATO</t>
  </si>
  <si>
    <t>FCF Conversion</t>
  </si>
  <si>
    <t>FLEV</t>
  </si>
  <si>
    <t>NBC (after tax)</t>
  </si>
  <si>
    <t>Spread</t>
  </si>
  <si>
    <t>ROE</t>
  </si>
  <si>
    <t>2019</t>
  </si>
  <si>
    <t>ROE = RNOA + FLEV × Spread</t>
  </si>
  <si>
    <t>ROE = NOPM × ATO + (FLEV × Spread)</t>
  </si>
  <si>
    <t>RNOA = NOPM × ATO</t>
  </si>
  <si>
    <t>Reformulated Balance Sheet</t>
  </si>
  <si>
    <t>Adjusted Operating Profit</t>
  </si>
  <si>
    <t>Recurring NOPAT Margin</t>
  </si>
  <si>
    <t>NOPM</t>
  </si>
  <si>
    <t>WACC (r)</t>
  </si>
  <si>
    <t>FY 25</t>
  </si>
  <si>
    <t>5.0 %</t>
  </si>
  <si>
    <t>3.30×</t>
  </si>
  <si>
    <t>8.0 %</t>
  </si>
  <si>
    <t>FY 26</t>
  </si>
  <si>
    <t>4.5 %</t>
  </si>
  <si>
    <t>FY 27</t>
  </si>
  <si>
    <t>4.0 %</t>
  </si>
  <si>
    <t>3.32×</t>
  </si>
  <si>
    <t>FY 28</t>
  </si>
  <si>
    <t>3.5 %</t>
  </si>
  <si>
    <t>FY 29</t>
  </si>
  <si>
    <t>3.0 %</t>
  </si>
  <si>
    <t>Terminal</t>
  </si>
  <si>
    <t>2.0 %</t>
  </si>
  <si>
    <t>4.00 %</t>
  </si>
  <si>
    <t>Sales Growth</t>
  </si>
  <si>
    <t>Asset Turnover (ATO)</t>
  </si>
  <si>
    <t>Year</t>
  </si>
  <si>
    <t>Sales</t>
  </si>
  <si>
    <t>N/A</t>
  </si>
  <si>
    <t>NOA</t>
  </si>
  <si>
    <t>Recurring NOPAT</t>
  </si>
  <si>
    <t>Projected Sales</t>
  </si>
  <si>
    <t>Projected NOA</t>
  </si>
  <si>
    <t>Change in NOA</t>
  </si>
  <si>
    <t>FCF</t>
  </si>
  <si>
    <t>AOP</t>
  </si>
  <si>
    <t>Projected NOPAT</t>
  </si>
  <si>
    <t>PV(AOP)</t>
  </si>
  <si>
    <t>PV(FCF)</t>
  </si>
  <si>
    <t>Total Value of Operations (AOP Model)</t>
  </si>
  <si>
    <r>
      <t>FCF</t>
    </r>
    <r>
      <rPr>
        <b/>
        <vertAlign val="subscript"/>
        <sz val="11"/>
        <color theme="1"/>
        <rFont val="Calibri"/>
        <family val="2"/>
        <scheme val="minor"/>
      </rPr>
      <t>2030</t>
    </r>
  </si>
  <si>
    <r>
      <t>TV</t>
    </r>
    <r>
      <rPr>
        <b/>
        <vertAlign val="subscript"/>
        <sz val="11"/>
        <color theme="1"/>
        <rFont val="Calibri"/>
        <family val="2"/>
        <scheme val="minor"/>
      </rPr>
      <t>FCF</t>
    </r>
  </si>
  <si>
    <r>
      <t>AOP</t>
    </r>
    <r>
      <rPr>
        <b/>
        <vertAlign val="subscript"/>
        <sz val="11"/>
        <color theme="1"/>
        <rFont val="Calibri"/>
        <family val="2"/>
        <scheme val="minor"/>
      </rPr>
      <t>2030</t>
    </r>
  </si>
  <si>
    <r>
      <t>TV</t>
    </r>
    <r>
      <rPr>
        <b/>
        <vertAlign val="subscript"/>
        <sz val="11"/>
        <color theme="1"/>
        <rFont val="Calibri"/>
        <family val="2"/>
        <scheme val="minor"/>
      </rPr>
      <t>AOP</t>
    </r>
  </si>
  <si>
    <t>Total Value of Operations (FCF Model)</t>
  </si>
  <si>
    <t>Equity Value (AOP Model)</t>
  </si>
  <si>
    <t>Equity Value (FCF Model)</t>
  </si>
  <si>
    <t>Free Cash Flow (FCF) Over the Years</t>
  </si>
  <si>
    <t>Advanced DuPont Analysis</t>
  </si>
  <si>
    <t>Fiscal year</t>
  </si>
  <si>
    <t>Growth Assumptions</t>
  </si>
  <si>
    <t>Forecasting Key Financial Metrics</t>
  </si>
  <si>
    <t>Baseline Year Metrics</t>
  </si>
  <si>
    <t>Value Relevant Ratio Analysis</t>
  </si>
  <si>
    <t>Average Intrinsic Value</t>
  </si>
  <si>
    <r>
      <t>PV(TV</t>
    </r>
    <r>
      <rPr>
        <b/>
        <vertAlign val="subscript"/>
        <sz val="11"/>
        <color theme="1"/>
        <rFont val="Calibri"/>
        <family val="2"/>
        <scheme val="minor"/>
      </rPr>
      <t>FCF</t>
    </r>
    <r>
      <rPr>
        <b/>
        <sz val="11"/>
        <color theme="1"/>
        <rFont val="Calibri"/>
        <family val="2"/>
        <scheme val="minor"/>
      </rPr>
      <t>)</t>
    </r>
  </si>
  <si>
    <r>
      <t>PV(TV</t>
    </r>
    <r>
      <rPr>
        <b/>
        <vertAlign val="subscript"/>
        <sz val="11"/>
        <color theme="1"/>
        <rFont val="Calibri"/>
        <family val="2"/>
        <scheme val="minor"/>
      </rPr>
      <t>AOP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</si>
</sst>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AE8F6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1" fillId="0" borderId="0" xfId="0" applyFont="1"/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/>
    <xf numFmtId="0" fontId="0" fillId="2" borderId="0" xfId="0" quotePrefix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0" fontId="0" fillId="2" borderId="0" xfId="0" applyFill="1"/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 wrapText="1"/>
    </xf>
    <xf numFmtId="10" fontId="2" fillId="2" borderId="0" xfId="1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1" fillId="9" borderId="0" xfId="0" applyFont="1" applyFill="1" applyAlignment="1">
      <alignment vertical="center"/>
    </xf>
    <xf numFmtId="0" fontId="1" fillId="9" borderId="0" xfId="0" applyFont="1" applyFill="1"/>
    <xf numFmtId="0" fontId="1" fillId="9" borderId="0" xfId="0" applyFont="1" applyFill="1" applyAlignment="1">
      <alignment horizontal="center" vertical="top"/>
    </xf>
    <xf numFmtId="0" fontId="5" fillId="6" borderId="0" xfId="0" applyFont="1" applyFill="1" applyAlignment="1">
      <alignment horizontal="center" vertical="top"/>
    </xf>
    <xf numFmtId="0" fontId="5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vertical="top"/>
    </xf>
    <xf numFmtId="2" fontId="1" fillId="6" borderId="0" xfId="0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/>
    <xf numFmtId="10" fontId="0" fillId="0" borderId="0" xfId="0" applyNumberFormat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vertical="center"/>
    </xf>
    <xf numFmtId="4" fontId="1" fillId="6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/>
    <xf numFmtId="4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top"/>
    </xf>
    <xf numFmtId="0" fontId="3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AE8F6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BAE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5AB84A-71CA-4E9B-ABDE-344417715CD3}" name="Table2" displayName="Table2" ref="B4:H13" totalsRowShown="0" headerRowDxfId="8" dataDxfId="7">
  <autoFilter ref="B4:H13" xr:uid="{CB5AB84A-71CA-4E9B-ABDE-344417715C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C044CC3-BA6A-4BA4-AEE8-A912E35868EF}" name="Ratio" dataDxfId="6"/>
    <tableColumn id="2" xr3:uid="{43E79FDD-6E18-432B-ADE9-80197B913FF3}" name="2019" dataDxfId="5"/>
    <tableColumn id="3" xr3:uid="{140872FE-A5A3-44C4-A79B-4FAD721382E1}" name="2020" dataDxfId="4"/>
    <tableColumn id="4" xr3:uid="{28CEB7BA-1B12-4EEA-A2C1-8ECBDBA0EFD9}" name="2021" dataDxfId="3"/>
    <tableColumn id="5" xr3:uid="{B16A398F-76D3-4070-ACC1-D2AA0C3D9800}" name="2022" dataDxfId="2"/>
    <tableColumn id="6" xr3:uid="{F14B8B80-F623-4A7F-89DE-836A5F630D62}" name="2023" dataDxfId="1"/>
    <tableColumn id="7" xr3:uid="{66141017-5E27-4FB1-B8C5-A94008E003E0}" name="2024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5955-2FFF-48ED-A650-B53E65D4FE8F}">
  <dimension ref="F1:L32"/>
  <sheetViews>
    <sheetView tabSelected="1" zoomScale="65" zoomScaleNormal="65" workbookViewId="0">
      <selection activeCell="Q16" sqref="Q16"/>
    </sheetView>
  </sheetViews>
  <sheetFormatPr defaultRowHeight="14.5" x14ac:dyDescent="0.35"/>
  <cols>
    <col min="1" max="5" width="8.7265625" style="2"/>
    <col min="6" max="6" width="41" style="11" bestFit="1" customWidth="1"/>
    <col min="7" max="7" width="11.453125" style="11" bestFit="1" customWidth="1"/>
    <col min="8" max="8" width="12.453125" style="2" customWidth="1"/>
    <col min="9" max="12" width="11.1796875" style="2" bestFit="1" customWidth="1"/>
    <col min="13" max="14" width="8.7265625" style="2"/>
    <col min="15" max="15" width="27.1796875" style="2" customWidth="1"/>
    <col min="16" max="16384" width="8.7265625" style="2"/>
  </cols>
  <sheetData>
    <row r="1" spans="6:12" s="11" customFormat="1" x14ac:dyDescent="0.35">
      <c r="F1" s="10" t="s">
        <v>36</v>
      </c>
      <c r="G1" s="9">
        <v>2019</v>
      </c>
      <c r="H1" s="9">
        <v>2020</v>
      </c>
      <c r="I1" s="9">
        <v>2021</v>
      </c>
      <c r="J1" s="9">
        <v>2022</v>
      </c>
      <c r="K1" s="9">
        <v>2023</v>
      </c>
      <c r="L1" s="9">
        <v>2024</v>
      </c>
    </row>
    <row r="2" spans="6:12" x14ac:dyDescent="0.35">
      <c r="F2" s="12" t="s">
        <v>5</v>
      </c>
      <c r="G2" s="14">
        <v>10377.299999999999</v>
      </c>
      <c r="H2" s="14">
        <v>10181.9</v>
      </c>
      <c r="I2" s="15">
        <v>9155.7000000000007</v>
      </c>
      <c r="J2" s="15">
        <v>10885.1</v>
      </c>
      <c r="K2" s="15">
        <v>11931.3</v>
      </c>
      <c r="L2" s="16">
        <v>13040.1</v>
      </c>
    </row>
    <row r="3" spans="6:12" x14ac:dyDescent="0.35">
      <c r="F3" s="12" t="s">
        <v>6</v>
      </c>
      <c r="G3" s="15">
        <v>298.10000000000002</v>
      </c>
      <c r="H3" s="15">
        <v>254.8</v>
      </c>
      <c r="I3" s="15">
        <v>-30.7</v>
      </c>
      <c r="J3" s="15">
        <v>572.20000000000005</v>
      </c>
      <c r="K3" s="15">
        <v>515.1</v>
      </c>
      <c r="L3" s="15">
        <v>714.2</v>
      </c>
    </row>
    <row r="4" spans="6:12" x14ac:dyDescent="0.35">
      <c r="F4" s="12" t="s">
        <v>63</v>
      </c>
      <c r="G4" s="15">
        <v>725.6</v>
      </c>
      <c r="H4" s="15">
        <v>590.70000000000005</v>
      </c>
      <c r="I4" s="15">
        <v>222.2</v>
      </c>
      <c r="J4" s="15">
        <v>709</v>
      </c>
      <c r="K4" s="15">
        <v>626.6</v>
      </c>
      <c r="L4" s="15">
        <v>838.6</v>
      </c>
    </row>
    <row r="5" spans="6:12" x14ac:dyDescent="0.35">
      <c r="F5" s="12" t="s">
        <v>31</v>
      </c>
      <c r="G5" s="15">
        <v>248.7</v>
      </c>
      <c r="H5" s="15">
        <v>234.5</v>
      </c>
      <c r="I5" s="15">
        <v>236.1</v>
      </c>
      <c r="J5" s="15">
        <v>214.4</v>
      </c>
      <c r="K5" s="15">
        <v>205.5</v>
      </c>
      <c r="L5" s="15">
        <v>188.4</v>
      </c>
    </row>
    <row r="6" spans="6:12" x14ac:dyDescent="0.35">
      <c r="F6" s="12" t="s">
        <v>30</v>
      </c>
      <c r="G6" s="15">
        <v>84.2</v>
      </c>
      <c r="H6" s="15">
        <v>67.2</v>
      </c>
      <c r="I6" s="15">
        <v>-209.4</v>
      </c>
      <c r="J6" s="15">
        <v>391.7</v>
      </c>
      <c r="K6" s="15">
        <v>475.7</v>
      </c>
      <c r="L6" s="15">
        <v>672.5</v>
      </c>
    </row>
    <row r="7" spans="6:12" x14ac:dyDescent="0.35">
      <c r="F7" s="12" t="s">
        <v>29</v>
      </c>
      <c r="G7" s="15">
        <v>-38.9</v>
      </c>
      <c r="H7" s="15">
        <v>-39.799999999999997</v>
      </c>
      <c r="I7" s="15">
        <v>8.1999999999999993</v>
      </c>
      <c r="J7" s="15">
        <v>-82.7</v>
      </c>
      <c r="K7" s="15">
        <v>-111.2</v>
      </c>
      <c r="L7" s="15">
        <v>-247.3</v>
      </c>
    </row>
    <row r="8" spans="6:12" x14ac:dyDescent="0.35">
      <c r="F8" s="12" t="s">
        <v>28</v>
      </c>
      <c r="G8" s="15">
        <v>45.3</v>
      </c>
      <c r="H8" s="15">
        <v>27.4</v>
      </c>
      <c r="I8" s="15">
        <v>-201.2</v>
      </c>
      <c r="J8" s="15">
        <v>309</v>
      </c>
      <c r="K8" s="15">
        <v>364.5</v>
      </c>
      <c r="L8" s="15">
        <v>425.2</v>
      </c>
    </row>
    <row r="9" spans="6:12" x14ac:dyDescent="0.35">
      <c r="G9" s="4"/>
      <c r="H9" s="4"/>
      <c r="I9" s="4"/>
      <c r="J9" s="4"/>
      <c r="K9" s="4"/>
      <c r="L9" s="4"/>
    </row>
    <row r="10" spans="6:12" x14ac:dyDescent="0.35">
      <c r="F10" s="27" t="s">
        <v>27</v>
      </c>
      <c r="G10" s="28">
        <v>8876</v>
      </c>
      <c r="H10" s="28">
        <v>10189.700000000001</v>
      </c>
      <c r="I10" s="28">
        <v>8637.4</v>
      </c>
      <c r="J10" s="29">
        <v>9443.4</v>
      </c>
      <c r="K10" s="29">
        <v>9097.7999999999993</v>
      </c>
      <c r="L10" s="29">
        <v>8682.2000000000007</v>
      </c>
    </row>
    <row r="11" spans="6:12" x14ac:dyDescent="0.35">
      <c r="F11" s="27" t="s">
        <v>8</v>
      </c>
      <c r="G11" s="29">
        <v>700.4</v>
      </c>
      <c r="H11" s="28">
        <v>564.1</v>
      </c>
      <c r="I11" s="28">
        <v>624.6</v>
      </c>
      <c r="J11" s="29">
        <v>706.1</v>
      </c>
      <c r="K11" s="29">
        <v>764.4</v>
      </c>
      <c r="L11" s="29">
        <v>776.9</v>
      </c>
    </row>
    <row r="12" spans="6:12" ht="17" customHeight="1" x14ac:dyDescent="0.35">
      <c r="F12" s="27" t="s">
        <v>7</v>
      </c>
      <c r="G12" s="29">
        <v>267.2</v>
      </c>
      <c r="H12" s="28">
        <v>298</v>
      </c>
      <c r="I12" s="28">
        <v>209.6</v>
      </c>
      <c r="J12" s="29">
        <v>217.1</v>
      </c>
      <c r="K12" s="29">
        <v>280.60000000000002</v>
      </c>
      <c r="L12" s="29">
        <v>302</v>
      </c>
    </row>
    <row r="13" spans="6:12" x14ac:dyDescent="0.35">
      <c r="F13" s="27" t="s">
        <v>9</v>
      </c>
      <c r="G13" s="28">
        <v>5662.3</v>
      </c>
      <c r="H13" s="28">
        <v>5494.2</v>
      </c>
      <c r="I13" s="28">
        <v>5058.6000000000004</v>
      </c>
      <c r="J13" s="28">
        <v>4902.3</v>
      </c>
      <c r="K13" s="28">
        <v>5203.7</v>
      </c>
      <c r="L13" s="28">
        <v>5190.1000000000004</v>
      </c>
    </row>
    <row r="14" spans="6:12" x14ac:dyDescent="0.35">
      <c r="F14" s="27" t="s">
        <v>12</v>
      </c>
      <c r="G14" s="29">
        <v>310.39999999999998</v>
      </c>
      <c r="H14" s="28">
        <v>254.2</v>
      </c>
      <c r="I14" s="28">
        <v>674.4</v>
      </c>
      <c r="J14" s="28">
        <v>1197.9000000000001</v>
      </c>
      <c r="K14" s="28">
        <v>1067.9000000000001</v>
      </c>
      <c r="L14" s="28">
        <v>1022.4</v>
      </c>
    </row>
    <row r="15" spans="6:12" x14ac:dyDescent="0.35">
      <c r="F15" s="27" t="s">
        <v>13</v>
      </c>
      <c r="G15" s="29">
        <f>9.9+141.8</f>
        <v>151.70000000000002</v>
      </c>
      <c r="H15" s="28">
        <f>9.7+11.7</f>
        <v>21.4</v>
      </c>
      <c r="I15" s="28">
        <f>9.7+18.4</f>
        <v>28.099999999999998</v>
      </c>
      <c r="J15" s="29">
        <f>4.5+17.6</f>
        <v>22.1</v>
      </c>
      <c r="K15" s="29">
        <f>7.9+13</f>
        <v>20.9</v>
      </c>
      <c r="L15" s="29">
        <f>12.6+12.3</f>
        <v>24.9</v>
      </c>
    </row>
    <row r="16" spans="6:12" x14ac:dyDescent="0.35">
      <c r="G16" s="8"/>
      <c r="H16" s="3"/>
      <c r="I16" s="3"/>
      <c r="J16" s="4"/>
      <c r="K16" s="4"/>
      <c r="L16" s="4"/>
    </row>
    <row r="17" spans="6:12" x14ac:dyDescent="0.35">
      <c r="F17" s="13" t="s">
        <v>26</v>
      </c>
      <c r="G17" s="17">
        <v>6406.8</v>
      </c>
      <c r="H17" s="17">
        <v>6481.2</v>
      </c>
      <c r="I17" s="17">
        <v>6351.6</v>
      </c>
      <c r="J17" s="17">
        <v>6525.5</v>
      </c>
      <c r="K17" s="18">
        <v>6282.9</v>
      </c>
      <c r="L17" s="18">
        <v>5852.1</v>
      </c>
    </row>
    <row r="18" spans="6:12" x14ac:dyDescent="0.35">
      <c r="F18" s="13" t="s">
        <v>10</v>
      </c>
      <c r="G18" s="19">
        <v>625.6</v>
      </c>
      <c r="H18" s="17">
        <v>247.8</v>
      </c>
      <c r="I18" s="17">
        <v>432.8</v>
      </c>
      <c r="J18" s="17">
        <v>247.2</v>
      </c>
      <c r="K18" s="18">
        <v>444</v>
      </c>
      <c r="L18" s="18">
        <v>250.4</v>
      </c>
    </row>
    <row r="19" spans="6:12" x14ac:dyDescent="0.35">
      <c r="F19" s="13" t="s">
        <v>11</v>
      </c>
      <c r="G19" s="17">
        <v>3628.5</v>
      </c>
      <c r="H19" s="17">
        <v>3865.9</v>
      </c>
      <c r="I19" s="17">
        <v>3659.9</v>
      </c>
      <c r="J19" s="17">
        <v>3561</v>
      </c>
      <c r="K19" s="18">
        <v>3184</v>
      </c>
      <c r="L19" s="18">
        <v>2882.8</v>
      </c>
    </row>
    <row r="20" spans="6:12" x14ac:dyDescent="0.35">
      <c r="F20" s="13" t="s">
        <v>25</v>
      </c>
      <c r="G20" s="19">
        <f>1518.2 + 15.6</f>
        <v>1533.8</v>
      </c>
      <c r="H20" s="17">
        <f>1501+222.6</f>
        <v>1723.6</v>
      </c>
      <c r="I20" s="17">
        <f>1599+192.3</f>
        <v>1791.3</v>
      </c>
      <c r="J20" s="17">
        <f>1960.9+188.2</f>
        <v>2149.1</v>
      </c>
      <c r="K20" s="18">
        <f>2048.8+181.3</f>
        <v>2230.1000000000004</v>
      </c>
      <c r="L20" s="18">
        <f>2107.9+116.7</f>
        <v>2224.6</v>
      </c>
    </row>
    <row r="21" spans="6:12" x14ac:dyDescent="0.35">
      <c r="F21" s="13" t="s">
        <v>24</v>
      </c>
      <c r="G21" s="19">
        <f>100.7+72.7</f>
        <v>173.4</v>
      </c>
      <c r="H21" s="17">
        <f>21.5+56.5</f>
        <v>78</v>
      </c>
      <c r="I21" s="17">
        <f xml:space="preserve"> 43.1+74.2</f>
        <v>117.30000000000001</v>
      </c>
      <c r="J21" s="17">
        <f>53.6 + 91.8</f>
        <v>145.4</v>
      </c>
      <c r="K21" s="18">
        <f>44 + 75.4</f>
        <v>119.4</v>
      </c>
      <c r="L21" s="18">
        <f>47.6 +  104.1</f>
        <v>151.69999999999999</v>
      </c>
    </row>
    <row r="22" spans="6:12" x14ac:dyDescent="0.35">
      <c r="F22" s="13" t="s">
        <v>22</v>
      </c>
      <c r="G22" s="19">
        <v>46.5</v>
      </c>
      <c r="H22" s="19">
        <v>2562</v>
      </c>
      <c r="I22" s="19">
        <v>2405.9</v>
      </c>
      <c r="J22" s="19">
        <v>2278.6999999999998</v>
      </c>
      <c r="K22" s="19">
        <v>2281.6</v>
      </c>
      <c r="L22" s="18">
        <v>2211.5</v>
      </c>
    </row>
    <row r="23" spans="6:12" x14ac:dyDescent="0.35">
      <c r="F23" s="13" t="s">
        <v>23</v>
      </c>
      <c r="G23" s="17">
        <f>G10-G17</f>
        <v>2469.1999999999998</v>
      </c>
      <c r="H23" s="17">
        <v>3708.5</v>
      </c>
      <c r="I23" s="17">
        <v>2285.8000000000002</v>
      </c>
      <c r="J23" s="19">
        <v>5715.2</v>
      </c>
      <c r="K23" s="18">
        <v>2814.9</v>
      </c>
      <c r="L23" s="17">
        <v>2830.1</v>
      </c>
    </row>
    <row r="25" spans="6:12" x14ac:dyDescent="0.35">
      <c r="G25" s="4"/>
      <c r="H25" s="4"/>
      <c r="I25" s="4"/>
      <c r="J25" s="4"/>
      <c r="K25" s="4"/>
      <c r="L25" s="5"/>
    </row>
    <row r="26" spans="6:12" x14ac:dyDescent="0.35">
      <c r="F26" s="27" t="s">
        <v>15</v>
      </c>
      <c r="G26" s="28">
        <v>1350.4</v>
      </c>
      <c r="H26" s="28">
        <v>1045.4000000000001</v>
      </c>
      <c r="I26" s="29">
        <v>876.7</v>
      </c>
      <c r="J26" s="29">
        <v>1385.7</v>
      </c>
      <c r="K26" s="29">
        <v>1100.5</v>
      </c>
      <c r="L26" s="29">
        <v>1492.9</v>
      </c>
    </row>
    <row r="27" spans="6:12" x14ac:dyDescent="0.35">
      <c r="F27" s="27" t="s">
        <v>16</v>
      </c>
      <c r="G27" s="30" t="s">
        <v>43</v>
      </c>
      <c r="H27" s="30" t="s">
        <v>44</v>
      </c>
      <c r="I27" s="30" t="s">
        <v>45</v>
      </c>
      <c r="J27" s="30" t="s">
        <v>46</v>
      </c>
      <c r="K27" s="30" t="s">
        <v>47</v>
      </c>
      <c r="L27" s="30" t="s">
        <v>48</v>
      </c>
    </row>
    <row r="28" spans="6:12" x14ac:dyDescent="0.35">
      <c r="F28" s="27" t="s">
        <v>17</v>
      </c>
      <c r="G28" s="29">
        <v>702.6</v>
      </c>
      <c r="H28" s="29">
        <v>632.5</v>
      </c>
      <c r="I28" s="29">
        <v>603.1</v>
      </c>
      <c r="J28" s="29">
        <v>510.7</v>
      </c>
      <c r="K28" s="29">
        <v>523.20000000000005</v>
      </c>
      <c r="L28" s="29">
        <v>526.29999999999995</v>
      </c>
    </row>
    <row r="29" spans="6:12" x14ac:dyDescent="0.35">
      <c r="F29" s="27" t="s">
        <v>18</v>
      </c>
      <c r="G29" s="29">
        <v>59.1</v>
      </c>
      <c r="H29" s="29">
        <v>324.10000000000002</v>
      </c>
      <c r="I29" s="28">
        <v>-80.3</v>
      </c>
      <c r="J29" s="29">
        <v>239.7</v>
      </c>
      <c r="K29" s="29">
        <v>-10.1</v>
      </c>
      <c r="L29" s="29">
        <v>77.2</v>
      </c>
    </row>
    <row r="30" spans="6:12" x14ac:dyDescent="0.35">
      <c r="F30" s="27" t="s">
        <v>21</v>
      </c>
      <c r="G30" s="29">
        <v>-229</v>
      </c>
      <c r="H30" s="29">
        <v>-224.2</v>
      </c>
      <c r="I30" s="29">
        <v>-219.3</v>
      </c>
      <c r="J30" s="29">
        <v>-216.6</v>
      </c>
      <c r="K30" s="29">
        <v>-212.5</v>
      </c>
      <c r="L30" s="29">
        <v>-185</v>
      </c>
    </row>
    <row r="31" spans="6:12" x14ac:dyDescent="0.35">
      <c r="F31" s="27" t="s">
        <v>20</v>
      </c>
      <c r="G31" s="29">
        <v>7.4</v>
      </c>
      <c r="H31" s="29">
        <v>10.4</v>
      </c>
      <c r="I31" s="29">
        <v>9.1999999999999993</v>
      </c>
      <c r="J31" s="29">
        <v>8.4</v>
      </c>
      <c r="K31" s="29">
        <v>24.1</v>
      </c>
      <c r="L31" s="29">
        <v>51.8</v>
      </c>
    </row>
    <row r="32" spans="6:12" x14ac:dyDescent="0.35">
      <c r="F32" s="27" t="s">
        <v>19</v>
      </c>
      <c r="G32" s="29">
        <v>-105.7</v>
      </c>
      <c r="H32" s="29">
        <v>-91.6</v>
      </c>
      <c r="I32" s="29">
        <v>-5.8</v>
      </c>
      <c r="J32" s="29">
        <v>-7.7</v>
      </c>
      <c r="K32" s="29">
        <v>-70.599999999999994</v>
      </c>
      <c r="L32" s="29">
        <v>-191.2</v>
      </c>
    </row>
  </sheetData>
  <pageMargins left="0.75" right="0.75" top="1" bottom="1" header="0.5" footer="0.5"/>
  <ignoredErrors>
    <ignoredError sqref="G27:L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1E4D-4E37-48F9-A55B-4C819DC232EE}">
  <dimension ref="A3:I12"/>
  <sheetViews>
    <sheetView zoomScale="108" zoomScaleNormal="108" workbookViewId="0">
      <selection activeCell="K10" sqref="K10"/>
    </sheetView>
  </sheetViews>
  <sheetFormatPr defaultRowHeight="14.5" x14ac:dyDescent="0.35"/>
  <cols>
    <col min="3" max="3" width="25.26953125" customWidth="1"/>
    <col min="9" max="9" width="9" bestFit="1" customWidth="1"/>
  </cols>
  <sheetData>
    <row r="3" spans="1:9" x14ac:dyDescent="0.35">
      <c r="C3" s="32"/>
      <c r="D3" s="34" t="s">
        <v>32</v>
      </c>
      <c r="E3" s="33"/>
      <c r="F3" s="33"/>
      <c r="G3" s="33"/>
      <c r="H3" s="33"/>
      <c r="I3" s="33"/>
    </row>
    <row r="4" spans="1:9" x14ac:dyDescent="0.35">
      <c r="C4" s="54" t="s">
        <v>36</v>
      </c>
      <c r="D4" s="23">
        <v>2019</v>
      </c>
      <c r="E4" s="23">
        <v>2020</v>
      </c>
      <c r="F4" s="23">
        <v>2021</v>
      </c>
      <c r="G4" s="23">
        <v>2022</v>
      </c>
      <c r="H4" s="23">
        <v>2023</v>
      </c>
      <c r="I4" s="23">
        <v>2024</v>
      </c>
    </row>
    <row r="5" spans="1:9" x14ac:dyDescent="0.35">
      <c r="C5" s="35" t="s">
        <v>5</v>
      </c>
      <c r="D5" s="21">
        <v>10377.299999999999</v>
      </c>
      <c r="E5" s="21">
        <v>10181.9</v>
      </c>
      <c r="F5" s="7">
        <v>9155.7000000000007</v>
      </c>
      <c r="G5" s="7">
        <v>10885.1</v>
      </c>
      <c r="H5" s="7">
        <v>11931.3</v>
      </c>
      <c r="I5" s="6">
        <v>13040.1</v>
      </c>
    </row>
    <row r="6" spans="1:9" x14ac:dyDescent="0.35">
      <c r="C6" s="35" t="s">
        <v>33</v>
      </c>
      <c r="D6" s="7">
        <v>-38.9</v>
      </c>
      <c r="E6" s="7">
        <v>-39.799999999999997</v>
      </c>
      <c r="F6" s="7">
        <v>8.1999999999999993</v>
      </c>
      <c r="G6" s="7">
        <v>-82.7</v>
      </c>
      <c r="H6" s="7">
        <v>-111.2</v>
      </c>
      <c r="I6" s="7">
        <v>-247.3</v>
      </c>
    </row>
    <row r="7" spans="1:9" x14ac:dyDescent="0.35">
      <c r="C7" s="35" t="s">
        <v>30</v>
      </c>
      <c r="D7" s="7">
        <v>84.2</v>
      </c>
      <c r="E7" s="7">
        <v>67.2</v>
      </c>
      <c r="F7" s="7">
        <v>-209.4</v>
      </c>
      <c r="G7" s="7">
        <v>391.7</v>
      </c>
      <c r="H7" s="7">
        <v>475.7</v>
      </c>
      <c r="I7" s="7">
        <v>672.5</v>
      </c>
    </row>
    <row r="8" spans="1:9" ht="69" customHeight="1" x14ac:dyDescent="0.35">
      <c r="C8" s="36" t="s">
        <v>34</v>
      </c>
      <c r="D8" s="20">
        <f>(-D6)/D7</f>
        <v>0.46199524940617576</v>
      </c>
      <c r="E8" s="20">
        <f t="shared" ref="E8:I8" si="0">(-E6)/E7</f>
        <v>0.59226190476190466</v>
      </c>
      <c r="F8" s="20">
        <f t="shared" si="0"/>
        <v>3.9159503342884427E-2</v>
      </c>
      <c r="G8" s="20">
        <f t="shared" si="0"/>
        <v>0.21113096757722749</v>
      </c>
      <c r="H8" s="20">
        <f t="shared" si="0"/>
        <v>0.23376077359680472</v>
      </c>
      <c r="I8" s="20">
        <f t="shared" si="0"/>
        <v>0.36773234200743499</v>
      </c>
    </row>
    <row r="9" spans="1:9" x14ac:dyDescent="0.35">
      <c r="C9" s="36" t="s">
        <v>6</v>
      </c>
      <c r="D9" s="7">
        <v>298.10000000000002</v>
      </c>
      <c r="E9" s="7">
        <v>254.8</v>
      </c>
      <c r="F9" s="7">
        <v>-30.7</v>
      </c>
      <c r="G9" s="7">
        <v>572.20000000000005</v>
      </c>
      <c r="H9" s="7">
        <v>515.1</v>
      </c>
      <c r="I9" s="7">
        <v>714.2</v>
      </c>
    </row>
    <row r="10" spans="1:9" x14ac:dyDescent="0.35">
      <c r="A10" t="s">
        <v>37</v>
      </c>
      <c r="C10" s="41" t="s">
        <v>63</v>
      </c>
      <c r="D10" s="7">
        <v>725.6</v>
      </c>
      <c r="E10" s="7">
        <v>590.70000000000005</v>
      </c>
      <c r="F10" s="7">
        <v>222.2</v>
      </c>
      <c r="G10" s="7">
        <v>709</v>
      </c>
      <c r="H10" s="7">
        <v>626.6</v>
      </c>
      <c r="I10" s="7">
        <v>838.6</v>
      </c>
    </row>
    <row r="11" spans="1:9" x14ac:dyDescent="0.35">
      <c r="C11" s="35" t="s">
        <v>35</v>
      </c>
      <c r="D11" s="47">
        <f t="shared" ref="D11:I11" si="1">D9*(1-D8)</f>
        <v>160.37921615201901</v>
      </c>
      <c r="E11" s="47">
        <f t="shared" si="1"/>
        <v>103.89166666666669</v>
      </c>
      <c r="F11" s="47">
        <f t="shared" si="1"/>
        <v>-29.497803247373447</v>
      </c>
      <c r="G11" s="47">
        <f t="shared" si="1"/>
        <v>451.39086035231048</v>
      </c>
      <c r="H11" s="47">
        <f t="shared" si="1"/>
        <v>394.68982552028592</v>
      </c>
      <c r="I11" s="47">
        <f t="shared" si="1"/>
        <v>451.56556133828997</v>
      </c>
    </row>
    <row r="12" spans="1:9" x14ac:dyDescent="0.35">
      <c r="C12" s="36" t="s">
        <v>89</v>
      </c>
      <c r="D12" s="47">
        <f>D10*(1-D8)</f>
        <v>390.37624703087886</v>
      </c>
      <c r="E12" s="47">
        <f t="shared" ref="E12:I12" si="2">E10*(1-E8)</f>
        <v>240.85089285714295</v>
      </c>
      <c r="F12" s="47">
        <f t="shared" si="2"/>
        <v>213.49875835721107</v>
      </c>
      <c r="G12" s="47">
        <f t="shared" si="2"/>
        <v>559.30814398774567</v>
      </c>
      <c r="H12" s="47">
        <f t="shared" si="2"/>
        <v>480.12549926424219</v>
      </c>
      <c r="I12" s="47">
        <f t="shared" si="2"/>
        <v>530.21965799256509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ADB0-BD1E-4FBB-A9E1-91717176602E}">
  <dimension ref="D3:J25"/>
  <sheetViews>
    <sheetView topLeftCell="A4" zoomScale="90" zoomScaleNormal="90" workbookViewId="0">
      <selection activeCell="N26" sqref="N26"/>
    </sheetView>
  </sheetViews>
  <sheetFormatPr defaultRowHeight="14.5" x14ac:dyDescent="0.35"/>
  <cols>
    <col min="4" max="4" width="41" bestFit="1" customWidth="1"/>
    <col min="6" max="6" width="15.453125" customWidth="1"/>
  </cols>
  <sheetData>
    <row r="3" spans="4:10" x14ac:dyDescent="0.35">
      <c r="F3" s="22"/>
    </row>
    <row r="4" spans="4:10" x14ac:dyDescent="0.35">
      <c r="D4" s="69" t="s">
        <v>62</v>
      </c>
      <c r="E4" s="69"/>
      <c r="F4" s="69"/>
      <c r="G4" s="69"/>
      <c r="H4" s="69"/>
      <c r="I4" s="69"/>
      <c r="J4" s="69"/>
    </row>
    <row r="5" spans="4:10" x14ac:dyDescent="0.35">
      <c r="D5" s="25" t="s">
        <v>36</v>
      </c>
      <c r="E5" s="23">
        <v>2019</v>
      </c>
      <c r="F5" s="23">
        <v>2020</v>
      </c>
      <c r="G5" s="23">
        <v>2021</v>
      </c>
      <c r="H5" s="23">
        <v>2022</v>
      </c>
      <c r="I5" s="23">
        <v>2023</v>
      </c>
      <c r="J5" s="23">
        <v>2024</v>
      </c>
    </row>
    <row r="6" spans="4:10" x14ac:dyDescent="0.35">
      <c r="D6" s="35" t="s">
        <v>8</v>
      </c>
      <c r="E6" s="7">
        <v>700.4</v>
      </c>
      <c r="F6" s="21">
        <v>564.1</v>
      </c>
      <c r="G6" s="21">
        <v>624.6</v>
      </c>
      <c r="H6" s="7">
        <v>706.1</v>
      </c>
      <c r="I6" s="7">
        <v>764.4</v>
      </c>
      <c r="J6" s="7">
        <v>776.9</v>
      </c>
    </row>
    <row r="7" spans="4:10" x14ac:dyDescent="0.35">
      <c r="D7" s="35" t="s">
        <v>7</v>
      </c>
      <c r="E7" s="7">
        <v>267.2</v>
      </c>
      <c r="F7" s="21">
        <v>298</v>
      </c>
      <c r="G7" s="21">
        <v>209.6</v>
      </c>
      <c r="H7" s="7">
        <v>217.1</v>
      </c>
      <c r="I7" s="7">
        <v>280.60000000000002</v>
      </c>
      <c r="J7" s="7">
        <v>302</v>
      </c>
    </row>
    <row r="8" spans="4:10" x14ac:dyDescent="0.35">
      <c r="D8" s="35" t="s">
        <v>9</v>
      </c>
      <c r="E8" s="21">
        <v>5662.3</v>
      </c>
      <c r="F8" s="21">
        <v>5494.2</v>
      </c>
      <c r="G8" s="21">
        <v>5058.6000000000004</v>
      </c>
      <c r="H8" s="21">
        <v>4902.3</v>
      </c>
      <c r="I8" s="21">
        <v>5203.7</v>
      </c>
      <c r="J8" s="21">
        <v>5190.1000000000004</v>
      </c>
    </row>
    <row r="9" spans="4:10" x14ac:dyDescent="0.35">
      <c r="D9" s="35" t="s">
        <v>38</v>
      </c>
      <c r="E9" s="62">
        <f>E8+E7+E6</f>
        <v>6629.9</v>
      </c>
      <c r="F9" s="62">
        <f t="shared" ref="F9:J9" si="0">F8+F7+F6</f>
        <v>6356.3</v>
      </c>
      <c r="G9" s="62">
        <f t="shared" si="0"/>
        <v>5892.8000000000011</v>
      </c>
      <c r="H9" s="62">
        <f t="shared" si="0"/>
        <v>5825.5000000000009</v>
      </c>
      <c r="I9" s="62">
        <f t="shared" si="0"/>
        <v>6248.7</v>
      </c>
      <c r="J9" s="62">
        <f t="shared" si="0"/>
        <v>6269</v>
      </c>
    </row>
    <row r="10" spans="4:10" x14ac:dyDescent="0.35">
      <c r="D10" s="68"/>
      <c r="E10" s="68"/>
      <c r="F10" s="68"/>
      <c r="G10" s="68"/>
      <c r="H10" s="68"/>
      <c r="I10" s="68"/>
      <c r="J10" s="68"/>
    </row>
    <row r="11" spans="4:10" x14ac:dyDescent="0.35">
      <c r="D11" s="63" t="s">
        <v>25</v>
      </c>
      <c r="E11" s="7">
        <f>1518.2 + 15.6</f>
        <v>1533.8</v>
      </c>
      <c r="F11" s="21">
        <f>1501+222.6</f>
        <v>1723.6</v>
      </c>
      <c r="G11" s="21">
        <f>1599+192.3</f>
        <v>1791.3</v>
      </c>
      <c r="H11" s="21">
        <f>1960.9+188.2</f>
        <v>2149.1</v>
      </c>
      <c r="I11" s="6">
        <f>2048.8+181.3</f>
        <v>2230.1000000000004</v>
      </c>
      <c r="J11" s="6">
        <f>2107.9+116.7</f>
        <v>2224.6</v>
      </c>
    </row>
    <row r="12" spans="4:10" x14ac:dyDescent="0.35">
      <c r="D12" s="63" t="s">
        <v>24</v>
      </c>
      <c r="E12" s="7">
        <f>100.7+72.7</f>
        <v>173.4</v>
      </c>
      <c r="F12" s="21">
        <f>21.5+56.5</f>
        <v>78</v>
      </c>
      <c r="G12" s="21">
        <f xml:space="preserve"> 43.1+74.2</f>
        <v>117.30000000000001</v>
      </c>
      <c r="H12" s="21">
        <f>53.6 + 91.8</f>
        <v>145.4</v>
      </c>
      <c r="I12" s="6">
        <f>44 + 75.4</f>
        <v>119.4</v>
      </c>
      <c r="J12" s="6">
        <f>47.6 +  104.1</f>
        <v>151.69999999999999</v>
      </c>
    </row>
    <row r="13" spans="4:10" x14ac:dyDescent="0.35">
      <c r="D13" s="63" t="s">
        <v>39</v>
      </c>
      <c r="E13" s="9">
        <f>E11+E12</f>
        <v>1707.2</v>
      </c>
      <c r="F13" s="9">
        <f t="shared" ref="F13:J13" si="1">F11+F12</f>
        <v>1801.6</v>
      </c>
      <c r="G13" s="9">
        <f t="shared" si="1"/>
        <v>1908.6</v>
      </c>
      <c r="H13" s="9">
        <f t="shared" si="1"/>
        <v>2294.5</v>
      </c>
      <c r="I13" s="9">
        <f t="shared" si="1"/>
        <v>2349.5000000000005</v>
      </c>
      <c r="J13" s="9">
        <f t="shared" si="1"/>
        <v>2376.2999999999997</v>
      </c>
    </row>
    <row r="14" spans="4:10" x14ac:dyDescent="0.35">
      <c r="D14" s="68"/>
      <c r="E14" s="68"/>
      <c r="F14" s="68"/>
      <c r="G14" s="68"/>
      <c r="H14" s="68"/>
      <c r="I14" s="68"/>
      <c r="J14" s="68"/>
    </row>
    <row r="15" spans="4:10" x14ac:dyDescent="0.35">
      <c r="D15" s="24" t="s">
        <v>42</v>
      </c>
      <c r="E15" s="64">
        <f t="shared" ref="E15:J15" si="2">E9-E13</f>
        <v>4922.7</v>
      </c>
      <c r="F15" s="64">
        <f t="shared" si="2"/>
        <v>4554.7000000000007</v>
      </c>
      <c r="G15" s="64">
        <f t="shared" si="2"/>
        <v>3984.2000000000012</v>
      </c>
      <c r="H15" s="64">
        <f t="shared" si="2"/>
        <v>3531.0000000000009</v>
      </c>
      <c r="I15" s="64">
        <f t="shared" si="2"/>
        <v>3899.1999999999994</v>
      </c>
      <c r="J15" s="64">
        <f t="shared" si="2"/>
        <v>3892.7000000000003</v>
      </c>
    </row>
    <row r="16" spans="4:10" x14ac:dyDescent="0.35">
      <c r="D16" s="68"/>
      <c r="E16" s="68"/>
      <c r="F16" s="68"/>
      <c r="G16" s="68"/>
      <c r="H16" s="68"/>
      <c r="I16" s="68"/>
      <c r="J16" s="68"/>
    </row>
    <row r="17" spans="4:10" x14ac:dyDescent="0.35">
      <c r="D17" s="41" t="s">
        <v>12</v>
      </c>
      <c r="E17" s="7">
        <v>310.39999999999998</v>
      </c>
      <c r="F17" s="21">
        <v>254.2</v>
      </c>
      <c r="G17" s="21">
        <v>674.4</v>
      </c>
      <c r="H17" s="21">
        <v>1197.9000000000001</v>
      </c>
      <c r="I17" s="21">
        <v>1067.9000000000001</v>
      </c>
      <c r="J17" s="21">
        <v>1022.4</v>
      </c>
    </row>
    <row r="18" spans="4:10" x14ac:dyDescent="0.35">
      <c r="D18" s="41" t="s">
        <v>13</v>
      </c>
      <c r="E18" s="7">
        <f>9.9+141.8</f>
        <v>151.70000000000002</v>
      </c>
      <c r="F18" s="21">
        <f>9.7+11.7</f>
        <v>21.4</v>
      </c>
      <c r="G18" s="21">
        <f>9.7+18.4</f>
        <v>28.099999999999998</v>
      </c>
      <c r="H18" s="7">
        <f>4.5+17.6</f>
        <v>22.1</v>
      </c>
      <c r="I18" s="7">
        <f>7.9+13</f>
        <v>20.9</v>
      </c>
      <c r="J18" s="7">
        <f>12.6+12.3</f>
        <v>24.9</v>
      </c>
    </row>
    <row r="19" spans="4:10" x14ac:dyDescent="0.35">
      <c r="D19" s="42" t="s">
        <v>40</v>
      </c>
      <c r="E19" s="65">
        <f>E18+E17</f>
        <v>462.1</v>
      </c>
      <c r="F19" s="65">
        <f t="shared" ref="F19:J19" si="3">F18+F17</f>
        <v>275.59999999999997</v>
      </c>
      <c r="G19" s="65">
        <f t="shared" si="3"/>
        <v>702.5</v>
      </c>
      <c r="H19" s="65">
        <f t="shared" si="3"/>
        <v>1220</v>
      </c>
      <c r="I19" s="65">
        <f t="shared" si="3"/>
        <v>1088.8000000000002</v>
      </c>
      <c r="J19" s="65">
        <f t="shared" si="3"/>
        <v>1047.3</v>
      </c>
    </row>
    <row r="20" spans="4:10" s="31" customFormat="1" x14ac:dyDescent="0.35">
      <c r="D20" s="70"/>
      <c r="E20" s="70"/>
      <c r="F20" s="70"/>
      <c r="G20" s="70"/>
      <c r="H20" s="70"/>
      <c r="I20" s="70"/>
      <c r="J20" s="70"/>
    </row>
    <row r="21" spans="4:10" x14ac:dyDescent="0.35">
      <c r="D21" s="63" t="s">
        <v>10</v>
      </c>
      <c r="E21" s="7">
        <v>625.6</v>
      </c>
      <c r="F21" s="21">
        <v>247.8</v>
      </c>
      <c r="G21" s="21">
        <v>432.8</v>
      </c>
      <c r="H21" s="21">
        <v>247.2</v>
      </c>
      <c r="I21" s="6">
        <v>444</v>
      </c>
      <c r="J21" s="6">
        <v>250.4</v>
      </c>
    </row>
    <row r="22" spans="4:10" x14ac:dyDescent="0.35">
      <c r="D22" s="63" t="s">
        <v>11</v>
      </c>
      <c r="E22" s="21">
        <v>3628.5</v>
      </c>
      <c r="F22" s="21">
        <v>3865.9</v>
      </c>
      <c r="G22" s="21">
        <v>3659.9</v>
      </c>
      <c r="H22" s="21">
        <v>3561</v>
      </c>
      <c r="I22" s="6">
        <v>3184</v>
      </c>
      <c r="J22" s="6">
        <v>2882.8</v>
      </c>
    </row>
    <row r="23" spans="4:10" x14ac:dyDescent="0.35">
      <c r="D23" s="66" t="s">
        <v>41</v>
      </c>
      <c r="E23" s="67">
        <f>E22+E21</f>
        <v>4254.1000000000004</v>
      </c>
      <c r="F23" s="67">
        <f t="shared" ref="F23:J23" si="4">F22+F21</f>
        <v>4113.7</v>
      </c>
      <c r="G23" s="67">
        <f t="shared" si="4"/>
        <v>4092.7000000000003</v>
      </c>
      <c r="H23" s="67">
        <f t="shared" si="4"/>
        <v>3808.2</v>
      </c>
      <c r="I23" s="67">
        <f t="shared" si="4"/>
        <v>3628</v>
      </c>
      <c r="J23" s="67">
        <f t="shared" si="4"/>
        <v>3133.2000000000003</v>
      </c>
    </row>
    <row r="24" spans="4:10" x14ac:dyDescent="0.35">
      <c r="D24" s="68"/>
      <c r="E24" s="68"/>
      <c r="F24" s="68"/>
      <c r="G24" s="68"/>
      <c r="H24" s="68"/>
      <c r="I24" s="68"/>
      <c r="J24" s="68"/>
    </row>
    <row r="25" spans="4:10" x14ac:dyDescent="0.35">
      <c r="D25" s="25" t="s">
        <v>14</v>
      </c>
      <c r="E25" s="64">
        <f t="shared" ref="E25:J25" si="5">E23-E19</f>
        <v>3792.0000000000005</v>
      </c>
      <c r="F25" s="64">
        <f t="shared" si="5"/>
        <v>3838.1</v>
      </c>
      <c r="G25" s="64">
        <f t="shared" si="5"/>
        <v>3390.2000000000003</v>
      </c>
      <c r="H25" s="64">
        <f t="shared" si="5"/>
        <v>2588.1999999999998</v>
      </c>
      <c r="I25" s="64">
        <f t="shared" si="5"/>
        <v>2539.1999999999998</v>
      </c>
      <c r="J25" s="64">
        <f t="shared" si="5"/>
        <v>2085.9000000000005</v>
      </c>
    </row>
  </sheetData>
  <mergeCells count="6">
    <mergeCell ref="D24:J24"/>
    <mergeCell ref="D4:J4"/>
    <mergeCell ref="D10:J10"/>
    <mergeCell ref="D14:J14"/>
    <mergeCell ref="D16:J16"/>
    <mergeCell ref="D20:J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F55A-5AC1-4ED0-B3D2-4E80B09B6827}">
  <dimension ref="D2:J8"/>
  <sheetViews>
    <sheetView zoomScaleNormal="100" workbookViewId="0">
      <selection activeCell="M9" sqref="M9"/>
    </sheetView>
  </sheetViews>
  <sheetFormatPr defaultRowHeight="14.5" x14ac:dyDescent="0.35"/>
  <cols>
    <col min="4" max="4" width="23.08984375" bestFit="1" customWidth="1"/>
  </cols>
  <sheetData>
    <row r="2" spans="4:10" x14ac:dyDescent="0.35">
      <c r="D2" s="69" t="s">
        <v>106</v>
      </c>
      <c r="E2" s="69"/>
      <c r="F2" s="69"/>
      <c r="G2" s="69"/>
      <c r="H2" s="69"/>
      <c r="I2" s="69"/>
      <c r="J2" s="69"/>
    </row>
    <row r="3" spans="4:10" x14ac:dyDescent="0.35">
      <c r="D3" s="25" t="s">
        <v>36</v>
      </c>
      <c r="E3" s="23">
        <v>2019</v>
      </c>
      <c r="F3" s="23">
        <v>2020</v>
      </c>
      <c r="G3" s="23">
        <v>2021</v>
      </c>
      <c r="H3" s="23">
        <v>2022</v>
      </c>
      <c r="I3" s="23">
        <v>2023</v>
      </c>
      <c r="J3" s="23">
        <v>2024</v>
      </c>
    </row>
    <row r="4" spans="4:10" x14ac:dyDescent="0.35">
      <c r="D4" s="41" t="s">
        <v>15</v>
      </c>
      <c r="E4" s="21">
        <v>1350.4</v>
      </c>
      <c r="F4" s="21">
        <v>1045.4000000000001</v>
      </c>
      <c r="G4" s="7">
        <v>876.7</v>
      </c>
      <c r="H4" s="7">
        <v>1385.7</v>
      </c>
      <c r="I4" s="7">
        <v>1100.5</v>
      </c>
      <c r="J4" s="7">
        <v>1492.9</v>
      </c>
    </row>
    <row r="5" spans="4:10" x14ac:dyDescent="0.35">
      <c r="D5" s="41" t="s">
        <v>16</v>
      </c>
      <c r="E5" s="26" t="s">
        <v>43</v>
      </c>
      <c r="F5" s="26" t="s">
        <v>44</v>
      </c>
      <c r="G5" s="26" t="s">
        <v>45</v>
      </c>
      <c r="H5" s="26" t="s">
        <v>46</v>
      </c>
      <c r="I5" s="26" t="s">
        <v>47</v>
      </c>
      <c r="J5" s="26" t="s">
        <v>48</v>
      </c>
    </row>
    <row r="6" spans="4:10" x14ac:dyDescent="0.35">
      <c r="D6" s="41" t="s">
        <v>18</v>
      </c>
      <c r="E6" s="7">
        <v>59.1</v>
      </c>
      <c r="F6" s="7">
        <v>324.10000000000002</v>
      </c>
      <c r="G6" s="21">
        <v>-80.3</v>
      </c>
      <c r="H6" s="7">
        <v>239.7</v>
      </c>
      <c r="I6" s="7">
        <v>-10.1</v>
      </c>
      <c r="J6" s="7">
        <v>77.2</v>
      </c>
    </row>
    <row r="8" spans="4:10" x14ac:dyDescent="0.35">
      <c r="D8" s="24" t="s">
        <v>49</v>
      </c>
      <c r="E8" s="1">
        <f t="shared" ref="E8:J8" si="0">E4+E5-E6</f>
        <v>996.80000000000007</v>
      </c>
      <c r="F8" s="1">
        <f t="shared" si="0"/>
        <v>392.70000000000005</v>
      </c>
      <c r="G8" s="1">
        <f t="shared" si="0"/>
        <v>750.3</v>
      </c>
      <c r="H8" s="1">
        <f t="shared" si="0"/>
        <v>888.60000000000014</v>
      </c>
      <c r="I8" s="1">
        <f t="shared" si="0"/>
        <v>700.30000000000007</v>
      </c>
      <c r="J8" s="1">
        <f t="shared" si="0"/>
        <v>986.40000000000009</v>
      </c>
    </row>
  </sheetData>
  <mergeCells count="1">
    <mergeCell ref="D2:J2"/>
  </mergeCells>
  <pageMargins left="0.7" right="0.7" top="0.75" bottom="0.75" header="0.3" footer="0.3"/>
  <ignoredErrors>
    <ignoredError sqref="E5:J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9E05-B88C-4D21-9443-01AF7C33592B}">
  <dimension ref="B3:H18"/>
  <sheetViews>
    <sheetView zoomScale="92" zoomScaleNormal="92" workbookViewId="0">
      <selection activeCell="A4" sqref="A4"/>
    </sheetView>
  </sheetViews>
  <sheetFormatPr defaultRowHeight="14.5" x14ac:dyDescent="0.35"/>
  <cols>
    <col min="2" max="2" width="32.36328125" bestFit="1" customWidth="1"/>
    <col min="3" max="3" width="6.453125" bestFit="1" customWidth="1"/>
    <col min="5" max="5" width="13.6328125" bestFit="1" customWidth="1"/>
    <col min="6" max="11" width="10.36328125" bestFit="1" customWidth="1"/>
  </cols>
  <sheetData>
    <row r="3" spans="2:8" x14ac:dyDescent="0.35">
      <c r="B3" s="69" t="s">
        <v>112</v>
      </c>
      <c r="C3" s="69"/>
      <c r="D3" s="69"/>
      <c r="E3" s="69"/>
      <c r="F3" s="69"/>
      <c r="G3" s="69"/>
      <c r="H3" s="69"/>
    </row>
    <row r="4" spans="2:8" x14ac:dyDescent="0.35">
      <c r="B4" s="44" t="s">
        <v>50</v>
      </c>
      <c r="C4" s="45" t="s">
        <v>58</v>
      </c>
      <c r="D4" s="45" t="s">
        <v>0</v>
      </c>
      <c r="E4" s="45" t="s">
        <v>1</v>
      </c>
      <c r="F4" s="45" t="s">
        <v>2</v>
      </c>
      <c r="G4" s="45" t="s">
        <v>3</v>
      </c>
      <c r="H4" s="45" t="s">
        <v>4</v>
      </c>
    </row>
    <row r="5" spans="2:8" x14ac:dyDescent="0.35">
      <c r="B5" s="43" t="s">
        <v>51</v>
      </c>
      <c r="C5" s="37">
        <f>Re_Income_Statement!D11/Re_Balance_Sheet!E15</f>
        <v>3.2579522650581796E-2</v>
      </c>
      <c r="D5" s="37">
        <f>Re_Income_Statement!E11/Re_Balance_Sheet!F15</f>
        <v>2.2809771591250066E-2</v>
      </c>
      <c r="E5" s="37">
        <f>Re_Income_Statement!F11/Re_Balance_Sheet!G15</f>
        <v>-7.4036954087077552E-3</v>
      </c>
      <c r="F5" s="37">
        <f>Re_Income_Statement!G11/Re_Balance_Sheet!H15</f>
        <v>0.12783655065202787</v>
      </c>
      <c r="G5" s="37">
        <f>Re_Income_Statement!H11/Re_Balance_Sheet!I15</f>
        <v>0.10122328311455837</v>
      </c>
      <c r="H5" s="37">
        <f>Re_Income_Statement!I11/Re_Balance_Sheet!J15</f>
        <v>0.11600317551783851</v>
      </c>
    </row>
    <row r="6" spans="2:8" x14ac:dyDescent="0.35">
      <c r="B6" s="43" t="s">
        <v>65</v>
      </c>
      <c r="C6" s="37">
        <f>Re_Income_Statement!D11/Re_Income_Statement!D5</f>
        <v>1.5454811574496161E-2</v>
      </c>
      <c r="D6" s="37">
        <f>Re_Income_Statement!E11/Re_Income_Statement!E5</f>
        <v>1.0203563840409619E-2</v>
      </c>
      <c r="E6" s="37">
        <f>Re_Income_Statement!F11/Re_Income_Statement!F5</f>
        <v>-3.2217966127519953E-3</v>
      </c>
      <c r="F6" s="37">
        <f>Re_Income_Statement!G11/Re_Income_Statement!G5</f>
        <v>4.1468692097666578E-2</v>
      </c>
      <c r="G6" s="37">
        <f>Re_Income_Statement!H11/Re_Income_Statement!H5</f>
        <v>3.3080202955276118E-2</v>
      </c>
      <c r="H6" s="37">
        <f>Re_Income_Statement!I11/Re_Income_Statement!I5</f>
        <v>3.4628995279046171E-2</v>
      </c>
    </row>
    <row r="7" spans="2:8" x14ac:dyDescent="0.35">
      <c r="B7" s="43" t="s">
        <v>64</v>
      </c>
      <c r="C7" s="48">
        <f>Re_Income_Statement!D12/Re_Income_Statement!D5</f>
        <v>3.7618286744228159E-2</v>
      </c>
      <c r="D7" s="48">
        <f>Re_Income_Statement!E12/Re_Income_Statement!E5</f>
        <v>2.3654808322331092E-2</v>
      </c>
      <c r="E7" s="48">
        <f>Re_Income_Statement!F12/Re_Income_Statement!F5</f>
        <v>2.3318671249299459E-2</v>
      </c>
      <c r="F7" s="48">
        <f>Re_Income_Statement!G12/Re_Income_Statement!G5</f>
        <v>5.138291278791611E-2</v>
      </c>
      <c r="G7" s="48">
        <f>Re_Income_Statement!H12/Re_Income_Statement!H5</f>
        <v>4.0240837064212803E-2</v>
      </c>
      <c r="H7" s="48">
        <f>Re_Income_Statement!I12/Re_Income_Statement!I5</f>
        <v>4.0660704901999606E-2</v>
      </c>
    </row>
    <row r="8" spans="2:8" x14ac:dyDescent="0.35">
      <c r="B8" s="43" t="s">
        <v>52</v>
      </c>
      <c r="C8" s="38">
        <f>Re_Income_Statement!D5/Re_Balance_Sheet!E15</f>
        <v>2.1080504601133523</v>
      </c>
      <c r="D8" s="38">
        <f>Re_Income_Statement!E5/Re_Balance_Sheet!F15</f>
        <v>2.2354710518804746</v>
      </c>
      <c r="E8" s="38">
        <f>Re_Income_Statement!F5/Re_Balance_Sheet!G15</f>
        <v>2.2980021083278945</v>
      </c>
      <c r="F8" s="38">
        <f>Re_Income_Statement!G5/Re_Balance_Sheet!H15</f>
        <v>3.0827244406683652</v>
      </c>
      <c r="G8" s="38">
        <f>Re_Income_Statement!H5/Re_Balance_Sheet!I15</f>
        <v>3.0599353713582276</v>
      </c>
      <c r="H8" s="38">
        <f>Re_Income_Statement!I5/Re_Balance_Sheet!J15</f>
        <v>3.3498856834587816</v>
      </c>
    </row>
    <row r="9" spans="2:8" x14ac:dyDescent="0.35">
      <c r="B9" s="43" t="s">
        <v>53</v>
      </c>
      <c r="C9" s="38">
        <f>FCF!E8/Re_Income_Statement!D11</f>
        <v>6.2152691846003352</v>
      </c>
      <c r="D9" s="38">
        <f>FCF!F8/Re_Income_Statement!E11</f>
        <v>3.7798989331836044</v>
      </c>
      <c r="E9" s="38">
        <f>FCF!G8/Re_Income_Statement!F11</f>
        <v>-25.435792411653853</v>
      </c>
      <c r="F9" s="38">
        <f>FCF!H8/Re_Income_Statement!G11</f>
        <v>1.9685821713502307</v>
      </c>
      <c r="G9" s="38">
        <f>FCF!I8/Re_Income_Statement!H11</f>
        <v>1.7743046684237536</v>
      </c>
      <c r="H9" s="38">
        <f>FCF!J8/Re_Income_Statement!I11</f>
        <v>2.1844004159144443</v>
      </c>
    </row>
    <row r="10" spans="2:8" x14ac:dyDescent="0.35">
      <c r="B10" s="43" t="s">
        <v>54</v>
      </c>
      <c r="C10" s="38">
        <f>Re_Balance_Sheet!E25/Input_Statements!G23</f>
        <v>1.5357200712781471</v>
      </c>
      <c r="D10" s="38">
        <f>Re_Balance_Sheet!F25/Input_Statements!H23</f>
        <v>1.0349467439665632</v>
      </c>
      <c r="E10" s="38">
        <f>Re_Balance_Sheet!G25/Input_Statements!I23</f>
        <v>1.4831568816169394</v>
      </c>
      <c r="F10" s="38">
        <f>Re_Balance_Sheet!H25/Input_Statements!J23</f>
        <v>0.45286254199328108</v>
      </c>
      <c r="G10" s="38">
        <f>Re_Balance_Sheet!I25/Input_Statements!K23</f>
        <v>0.90205691143557487</v>
      </c>
      <c r="H10" s="38">
        <f>Re_Balance_Sheet!J25/Input_Statements!L23</f>
        <v>0.73704109395427742</v>
      </c>
    </row>
    <row r="11" spans="2:8" x14ac:dyDescent="0.35">
      <c r="B11" s="43" t="s">
        <v>55</v>
      </c>
      <c r="C11" s="37">
        <f>(Input_Statements!G5*(1-Re_Income_Statement!D8))/Re_Balance_Sheet!E25</f>
        <v>3.5285279924231028E-2</v>
      </c>
      <c r="D11" s="37">
        <f>(Input_Statements!H5*(1-Re_Income_Statement!E8))/Re_Balance_Sheet!F25</f>
        <v>2.4911957305263896E-2</v>
      </c>
      <c r="E11" s="37">
        <f>(Input_Statements!I5*(1-Re_Income_Statement!F8))/Re_Balance_Sheet!G25</f>
        <v>6.6914766462375361E-2</v>
      </c>
      <c r="F11" s="37">
        <f>(Input_Statements!J5*(1-Re_Income_Statement!G8))/Re_Balance_Sheet!H25</f>
        <v>6.5347933139418307E-2</v>
      </c>
      <c r="G11" s="37">
        <f>(Input_Statements!K5*(1-Re_Income_Statement!H8))/Re_Balance_Sheet!I25</f>
        <v>6.201250828050435E-2</v>
      </c>
      <c r="H11" s="37">
        <f>(Input_Statements!L5*(1-Re_Income_Statement!I8))/Re_Balance_Sheet!J25</f>
        <v>5.710687317982608E-2</v>
      </c>
    </row>
    <row r="12" spans="2:8" x14ac:dyDescent="0.35">
      <c r="B12" s="43" t="s">
        <v>56</v>
      </c>
      <c r="C12" s="39">
        <f>C5-C11</f>
        <v>-2.7057572736492314E-3</v>
      </c>
      <c r="D12" s="39">
        <f t="shared" ref="D12:H12" si="0">D5-D11</f>
        <v>-2.1021857140138302E-3</v>
      </c>
      <c r="E12" s="39">
        <f t="shared" si="0"/>
        <v>-7.4318461871083111E-2</v>
      </c>
      <c r="F12" s="39">
        <f t="shared" si="0"/>
        <v>6.2488617512609562E-2</v>
      </c>
      <c r="G12" s="39">
        <f t="shared" si="0"/>
        <v>3.9210774834054024E-2</v>
      </c>
      <c r="H12" s="39">
        <f t="shared" si="0"/>
        <v>5.8896302338012428E-2</v>
      </c>
    </row>
    <row r="13" spans="2:8" x14ac:dyDescent="0.35">
      <c r="B13" s="43" t="s">
        <v>57</v>
      </c>
      <c r="C13" s="37">
        <f>C5+(C10*C12)</f>
        <v>2.8424236897431836E-2</v>
      </c>
      <c r="D13" s="37">
        <f t="shared" ref="D13:H13" si="1">D5+(D10*D12)</f>
        <v>2.0634121331318429E-2</v>
      </c>
      <c r="E13" s="37">
        <f t="shared" si="1"/>
        <v>-0.11762963356399078</v>
      </c>
      <c r="F13" s="37">
        <f t="shared" si="1"/>
        <v>0.15613530482443411</v>
      </c>
      <c r="G13" s="37">
        <f t="shared" si="1"/>
        <v>0.13659363355636092</v>
      </c>
      <c r="H13" s="37">
        <f t="shared" si="1"/>
        <v>0.15941217062290905</v>
      </c>
    </row>
    <row r="14" spans="2:8" x14ac:dyDescent="0.35">
      <c r="B14" s="40"/>
    </row>
    <row r="15" spans="2:8" x14ac:dyDescent="0.35">
      <c r="B15" s="71" t="s">
        <v>107</v>
      </c>
      <c r="C15" s="71"/>
      <c r="D15" s="71"/>
      <c r="E15" s="71"/>
      <c r="F15" s="71"/>
      <c r="G15" s="71"/>
      <c r="H15" s="71"/>
    </row>
    <row r="16" spans="2:8" x14ac:dyDescent="0.35">
      <c r="B16" s="46" t="s">
        <v>61</v>
      </c>
      <c r="C16" s="48">
        <f t="shared" ref="C16:H16" si="2">C6*C8</f>
        <v>3.2579522650581796E-2</v>
      </c>
      <c r="D16" s="48">
        <f t="shared" si="2"/>
        <v>2.2809771591250066E-2</v>
      </c>
      <c r="E16" s="48">
        <f t="shared" si="2"/>
        <v>-7.4036954087077543E-3</v>
      </c>
      <c r="F16" s="48">
        <f t="shared" si="2"/>
        <v>0.12783655065202784</v>
      </c>
      <c r="G16" s="48">
        <f t="shared" si="2"/>
        <v>0.10122328311455836</v>
      </c>
      <c r="H16" s="48">
        <f t="shared" si="2"/>
        <v>0.11600317551783851</v>
      </c>
    </row>
    <row r="17" spans="2:8" x14ac:dyDescent="0.35">
      <c r="B17" s="46" t="s">
        <v>59</v>
      </c>
      <c r="C17" s="39">
        <f t="shared" ref="C17:H17" si="3">C5+(C10*C12)</f>
        <v>2.8424236897431836E-2</v>
      </c>
      <c r="D17" s="39">
        <f t="shared" si="3"/>
        <v>2.0634121331318429E-2</v>
      </c>
      <c r="E17" s="39">
        <f t="shared" si="3"/>
        <v>-0.11762963356399078</v>
      </c>
      <c r="F17" s="39">
        <f t="shared" si="3"/>
        <v>0.15613530482443411</v>
      </c>
      <c r="G17" s="39">
        <f t="shared" si="3"/>
        <v>0.13659363355636092</v>
      </c>
      <c r="H17" s="39">
        <f t="shared" si="3"/>
        <v>0.15941217062290905</v>
      </c>
    </row>
    <row r="18" spans="2:8" x14ac:dyDescent="0.35">
      <c r="B18" s="46" t="s">
        <v>60</v>
      </c>
      <c r="C18" s="39">
        <f t="shared" ref="C18:H18" si="4">C16+(C10*C12)</f>
        <v>2.8424236897431836E-2</v>
      </c>
      <c r="D18" s="39">
        <f t="shared" si="4"/>
        <v>2.0634121331318429E-2</v>
      </c>
      <c r="E18" s="39">
        <f t="shared" si="4"/>
        <v>-0.11762963356399078</v>
      </c>
      <c r="F18" s="39">
        <f t="shared" si="4"/>
        <v>0.15613530482443408</v>
      </c>
      <c r="G18" s="39">
        <f t="shared" si="4"/>
        <v>0.13659363355636089</v>
      </c>
      <c r="H18" s="39">
        <f t="shared" si="4"/>
        <v>0.15941217062290905</v>
      </c>
    </row>
  </sheetData>
  <mergeCells count="2">
    <mergeCell ref="B15:H15"/>
    <mergeCell ref="B3:H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7726-998C-49FE-939C-4A155E2910D2}">
  <dimension ref="E5:I12"/>
  <sheetViews>
    <sheetView workbookViewId="0">
      <selection activeCell="L7" sqref="L7"/>
    </sheetView>
  </sheetViews>
  <sheetFormatPr defaultRowHeight="14.5" x14ac:dyDescent="0.35"/>
  <cols>
    <col min="5" max="5" width="8.1796875" bestFit="1" customWidth="1"/>
    <col min="6" max="6" width="8.453125" bestFit="1" customWidth="1"/>
    <col min="8" max="8" width="8.6328125" bestFit="1" customWidth="1"/>
    <col min="9" max="9" width="10.1796875" customWidth="1"/>
  </cols>
  <sheetData>
    <row r="5" spans="5:9" x14ac:dyDescent="0.35">
      <c r="E5" s="69" t="s">
        <v>109</v>
      </c>
      <c r="F5" s="69"/>
      <c r="G5" s="69"/>
      <c r="H5" s="69"/>
      <c r="I5" s="69"/>
    </row>
    <row r="6" spans="5:9" ht="43.5" x14ac:dyDescent="0.35">
      <c r="E6" s="51" t="s">
        <v>108</v>
      </c>
      <c r="F6" s="51" t="s">
        <v>83</v>
      </c>
      <c r="G6" s="51" t="s">
        <v>65</v>
      </c>
      <c r="H6" s="51" t="s">
        <v>84</v>
      </c>
      <c r="I6" s="51" t="s">
        <v>66</v>
      </c>
    </row>
    <row r="7" spans="5:9" x14ac:dyDescent="0.35">
      <c r="E7" s="50" t="s">
        <v>67</v>
      </c>
      <c r="F7" s="49" t="s">
        <v>68</v>
      </c>
      <c r="G7" s="58">
        <v>4.1000000000000002E-2</v>
      </c>
      <c r="H7" s="49" t="s">
        <v>69</v>
      </c>
      <c r="I7" s="49" t="s">
        <v>70</v>
      </c>
    </row>
    <row r="8" spans="5:9" x14ac:dyDescent="0.35">
      <c r="E8" s="50" t="s">
        <v>71</v>
      </c>
      <c r="F8" s="49" t="s">
        <v>72</v>
      </c>
      <c r="G8" s="58">
        <v>4.2999999999999997E-2</v>
      </c>
      <c r="H8" s="49" t="s">
        <v>69</v>
      </c>
      <c r="I8" s="49" t="s">
        <v>70</v>
      </c>
    </row>
    <row r="9" spans="5:9" x14ac:dyDescent="0.35">
      <c r="E9" s="50" t="s">
        <v>73</v>
      </c>
      <c r="F9" s="49" t="s">
        <v>74</v>
      </c>
      <c r="G9" s="58">
        <v>4.3999999999999997E-2</v>
      </c>
      <c r="H9" s="49" t="s">
        <v>75</v>
      </c>
      <c r="I9" s="49" t="s">
        <v>70</v>
      </c>
    </row>
    <row r="10" spans="5:9" x14ac:dyDescent="0.35">
      <c r="E10" s="50" t="s">
        <v>76</v>
      </c>
      <c r="F10" s="49" t="s">
        <v>77</v>
      </c>
      <c r="G10" s="58">
        <v>4.4999999999999998E-2</v>
      </c>
      <c r="H10" s="49" t="s">
        <v>75</v>
      </c>
      <c r="I10" s="49" t="s">
        <v>70</v>
      </c>
    </row>
    <row r="11" spans="5:9" x14ac:dyDescent="0.35">
      <c r="E11" s="50" t="s">
        <v>78</v>
      </c>
      <c r="F11" s="49" t="s">
        <v>79</v>
      </c>
      <c r="G11" s="58">
        <v>4.5999999999999999E-2</v>
      </c>
      <c r="H11" s="49" t="s">
        <v>75</v>
      </c>
      <c r="I11" s="49" t="s">
        <v>70</v>
      </c>
    </row>
    <row r="12" spans="5:9" x14ac:dyDescent="0.35">
      <c r="E12" s="50" t="s">
        <v>80</v>
      </c>
      <c r="F12" s="49" t="s">
        <v>81</v>
      </c>
      <c r="G12" s="49" t="s">
        <v>82</v>
      </c>
      <c r="H12" s="49" t="s">
        <v>69</v>
      </c>
      <c r="I12" s="49" t="s">
        <v>70</v>
      </c>
    </row>
  </sheetData>
  <mergeCells count="1">
    <mergeCell ref="E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0A8C-0D36-4773-9DA6-FD9D857B7087}">
  <dimension ref="D4:P24"/>
  <sheetViews>
    <sheetView topLeftCell="C5" workbookViewId="0">
      <selection activeCell="J7" sqref="J7"/>
    </sheetView>
  </sheetViews>
  <sheetFormatPr defaultRowHeight="14.5" x14ac:dyDescent="0.35"/>
  <cols>
    <col min="4" max="4" width="8.7265625" style="4"/>
    <col min="8" max="8" width="8.453125" bestFit="1" customWidth="1"/>
    <col min="9" max="9" width="9.26953125" bestFit="1" customWidth="1"/>
    <col min="10" max="10" width="10.26953125" customWidth="1"/>
  </cols>
  <sheetData>
    <row r="4" spans="4:16" x14ac:dyDescent="0.35">
      <c r="D4" s="72" t="s">
        <v>110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4:16" s="22" customFormat="1" ht="43.5" x14ac:dyDescent="0.35">
      <c r="D5" s="23" t="s">
        <v>85</v>
      </c>
      <c r="E5" s="55" t="s">
        <v>83</v>
      </c>
      <c r="F5" s="55" t="s">
        <v>65</v>
      </c>
      <c r="G5" s="55" t="s">
        <v>84</v>
      </c>
      <c r="H5" s="55" t="s">
        <v>66</v>
      </c>
      <c r="I5" s="55" t="s">
        <v>90</v>
      </c>
      <c r="J5" s="55" t="s">
        <v>95</v>
      </c>
      <c r="K5" s="55" t="s">
        <v>91</v>
      </c>
      <c r="L5" s="55" t="s">
        <v>92</v>
      </c>
      <c r="M5" s="55" t="s">
        <v>93</v>
      </c>
      <c r="N5" s="55" t="s">
        <v>94</v>
      </c>
      <c r="O5" s="23" t="s">
        <v>97</v>
      </c>
      <c r="P5" s="23" t="s">
        <v>96</v>
      </c>
    </row>
    <row r="6" spans="4:16" x14ac:dyDescent="0.35">
      <c r="D6" s="59">
        <v>2025</v>
      </c>
      <c r="E6" s="56">
        <v>0.05</v>
      </c>
      <c r="F6" s="58">
        <v>4.1000000000000002E-2</v>
      </c>
      <c r="G6" s="49" t="s">
        <v>69</v>
      </c>
      <c r="H6" s="58">
        <v>0.08</v>
      </c>
      <c r="I6" s="57">
        <f>E14*(1+E6)</f>
        <v>13692.105000000001</v>
      </c>
      <c r="J6" s="52">
        <f>I6*F6</f>
        <v>561.37630500000012</v>
      </c>
      <c r="K6" s="52">
        <f>I6/3.3</f>
        <v>4149.1227272727283</v>
      </c>
      <c r="L6" s="52">
        <f>K6-I14</f>
        <v>256.42272727272848</v>
      </c>
      <c r="M6" s="52">
        <f>J6-L6</f>
        <v>304.95357772727164</v>
      </c>
      <c r="N6" s="52">
        <f>J6-(H6*I14)</f>
        <v>249.96030500000012</v>
      </c>
      <c r="O6" s="52">
        <f>M6/(1.08)</f>
        <v>282.3644238215478</v>
      </c>
      <c r="P6" s="52">
        <f>N6/(1.08)</f>
        <v>231.44472685185195</v>
      </c>
    </row>
    <row r="7" spans="4:16" x14ac:dyDescent="0.35">
      <c r="D7" s="59">
        <v>2026</v>
      </c>
      <c r="E7" s="56">
        <v>4.4999999999999998E-2</v>
      </c>
      <c r="F7" s="58">
        <v>4.2999999999999997E-2</v>
      </c>
      <c r="G7" s="49" t="s">
        <v>69</v>
      </c>
      <c r="H7" s="58">
        <v>0.08</v>
      </c>
      <c r="I7">
        <f>I6*(1+E7)</f>
        <v>14308.249725</v>
      </c>
      <c r="J7" s="52">
        <f t="shared" ref="J7:J10" si="0">I7*F7</f>
        <v>615.25473817499994</v>
      </c>
      <c r="K7" s="52">
        <f>I7/3.3</f>
        <v>4335.8332499999997</v>
      </c>
      <c r="L7" s="52">
        <f>K7-K6</f>
        <v>186.71052272727138</v>
      </c>
      <c r="M7" s="52">
        <f t="shared" ref="M7:M10" si="1">J7-L7</f>
        <v>428.54421544772856</v>
      </c>
      <c r="N7" s="52">
        <f>J7-(H7*K6)</f>
        <v>283.32491999318165</v>
      </c>
      <c r="O7" s="52">
        <f>M7/(1.08^2)</f>
        <v>367.40759211910881</v>
      </c>
      <c r="P7" s="52">
        <f>N7/(1.08^2)</f>
        <v>242.90545266905147</v>
      </c>
    </row>
    <row r="8" spans="4:16" x14ac:dyDescent="0.35">
      <c r="D8" s="59">
        <v>2027</v>
      </c>
      <c r="E8" s="56">
        <v>0.04</v>
      </c>
      <c r="F8" s="58">
        <v>4.3999999999999997E-2</v>
      </c>
      <c r="G8" s="49" t="s">
        <v>75</v>
      </c>
      <c r="H8" s="58">
        <v>0.08</v>
      </c>
      <c r="I8">
        <f t="shared" ref="I8:I10" si="2">I7*(1+E8)</f>
        <v>14880.579714</v>
      </c>
      <c r="J8" s="52">
        <f t="shared" si="0"/>
        <v>654.7455074159999</v>
      </c>
      <c r="K8" s="52">
        <f>I8/3.32</f>
        <v>4482.1023234939757</v>
      </c>
      <c r="L8" s="52">
        <f t="shared" ref="L8:L10" si="3">K8-K7</f>
        <v>146.26907349397607</v>
      </c>
      <c r="M8" s="52">
        <f t="shared" si="1"/>
        <v>508.47643392202383</v>
      </c>
      <c r="N8" s="52">
        <f t="shared" ref="N8:N10" si="4">J8-(H8*K7)</f>
        <v>307.87884741599993</v>
      </c>
      <c r="O8" s="52">
        <f>M8/(1.08^3)</f>
        <v>403.64498704626436</v>
      </c>
      <c r="P8" s="52">
        <f>N8/(1.08^3)</f>
        <v>244.40415540695008</v>
      </c>
    </row>
    <row r="9" spans="4:16" x14ac:dyDescent="0.35">
      <c r="D9" s="59">
        <v>2028</v>
      </c>
      <c r="E9" s="56">
        <v>3.5000000000000003E-2</v>
      </c>
      <c r="F9" s="58">
        <v>4.4999999999999998E-2</v>
      </c>
      <c r="G9" s="49" t="s">
        <v>75</v>
      </c>
      <c r="H9" s="58">
        <v>0.08</v>
      </c>
      <c r="I9">
        <f t="shared" si="2"/>
        <v>15401.400003989998</v>
      </c>
      <c r="J9" s="52">
        <f t="shared" si="0"/>
        <v>693.06300017954993</v>
      </c>
      <c r="K9" s="52">
        <f t="shared" ref="K9:K10" si="5">I9/3.32</f>
        <v>4638.975904816265</v>
      </c>
      <c r="L9" s="52">
        <f t="shared" si="3"/>
        <v>156.87358132228928</v>
      </c>
      <c r="M9" s="52">
        <f t="shared" si="1"/>
        <v>536.18941885726065</v>
      </c>
      <c r="N9" s="52">
        <f t="shared" si="4"/>
        <v>334.49481430003186</v>
      </c>
      <c r="O9" s="52">
        <f>M9/(1.08^4)</f>
        <v>394.11522961366813</v>
      </c>
      <c r="P9" s="52">
        <f>N9/(1.08^4)</f>
        <v>245.86367411612937</v>
      </c>
    </row>
    <row r="10" spans="4:16" x14ac:dyDescent="0.35">
      <c r="D10" s="59">
        <v>2029</v>
      </c>
      <c r="E10" s="56">
        <v>0.03</v>
      </c>
      <c r="F10" s="58">
        <v>4.5999999999999999E-2</v>
      </c>
      <c r="G10" s="49" t="s">
        <v>75</v>
      </c>
      <c r="H10" s="58">
        <v>0.08</v>
      </c>
      <c r="I10">
        <f t="shared" si="2"/>
        <v>15863.442004109698</v>
      </c>
      <c r="J10" s="52">
        <f t="shared" si="0"/>
        <v>729.71833218904612</v>
      </c>
      <c r="K10" s="52">
        <f t="shared" si="5"/>
        <v>4778.1451819607528</v>
      </c>
      <c r="L10" s="52">
        <f t="shared" si="3"/>
        <v>139.16927714448775</v>
      </c>
      <c r="M10" s="52">
        <f t="shared" si="1"/>
        <v>590.54905504455837</v>
      </c>
      <c r="N10" s="52">
        <f t="shared" si="4"/>
        <v>358.6002598037449</v>
      </c>
      <c r="O10" s="52">
        <f>M10/(1.08^5)</f>
        <v>401.9177638874873</v>
      </c>
      <c r="P10" s="52">
        <f>N10/(1.08^5)</f>
        <v>244.05731127436715</v>
      </c>
    </row>
    <row r="11" spans="4:16" x14ac:dyDescent="0.35">
      <c r="D11" s="61"/>
      <c r="E11" s="56"/>
      <c r="F11" s="58"/>
      <c r="G11" s="49"/>
      <c r="H11" s="58"/>
      <c r="J11" s="52"/>
      <c r="K11" s="52"/>
      <c r="L11" s="52"/>
      <c r="M11" s="52"/>
      <c r="N11" s="52"/>
      <c r="O11" s="52"/>
      <c r="P11" s="52"/>
    </row>
    <row r="12" spans="4:16" x14ac:dyDescent="0.35">
      <c r="D12" s="72" t="s">
        <v>111</v>
      </c>
      <c r="E12" s="72"/>
      <c r="F12" s="72"/>
      <c r="G12" s="72"/>
      <c r="H12" s="72"/>
      <c r="I12" s="72"/>
    </row>
    <row r="13" spans="4:16" ht="29" x14ac:dyDescent="0.45">
      <c r="D13" s="23" t="s">
        <v>85</v>
      </c>
      <c r="E13" s="54" t="s">
        <v>86</v>
      </c>
      <c r="F13" s="55" t="s">
        <v>83</v>
      </c>
      <c r="G13" s="55" t="s">
        <v>65</v>
      </c>
      <c r="H13" s="51" t="s">
        <v>52</v>
      </c>
      <c r="I13" s="51" t="s">
        <v>88</v>
      </c>
      <c r="K13" s="42" t="s">
        <v>99</v>
      </c>
      <c r="L13" s="52">
        <f>M10*(1.02)</f>
        <v>602.3600361454495</v>
      </c>
      <c r="O13" s="42" t="s">
        <v>101</v>
      </c>
      <c r="P13" s="52">
        <f>N10*(1.02)</f>
        <v>365.77226499981981</v>
      </c>
    </row>
    <row r="14" spans="4:16" ht="16.5" x14ac:dyDescent="0.45">
      <c r="D14" s="59">
        <v>2024</v>
      </c>
      <c r="E14" s="4">
        <v>13040.1</v>
      </c>
      <c r="F14" s="4" t="s">
        <v>87</v>
      </c>
      <c r="G14" s="20">
        <v>3.4628995279046171E-2</v>
      </c>
      <c r="H14" s="53">
        <v>3.3498856834587816</v>
      </c>
      <c r="I14" s="4">
        <v>3892.7</v>
      </c>
      <c r="K14" s="42" t="s">
        <v>100</v>
      </c>
      <c r="L14" s="52">
        <f>L13/(0.08-0.02)</f>
        <v>10039.333935757491</v>
      </c>
      <c r="O14" s="42" t="s">
        <v>102</v>
      </c>
      <c r="P14" s="52">
        <f>P13/(0.08-0.02)</f>
        <v>6096.2044166636633</v>
      </c>
    </row>
    <row r="15" spans="4:16" ht="16.5" x14ac:dyDescent="0.45">
      <c r="K15" s="42" t="s">
        <v>114</v>
      </c>
      <c r="L15" s="52">
        <f>L14/(1.08^5)</f>
        <v>6832.6019860872839</v>
      </c>
      <c r="O15" s="42" t="s">
        <v>115</v>
      </c>
      <c r="P15" s="52">
        <f>P14/(1.08^5)</f>
        <v>4148.9742916642417</v>
      </c>
    </row>
    <row r="17" spans="5:15" x14ac:dyDescent="0.35">
      <c r="E17" s="76" t="s">
        <v>104</v>
      </c>
      <c r="F17" s="76"/>
      <c r="G17" s="76"/>
      <c r="H17" s="52">
        <f>O17-Re_Balance_Sheet!J25</f>
        <v>3271.749611982591</v>
      </c>
      <c r="J17" s="74" t="s">
        <v>98</v>
      </c>
      <c r="K17" s="74"/>
      <c r="L17" s="74"/>
      <c r="M17" s="74"/>
      <c r="N17" s="74"/>
      <c r="O17" s="52">
        <f>SUM(P6:P10) +P15</f>
        <v>5357.6496119825915</v>
      </c>
    </row>
    <row r="18" spans="5:15" x14ac:dyDescent="0.35">
      <c r="E18" s="76" t="s">
        <v>105</v>
      </c>
      <c r="F18" s="76"/>
      <c r="G18" s="76"/>
      <c r="H18" s="52">
        <f>O18-Re_Balance_Sheet!J25</f>
        <v>6596.1519825753594</v>
      </c>
      <c r="J18" s="75" t="s">
        <v>103</v>
      </c>
      <c r="K18" s="75"/>
      <c r="L18" s="75"/>
      <c r="M18" s="75"/>
      <c r="N18" s="60"/>
      <c r="O18" s="52">
        <f>SUM(O6:O10)+L15</f>
        <v>8682.0519825753599</v>
      </c>
    </row>
    <row r="19" spans="5:15" x14ac:dyDescent="0.35">
      <c r="E19" s="73" t="s">
        <v>113</v>
      </c>
      <c r="F19" s="73"/>
      <c r="G19" s="73"/>
      <c r="H19" s="52">
        <f>AVERAGE(H17:H18)</f>
        <v>4933.9507972789752</v>
      </c>
      <c r="O19" s="52">
        <f>AVERAGE(O17:O18)</f>
        <v>7019.8507972789757</v>
      </c>
    </row>
    <row r="20" spans="5:15" x14ac:dyDescent="0.35">
      <c r="H20" s="52"/>
    </row>
    <row r="23" spans="5:15" x14ac:dyDescent="0.35">
      <c r="M23" s="52"/>
    </row>
    <row r="24" spans="5:15" x14ac:dyDescent="0.35">
      <c r="L24" s="52"/>
    </row>
  </sheetData>
  <mergeCells count="7">
    <mergeCell ref="D4:P4"/>
    <mergeCell ref="D12:I12"/>
    <mergeCell ref="E19:G19"/>
    <mergeCell ref="J17:N17"/>
    <mergeCell ref="J18:M18"/>
    <mergeCell ref="E17:G17"/>
    <mergeCell ref="E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Input_Statements</vt:lpstr>
      <vt:lpstr>Re_Income_Statement</vt:lpstr>
      <vt:lpstr>Re_Balance_Sheet</vt:lpstr>
      <vt:lpstr>FCF</vt:lpstr>
      <vt:lpstr>Ratio Analysis</vt:lpstr>
      <vt:lpstr>Part 3</vt:lpstr>
      <vt:lpstr>Forecasts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Urgunde</dc:creator>
  <cp:lastModifiedBy>URGUNDE, SHREYAS (PGT)</cp:lastModifiedBy>
  <dcterms:created xsi:type="dcterms:W3CDTF">2025-04-17T16:08:26Z</dcterms:created>
  <dcterms:modified xsi:type="dcterms:W3CDTF">2025-04-19T22:13:40Z</dcterms:modified>
</cp:coreProperties>
</file>