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70" windowWidth="18675" windowHeight="6300" activeTab="1"/>
  </bookViews>
  <sheets>
    <sheet name="Sample 1" sheetId="1" r:id="rId1"/>
    <sheet name="Sample 3" sheetId="2" r:id="rId2"/>
    <sheet name="Sample 8" sheetId="3" r:id="rId3"/>
    <sheet name="Sample 10" sheetId="4" r:id="rId4"/>
    <sheet name="Sample 12" sheetId="5" r:id="rId5"/>
    <sheet name="Sample 13" sheetId="7" r:id="rId6"/>
  </sheets>
  <calcPr calcId="145621"/>
</workbook>
</file>

<file path=xl/calcChain.xml><?xml version="1.0" encoding="utf-8"?>
<calcChain xmlns="http://schemas.openxmlformats.org/spreadsheetml/2006/main">
  <c r="K4" i="7" l="1"/>
  <c r="S4" i="5" l="1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AI22" i="2"/>
  <c r="AH22" i="2"/>
  <c r="X22" i="2"/>
  <c r="L22" i="2"/>
  <c r="R22" i="2"/>
  <c r="S22" i="2" s="1"/>
  <c r="Q22" i="2"/>
  <c r="P22" i="2"/>
  <c r="O22" i="2"/>
  <c r="N22" i="2"/>
  <c r="C22" i="2"/>
  <c r="B22" i="2"/>
  <c r="X26" i="2"/>
  <c r="L26" i="2"/>
  <c r="C26" i="2"/>
  <c r="O26" i="2" s="1"/>
  <c r="P26" i="2" s="1"/>
  <c r="B26" i="2"/>
  <c r="X11" i="2"/>
  <c r="L11" i="2"/>
  <c r="N11" i="2"/>
  <c r="Q11" i="2" s="1"/>
  <c r="R11" i="2" s="1"/>
  <c r="S11" i="2" s="1"/>
  <c r="O11" i="2"/>
  <c r="B11" i="2"/>
  <c r="AJ40" i="4"/>
  <c r="AI40" i="4"/>
  <c r="X40" i="4"/>
  <c r="S40" i="4"/>
  <c r="R40" i="4"/>
  <c r="Q40" i="4"/>
  <c r="P40" i="4"/>
  <c r="O40" i="4"/>
  <c r="N40" i="4"/>
  <c r="L40" i="4"/>
  <c r="C40" i="4"/>
  <c r="B40" i="4"/>
  <c r="K24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X12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Q24" i="4" s="1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3" i="4"/>
  <c r="C12" i="4"/>
  <c r="B12" i="4"/>
  <c r="AH11" i="2" l="1"/>
  <c r="P11" i="2"/>
  <c r="AI11" i="2" s="1"/>
  <c r="N26" i="2"/>
  <c r="Q26" i="2" s="1"/>
  <c r="R26" i="2" s="1"/>
  <c r="S26" i="2" s="1"/>
  <c r="R24" i="4"/>
  <c r="S24" i="4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K19" i="3" l="1"/>
  <c r="AH5" i="7"/>
  <c r="AI5" i="7"/>
  <c r="AI6" i="7"/>
  <c r="AI7" i="7"/>
  <c r="AI8" i="7"/>
  <c r="AI9" i="7"/>
  <c r="AI10" i="7"/>
  <c r="AI11" i="7"/>
  <c r="AI13" i="7"/>
  <c r="AI15" i="7"/>
  <c r="AI16" i="7"/>
  <c r="AI17" i="7"/>
  <c r="AI18" i="7"/>
  <c r="AI19" i="7"/>
  <c r="AI21" i="7"/>
  <c r="AI22" i="7"/>
  <c r="AI23" i="7"/>
  <c r="AI24" i="7"/>
  <c r="AI25" i="7"/>
  <c r="AI3" i="7"/>
  <c r="AH6" i="7"/>
  <c r="AH7" i="7"/>
  <c r="AH8" i="7"/>
  <c r="AH9" i="7"/>
  <c r="AH10" i="7"/>
  <c r="AH11" i="7"/>
  <c r="AH13" i="7"/>
  <c r="AH15" i="7"/>
  <c r="AH16" i="7"/>
  <c r="AH17" i="7"/>
  <c r="AH18" i="7"/>
  <c r="AH19" i="7"/>
  <c r="AH21" i="7"/>
  <c r="AH22" i="7"/>
  <c r="AH23" i="7"/>
  <c r="AH24" i="7"/>
  <c r="AH25" i="7"/>
  <c r="AH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3" i="7"/>
  <c r="X3" i="4"/>
  <c r="S5" i="7"/>
  <c r="S6" i="7"/>
  <c r="S7" i="7"/>
  <c r="S8" i="7"/>
  <c r="S9" i="7"/>
  <c r="S10" i="7"/>
  <c r="S11" i="7"/>
  <c r="S13" i="7"/>
  <c r="S15" i="7"/>
  <c r="S16" i="7"/>
  <c r="S17" i="7"/>
  <c r="S18" i="7"/>
  <c r="S19" i="7"/>
  <c r="S21" i="7"/>
  <c r="S22" i="7"/>
  <c r="S23" i="7"/>
  <c r="S24" i="7"/>
  <c r="S25" i="7"/>
  <c r="S3" i="7"/>
  <c r="Q5" i="7"/>
  <c r="Q6" i="7"/>
  <c r="Q7" i="7"/>
  <c r="Q8" i="7"/>
  <c r="Q9" i="7"/>
  <c r="Q10" i="7"/>
  <c r="Q11" i="7"/>
  <c r="Q13" i="7"/>
  <c r="Q14" i="7"/>
  <c r="R14" i="7" s="1"/>
  <c r="S14" i="7" s="1"/>
  <c r="Q15" i="7"/>
  <c r="Q16" i="7"/>
  <c r="Q17" i="7"/>
  <c r="Q18" i="7"/>
  <c r="Q19" i="7"/>
  <c r="Q20" i="7"/>
  <c r="Q21" i="7"/>
  <c r="Q22" i="7"/>
  <c r="Q23" i="7"/>
  <c r="Q24" i="7"/>
  <c r="Q25" i="7"/>
  <c r="Q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3" i="7"/>
  <c r="N4" i="7"/>
  <c r="Q4" i="7" s="1"/>
  <c r="N5" i="7"/>
  <c r="N6" i="7"/>
  <c r="N7" i="7"/>
  <c r="N8" i="7"/>
  <c r="N9" i="7"/>
  <c r="N10" i="7"/>
  <c r="N11" i="7"/>
  <c r="N12" i="7"/>
  <c r="Q12" i="7" s="1"/>
  <c r="R12" i="7" s="1"/>
  <c r="S12" i="7" s="1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3" i="7"/>
  <c r="B3" i="4"/>
  <c r="B3" i="5"/>
  <c r="L25" i="7"/>
  <c r="R25" i="7" s="1"/>
  <c r="R24" i="7"/>
  <c r="L24" i="7"/>
  <c r="L23" i="7"/>
  <c r="R22" i="7"/>
  <c r="L22" i="7"/>
  <c r="L21" i="7"/>
  <c r="R21" i="7" s="1"/>
  <c r="L20" i="7"/>
  <c r="R20" i="7" s="1"/>
  <c r="S20" i="7" s="1"/>
  <c r="L19" i="7"/>
  <c r="R18" i="7"/>
  <c r="L18" i="7"/>
  <c r="L17" i="7"/>
  <c r="R17" i="7" s="1"/>
  <c r="R16" i="7"/>
  <c r="L16" i="7"/>
  <c r="L15" i="7"/>
  <c r="L14" i="7"/>
  <c r="L13" i="7"/>
  <c r="R13" i="7" s="1"/>
  <c r="L12" i="7"/>
  <c r="L11" i="7"/>
  <c r="L10" i="7"/>
  <c r="L9" i="7"/>
  <c r="R9" i="7" s="1"/>
  <c r="R8" i="7"/>
  <c r="L8" i="7"/>
  <c r="L7" i="7"/>
  <c r="R7" i="7" s="1"/>
  <c r="R6" i="7"/>
  <c r="L6" i="7"/>
  <c r="L5" i="7"/>
  <c r="R5" i="7" s="1"/>
  <c r="L4" i="7"/>
  <c r="L3" i="7"/>
  <c r="R3" i="7" s="1"/>
  <c r="R4" i="7" l="1"/>
  <c r="S4" i="7" s="1"/>
  <c r="AI4" i="7" s="1"/>
  <c r="AI14" i="7"/>
  <c r="AH14" i="7"/>
  <c r="AI12" i="7"/>
  <c r="AH12" i="7"/>
  <c r="AH20" i="7"/>
  <c r="AI20" i="7"/>
  <c r="R11" i="7"/>
  <c r="R19" i="7"/>
  <c r="R15" i="7"/>
  <c r="R23" i="7"/>
  <c r="R10" i="7"/>
  <c r="AI3" i="5"/>
  <c r="AH3" i="5"/>
  <c r="X4" i="4"/>
  <c r="X5" i="4"/>
  <c r="X6" i="4"/>
  <c r="X7" i="4"/>
  <c r="X8" i="4"/>
  <c r="X9" i="4"/>
  <c r="X10" i="4"/>
  <c r="X11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3" i="5"/>
  <c r="O3" i="4"/>
  <c r="P3" i="4" s="1"/>
  <c r="Q3" i="4"/>
  <c r="R3" i="4" s="1"/>
  <c r="S3" i="4" s="1"/>
  <c r="B4" i="4"/>
  <c r="B5" i="4"/>
  <c r="B6" i="4"/>
  <c r="B7" i="4"/>
  <c r="B8" i="4"/>
  <c r="B9" i="4"/>
  <c r="B10" i="4"/>
  <c r="B11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AK3" i="1"/>
  <c r="AI33" i="3"/>
  <c r="AI5" i="3"/>
  <c r="AI6" i="3"/>
  <c r="AI7" i="3"/>
  <c r="AI8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25" i="3"/>
  <c r="AI26" i="3"/>
  <c r="AI27" i="3"/>
  <c r="AI29" i="3"/>
  <c r="AI30" i="3"/>
  <c r="AI31" i="3"/>
  <c r="AI32" i="3"/>
  <c r="AI34" i="3"/>
  <c r="AI35" i="3"/>
  <c r="AI36" i="3"/>
  <c r="AI37" i="3"/>
  <c r="AI38" i="3"/>
  <c r="AI3" i="3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3" i="5"/>
  <c r="AI74" i="5"/>
  <c r="AI75" i="5"/>
  <c r="AI76" i="5"/>
  <c r="AI77" i="5"/>
  <c r="AI78" i="5"/>
  <c r="AI79" i="5"/>
  <c r="AI80" i="5"/>
  <c r="AH80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3" i="5"/>
  <c r="AH74" i="5"/>
  <c r="AH75" i="5"/>
  <c r="AH76" i="5"/>
  <c r="AH77" i="5"/>
  <c r="AH78" i="5"/>
  <c r="AH79" i="5"/>
  <c r="AH3" i="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AH72" i="5" s="1"/>
  <c r="X73" i="5"/>
  <c r="X74" i="5"/>
  <c r="X75" i="5"/>
  <c r="X76" i="5"/>
  <c r="X77" i="5"/>
  <c r="X78" i="5"/>
  <c r="X79" i="5"/>
  <c r="X80" i="5"/>
  <c r="X3" i="3"/>
  <c r="R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3" i="5"/>
  <c r="K32" i="5"/>
  <c r="K29" i="5"/>
  <c r="K24" i="5"/>
  <c r="K22" i="5"/>
  <c r="K20" i="5"/>
  <c r="K18" i="5"/>
  <c r="K7" i="5"/>
  <c r="S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3" i="3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P4" i="1"/>
  <c r="P5" i="1"/>
  <c r="P6" i="1"/>
  <c r="S6" i="1" s="1"/>
  <c r="T6" i="1" s="1"/>
  <c r="AJ6" i="1" s="1"/>
  <c r="P7" i="1"/>
  <c r="P8" i="1"/>
  <c r="P9" i="1"/>
  <c r="P10" i="1"/>
  <c r="S10" i="1" s="1"/>
  <c r="T10" i="1" s="1"/>
  <c r="AJ10" i="1" s="1"/>
  <c r="P11" i="1"/>
  <c r="P12" i="1"/>
  <c r="P13" i="1"/>
  <c r="P14" i="1"/>
  <c r="S14" i="1" s="1"/>
  <c r="T14" i="1" s="1"/>
  <c r="AJ14" i="1" s="1"/>
  <c r="P15" i="1"/>
  <c r="P16" i="1"/>
  <c r="P17" i="1"/>
  <c r="P18" i="1"/>
  <c r="S18" i="1" s="1"/>
  <c r="T18" i="1" s="1"/>
  <c r="AJ18" i="1" s="1"/>
  <c r="P19" i="1"/>
  <c r="P20" i="1"/>
  <c r="P21" i="1"/>
  <c r="P22" i="1"/>
  <c r="S22" i="1" s="1"/>
  <c r="T22" i="1" s="1"/>
  <c r="AJ22" i="1" s="1"/>
  <c r="P23" i="1"/>
  <c r="P24" i="1"/>
  <c r="P25" i="1"/>
  <c r="P26" i="1"/>
  <c r="S26" i="1" s="1"/>
  <c r="T26" i="1" s="1"/>
  <c r="AJ26" i="1" s="1"/>
  <c r="P27" i="1"/>
  <c r="P28" i="1"/>
  <c r="P29" i="1"/>
  <c r="P30" i="1"/>
  <c r="S30" i="1" s="1"/>
  <c r="T30" i="1" s="1"/>
  <c r="AJ30" i="1" s="1"/>
  <c r="P31" i="1"/>
  <c r="P32" i="1"/>
  <c r="P33" i="1"/>
  <c r="P3" i="1"/>
  <c r="S3" i="1" s="1"/>
  <c r="T3" i="1" s="1"/>
  <c r="AJ3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  <c r="B3" i="2"/>
  <c r="AI26" i="2"/>
  <c r="P12" i="2"/>
  <c r="O4" i="2"/>
  <c r="O5" i="2"/>
  <c r="O6" i="2"/>
  <c r="O7" i="2"/>
  <c r="O8" i="2"/>
  <c r="O9" i="2"/>
  <c r="O10" i="2"/>
  <c r="O12" i="2"/>
  <c r="O13" i="2"/>
  <c r="O14" i="2"/>
  <c r="O15" i="2"/>
  <c r="O16" i="2"/>
  <c r="O17" i="2"/>
  <c r="O18" i="2"/>
  <c r="O19" i="2"/>
  <c r="O20" i="2"/>
  <c r="O21" i="2"/>
  <c r="O23" i="2"/>
  <c r="O24" i="2"/>
  <c r="O25" i="2"/>
  <c r="O3" i="2"/>
  <c r="P3" i="2" s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" i="3"/>
  <c r="N3" i="2"/>
  <c r="Q3" i="2" s="1"/>
  <c r="N7" i="2"/>
  <c r="Q7" i="2" s="1"/>
  <c r="N16" i="2"/>
  <c r="Q16" i="2" s="1"/>
  <c r="N25" i="2"/>
  <c r="Q25" i="2" s="1"/>
  <c r="B5" i="2"/>
  <c r="P5" i="2" s="1"/>
  <c r="B6" i="2"/>
  <c r="P6" i="2" s="1"/>
  <c r="B7" i="2"/>
  <c r="P7" i="2" s="1"/>
  <c r="B8" i="2"/>
  <c r="B9" i="2"/>
  <c r="P9" i="2" s="1"/>
  <c r="B10" i="2"/>
  <c r="P10" i="2" s="1"/>
  <c r="B12" i="2"/>
  <c r="N12" i="2" s="1"/>
  <c r="Q12" i="2" s="1"/>
  <c r="B13" i="2"/>
  <c r="B14" i="2"/>
  <c r="P14" i="2" s="1"/>
  <c r="B15" i="2"/>
  <c r="P15" i="2" s="1"/>
  <c r="B16" i="2"/>
  <c r="P16" i="2" s="1"/>
  <c r="B17" i="2"/>
  <c r="B18" i="2"/>
  <c r="P18" i="2" s="1"/>
  <c r="B19" i="2"/>
  <c r="P19" i="2" s="1"/>
  <c r="B20" i="2"/>
  <c r="N20" i="2" s="1"/>
  <c r="Q20" i="2" s="1"/>
  <c r="B21" i="2"/>
  <c r="B23" i="2"/>
  <c r="P23" i="2" s="1"/>
  <c r="B24" i="2"/>
  <c r="P24" i="2" s="1"/>
  <c r="B25" i="2"/>
  <c r="P25" i="2" s="1"/>
  <c r="B4" i="2"/>
  <c r="R4" i="3"/>
  <c r="R5" i="3"/>
  <c r="R6" i="3"/>
  <c r="R7" i="3"/>
  <c r="R8" i="3"/>
  <c r="R10" i="3"/>
  <c r="R11" i="3"/>
  <c r="R12" i="3"/>
  <c r="R13" i="3"/>
  <c r="R14" i="3"/>
  <c r="R15" i="3"/>
  <c r="R16" i="3"/>
  <c r="R17" i="3"/>
  <c r="R18" i="3"/>
  <c r="R20" i="3"/>
  <c r="R21" i="3"/>
  <c r="R22" i="3"/>
  <c r="R23" i="3"/>
  <c r="R24" i="3"/>
  <c r="R25" i="3"/>
  <c r="R26" i="3"/>
  <c r="R27" i="3"/>
  <c r="R29" i="3"/>
  <c r="R30" i="3"/>
  <c r="R31" i="3"/>
  <c r="R32" i="3"/>
  <c r="R33" i="3"/>
  <c r="R34" i="3"/>
  <c r="R35" i="3"/>
  <c r="R36" i="3"/>
  <c r="R37" i="3"/>
  <c r="R38" i="3"/>
  <c r="R3" i="3"/>
  <c r="Q4" i="3"/>
  <c r="Q5" i="3"/>
  <c r="Q6" i="3"/>
  <c r="Q7" i="3"/>
  <c r="Q8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9" i="3"/>
  <c r="Q30" i="3"/>
  <c r="Q31" i="3"/>
  <c r="Q32" i="3"/>
  <c r="Q33" i="3"/>
  <c r="Q34" i="3"/>
  <c r="Q35" i="3"/>
  <c r="Q36" i="3"/>
  <c r="Q37" i="3"/>
  <c r="Q38" i="3"/>
  <c r="Q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N4" i="3"/>
  <c r="N5" i="3"/>
  <c r="N6" i="3"/>
  <c r="N7" i="3"/>
  <c r="N8" i="3"/>
  <c r="N9" i="3"/>
  <c r="Q9" i="3" s="1"/>
  <c r="R9" i="3" s="1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Q28" i="3" s="1"/>
  <c r="N29" i="3"/>
  <c r="N30" i="3"/>
  <c r="N31" i="3"/>
  <c r="N32" i="3"/>
  <c r="N33" i="3"/>
  <c r="N34" i="3"/>
  <c r="N35" i="3"/>
  <c r="N36" i="3"/>
  <c r="N37" i="3"/>
  <c r="N38" i="3"/>
  <c r="N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X4" i="3"/>
  <c r="AI4" i="3" s="1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" i="2"/>
  <c r="AH26" i="2"/>
  <c r="X4" i="2"/>
  <c r="X5" i="2"/>
  <c r="X6" i="2"/>
  <c r="X7" i="2"/>
  <c r="X8" i="2"/>
  <c r="X9" i="2"/>
  <c r="X10" i="2"/>
  <c r="X12" i="2"/>
  <c r="X13" i="2"/>
  <c r="X14" i="2"/>
  <c r="X15" i="2"/>
  <c r="X16" i="2"/>
  <c r="X17" i="2"/>
  <c r="X18" i="2"/>
  <c r="X19" i="2"/>
  <c r="X20" i="2"/>
  <c r="X21" i="2"/>
  <c r="X23" i="2"/>
  <c r="X24" i="2"/>
  <c r="X25" i="2"/>
  <c r="Y3" i="1"/>
  <c r="T7" i="1"/>
  <c r="AJ7" i="1" s="1"/>
  <c r="T11" i="1"/>
  <c r="AJ11" i="1" s="1"/>
  <c r="T15" i="1"/>
  <c r="AJ15" i="1" s="1"/>
  <c r="T19" i="1"/>
  <c r="AJ19" i="1" s="1"/>
  <c r="T23" i="1"/>
  <c r="AJ23" i="1" s="1"/>
  <c r="T27" i="1"/>
  <c r="AJ27" i="1" s="1"/>
  <c r="T31" i="1"/>
  <c r="AJ31" i="1" s="1"/>
  <c r="S4" i="1"/>
  <c r="T4" i="1" s="1"/>
  <c r="AJ4" i="1" s="1"/>
  <c r="S5" i="1"/>
  <c r="T5" i="1" s="1"/>
  <c r="AJ5" i="1" s="1"/>
  <c r="S7" i="1"/>
  <c r="S8" i="1"/>
  <c r="T8" i="1" s="1"/>
  <c r="AJ8" i="1" s="1"/>
  <c r="S9" i="1"/>
  <c r="T9" i="1" s="1"/>
  <c r="AJ9" i="1" s="1"/>
  <c r="S11" i="1"/>
  <c r="S12" i="1"/>
  <c r="T12" i="1" s="1"/>
  <c r="AJ12" i="1" s="1"/>
  <c r="S13" i="1"/>
  <c r="T13" i="1" s="1"/>
  <c r="AJ13" i="1" s="1"/>
  <c r="S15" i="1"/>
  <c r="S16" i="1"/>
  <c r="T16" i="1" s="1"/>
  <c r="AJ16" i="1" s="1"/>
  <c r="S17" i="1"/>
  <c r="T17" i="1" s="1"/>
  <c r="AJ17" i="1" s="1"/>
  <c r="S19" i="1"/>
  <c r="S20" i="1"/>
  <c r="T20" i="1" s="1"/>
  <c r="AJ20" i="1" s="1"/>
  <c r="S21" i="1"/>
  <c r="T21" i="1" s="1"/>
  <c r="AJ21" i="1" s="1"/>
  <c r="S23" i="1"/>
  <c r="S24" i="1"/>
  <c r="T24" i="1" s="1"/>
  <c r="AJ24" i="1" s="1"/>
  <c r="S25" i="1"/>
  <c r="T25" i="1" s="1"/>
  <c r="AJ25" i="1" s="1"/>
  <c r="S27" i="1"/>
  <c r="S28" i="1"/>
  <c r="T28" i="1" s="1"/>
  <c r="AJ28" i="1" s="1"/>
  <c r="S29" i="1"/>
  <c r="T29" i="1" s="1"/>
  <c r="AJ29" i="1" s="1"/>
  <c r="S31" i="1"/>
  <c r="S32" i="1"/>
  <c r="T32" i="1" s="1"/>
  <c r="AJ32" i="1" s="1"/>
  <c r="S33" i="1"/>
  <c r="T33" i="1" s="1"/>
  <c r="AJ33" i="1" s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AH4" i="7" l="1"/>
  <c r="P4" i="2"/>
  <c r="P21" i="2"/>
  <c r="P17" i="2"/>
  <c r="P13" i="2"/>
  <c r="P8" i="2"/>
  <c r="N18" i="2"/>
  <c r="Q18" i="2" s="1"/>
  <c r="N23" i="2"/>
  <c r="Q23" i="2" s="1"/>
  <c r="N14" i="2"/>
  <c r="Q14" i="2" s="1"/>
  <c r="N5" i="2"/>
  <c r="Q5" i="2" s="1"/>
  <c r="P20" i="2"/>
  <c r="N9" i="2"/>
  <c r="Q9" i="2" s="1"/>
  <c r="N24" i="2"/>
  <c r="Q24" i="2" s="1"/>
  <c r="N19" i="2"/>
  <c r="Q19" i="2" s="1"/>
  <c r="N15" i="2"/>
  <c r="Q15" i="2" s="1"/>
  <c r="N10" i="2"/>
  <c r="Q10" i="2" s="1"/>
  <c r="N6" i="2"/>
  <c r="Q6" i="2" s="1"/>
  <c r="N21" i="2"/>
  <c r="Q21" i="2" s="1"/>
  <c r="N17" i="2"/>
  <c r="Q17" i="2" s="1"/>
  <c r="N13" i="2"/>
  <c r="Q13" i="2" s="1"/>
  <c r="N8" i="2"/>
  <c r="Q8" i="2" s="1"/>
  <c r="N4" i="2"/>
  <c r="Q4" i="2" s="1"/>
  <c r="AI24" i="4"/>
  <c r="AJ24" i="4"/>
  <c r="AJ3" i="4"/>
  <c r="AI3" i="4"/>
  <c r="AI72" i="5"/>
  <c r="R80" i="5"/>
  <c r="S80" i="5" s="1"/>
  <c r="L80" i="5"/>
  <c r="K79" i="5"/>
  <c r="L79" i="5" s="1"/>
  <c r="L78" i="5"/>
  <c r="R78" i="5" s="1"/>
  <c r="S78" i="5" s="1"/>
  <c r="L77" i="5"/>
  <c r="R77" i="5" s="1"/>
  <c r="S77" i="5" s="1"/>
  <c r="L76" i="5"/>
  <c r="R76" i="5" s="1"/>
  <c r="S76" i="5" s="1"/>
  <c r="K76" i="5"/>
  <c r="R75" i="5"/>
  <c r="S75" i="5" s="1"/>
  <c r="L75" i="5"/>
  <c r="R74" i="5"/>
  <c r="S74" i="5" s="1"/>
  <c r="L74" i="5"/>
  <c r="R73" i="5"/>
  <c r="S73" i="5" s="1"/>
  <c r="L73" i="5"/>
  <c r="R72" i="5"/>
  <c r="S72" i="5" s="1"/>
  <c r="L72" i="5"/>
  <c r="R71" i="5"/>
  <c r="S71" i="5" s="1"/>
  <c r="L71" i="5"/>
  <c r="R70" i="5"/>
  <c r="S70" i="5" s="1"/>
  <c r="K70" i="5"/>
  <c r="L70" i="5" s="1"/>
  <c r="R69" i="5"/>
  <c r="S69" i="5" s="1"/>
  <c r="L69" i="5"/>
  <c r="R68" i="5"/>
  <c r="S68" i="5" s="1"/>
  <c r="L68" i="5"/>
  <c r="R67" i="5"/>
  <c r="S67" i="5" s="1"/>
  <c r="L67" i="5"/>
  <c r="K67" i="5"/>
  <c r="R66" i="5"/>
  <c r="S66" i="5" s="1"/>
  <c r="L66" i="5"/>
  <c r="R65" i="5"/>
  <c r="S65" i="5" s="1"/>
  <c r="K65" i="5"/>
  <c r="L65" i="5" s="1"/>
  <c r="L64" i="5"/>
  <c r="R64" i="5" s="1"/>
  <c r="S64" i="5" s="1"/>
  <c r="L63" i="5"/>
  <c r="R63" i="5" s="1"/>
  <c r="S63" i="5" s="1"/>
  <c r="L62" i="5"/>
  <c r="R62" i="5" s="1"/>
  <c r="S62" i="5" s="1"/>
  <c r="K62" i="5"/>
  <c r="K61" i="5"/>
  <c r="L61" i="5" s="1"/>
  <c r="R60" i="5"/>
  <c r="S60" i="5" s="1"/>
  <c r="L60" i="5"/>
  <c r="R59" i="5"/>
  <c r="S59" i="5" s="1"/>
  <c r="L59" i="5"/>
  <c r="K59" i="5"/>
  <c r="R58" i="5"/>
  <c r="S58" i="5" s="1"/>
  <c r="K58" i="5"/>
  <c r="L58" i="5" s="1"/>
  <c r="L57" i="5"/>
  <c r="R57" i="5" s="1"/>
  <c r="S57" i="5" s="1"/>
  <c r="L56" i="5"/>
  <c r="R56" i="5" s="1"/>
  <c r="S56" i="5" s="1"/>
  <c r="L55" i="5"/>
  <c r="R55" i="5" s="1"/>
  <c r="S55" i="5" s="1"/>
  <c r="L54" i="5"/>
  <c r="R54" i="5" s="1"/>
  <c r="S54" i="5" s="1"/>
  <c r="L53" i="5"/>
  <c r="R53" i="5" s="1"/>
  <c r="S53" i="5" s="1"/>
  <c r="K53" i="5"/>
  <c r="K52" i="5"/>
  <c r="L52" i="5" s="1"/>
  <c r="R51" i="5"/>
  <c r="S51" i="5" s="1"/>
  <c r="L51" i="5"/>
  <c r="K51" i="5"/>
  <c r="R50" i="5"/>
  <c r="S50" i="5" s="1"/>
  <c r="L50" i="5"/>
  <c r="R49" i="5"/>
  <c r="S49" i="5" s="1"/>
  <c r="L49" i="5"/>
  <c r="R48" i="5"/>
  <c r="S48" i="5" s="1"/>
  <c r="L48" i="5"/>
  <c r="R47" i="5"/>
  <c r="S47" i="5" s="1"/>
  <c r="L47" i="5"/>
  <c r="R46" i="5"/>
  <c r="S46" i="5" s="1"/>
  <c r="L46" i="5"/>
  <c r="R45" i="5"/>
  <c r="S45" i="5" s="1"/>
  <c r="L45" i="5"/>
  <c r="R44" i="5"/>
  <c r="S44" i="5" s="1"/>
  <c r="L44" i="5"/>
  <c r="R43" i="5"/>
  <c r="S43" i="5" s="1"/>
  <c r="L43" i="5"/>
  <c r="R42" i="5"/>
  <c r="S42" i="5" s="1"/>
  <c r="L42" i="5"/>
  <c r="K41" i="5"/>
  <c r="L41" i="5" s="1"/>
  <c r="L40" i="5"/>
  <c r="R40" i="5" s="1"/>
  <c r="S40" i="5" s="1"/>
  <c r="L39" i="5"/>
  <c r="R39" i="5" s="1"/>
  <c r="S39" i="5" s="1"/>
  <c r="K39" i="5"/>
  <c r="K38" i="5"/>
  <c r="L38" i="5" s="1"/>
  <c r="R37" i="5"/>
  <c r="S37" i="5" s="1"/>
  <c r="L37" i="5"/>
  <c r="R36" i="5"/>
  <c r="S36" i="5" s="1"/>
  <c r="L36" i="5"/>
  <c r="R35" i="5"/>
  <c r="S35" i="5" s="1"/>
  <c r="L35" i="5"/>
  <c r="R34" i="5"/>
  <c r="S34" i="5" s="1"/>
  <c r="L34" i="5"/>
  <c r="R33" i="5"/>
  <c r="S33" i="5" s="1"/>
  <c r="L33" i="5"/>
  <c r="L32" i="5"/>
  <c r="R32" i="5" s="1"/>
  <c r="S32" i="5" s="1"/>
  <c r="R31" i="5"/>
  <c r="S31" i="5" s="1"/>
  <c r="L31" i="5"/>
  <c r="K31" i="5"/>
  <c r="K30" i="5"/>
  <c r="L30" i="5" s="1"/>
  <c r="L29" i="5"/>
  <c r="R29" i="5" s="1"/>
  <c r="S29" i="5" s="1"/>
  <c r="L28" i="5"/>
  <c r="R28" i="5" s="1"/>
  <c r="S28" i="5" s="1"/>
  <c r="L27" i="5"/>
  <c r="R27" i="5" s="1"/>
  <c r="S27" i="5" s="1"/>
  <c r="L26" i="5"/>
  <c r="R26" i="5" s="1"/>
  <c r="S26" i="5" s="1"/>
  <c r="T25" i="5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L25" i="5"/>
  <c r="R25" i="5" s="1"/>
  <c r="S25" i="5" s="1"/>
  <c r="L24" i="5"/>
  <c r="R23" i="5"/>
  <c r="S23" i="5" s="1"/>
  <c r="L23" i="5"/>
  <c r="L22" i="5"/>
  <c r="L21" i="5"/>
  <c r="R21" i="5" s="1"/>
  <c r="L20" i="5"/>
  <c r="L19" i="5"/>
  <c r="K19" i="5"/>
  <c r="L18" i="5"/>
  <c r="L17" i="5"/>
  <c r="L16" i="5"/>
  <c r="L15" i="5"/>
  <c r="L14" i="5"/>
  <c r="L13" i="5"/>
  <c r="L12" i="5"/>
  <c r="K11" i="5"/>
  <c r="L11" i="5" s="1"/>
  <c r="L10" i="5"/>
  <c r="L9" i="5"/>
  <c r="L8" i="5"/>
  <c r="L7" i="5"/>
  <c r="L6" i="5"/>
  <c r="L5" i="5"/>
  <c r="L4" i="5"/>
  <c r="L3" i="5"/>
  <c r="L38" i="3"/>
  <c r="S38" i="3" s="1"/>
  <c r="AH38" i="3" s="1"/>
  <c r="L37" i="3"/>
  <c r="S37" i="3" s="1"/>
  <c r="AH37" i="3" s="1"/>
  <c r="L36" i="3"/>
  <c r="S36" i="3" s="1"/>
  <c r="AH36" i="3" s="1"/>
  <c r="L35" i="3"/>
  <c r="S35" i="3" s="1"/>
  <c r="AH35" i="3" s="1"/>
  <c r="L34" i="3"/>
  <c r="S34" i="3" s="1"/>
  <c r="AH34" i="3" s="1"/>
  <c r="L33" i="3"/>
  <c r="S33" i="3" s="1"/>
  <c r="AH33" i="3" s="1"/>
  <c r="L32" i="3"/>
  <c r="S32" i="3" s="1"/>
  <c r="AH32" i="3" s="1"/>
  <c r="L31" i="3"/>
  <c r="S31" i="3" s="1"/>
  <c r="AH31" i="3" s="1"/>
  <c r="L30" i="3"/>
  <c r="S30" i="3" s="1"/>
  <c r="AH30" i="3" s="1"/>
  <c r="L29" i="3"/>
  <c r="S29" i="3" s="1"/>
  <c r="AH29" i="3" s="1"/>
  <c r="L28" i="3"/>
  <c r="L27" i="3"/>
  <c r="S27" i="3" s="1"/>
  <c r="AH27" i="3" s="1"/>
  <c r="L26" i="3"/>
  <c r="S26" i="3" s="1"/>
  <c r="AH26" i="3" s="1"/>
  <c r="L25" i="3"/>
  <c r="S25" i="3" s="1"/>
  <c r="AH25" i="3" s="1"/>
  <c r="L24" i="3"/>
  <c r="S24" i="3" s="1"/>
  <c r="AH24" i="3" s="1"/>
  <c r="L23" i="3"/>
  <c r="S23" i="3" s="1"/>
  <c r="AH23" i="3" s="1"/>
  <c r="L22" i="3"/>
  <c r="S22" i="3" s="1"/>
  <c r="AH22" i="3" s="1"/>
  <c r="L21" i="3"/>
  <c r="S21" i="3" s="1"/>
  <c r="AH21" i="3" s="1"/>
  <c r="L20" i="3"/>
  <c r="S20" i="3" s="1"/>
  <c r="AH20" i="3" s="1"/>
  <c r="L19" i="3"/>
  <c r="L18" i="3"/>
  <c r="S18" i="3" s="1"/>
  <c r="AH18" i="3" s="1"/>
  <c r="L17" i="3"/>
  <c r="S17" i="3" s="1"/>
  <c r="AH17" i="3" s="1"/>
  <c r="L16" i="3"/>
  <c r="S16" i="3" s="1"/>
  <c r="AH16" i="3" s="1"/>
  <c r="L15" i="3"/>
  <c r="S15" i="3" s="1"/>
  <c r="AH15" i="3" s="1"/>
  <c r="L14" i="3"/>
  <c r="S14" i="3" s="1"/>
  <c r="AH14" i="3" s="1"/>
  <c r="L13" i="3"/>
  <c r="S13" i="3" s="1"/>
  <c r="AH13" i="3" s="1"/>
  <c r="L12" i="3"/>
  <c r="S12" i="3" s="1"/>
  <c r="AH12" i="3" s="1"/>
  <c r="L11" i="3"/>
  <c r="S11" i="3" s="1"/>
  <c r="AH11" i="3" s="1"/>
  <c r="L10" i="3"/>
  <c r="S10" i="3" s="1"/>
  <c r="AH10" i="3" s="1"/>
  <c r="L9" i="3"/>
  <c r="S9" i="3" s="1"/>
  <c r="L8" i="3"/>
  <c r="S8" i="3" s="1"/>
  <c r="AH8" i="3" s="1"/>
  <c r="L7" i="3"/>
  <c r="S7" i="3" s="1"/>
  <c r="AH7" i="3" s="1"/>
  <c r="L6" i="3"/>
  <c r="S6" i="3" s="1"/>
  <c r="AH6" i="3" s="1"/>
  <c r="L5" i="3"/>
  <c r="S5" i="3" s="1"/>
  <c r="AH5" i="3" s="1"/>
  <c r="L4" i="3"/>
  <c r="S4" i="3" s="1"/>
  <c r="AH4" i="3" s="1"/>
  <c r="L3" i="3"/>
  <c r="S3" i="3" s="1"/>
  <c r="L25" i="2"/>
  <c r="R25" i="2" s="1"/>
  <c r="L24" i="2"/>
  <c r="R24" i="2" s="1"/>
  <c r="L23" i="2"/>
  <c r="R23" i="2" s="1"/>
  <c r="K23" i="2"/>
  <c r="L21" i="2"/>
  <c r="L20" i="2"/>
  <c r="R20" i="2" s="1"/>
  <c r="L19" i="2"/>
  <c r="K18" i="2"/>
  <c r="L18" i="2" s="1"/>
  <c r="R18" i="2" s="1"/>
  <c r="K17" i="2"/>
  <c r="L17" i="2" s="1"/>
  <c r="L16" i="2"/>
  <c r="R16" i="2" s="1"/>
  <c r="K15" i="2"/>
  <c r="L15" i="2" s="1"/>
  <c r="R15" i="2" s="1"/>
  <c r="L14" i="2"/>
  <c r="R14" i="2" s="1"/>
  <c r="K13" i="2"/>
  <c r="L13" i="2" s="1"/>
  <c r="L12" i="2"/>
  <c r="R12" i="2" s="1"/>
  <c r="L10" i="2"/>
  <c r="R10" i="2" s="1"/>
  <c r="R9" i="2"/>
  <c r="L9" i="2"/>
  <c r="L8" i="2"/>
  <c r="R8" i="2" s="1"/>
  <c r="R7" i="2"/>
  <c r="L7" i="2"/>
  <c r="L6" i="2"/>
  <c r="R6" i="2" s="1"/>
  <c r="L5" i="2"/>
  <c r="L4" i="2"/>
  <c r="L3" i="2"/>
  <c r="R3" i="2" s="1"/>
  <c r="S3" i="2" s="1"/>
  <c r="M33" i="1"/>
  <c r="M32" i="1"/>
  <c r="M31" i="1"/>
  <c r="M30" i="1"/>
  <c r="M29" i="1"/>
  <c r="M28" i="1"/>
  <c r="M27" i="1"/>
  <c r="L27" i="1"/>
  <c r="M26" i="1"/>
  <c r="M25" i="1"/>
  <c r="M24" i="1"/>
  <c r="M23" i="1"/>
  <c r="M22" i="1"/>
  <c r="M21" i="1"/>
  <c r="M20" i="1"/>
  <c r="L19" i="1"/>
  <c r="M19" i="1" s="1"/>
  <c r="L18" i="1"/>
  <c r="M18" i="1" s="1"/>
  <c r="M17" i="1"/>
  <c r="M16" i="1"/>
  <c r="M15" i="1"/>
  <c r="M14" i="1"/>
  <c r="L14" i="1"/>
  <c r="M13" i="1"/>
  <c r="M12" i="1"/>
  <c r="M11" i="1"/>
  <c r="M10" i="1"/>
  <c r="M9" i="1"/>
  <c r="L9" i="1"/>
  <c r="M8" i="1"/>
  <c r="M7" i="1"/>
  <c r="M6" i="1"/>
  <c r="M5" i="1"/>
  <c r="M4" i="1"/>
  <c r="M3" i="1"/>
  <c r="AI8" i="5" l="1"/>
  <c r="AH8" i="5"/>
  <c r="AI10" i="5"/>
  <c r="AH10" i="5"/>
  <c r="AI13" i="5"/>
  <c r="AH13" i="5"/>
  <c r="AI15" i="5"/>
  <c r="AH15" i="5"/>
  <c r="AH4" i="5"/>
  <c r="AI4" i="5"/>
  <c r="AI6" i="5"/>
  <c r="AH6" i="5"/>
  <c r="AI16" i="5"/>
  <c r="AH16" i="5"/>
  <c r="AI7" i="5"/>
  <c r="AH7" i="5"/>
  <c r="AI9" i="5"/>
  <c r="AH9" i="5"/>
  <c r="AI12" i="5"/>
  <c r="AH12" i="5"/>
  <c r="AI14" i="5"/>
  <c r="AH14" i="5"/>
  <c r="AI5" i="5"/>
  <c r="AH5" i="5"/>
  <c r="AI17" i="5"/>
  <c r="AH17" i="5"/>
  <c r="AI19" i="5"/>
  <c r="AH19" i="5"/>
  <c r="R5" i="2"/>
  <c r="S5" i="2" s="1"/>
  <c r="AI5" i="2" s="1"/>
  <c r="R4" i="2"/>
  <c r="R21" i="2"/>
  <c r="S20" i="2"/>
  <c r="AI20" i="2" s="1"/>
  <c r="S24" i="2"/>
  <c r="AI24" i="2" s="1"/>
  <c r="S12" i="2"/>
  <c r="AI12" i="2" s="1"/>
  <c r="AI3" i="2"/>
  <c r="AH3" i="2"/>
  <c r="S15" i="2"/>
  <c r="AI15" i="2" s="1"/>
  <c r="S16" i="2"/>
  <c r="AI16" i="2" s="1"/>
  <c r="S23" i="2"/>
  <c r="AI23" i="2" s="1"/>
  <c r="S4" i="2"/>
  <c r="AI4" i="2" s="1"/>
  <c r="S8" i="2"/>
  <c r="AI8" i="2" s="1"/>
  <c r="S21" i="2"/>
  <c r="AI21" i="2" s="1"/>
  <c r="S7" i="2"/>
  <c r="AI7" i="2" s="1"/>
  <c r="S10" i="2"/>
  <c r="AI10" i="2" s="1"/>
  <c r="S18" i="2"/>
  <c r="AI18" i="2" s="1"/>
  <c r="R19" i="2"/>
  <c r="S6" i="2"/>
  <c r="AI6" i="2" s="1"/>
  <c r="S14" i="2"/>
  <c r="AI14" i="2" s="1"/>
  <c r="S9" i="2"/>
  <c r="AI9" i="2" s="1"/>
  <c r="S25" i="2"/>
  <c r="AI25" i="2" s="1"/>
  <c r="R28" i="3"/>
  <c r="S28" i="3" s="1"/>
  <c r="AH9" i="3"/>
  <c r="AI9" i="3"/>
  <c r="R19" i="3"/>
  <c r="S19" i="3" s="1"/>
  <c r="R24" i="5"/>
  <c r="S24" i="5" s="1"/>
  <c r="R22" i="5"/>
  <c r="S22" i="5" s="1"/>
  <c r="R20" i="5"/>
  <c r="R41" i="5"/>
  <c r="S41" i="5" s="1"/>
  <c r="R52" i="5"/>
  <c r="S52" i="5" s="1"/>
  <c r="R79" i="5"/>
  <c r="S79" i="5" s="1"/>
  <c r="R30" i="5"/>
  <c r="S30" i="5" s="1"/>
  <c r="R38" i="5"/>
  <c r="S38" i="5" s="1"/>
  <c r="R61" i="5"/>
  <c r="S61" i="5" s="1"/>
  <c r="R17" i="2"/>
  <c r="R13" i="2"/>
  <c r="AI18" i="5" l="1"/>
  <c r="AH18" i="5"/>
  <c r="AI11" i="5"/>
  <c r="AH11" i="5"/>
  <c r="AH9" i="2"/>
  <c r="AH6" i="2"/>
  <c r="AH25" i="2"/>
  <c r="AH14" i="2"/>
  <c r="AH18" i="2"/>
  <c r="AH7" i="2"/>
  <c r="AH8" i="2"/>
  <c r="AH23" i="2"/>
  <c r="AH15" i="2"/>
  <c r="AH12" i="2"/>
  <c r="AH20" i="2"/>
  <c r="S13" i="2"/>
  <c r="AI13" i="2" s="1"/>
  <c r="S17" i="2"/>
  <c r="AI17" i="2" s="1"/>
  <c r="S19" i="2"/>
  <c r="AI19" i="2" s="1"/>
  <c r="AH10" i="2"/>
  <c r="AH21" i="2"/>
  <c r="AH4" i="2"/>
  <c r="AH16" i="2"/>
  <c r="AH24" i="2"/>
  <c r="AH5" i="2"/>
  <c r="AH28" i="3"/>
  <c r="AI28" i="3"/>
  <c r="AH19" i="3"/>
  <c r="AI19" i="3"/>
  <c r="AH13" i="2" l="1"/>
  <c r="AH17" i="2"/>
  <c r="AH19" i="2"/>
</calcChain>
</file>

<file path=xl/sharedStrings.xml><?xml version="1.0" encoding="utf-8"?>
<sst xmlns="http://schemas.openxmlformats.org/spreadsheetml/2006/main" count="475" uniqueCount="111">
  <si>
    <t>Centroid</t>
  </si>
  <si>
    <t xml:space="preserve">  Net_Area</t>
  </si>
  <si>
    <t xml:space="preserve">   Net_Area</t>
  </si>
  <si>
    <t xml:space="preserve">      Peak</t>
  </si>
  <si>
    <t xml:space="preserve"> FWHM</t>
  </si>
  <si>
    <t xml:space="preserve">   FWHM</t>
  </si>
  <si>
    <t>Reduced</t>
  </si>
  <si>
    <t xml:space="preserve"> ROI_Total</t>
  </si>
  <si>
    <t>Isotope</t>
  </si>
  <si>
    <t>Half-Life</t>
  </si>
  <si>
    <t>Decay Constant</t>
  </si>
  <si>
    <t>Branching Ratio</t>
  </si>
  <si>
    <t>cps/g</t>
  </si>
  <si>
    <t>cps/g @t0</t>
  </si>
  <si>
    <t>ROI</t>
  </si>
  <si>
    <t>Live Time</t>
  </si>
  <si>
    <t>Real Time</t>
  </si>
  <si>
    <t>Dead Time</t>
  </si>
  <si>
    <t>Sample ID/Type</t>
  </si>
  <si>
    <t>Sample Mass</t>
  </si>
  <si>
    <t xml:space="preserve">     keV</t>
  </si>
  <si>
    <t xml:space="preserve">    Counts</t>
  </si>
  <si>
    <t>Uncertainty</t>
  </si>
  <si>
    <t xml:space="preserve">       CPS</t>
  </si>
  <si>
    <t xml:space="preserve">  keV</t>
  </si>
  <si>
    <t>Percent</t>
  </si>
  <si>
    <t>Chi_Sqr</t>
  </si>
  <si>
    <t>(s)</t>
  </si>
  <si>
    <t>(1/s)</t>
  </si>
  <si>
    <t>1/(s*g)</t>
  </si>
  <si>
    <t>ID#</t>
  </si>
  <si>
    <t>(%)</t>
  </si>
  <si>
    <t>(g)</t>
  </si>
  <si>
    <t>75-Se</t>
  </si>
  <si>
    <t>1/UCB 060 Fish</t>
  </si>
  <si>
    <t>203-Hg</t>
  </si>
  <si>
    <t>Annihlation</t>
  </si>
  <si>
    <t>82-Br</t>
  </si>
  <si>
    <t>76-As</t>
  </si>
  <si>
    <t>134-Cs</t>
  </si>
  <si>
    <t>86-Rb</t>
  </si>
  <si>
    <t>65-Zn</t>
  </si>
  <si>
    <t>60-Co</t>
  </si>
  <si>
    <t>24-Na</t>
  </si>
  <si>
    <t>40-K</t>
  </si>
  <si>
    <t>3/UCB 064 Fish</t>
  </si>
  <si>
    <t>Sample ID/type</t>
  </si>
  <si>
    <t>8/Sea Palm</t>
  </si>
  <si>
    <t>47-Sc</t>
  </si>
  <si>
    <t>47-Ca</t>
  </si>
  <si>
    <t>CPS/g</t>
  </si>
  <si>
    <t>10/Wakame</t>
  </si>
  <si>
    <t xml:space="preserve">  No Fit</t>
  </si>
  <si>
    <t xml:space="preserve">    No Fit</t>
  </si>
  <si>
    <t xml:space="preserve">  NA       </t>
  </si>
  <si>
    <t xml:space="preserve">        NA</t>
  </si>
  <si>
    <t xml:space="preserve">   NA</t>
  </si>
  <si>
    <t xml:space="preserve">     NA</t>
  </si>
  <si>
    <t>Live time</t>
  </si>
  <si>
    <t>Sea shell 2</t>
  </si>
  <si>
    <t>239-Np(?)</t>
  </si>
  <si>
    <t>131-Ba</t>
  </si>
  <si>
    <t>141-Ce(?)</t>
  </si>
  <si>
    <t>Cr-51</t>
  </si>
  <si>
    <t>140-La</t>
  </si>
  <si>
    <t>95-Zr</t>
  </si>
  <si>
    <t>46-Sc</t>
  </si>
  <si>
    <t>59-Fe</t>
  </si>
  <si>
    <t xml:space="preserve">Dead Time </t>
  </si>
  <si>
    <t>13/Seashell 3</t>
  </si>
  <si>
    <t>51-Cr? (syn)</t>
  </si>
  <si>
    <t>annihlation</t>
  </si>
  <si>
    <t>46-Sc (syn)</t>
  </si>
  <si>
    <t>Sum peak (46-Sc)</t>
  </si>
  <si>
    <t>A</t>
  </si>
  <si>
    <t>I.A.</t>
  </si>
  <si>
    <t>X-section</t>
  </si>
  <si>
    <t>X-section (corrected)</t>
  </si>
  <si>
    <t>cm^2</t>
  </si>
  <si>
    <t>Neutron Flux</t>
  </si>
  <si>
    <t>Time of Spectra</t>
  </si>
  <si>
    <t>Time of Irradiaton</t>
  </si>
  <si>
    <t>3/29/2016 - 2:52:50 PM</t>
  </si>
  <si>
    <t>4/12/2016 - 20:39:46</t>
  </si>
  <si>
    <t>∆t</t>
  </si>
  <si>
    <t>n/(s*cm^2)</t>
  </si>
  <si>
    <t>cps/g (corrected)</t>
  </si>
  <si>
    <t>4/22/16 - 15:55:44</t>
  </si>
  <si>
    <t>x-section (thermal)</t>
  </si>
  <si>
    <t>x-section (corrected)</t>
  </si>
  <si>
    <t>4/15/16 - 17:39:00</t>
  </si>
  <si>
    <t>X-section (thermal)</t>
  </si>
  <si>
    <t>X-Section (Corrected)</t>
  </si>
  <si>
    <t>Activity</t>
  </si>
  <si>
    <t>Efficiency</t>
  </si>
  <si>
    <t>error cps</t>
  </si>
  <si>
    <t>Activity error</t>
  </si>
  <si>
    <t>EW/SW error</t>
  </si>
  <si>
    <t>EW/SW</t>
  </si>
  <si>
    <t>Error CPS</t>
  </si>
  <si>
    <t>Activity Error</t>
  </si>
  <si>
    <t>4/17/16 - 23:35:35</t>
  </si>
  <si>
    <t>activity error</t>
  </si>
  <si>
    <t>CPS/g (corrected)</t>
  </si>
  <si>
    <t>4/17/16 - 11:05:23</t>
  </si>
  <si>
    <t>cps error</t>
  </si>
  <si>
    <t>cps/g Corrected</t>
  </si>
  <si>
    <t>4/16/16 - 15:39:08</t>
  </si>
  <si>
    <t>X-section(corrected)</t>
  </si>
  <si>
    <t>SQRT(Net_Area)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</si>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</sst>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0" fontId="0" fillId="0" borderId="0" xfId="0" applyNumberFormat="1"/>
    <xf numFmtId="2" fontId="0" fillId="0" borderId="0" xfId="0" applyNumberFormat="1"/>
    <xf numFmtId="11" fontId="1" fillId="0" borderId="0" xfId="0" applyNumberFormat="1" applyFont="1" applyAlignment="1">
      <alignment vertical="center"/>
    </xf>
    <xf numFmtId="14" fontId="0" fillId="0" borderId="0" xfId="0" applyNumberFormat="1"/>
    <xf numFmtId="0" fontId="2" fillId="0" borderId="0" xfId="0" applyFont="1"/>
    <xf numFmtId="1" fontId="0" fillId="0" borderId="0" xfId="0" applyNumberFormat="1"/>
    <xf numFmtId="0" fontId="0" fillId="0" borderId="0" xfId="0" applyNumberFormat="1"/>
    <xf numFmtId="0" fontId="0" fillId="2" borderId="0" xfId="0" applyFill="1"/>
    <xf numFmtId="11" fontId="0" fillId="2" borderId="0" xfId="0" applyNumberFormat="1" applyFill="1"/>
    <xf numFmtId="10" fontId="0" fillId="2" borderId="0" xfId="0" applyNumberFormat="1" applyFill="1"/>
    <xf numFmtId="11" fontId="1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workbookViewId="0">
      <selection activeCell="A8" sqref="A8"/>
    </sheetView>
  </sheetViews>
  <sheetFormatPr defaultRowHeight="15" x14ac:dyDescent="0.25"/>
  <cols>
    <col min="31" max="31" width="12.5703125" bestFit="1" customWidth="1"/>
    <col min="32" max="32" width="21" bestFit="1" customWidth="1"/>
    <col min="33" max="33" width="18.7109375" bestFit="1" customWidth="1"/>
  </cols>
  <sheetData>
    <row r="1" spans="1:37" x14ac:dyDescent="0.25">
      <c r="A1" t="s">
        <v>0</v>
      </c>
      <c r="B1" t="s">
        <v>94</v>
      </c>
      <c r="C1" t="s">
        <v>1</v>
      </c>
      <c r="D1" t="s">
        <v>109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93</v>
      </c>
      <c r="P1" t="s">
        <v>12</v>
      </c>
      <c r="Q1" t="s">
        <v>95</v>
      </c>
      <c r="R1" t="s">
        <v>100</v>
      </c>
      <c r="S1" t="s">
        <v>86</v>
      </c>
      <c r="T1" t="s">
        <v>13</v>
      </c>
      <c r="U1" t="s">
        <v>14</v>
      </c>
      <c r="V1" t="s">
        <v>74</v>
      </c>
      <c r="W1" t="s">
        <v>75</v>
      </c>
      <c r="X1" t="s">
        <v>76</v>
      </c>
      <c r="Y1" t="s">
        <v>77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79</v>
      </c>
      <c r="AF1" t="s">
        <v>81</v>
      </c>
      <c r="AG1" t="s">
        <v>80</v>
      </c>
      <c r="AH1" s="6" t="s">
        <v>84</v>
      </c>
      <c r="AJ1" t="s">
        <v>98</v>
      </c>
      <c r="AK1" t="s">
        <v>97</v>
      </c>
    </row>
    <row r="2" spans="1:37" x14ac:dyDescent="0.25">
      <c r="A2" t="s">
        <v>20</v>
      </c>
      <c r="C2" t="s">
        <v>21</v>
      </c>
      <c r="D2" t="s">
        <v>110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21</v>
      </c>
      <c r="L2" t="s">
        <v>27</v>
      </c>
      <c r="M2" t="s">
        <v>28</v>
      </c>
      <c r="P2" t="s">
        <v>29</v>
      </c>
      <c r="U2" t="s">
        <v>30</v>
      </c>
      <c r="X2" t="s">
        <v>78</v>
      </c>
      <c r="Y2" t="s">
        <v>78</v>
      </c>
      <c r="Z2" t="s">
        <v>27</v>
      </c>
      <c r="AA2" t="s">
        <v>27</v>
      </c>
      <c r="AB2" t="s">
        <v>31</v>
      </c>
      <c r="AD2" t="s">
        <v>32</v>
      </c>
      <c r="AE2" t="s">
        <v>85</v>
      </c>
      <c r="AH2" t="s">
        <v>27</v>
      </c>
    </row>
    <row r="3" spans="1:37" x14ac:dyDescent="0.25">
      <c r="A3">
        <v>264.62</v>
      </c>
      <c r="B3">
        <f>13.367*A3^-0.847</f>
        <v>0.11859668523438574</v>
      </c>
      <c r="C3">
        <v>597.9</v>
      </c>
      <c r="D3">
        <f>SQRT(C3)</f>
        <v>24.451993783738782</v>
      </c>
      <c r="E3">
        <v>74.8</v>
      </c>
      <c r="F3" s="1">
        <v>2.0500000000000001E-2</v>
      </c>
      <c r="G3">
        <v>1.62</v>
      </c>
      <c r="H3" s="2">
        <v>6.1000000000000004E-3</v>
      </c>
      <c r="I3">
        <v>0.87</v>
      </c>
      <c r="J3">
        <v>7930</v>
      </c>
      <c r="K3" t="s">
        <v>33</v>
      </c>
      <c r="L3">
        <v>10348300.800000001</v>
      </c>
      <c r="M3" s="1">
        <f>LN(2)/L3</f>
        <v>6.6981738737237439E-8</v>
      </c>
      <c r="N3">
        <v>0.58899999999999997</v>
      </c>
      <c r="O3">
        <f>C3/($Z$3*B3*N3)</f>
        <v>0.29312837232625433</v>
      </c>
      <c r="P3" s="1">
        <f>O3/$AD$3</f>
        <v>0.61157599066608459</v>
      </c>
      <c r="Q3" s="1">
        <f>SQRT(C3)/$Z$3</f>
        <v>8.3739704738831444E-4</v>
      </c>
      <c r="R3" s="1">
        <f>(1/(B3*N3))*Q3</f>
        <v>1.1987912925169823E-2</v>
      </c>
      <c r="S3" s="1">
        <f>P3*(M3*$AA$3)/(1-EXP(-M3*$AA$3))</f>
        <v>0.6121748810733102</v>
      </c>
      <c r="T3" s="1">
        <f>S3*EXP(M3*$AH$3)</f>
        <v>0.66508554178703161</v>
      </c>
      <c r="U3">
        <v>1</v>
      </c>
      <c r="V3" s="3">
        <v>74</v>
      </c>
      <c r="W3">
        <v>8.6999999999999994E-3</v>
      </c>
      <c r="X3" s="4">
        <v>5.9198300000000002E-23</v>
      </c>
      <c r="Y3" s="1">
        <f>(1/1.128)*((293/473)^(1/2))*X3</f>
        <v>4.1305071227793612E-23</v>
      </c>
      <c r="Z3">
        <v>29200</v>
      </c>
      <c r="AA3">
        <v>29230</v>
      </c>
      <c r="AB3">
        <v>0.1</v>
      </c>
      <c r="AC3" t="s">
        <v>34</v>
      </c>
      <c r="AD3">
        <v>0.4793</v>
      </c>
      <c r="AE3" s="1">
        <v>100000000000</v>
      </c>
      <c r="AF3" s="5" t="s">
        <v>82</v>
      </c>
      <c r="AG3" t="s">
        <v>83</v>
      </c>
      <c r="AH3">
        <v>1237616</v>
      </c>
      <c r="AJ3" s="1">
        <f>T3*(V3/(6.022E+23*W3))*(1/M3)*(1/($AE$3*Y3*100))</f>
        <v>3.3953881643517859E-4</v>
      </c>
      <c r="AK3" s="1">
        <f>AJ3*R3</f>
        <v>4.0703617661401412E-6</v>
      </c>
    </row>
    <row r="4" spans="1:37" x14ac:dyDescent="0.25">
      <c r="A4">
        <v>279.18</v>
      </c>
      <c r="B4">
        <f t="shared" ref="B4:B33" si="0">13.367*A4^-0.847</f>
        <v>0.11333653826542209</v>
      </c>
      <c r="C4">
        <v>1300.8</v>
      </c>
      <c r="D4">
        <f t="shared" ref="D4:D33" si="1">SQRT(C4)</f>
        <v>36.066605052319524</v>
      </c>
      <c r="E4">
        <v>69.2</v>
      </c>
      <c r="F4" s="1">
        <v>4.4600000000000001E-2</v>
      </c>
      <c r="G4">
        <v>1.27</v>
      </c>
      <c r="H4" s="2">
        <v>4.5999999999999999E-3</v>
      </c>
      <c r="I4">
        <v>1.04</v>
      </c>
      <c r="J4">
        <v>6716</v>
      </c>
      <c r="K4" t="s">
        <v>35</v>
      </c>
      <c r="L4">
        <v>4027276.8</v>
      </c>
      <c r="M4" s="1">
        <f t="shared" ref="M4:M33" si="2">LN(2)/L4</f>
        <v>1.7211312134292467E-7</v>
      </c>
      <c r="N4">
        <v>0.81</v>
      </c>
      <c r="O4">
        <f t="shared" ref="O4:O33" si="3">C4/($Z$3*B4*N4)</f>
        <v>0.48525801174413064</v>
      </c>
      <c r="P4" s="1">
        <f t="shared" ref="P4:P33" si="4">O4/$AD$3</f>
        <v>1.0124306525018374</v>
      </c>
      <c r="Q4" s="1">
        <f t="shared" ref="Q4:Q33" si="5">SQRT(C4)/$Z$3</f>
        <v>1.2351577072712166E-3</v>
      </c>
      <c r="R4" s="1">
        <f t="shared" ref="R4:R33" si="6">(1/(B4*N4))*Q4</f>
        <v>1.3454496508340548E-2</v>
      </c>
      <c r="S4" s="1">
        <f t="shared" ref="S4:S33" si="7">P4*(M4*$AA$3)/(1-EXP(-M4*$AA$3))</f>
        <v>1.0149794895989872</v>
      </c>
      <c r="T4" s="1">
        <f t="shared" ref="T4:T33" si="8">S4*EXP(M4*$AH$3)</f>
        <v>1.255932541719883</v>
      </c>
      <c r="U4">
        <v>2</v>
      </c>
      <c r="V4" s="3">
        <v>202</v>
      </c>
      <c r="W4">
        <v>0.29859999999999998</v>
      </c>
      <c r="X4" s="4">
        <v>1.9567299999999999E-23</v>
      </c>
      <c r="Y4" s="1">
        <f t="shared" ref="Y4:Y33" si="9">(1/1.128)*((293/473)^(1/2))*X4</f>
        <v>1.3652904225891721E-23</v>
      </c>
      <c r="AJ4" s="1">
        <f t="shared" ref="AJ4:AJ33" si="10">T4*(V4/(6.022E+23*W4))*(1/M4)*(1/($AE$3*Y4*100))</f>
        <v>6.0041025825445796E-5</v>
      </c>
      <c r="AK4" s="1">
        <f t="shared" ref="AK4:AK33" si="11">AJ4*R4</f>
        <v>8.0782177232564511E-7</v>
      </c>
    </row>
    <row r="5" spans="1:37" x14ac:dyDescent="0.25">
      <c r="A5">
        <v>400.52</v>
      </c>
      <c r="B5">
        <f t="shared" si="0"/>
        <v>8.3485536865827964E-2</v>
      </c>
      <c r="C5">
        <v>233.7</v>
      </c>
      <c r="D5">
        <f t="shared" si="1"/>
        <v>15.287249589118376</v>
      </c>
      <c r="E5">
        <v>38.5</v>
      </c>
      <c r="F5" s="1">
        <v>8.0000000000000002E-3</v>
      </c>
      <c r="G5">
        <v>1.0900000000000001</v>
      </c>
      <c r="H5" s="2">
        <v>2.7000000000000001E-3</v>
      </c>
      <c r="I5">
        <v>0.67</v>
      </c>
      <c r="J5">
        <v>2169</v>
      </c>
      <c r="K5" t="s">
        <v>33</v>
      </c>
      <c r="L5">
        <v>10348300.800000001</v>
      </c>
      <c r="M5" s="1">
        <f t="shared" si="2"/>
        <v>6.6981738737237439E-8</v>
      </c>
      <c r="N5">
        <v>0.1147</v>
      </c>
      <c r="O5">
        <f t="shared" si="3"/>
        <v>0.83579775205154072</v>
      </c>
      <c r="P5" s="1">
        <f t="shared" si="4"/>
        <v>1.7437883414386413</v>
      </c>
      <c r="Q5" s="1">
        <f t="shared" si="5"/>
        <v>5.2353594483282113E-4</v>
      </c>
      <c r="R5" s="1">
        <f t="shared" si="6"/>
        <v>5.467286624576799E-2</v>
      </c>
      <c r="S5" s="1">
        <f t="shared" si="7"/>
        <v>1.7454959593403545</v>
      </c>
      <c r="T5" s="1">
        <f t="shared" si="8"/>
        <v>1.8963602749749735</v>
      </c>
      <c r="U5">
        <v>3</v>
      </c>
      <c r="V5" s="3">
        <v>74</v>
      </c>
      <c r="W5">
        <v>8.6999999999999994E-3</v>
      </c>
      <c r="X5" s="4">
        <v>5.9198300000000002E-23</v>
      </c>
      <c r="Y5" s="1">
        <f t="shared" si="9"/>
        <v>4.1305071227793612E-23</v>
      </c>
      <c r="AJ5" s="1">
        <f t="shared" si="10"/>
        <v>9.6812798180759892E-4</v>
      </c>
      <c r="AK5" s="1">
        <f t="shared" si="11"/>
        <v>5.2930331658152164E-5</v>
      </c>
    </row>
    <row r="6" spans="1:37" x14ac:dyDescent="0.25">
      <c r="A6">
        <v>510.88</v>
      </c>
      <c r="B6">
        <f t="shared" si="0"/>
        <v>6.7934101963699478E-2</v>
      </c>
      <c r="C6">
        <v>805.7</v>
      </c>
      <c r="D6">
        <f t="shared" si="1"/>
        <v>28.384855116769579</v>
      </c>
      <c r="E6">
        <v>48.9</v>
      </c>
      <c r="F6" s="1">
        <v>2.76E-2</v>
      </c>
      <c r="G6">
        <v>2.62</v>
      </c>
      <c r="H6" s="2">
        <v>5.1000000000000004E-3</v>
      </c>
      <c r="I6">
        <v>0.9</v>
      </c>
      <c r="J6">
        <v>2755</v>
      </c>
      <c r="K6" t="s">
        <v>36</v>
      </c>
      <c r="M6" s="1" t="e">
        <f t="shared" si="2"/>
        <v>#DIV/0!</v>
      </c>
      <c r="O6" t="e">
        <f t="shared" si="3"/>
        <v>#DIV/0!</v>
      </c>
      <c r="P6" s="1" t="e">
        <f t="shared" si="4"/>
        <v>#DIV/0!</v>
      </c>
      <c r="Q6" s="1">
        <f t="shared" si="5"/>
        <v>9.7208407934142396E-4</v>
      </c>
      <c r="R6" s="1" t="e">
        <f t="shared" si="6"/>
        <v>#DIV/0!</v>
      </c>
      <c r="S6" s="1" t="e">
        <f t="shared" si="7"/>
        <v>#DIV/0!</v>
      </c>
      <c r="T6" s="1" t="e">
        <f t="shared" si="8"/>
        <v>#DIV/0!</v>
      </c>
      <c r="U6">
        <v>4</v>
      </c>
      <c r="V6" s="3"/>
      <c r="Y6" s="1">
        <f t="shared" si="9"/>
        <v>0</v>
      </c>
      <c r="AJ6" s="1" t="e">
        <f t="shared" si="10"/>
        <v>#DIV/0!</v>
      </c>
      <c r="AK6" s="1" t="e">
        <f t="shared" si="11"/>
        <v>#DIV/0!</v>
      </c>
    </row>
    <row r="7" spans="1:37" x14ac:dyDescent="0.25">
      <c r="A7">
        <v>554.33000000000004</v>
      </c>
      <c r="B7">
        <f t="shared" si="0"/>
        <v>6.3396039549425492E-2</v>
      </c>
      <c r="C7">
        <v>2335.9</v>
      </c>
      <c r="D7">
        <f t="shared" si="1"/>
        <v>48.331149375945948</v>
      </c>
      <c r="E7">
        <v>55.3</v>
      </c>
      <c r="F7" s="1">
        <v>0.08</v>
      </c>
      <c r="G7">
        <v>1.37</v>
      </c>
      <c r="H7" s="2">
        <v>2.5000000000000001E-3</v>
      </c>
      <c r="I7">
        <v>1.08</v>
      </c>
      <c r="J7">
        <v>3343</v>
      </c>
      <c r="K7" t="s">
        <v>37</v>
      </c>
      <c r="L7">
        <v>127080</v>
      </c>
      <c r="M7" s="1">
        <f t="shared" si="2"/>
        <v>5.4544159628576115E-6</v>
      </c>
      <c r="N7">
        <v>0.70799999999999996</v>
      </c>
      <c r="O7">
        <f t="shared" si="3"/>
        <v>1.7822803127549165</v>
      </c>
      <c r="P7" s="1">
        <f t="shared" si="4"/>
        <v>3.7185068073334371</v>
      </c>
      <c r="Q7" s="1">
        <f t="shared" si="5"/>
        <v>1.6551763484912996E-3</v>
      </c>
      <c r="R7" s="1">
        <f t="shared" si="6"/>
        <v>3.6876431365026552E-2</v>
      </c>
      <c r="S7" s="1">
        <f t="shared" si="7"/>
        <v>4.0228056855319734</v>
      </c>
      <c r="T7" s="1">
        <f t="shared" si="8"/>
        <v>3437.3360875022063</v>
      </c>
      <c r="U7">
        <v>5</v>
      </c>
      <c r="V7" s="3">
        <v>81</v>
      </c>
      <c r="W7">
        <v>0.49309999999999998</v>
      </c>
      <c r="X7" s="4">
        <v>8.1571100000000004E-24</v>
      </c>
      <c r="Y7" s="1">
        <f t="shared" si="9"/>
        <v>5.691548736415532E-24</v>
      </c>
      <c r="AJ7" s="1">
        <f t="shared" si="10"/>
        <v>3.0203171511852412E-3</v>
      </c>
      <c r="AK7" s="1">
        <f t="shared" si="11"/>
        <v>1.1137851812629507E-4</v>
      </c>
    </row>
    <row r="8" spans="1:37" x14ac:dyDescent="0.25">
      <c r="A8">
        <v>559.05999999999995</v>
      </c>
      <c r="B8">
        <f t="shared" si="0"/>
        <v>6.2941438768704491E-2</v>
      </c>
      <c r="C8">
        <v>454.8</v>
      </c>
      <c r="D8">
        <f t="shared" si="1"/>
        <v>21.326040420106121</v>
      </c>
      <c r="E8">
        <v>33.299999999999997</v>
      </c>
      <c r="F8" s="1">
        <v>1.5599999999999999E-2</v>
      </c>
      <c r="G8">
        <v>1.29</v>
      </c>
      <c r="H8" s="2">
        <v>2.3E-3</v>
      </c>
      <c r="I8">
        <v>0.82</v>
      </c>
      <c r="J8">
        <v>1289</v>
      </c>
      <c r="K8" t="s">
        <v>38</v>
      </c>
      <c r="L8">
        <v>93121.919999999998</v>
      </c>
      <c r="M8" s="1">
        <f t="shared" si="2"/>
        <v>7.4434373835928777E-6</v>
      </c>
      <c r="N8">
        <v>0.45</v>
      </c>
      <c r="O8">
        <f t="shared" si="3"/>
        <v>0.5499059573981061</v>
      </c>
      <c r="P8" s="1">
        <f t="shared" si="4"/>
        <v>1.1473105724976134</v>
      </c>
      <c r="Q8" s="1">
        <f t="shared" si="5"/>
        <v>7.3034385000363426E-4</v>
      </c>
      <c r="R8" s="1">
        <f t="shared" si="6"/>
        <v>2.5785656716642846E-2</v>
      </c>
      <c r="S8" s="1">
        <f t="shared" si="7"/>
        <v>1.2766440419634313</v>
      </c>
      <c r="T8" s="1">
        <f t="shared" si="8"/>
        <v>12789.144365184036</v>
      </c>
      <c r="U8">
        <v>6</v>
      </c>
      <c r="V8" s="3">
        <v>75</v>
      </c>
      <c r="W8">
        <v>1</v>
      </c>
      <c r="X8" s="4">
        <v>9.9733600000000005E-24</v>
      </c>
      <c r="Y8" s="1">
        <f t="shared" si="9"/>
        <v>6.9588205266101859E-24</v>
      </c>
      <c r="AJ8" s="1">
        <f t="shared" si="10"/>
        <v>3.0750545674209473E-3</v>
      </c>
      <c r="AK8" s="1">
        <f t="shared" si="11"/>
        <v>7.9292301460461207E-5</v>
      </c>
    </row>
    <row r="9" spans="1:37" x14ac:dyDescent="0.25">
      <c r="A9">
        <v>604.47</v>
      </c>
      <c r="B9">
        <f t="shared" si="0"/>
        <v>5.8912782248560912E-2</v>
      </c>
      <c r="C9">
        <v>108.5</v>
      </c>
      <c r="D9">
        <f t="shared" si="1"/>
        <v>10.41633332799983</v>
      </c>
      <c r="E9">
        <v>24.8</v>
      </c>
      <c r="F9" s="1">
        <v>3.7200000000000002E-3</v>
      </c>
      <c r="G9">
        <v>1.06</v>
      </c>
      <c r="H9" s="2">
        <v>1.8E-3</v>
      </c>
      <c r="I9">
        <v>0.66</v>
      </c>
      <c r="J9">
        <v>763</v>
      </c>
      <c r="K9" t="s">
        <v>39</v>
      </c>
      <c r="L9">
        <f>2.0648*31600000</f>
        <v>65247680</v>
      </c>
      <c r="M9" s="1">
        <f t="shared" si="2"/>
        <v>1.0623323014089471E-8</v>
      </c>
      <c r="N9">
        <v>0.97619999999999996</v>
      </c>
      <c r="O9">
        <f t="shared" si="3"/>
        <v>6.4609822802787473E-2</v>
      </c>
      <c r="P9" s="1">
        <f t="shared" si="4"/>
        <v>0.13480038139534212</v>
      </c>
      <c r="Q9" s="1">
        <f t="shared" si="5"/>
        <v>3.5672374410958323E-4</v>
      </c>
      <c r="R9" s="1">
        <f t="shared" si="6"/>
        <v>6.2027414799708629E-3</v>
      </c>
      <c r="S9" s="1">
        <f t="shared" si="7"/>
        <v>0.13482131156763005</v>
      </c>
      <c r="T9" s="1">
        <f t="shared" si="8"/>
        <v>0.13660559129770442</v>
      </c>
      <c r="U9">
        <v>7</v>
      </c>
      <c r="V9" s="3">
        <v>133</v>
      </c>
      <c r="W9">
        <v>1</v>
      </c>
      <c r="X9" s="4">
        <v>3.3074400000000003E-23</v>
      </c>
      <c r="Y9" s="1">
        <f t="shared" si="9"/>
        <v>2.3077359448101334E-23</v>
      </c>
      <c r="AJ9" s="1">
        <f t="shared" si="10"/>
        <v>1.230645204737149E-5</v>
      </c>
      <c r="AK9" s="1">
        <f t="shared" si="11"/>
        <v>7.6333740585503488E-8</v>
      </c>
    </row>
    <row r="10" spans="1:37" x14ac:dyDescent="0.25">
      <c r="A10">
        <v>609.5</v>
      </c>
      <c r="B10">
        <f t="shared" si="0"/>
        <v>5.8500720607280211E-2</v>
      </c>
      <c r="C10">
        <v>139.9</v>
      </c>
      <c r="D10">
        <f t="shared" si="1"/>
        <v>11.827933040053955</v>
      </c>
      <c r="E10">
        <v>29.9</v>
      </c>
      <c r="F10" s="1">
        <v>4.79E-3</v>
      </c>
      <c r="G10">
        <v>1.75</v>
      </c>
      <c r="H10" s="2">
        <v>2.8999999999999998E-3</v>
      </c>
      <c r="I10">
        <v>0.95</v>
      </c>
      <c r="J10">
        <v>949</v>
      </c>
      <c r="M10" s="1" t="e">
        <f t="shared" si="2"/>
        <v>#DIV/0!</v>
      </c>
      <c r="O10" t="e">
        <f t="shared" si="3"/>
        <v>#DIV/0!</v>
      </c>
      <c r="P10" s="1" t="e">
        <f t="shared" si="4"/>
        <v>#DIV/0!</v>
      </c>
      <c r="Q10" s="1">
        <f t="shared" si="5"/>
        <v>4.0506620000184775E-4</v>
      </c>
      <c r="R10" s="1" t="e">
        <f t="shared" si="6"/>
        <v>#DIV/0!</v>
      </c>
      <c r="S10" s="1" t="e">
        <f t="shared" si="7"/>
        <v>#DIV/0!</v>
      </c>
      <c r="T10" s="1" t="e">
        <f t="shared" si="8"/>
        <v>#DIV/0!</v>
      </c>
      <c r="U10">
        <v>8</v>
      </c>
      <c r="V10" s="3"/>
      <c r="Y10" s="1">
        <f t="shared" si="9"/>
        <v>0</v>
      </c>
      <c r="AJ10" s="1" t="e">
        <f t="shared" si="10"/>
        <v>#DIV/0!</v>
      </c>
      <c r="AK10" s="1" t="e">
        <f t="shared" si="11"/>
        <v>#DIV/0!</v>
      </c>
    </row>
    <row r="11" spans="1:37" x14ac:dyDescent="0.25">
      <c r="A11">
        <v>619.13</v>
      </c>
      <c r="B11">
        <f t="shared" si="0"/>
        <v>5.7729091448254444E-2</v>
      </c>
      <c r="C11">
        <v>1173.2</v>
      </c>
      <c r="D11">
        <f t="shared" si="1"/>
        <v>34.25200724045235</v>
      </c>
      <c r="E11">
        <v>41.3</v>
      </c>
      <c r="F11" s="1">
        <v>4.02E-2</v>
      </c>
      <c r="G11">
        <v>1.37</v>
      </c>
      <c r="H11" s="2">
        <v>2.2000000000000001E-3</v>
      </c>
      <c r="I11">
        <v>1.04</v>
      </c>
      <c r="J11">
        <v>1740</v>
      </c>
      <c r="K11" t="s">
        <v>37</v>
      </c>
      <c r="L11">
        <v>127080</v>
      </c>
      <c r="M11" s="1">
        <f t="shared" si="2"/>
        <v>5.4544159628576115E-6</v>
      </c>
      <c r="N11">
        <v>0.434</v>
      </c>
      <c r="O11">
        <f t="shared" si="3"/>
        <v>1.6036321363436621</v>
      </c>
      <c r="P11" s="1">
        <f t="shared" si="4"/>
        <v>3.3457795458870478</v>
      </c>
      <c r="Q11" s="1">
        <f t="shared" si="5"/>
        <v>1.173013946590834E-3</v>
      </c>
      <c r="R11" s="1">
        <f t="shared" si="6"/>
        <v>4.6818632411409128E-2</v>
      </c>
      <c r="S11" s="1">
        <f t="shared" si="7"/>
        <v>3.6195768024915433</v>
      </c>
      <c r="T11" s="1">
        <f t="shared" si="8"/>
        <v>3092.7921797059767</v>
      </c>
      <c r="U11">
        <v>9</v>
      </c>
      <c r="V11" s="3">
        <v>81</v>
      </c>
      <c r="W11">
        <v>0.49309999999999998</v>
      </c>
      <c r="X11" s="4">
        <v>8.1571100000000004E-24</v>
      </c>
      <c r="Y11" s="1">
        <f t="shared" si="9"/>
        <v>5.691548736415532E-24</v>
      </c>
      <c r="AJ11" s="1">
        <f t="shared" si="10"/>
        <v>2.7175734428126542E-3</v>
      </c>
      <c r="AK11" s="1">
        <f t="shared" si="11"/>
        <v>1.2723307207005322E-4</v>
      </c>
    </row>
    <row r="12" spans="1:37" x14ac:dyDescent="0.25">
      <c r="A12">
        <v>698.36</v>
      </c>
      <c r="B12">
        <f t="shared" si="0"/>
        <v>5.2131321388684281E-2</v>
      </c>
      <c r="C12">
        <v>665</v>
      </c>
      <c r="D12">
        <f t="shared" si="1"/>
        <v>25.787593916455254</v>
      </c>
      <c r="E12">
        <v>32.700000000000003</v>
      </c>
      <c r="F12" s="1">
        <v>2.2800000000000001E-2</v>
      </c>
      <c r="G12">
        <v>1.46</v>
      </c>
      <c r="H12" s="2">
        <v>2.0999999999999999E-3</v>
      </c>
      <c r="I12">
        <v>1.08</v>
      </c>
      <c r="J12">
        <v>1278</v>
      </c>
      <c r="K12" t="s">
        <v>37</v>
      </c>
      <c r="L12">
        <v>127080</v>
      </c>
      <c r="M12" s="1">
        <f t="shared" si="2"/>
        <v>5.4544159628576115E-6</v>
      </c>
      <c r="N12">
        <v>0.28489999999999999</v>
      </c>
      <c r="O12">
        <f t="shared" si="3"/>
        <v>1.5333722921838582</v>
      </c>
      <c r="P12" s="1">
        <f t="shared" si="4"/>
        <v>3.199191095730979</v>
      </c>
      <c r="Q12" s="1">
        <f t="shared" si="5"/>
        <v>8.8313677796079634E-4</v>
      </c>
      <c r="R12" s="1">
        <f t="shared" si="6"/>
        <v>5.9461627058017302E-2</v>
      </c>
      <c r="S12" s="1">
        <f t="shared" si="7"/>
        <v>3.460992488605608</v>
      </c>
      <c r="T12" s="1">
        <f t="shared" si="8"/>
        <v>2957.2878507267314</v>
      </c>
      <c r="U12">
        <v>10</v>
      </c>
      <c r="V12" s="3">
        <v>81</v>
      </c>
      <c r="W12">
        <v>0.49309999999999998</v>
      </c>
      <c r="X12" s="4">
        <v>8.1571100000000004E-24</v>
      </c>
      <c r="Y12" s="1">
        <f t="shared" si="9"/>
        <v>5.691548736415532E-24</v>
      </c>
      <c r="AJ12" s="1">
        <f t="shared" si="10"/>
        <v>2.5985085511473003E-3</v>
      </c>
      <c r="AK12" s="1">
        <f t="shared" si="11"/>
        <v>1.5451154637538965E-4</v>
      </c>
    </row>
    <row r="13" spans="1:37" x14ac:dyDescent="0.25">
      <c r="A13">
        <v>776.54</v>
      </c>
      <c r="B13">
        <f t="shared" si="0"/>
        <v>4.7650249926894581E-2</v>
      </c>
      <c r="C13">
        <v>2150.6</v>
      </c>
      <c r="D13">
        <f t="shared" si="1"/>
        <v>46.374561992540691</v>
      </c>
      <c r="E13">
        <v>50</v>
      </c>
      <c r="F13" s="1">
        <v>7.3700000000000002E-2</v>
      </c>
      <c r="G13">
        <v>1.61</v>
      </c>
      <c r="H13" s="2">
        <v>2.0999999999999999E-3</v>
      </c>
      <c r="I13">
        <v>1.02</v>
      </c>
      <c r="J13">
        <v>2594</v>
      </c>
      <c r="K13" t="s">
        <v>37</v>
      </c>
      <c r="L13">
        <v>127080</v>
      </c>
      <c r="M13" s="1">
        <f t="shared" si="2"/>
        <v>5.4544159628576115E-6</v>
      </c>
      <c r="N13">
        <v>0.83499999999999996</v>
      </c>
      <c r="O13">
        <f t="shared" si="3"/>
        <v>1.8510797577546589</v>
      </c>
      <c r="P13" s="1">
        <f t="shared" si="4"/>
        <v>3.8620483157827223</v>
      </c>
      <c r="Q13" s="1">
        <f t="shared" si="5"/>
        <v>1.5881699312513934E-3</v>
      </c>
      <c r="R13" s="1">
        <f t="shared" si="6"/>
        <v>3.991584347583494E-2</v>
      </c>
      <c r="S13" s="1">
        <f t="shared" si="7"/>
        <v>4.1780937154371021</v>
      </c>
      <c r="T13" s="1">
        <f t="shared" si="8"/>
        <v>3570.0238658529606</v>
      </c>
      <c r="U13">
        <v>11</v>
      </c>
      <c r="V13" s="3">
        <v>81</v>
      </c>
      <c r="W13">
        <v>0.49309999999999998</v>
      </c>
      <c r="X13" s="4">
        <v>8.1571100000000004E-24</v>
      </c>
      <c r="Y13" s="1">
        <f t="shared" si="9"/>
        <v>5.691548736415532E-24</v>
      </c>
      <c r="AJ13" s="1">
        <f t="shared" si="10"/>
        <v>3.1369071972277471E-3</v>
      </c>
      <c r="AK13" s="1">
        <f t="shared" si="11"/>
        <v>1.2521229668276284E-4</v>
      </c>
    </row>
    <row r="14" spans="1:37" x14ac:dyDescent="0.25">
      <c r="A14">
        <v>795.63</v>
      </c>
      <c r="B14">
        <f t="shared" si="0"/>
        <v>4.6680081302788841E-2</v>
      </c>
      <c r="C14">
        <v>97.4</v>
      </c>
      <c r="D14">
        <f t="shared" si="1"/>
        <v>9.8691438331802619</v>
      </c>
      <c r="E14">
        <v>21</v>
      </c>
      <c r="F14" s="1">
        <v>3.3400000000000001E-3</v>
      </c>
      <c r="G14">
        <v>1.54</v>
      </c>
      <c r="H14" s="2">
        <v>1.9E-3</v>
      </c>
      <c r="I14">
        <v>0.88</v>
      </c>
      <c r="J14">
        <v>655</v>
      </c>
      <c r="K14" t="s">
        <v>39</v>
      </c>
      <c r="L14">
        <f>2.0648*31600000</f>
        <v>65247680</v>
      </c>
      <c r="M14" s="1">
        <f t="shared" si="2"/>
        <v>1.0623323014089471E-8</v>
      </c>
      <c r="N14">
        <v>0.85529999999999995</v>
      </c>
      <c r="O14">
        <f t="shared" si="3"/>
        <v>8.354607078506944E-2</v>
      </c>
      <c r="P14" s="1">
        <f t="shared" si="4"/>
        <v>0.17430851405188699</v>
      </c>
      <c r="Q14" s="1">
        <f t="shared" si="5"/>
        <v>3.3798437784863909E-4</v>
      </c>
      <c r="R14" s="1">
        <f t="shared" si="6"/>
        <v>8.465381820070941E-3</v>
      </c>
      <c r="S14" s="1">
        <f t="shared" si="7"/>
        <v>0.17433557856900925</v>
      </c>
      <c r="T14" s="1">
        <f t="shared" si="8"/>
        <v>0.17664280607966459</v>
      </c>
      <c r="U14">
        <v>12</v>
      </c>
      <c r="V14" s="3">
        <v>133</v>
      </c>
      <c r="W14">
        <v>1</v>
      </c>
      <c r="X14" s="4">
        <v>3.3074400000000003E-23</v>
      </c>
      <c r="Y14" s="1">
        <f t="shared" si="9"/>
        <v>2.3077359448101334E-23</v>
      </c>
      <c r="AJ14" s="1">
        <f t="shared" si="10"/>
        <v>1.5913303415195304E-5</v>
      </c>
      <c r="AK14" s="1">
        <f t="shared" si="11"/>
        <v>1.3471218942826713E-7</v>
      </c>
    </row>
    <row r="15" spans="1:37" x14ac:dyDescent="0.25">
      <c r="A15">
        <v>827.89</v>
      </c>
      <c r="B15">
        <f t="shared" si="0"/>
        <v>4.5134758667714367E-2</v>
      </c>
      <c r="C15">
        <v>612.4</v>
      </c>
      <c r="D15">
        <f t="shared" si="1"/>
        <v>24.746716953971895</v>
      </c>
      <c r="E15">
        <v>31.1</v>
      </c>
      <c r="F15" s="1">
        <v>2.1000000000000001E-2</v>
      </c>
      <c r="G15">
        <v>1.59</v>
      </c>
      <c r="H15" s="2">
        <v>1.9E-3</v>
      </c>
      <c r="I15">
        <v>1.38</v>
      </c>
      <c r="J15">
        <v>1108</v>
      </c>
      <c r="K15" t="s">
        <v>37</v>
      </c>
      <c r="L15">
        <v>127080</v>
      </c>
      <c r="M15" s="1">
        <f t="shared" si="2"/>
        <v>5.4544159628576115E-6</v>
      </c>
      <c r="N15">
        <v>0.24030000000000001</v>
      </c>
      <c r="O15">
        <f t="shared" si="3"/>
        <v>1.9336925994305334</v>
      </c>
      <c r="P15" s="1">
        <f t="shared" si="4"/>
        <v>4.0344097630513946</v>
      </c>
      <c r="Q15" s="1">
        <f t="shared" si="5"/>
        <v>8.474903066428731E-4</v>
      </c>
      <c r="R15" s="1">
        <f t="shared" si="6"/>
        <v>7.8139358971419923E-2</v>
      </c>
      <c r="S15" s="1">
        <f t="shared" si="7"/>
        <v>4.3645601241233782</v>
      </c>
      <c r="T15" s="1">
        <f t="shared" si="8"/>
        <v>3729.3523956871113</v>
      </c>
      <c r="U15">
        <v>13</v>
      </c>
      <c r="V15" s="3">
        <v>81</v>
      </c>
      <c r="W15">
        <v>0.49309999999999998</v>
      </c>
      <c r="X15" s="4">
        <v>8.1571100000000004E-24</v>
      </c>
      <c r="Y15" s="1">
        <f t="shared" si="9"/>
        <v>5.691548736415532E-24</v>
      </c>
      <c r="AJ15" s="1">
        <f t="shared" si="10"/>
        <v>3.2769059285362423E-3</v>
      </c>
      <c r="AK15" s="1">
        <f t="shared" si="11"/>
        <v>2.5605532866546755E-4</v>
      </c>
    </row>
    <row r="16" spans="1:37" x14ac:dyDescent="0.25">
      <c r="A16">
        <v>910.93</v>
      </c>
      <c r="B16">
        <f t="shared" si="0"/>
        <v>4.1624607249970476E-2</v>
      </c>
      <c r="C16">
        <v>89</v>
      </c>
      <c r="D16">
        <f t="shared" si="1"/>
        <v>9.4339811320566032</v>
      </c>
      <c r="E16">
        <v>17.3</v>
      </c>
      <c r="F16" s="1">
        <v>3.0500000000000002E-3</v>
      </c>
      <c r="G16">
        <v>1.42</v>
      </c>
      <c r="H16" s="2">
        <v>1.6000000000000001E-3</v>
      </c>
      <c r="I16">
        <v>0.8</v>
      </c>
      <c r="J16">
        <v>404</v>
      </c>
      <c r="M16" s="1" t="e">
        <f t="shared" si="2"/>
        <v>#DIV/0!</v>
      </c>
      <c r="O16" t="e">
        <f t="shared" si="3"/>
        <v>#DIV/0!</v>
      </c>
      <c r="P16" s="1" t="e">
        <f t="shared" si="4"/>
        <v>#DIV/0!</v>
      </c>
      <c r="Q16" s="1">
        <f t="shared" si="5"/>
        <v>3.2308154561837683E-4</v>
      </c>
      <c r="R16" s="1" t="e">
        <f t="shared" si="6"/>
        <v>#DIV/0!</v>
      </c>
      <c r="S16" s="1" t="e">
        <f t="shared" si="7"/>
        <v>#DIV/0!</v>
      </c>
      <c r="T16" s="1" t="e">
        <f t="shared" si="8"/>
        <v>#DIV/0!</v>
      </c>
      <c r="U16">
        <v>14</v>
      </c>
      <c r="V16" s="3"/>
      <c r="Y16" s="1">
        <f t="shared" si="9"/>
        <v>0</v>
      </c>
      <c r="AJ16" s="1" t="e">
        <f t="shared" si="10"/>
        <v>#DIV/0!</v>
      </c>
      <c r="AK16" s="1" t="e">
        <f t="shared" si="11"/>
        <v>#DIV/0!</v>
      </c>
    </row>
    <row r="17" spans="1:37" x14ac:dyDescent="0.25">
      <c r="A17">
        <v>1044.04</v>
      </c>
      <c r="B17">
        <f t="shared" si="0"/>
        <v>3.7083484234503403E-2</v>
      </c>
      <c r="C17">
        <v>583.1</v>
      </c>
      <c r="D17">
        <f t="shared" si="1"/>
        <v>24.147463634924478</v>
      </c>
      <c r="E17">
        <v>28.8</v>
      </c>
      <c r="F17" s="1">
        <v>0.02</v>
      </c>
      <c r="G17">
        <v>1.76</v>
      </c>
      <c r="H17" s="2">
        <v>1.6999999999999999E-3</v>
      </c>
      <c r="I17">
        <v>0.95</v>
      </c>
      <c r="J17">
        <v>959</v>
      </c>
      <c r="K17" t="s">
        <v>37</v>
      </c>
      <c r="L17">
        <v>127080</v>
      </c>
      <c r="M17" s="1">
        <f t="shared" si="2"/>
        <v>5.4544159628576115E-6</v>
      </c>
      <c r="N17">
        <v>0.27229999999999999</v>
      </c>
      <c r="O17">
        <f t="shared" si="3"/>
        <v>1.9775706889420877</v>
      </c>
      <c r="P17" s="1">
        <f t="shared" si="4"/>
        <v>4.1259559543961766</v>
      </c>
      <c r="Q17" s="1">
        <f t="shared" si="5"/>
        <v>8.2696793270289307E-4</v>
      </c>
      <c r="R17" s="1">
        <f t="shared" si="6"/>
        <v>8.1895586171705725E-2</v>
      </c>
      <c r="S17" s="1">
        <f t="shared" si="7"/>
        <v>4.463597871830145</v>
      </c>
      <c r="T17" s="1">
        <f t="shared" si="8"/>
        <v>3813.976424494108</v>
      </c>
      <c r="U17">
        <v>15</v>
      </c>
      <c r="V17" s="3">
        <v>81</v>
      </c>
      <c r="W17">
        <v>0.49309999999999998</v>
      </c>
      <c r="X17" s="4">
        <v>8.1571100000000004E-24</v>
      </c>
      <c r="Y17" s="1">
        <f t="shared" si="9"/>
        <v>5.691548736415532E-24</v>
      </c>
      <c r="AJ17" s="1">
        <f t="shared" si="10"/>
        <v>3.3512633376174984E-3</v>
      </c>
      <c r="AK17" s="1">
        <f t="shared" si="11"/>
        <v>2.7445367544993196E-4</v>
      </c>
    </row>
    <row r="18" spans="1:37" x14ac:dyDescent="0.25">
      <c r="A18">
        <v>1076.76</v>
      </c>
      <c r="B18">
        <f t="shared" si="0"/>
        <v>3.6126777810586784E-2</v>
      </c>
      <c r="C18">
        <v>216.9</v>
      </c>
      <c r="D18">
        <f t="shared" si="1"/>
        <v>14.727525250360292</v>
      </c>
      <c r="E18">
        <v>19.8</v>
      </c>
      <c r="F18" s="1">
        <v>7.43E-3</v>
      </c>
      <c r="G18">
        <v>2.15</v>
      </c>
      <c r="H18" s="2">
        <v>2E-3</v>
      </c>
      <c r="I18">
        <v>1.31</v>
      </c>
      <c r="J18">
        <v>352</v>
      </c>
      <c r="K18" t="s">
        <v>40</v>
      </c>
      <c r="L18">
        <f>18.6*24*3600</f>
        <v>1607040.0000000002</v>
      </c>
      <c r="M18" s="1">
        <f t="shared" si="2"/>
        <v>4.3131918344281736E-7</v>
      </c>
      <c r="N18">
        <v>0.09</v>
      </c>
      <c r="O18">
        <f t="shared" si="3"/>
        <v>2.2845725962074646</v>
      </c>
      <c r="P18" s="1">
        <f t="shared" si="4"/>
        <v>4.7664773549081252</v>
      </c>
      <c r="Q18" s="1">
        <f t="shared" si="5"/>
        <v>5.0436730309453052E-4</v>
      </c>
      <c r="R18" s="1">
        <f t="shared" si="6"/>
        <v>0.1551226399120636</v>
      </c>
      <c r="S18" s="1">
        <f t="shared" si="7"/>
        <v>4.7965870755851547</v>
      </c>
      <c r="T18" s="1">
        <f t="shared" si="8"/>
        <v>8.1801636917518117</v>
      </c>
      <c r="U18">
        <v>16</v>
      </c>
      <c r="V18" s="3">
        <v>85</v>
      </c>
      <c r="W18">
        <v>0.72170000000000001</v>
      </c>
      <c r="X18" s="4">
        <v>6.7842300000000004E-24</v>
      </c>
      <c r="Y18" s="1">
        <f t="shared" si="9"/>
        <v>4.733634299899394E-24</v>
      </c>
      <c r="AJ18" s="1">
        <f t="shared" si="10"/>
        <v>7.8359198664536549E-5</v>
      </c>
      <c r="AK18" s="1">
        <f t="shared" si="11"/>
        <v>1.2155285758236758E-5</v>
      </c>
    </row>
    <row r="19" spans="1:37" x14ac:dyDescent="0.25">
      <c r="A19">
        <v>1115.6099999999999</v>
      </c>
      <c r="B19">
        <f t="shared" si="0"/>
        <v>3.5058307546078943E-2</v>
      </c>
      <c r="C19">
        <v>546.29999999999995</v>
      </c>
      <c r="D19">
        <f t="shared" si="1"/>
        <v>23.373061416938945</v>
      </c>
      <c r="E19">
        <v>27.7</v>
      </c>
      <c r="F19" s="1">
        <v>1.8700000000000001E-2</v>
      </c>
      <c r="G19">
        <v>1.72</v>
      </c>
      <c r="H19" s="2">
        <v>1.5E-3</v>
      </c>
      <c r="I19">
        <v>1.19</v>
      </c>
      <c r="J19">
        <v>847</v>
      </c>
      <c r="K19" t="s">
        <v>41</v>
      </c>
      <c r="L19">
        <f>243.75*24*3600</f>
        <v>21060000</v>
      </c>
      <c r="M19" s="1">
        <f t="shared" si="2"/>
        <v>3.2912971536559604E-8</v>
      </c>
      <c r="N19">
        <v>0.50600000000000001</v>
      </c>
      <c r="O19">
        <f t="shared" si="3"/>
        <v>1.0546464271002596</v>
      </c>
      <c r="P19" s="1">
        <f t="shared" si="4"/>
        <v>2.2003889570211967</v>
      </c>
      <c r="Q19" s="1">
        <f t="shared" si="5"/>
        <v>8.0044730879927893E-4</v>
      </c>
      <c r="R19" s="1">
        <f t="shared" si="6"/>
        <v>4.5122305901097552E-2</v>
      </c>
      <c r="S19" s="1">
        <f t="shared" si="7"/>
        <v>2.2014475646032872</v>
      </c>
      <c r="T19" s="1">
        <f t="shared" si="8"/>
        <v>2.2929718976314648</v>
      </c>
      <c r="U19">
        <v>17</v>
      </c>
      <c r="V19" s="3">
        <v>64</v>
      </c>
      <c r="W19">
        <v>0.48599999999999999</v>
      </c>
      <c r="X19" s="4">
        <v>4.7157900000000003E-24</v>
      </c>
      <c r="Y19" s="1">
        <f t="shared" si="9"/>
        <v>3.2903992487168863E-24</v>
      </c>
      <c r="AJ19" s="1">
        <f t="shared" si="10"/>
        <v>4.6300533381586108E-4</v>
      </c>
      <c r="AK19" s="1">
        <f t="shared" si="11"/>
        <v>2.0891868306279072E-5</v>
      </c>
    </row>
    <row r="20" spans="1:37" x14ac:dyDescent="0.25">
      <c r="A20">
        <v>1120.44</v>
      </c>
      <c r="B20">
        <f t="shared" si="0"/>
        <v>3.4930258508955821E-2</v>
      </c>
      <c r="C20">
        <v>59.7</v>
      </c>
      <c r="D20">
        <f t="shared" si="1"/>
        <v>7.7265775088327437</v>
      </c>
      <c r="E20">
        <v>15.8</v>
      </c>
      <c r="F20" s="1">
        <v>2.0400000000000001E-3</v>
      </c>
      <c r="G20">
        <v>1.75</v>
      </c>
      <c r="H20" s="2">
        <v>1.6000000000000001E-3</v>
      </c>
      <c r="I20">
        <v>1.31</v>
      </c>
      <c r="J20">
        <v>275</v>
      </c>
      <c r="M20" s="1" t="e">
        <f t="shared" si="2"/>
        <v>#DIV/0!</v>
      </c>
      <c r="O20" t="e">
        <f t="shared" si="3"/>
        <v>#DIV/0!</v>
      </c>
      <c r="P20" s="1" t="e">
        <f t="shared" si="4"/>
        <v>#DIV/0!</v>
      </c>
      <c r="Q20" s="1">
        <f t="shared" si="5"/>
        <v>2.6460881879564191E-4</v>
      </c>
      <c r="R20" s="1" t="e">
        <f t="shared" si="6"/>
        <v>#DIV/0!</v>
      </c>
      <c r="S20" s="1" t="e">
        <f t="shared" si="7"/>
        <v>#DIV/0!</v>
      </c>
      <c r="T20" s="1" t="e">
        <f t="shared" si="8"/>
        <v>#DIV/0!</v>
      </c>
      <c r="U20">
        <v>18</v>
      </c>
      <c r="V20" s="3"/>
      <c r="Y20" s="1">
        <f t="shared" si="9"/>
        <v>0</v>
      </c>
      <c r="AJ20" s="1" t="e">
        <f t="shared" si="10"/>
        <v>#DIV/0!</v>
      </c>
      <c r="AK20" s="1" t="e">
        <f t="shared" si="11"/>
        <v>#DIV/0!</v>
      </c>
    </row>
    <row r="21" spans="1:37" x14ac:dyDescent="0.25">
      <c r="A21">
        <v>1173.2</v>
      </c>
      <c r="B21">
        <f t="shared" si="0"/>
        <v>3.359509070907047E-2</v>
      </c>
      <c r="C21">
        <v>187.8</v>
      </c>
      <c r="D21">
        <f t="shared" si="1"/>
        <v>13.704014010500719</v>
      </c>
      <c r="E21">
        <v>18.399999999999999</v>
      </c>
      <c r="F21" s="1">
        <v>6.43E-3</v>
      </c>
      <c r="G21">
        <v>1.71</v>
      </c>
      <c r="H21" s="2">
        <v>1.5E-3</v>
      </c>
      <c r="I21">
        <v>1.1299999999999999</v>
      </c>
      <c r="J21">
        <v>421</v>
      </c>
      <c r="K21" t="s">
        <v>42</v>
      </c>
      <c r="L21">
        <v>166238870.40000001</v>
      </c>
      <c r="M21" s="1">
        <f t="shared" si="2"/>
        <v>4.1695854819760931E-9</v>
      </c>
      <c r="N21">
        <v>0.99970000000000003</v>
      </c>
      <c r="O21">
        <f t="shared" si="3"/>
        <v>0.19149931566168366</v>
      </c>
      <c r="P21" s="1">
        <f t="shared" si="4"/>
        <v>0.39953956950069613</v>
      </c>
      <c r="Q21" s="1">
        <f t="shared" si="5"/>
        <v>4.6931554830481918E-4</v>
      </c>
      <c r="R21" s="1">
        <f t="shared" si="6"/>
        <v>1.3973957959685906E-2</v>
      </c>
      <c r="S21" s="1">
        <f t="shared" si="7"/>
        <v>0.39956391733417823</v>
      </c>
      <c r="T21" s="1">
        <f t="shared" si="8"/>
        <v>0.40163113446939025</v>
      </c>
      <c r="U21">
        <v>19</v>
      </c>
      <c r="V21" s="3">
        <v>59</v>
      </c>
      <c r="W21">
        <v>1</v>
      </c>
      <c r="X21" s="4">
        <v>4.3258399999999999E-23</v>
      </c>
      <c r="Y21" s="1">
        <f t="shared" si="9"/>
        <v>3.0183152104036553E-23</v>
      </c>
      <c r="AJ21" s="1">
        <f t="shared" si="10"/>
        <v>3.1266636041495502E-5</v>
      </c>
      <c r="AK21" s="1">
        <f t="shared" si="11"/>
        <v>4.3691865758465827E-7</v>
      </c>
    </row>
    <row r="22" spans="1:37" x14ac:dyDescent="0.25">
      <c r="A22">
        <v>1237.8</v>
      </c>
      <c r="B22">
        <f t="shared" si="0"/>
        <v>3.2103988627651257E-2</v>
      </c>
      <c r="C22">
        <v>28.9</v>
      </c>
      <c r="D22">
        <f t="shared" si="1"/>
        <v>5.3758720222862451</v>
      </c>
      <c r="E22">
        <v>10</v>
      </c>
      <c r="F22" s="1">
        <v>9.8900000000000008E-4</v>
      </c>
      <c r="G22">
        <v>1.08</v>
      </c>
      <c r="H22" s="2">
        <v>8.9999999999999998E-4</v>
      </c>
      <c r="I22">
        <v>1.67</v>
      </c>
      <c r="J22">
        <v>122</v>
      </c>
      <c r="M22" s="1" t="e">
        <f t="shared" si="2"/>
        <v>#DIV/0!</v>
      </c>
      <c r="O22" t="e">
        <f t="shared" si="3"/>
        <v>#DIV/0!</v>
      </c>
      <c r="P22" s="1" t="e">
        <f t="shared" si="4"/>
        <v>#DIV/0!</v>
      </c>
      <c r="Q22" s="1">
        <f t="shared" si="5"/>
        <v>1.8410520624267962E-4</v>
      </c>
      <c r="R22" s="1" t="e">
        <f t="shared" si="6"/>
        <v>#DIV/0!</v>
      </c>
      <c r="S22" s="1" t="e">
        <f t="shared" si="7"/>
        <v>#DIV/0!</v>
      </c>
      <c r="T22" s="1" t="e">
        <f t="shared" si="8"/>
        <v>#DIV/0!</v>
      </c>
      <c r="U22">
        <v>20</v>
      </c>
      <c r="V22" s="3"/>
      <c r="Y22" s="1">
        <f t="shared" si="9"/>
        <v>0</v>
      </c>
      <c r="AJ22" s="1" t="e">
        <f t="shared" si="10"/>
        <v>#DIV/0!</v>
      </c>
      <c r="AK22" s="1" t="e">
        <f t="shared" si="11"/>
        <v>#DIV/0!</v>
      </c>
    </row>
    <row r="23" spans="1:37" x14ac:dyDescent="0.25">
      <c r="A23">
        <v>1252.73</v>
      </c>
      <c r="B23">
        <f t="shared" si="0"/>
        <v>3.1779617393334965E-2</v>
      </c>
      <c r="C23">
        <v>84.2</v>
      </c>
      <c r="D23">
        <f t="shared" si="1"/>
        <v>9.1760557975635706</v>
      </c>
      <c r="E23">
        <v>15.7</v>
      </c>
      <c r="F23" s="1">
        <v>2.8800000000000002E-3</v>
      </c>
      <c r="G23">
        <v>2.66</v>
      </c>
      <c r="H23" s="2">
        <v>2.0999999999999999E-3</v>
      </c>
      <c r="I23">
        <v>0.85</v>
      </c>
      <c r="J23">
        <v>232</v>
      </c>
      <c r="M23" s="1" t="e">
        <f t="shared" si="2"/>
        <v>#DIV/0!</v>
      </c>
      <c r="O23" t="e">
        <f t="shared" si="3"/>
        <v>#DIV/0!</v>
      </c>
      <c r="P23" s="1" t="e">
        <f t="shared" si="4"/>
        <v>#DIV/0!</v>
      </c>
      <c r="Q23" s="1">
        <f t="shared" si="5"/>
        <v>3.1424848621793049E-4</v>
      </c>
      <c r="R23" s="1" t="e">
        <f t="shared" si="6"/>
        <v>#DIV/0!</v>
      </c>
      <c r="S23" s="1" t="e">
        <f t="shared" si="7"/>
        <v>#DIV/0!</v>
      </c>
      <c r="T23" s="1" t="e">
        <f t="shared" si="8"/>
        <v>#DIV/0!</v>
      </c>
      <c r="U23">
        <v>21</v>
      </c>
      <c r="V23" s="3"/>
      <c r="Y23" s="1">
        <f t="shared" si="9"/>
        <v>0</v>
      </c>
      <c r="AJ23" s="1" t="e">
        <f t="shared" si="10"/>
        <v>#DIV/0!</v>
      </c>
      <c r="AK23" s="1" t="e">
        <f t="shared" si="11"/>
        <v>#DIV/0!</v>
      </c>
    </row>
    <row r="24" spans="1:37" x14ac:dyDescent="0.25">
      <c r="A24">
        <v>1317.41</v>
      </c>
      <c r="B24">
        <f t="shared" si="0"/>
        <v>3.045301515183264E-2</v>
      </c>
      <c r="C24">
        <v>572.29999999999995</v>
      </c>
      <c r="D24">
        <f t="shared" si="1"/>
        <v>23.922792479140053</v>
      </c>
      <c r="E24">
        <v>26.3</v>
      </c>
      <c r="F24" s="1">
        <v>1.9599999999999999E-2</v>
      </c>
      <c r="G24">
        <v>1.8</v>
      </c>
      <c r="H24" s="2">
        <v>1.4E-3</v>
      </c>
      <c r="I24">
        <v>0.64</v>
      </c>
      <c r="J24">
        <v>753</v>
      </c>
      <c r="K24" t="s">
        <v>37</v>
      </c>
      <c r="L24">
        <v>127080</v>
      </c>
      <c r="M24" s="1">
        <f t="shared" si="2"/>
        <v>5.4544159628576115E-6</v>
      </c>
      <c r="N24">
        <v>0.26479999999999998</v>
      </c>
      <c r="O24">
        <f t="shared" si="3"/>
        <v>2.4304831531408215</v>
      </c>
      <c r="P24" s="1">
        <f t="shared" si="4"/>
        <v>5.0709016339261872</v>
      </c>
      <c r="Q24" s="1">
        <f t="shared" si="5"/>
        <v>8.1927371503904287E-4</v>
      </c>
      <c r="R24" s="1">
        <f t="shared" si="6"/>
        <v>0.10159696679474725</v>
      </c>
      <c r="S24" s="1">
        <f t="shared" si="7"/>
        <v>5.4858718783306628</v>
      </c>
      <c r="T24" s="1">
        <f t="shared" si="8"/>
        <v>4687.4710967566634</v>
      </c>
      <c r="U24">
        <v>22</v>
      </c>
      <c r="V24" s="3">
        <v>81</v>
      </c>
      <c r="W24">
        <v>0.49309999999999998</v>
      </c>
      <c r="X24" s="4">
        <v>8.1571100000000004E-24</v>
      </c>
      <c r="Y24" s="1">
        <f t="shared" si="9"/>
        <v>5.691548736415532E-24</v>
      </c>
      <c r="AJ24" s="1">
        <f t="shared" si="10"/>
        <v>4.1187853002489262E-3</v>
      </c>
      <c r="AK24" s="1">
        <f t="shared" si="11"/>
        <v>4.1845609338408323E-4</v>
      </c>
    </row>
    <row r="25" spans="1:37" x14ac:dyDescent="0.25">
      <c r="A25">
        <v>1331.55</v>
      </c>
      <c r="B25">
        <f t="shared" si="0"/>
        <v>3.0178883141717544E-2</v>
      </c>
      <c r="C25">
        <v>253.2</v>
      </c>
      <c r="D25">
        <f t="shared" si="1"/>
        <v>15.912259424732868</v>
      </c>
      <c r="E25">
        <v>20.3</v>
      </c>
      <c r="F25" s="1">
        <v>8.6700000000000006E-3</v>
      </c>
      <c r="G25">
        <v>3.25</v>
      </c>
      <c r="H25" s="2">
        <v>2.3999999999999998E-3</v>
      </c>
      <c r="I25">
        <v>0.84</v>
      </c>
      <c r="J25">
        <v>450</v>
      </c>
      <c r="K25" t="s">
        <v>42</v>
      </c>
      <c r="L25">
        <v>166238870.40000001</v>
      </c>
      <c r="M25" s="1">
        <f t="shared" si="2"/>
        <v>4.1695854819760931E-9</v>
      </c>
      <c r="N25">
        <v>0.99990000000000001</v>
      </c>
      <c r="O25">
        <f t="shared" si="3"/>
        <v>0.28735656140744292</v>
      </c>
      <c r="P25" s="1">
        <f t="shared" si="4"/>
        <v>0.59953382309084691</v>
      </c>
      <c r="Q25" s="1">
        <f t="shared" si="5"/>
        <v>5.4494039125797496E-4</v>
      </c>
      <c r="R25" s="1">
        <f t="shared" si="6"/>
        <v>1.8058815768224375E-2</v>
      </c>
      <c r="S25" s="1">
        <f t="shared" si="7"/>
        <v>0.59957035852014062</v>
      </c>
      <c r="T25" s="1">
        <f t="shared" si="8"/>
        <v>0.6026723456244002</v>
      </c>
      <c r="U25">
        <v>23</v>
      </c>
      <c r="V25" s="3">
        <v>59</v>
      </c>
      <c r="W25">
        <v>1</v>
      </c>
      <c r="X25" s="4">
        <v>4.3258399999999999E-23</v>
      </c>
      <c r="Y25" s="1">
        <f t="shared" si="9"/>
        <v>3.0183152104036553E-23</v>
      </c>
      <c r="AJ25" s="1">
        <f t="shared" si="10"/>
        <v>4.6917520246052142E-5</v>
      </c>
      <c r="AK25" s="1">
        <f t="shared" si="11"/>
        <v>8.4727485442539283E-7</v>
      </c>
    </row>
    <row r="26" spans="1:37" x14ac:dyDescent="0.25">
      <c r="A26">
        <v>1368.62</v>
      </c>
      <c r="B26">
        <f t="shared" si="0"/>
        <v>2.9485082471199565E-2</v>
      </c>
      <c r="C26">
        <v>532.4</v>
      </c>
      <c r="D26">
        <f t="shared" si="1"/>
        <v>23.073794659743335</v>
      </c>
      <c r="E26">
        <v>25.2</v>
      </c>
      <c r="F26" s="1">
        <v>1.8200000000000001E-2</v>
      </c>
      <c r="G26">
        <v>1.97</v>
      </c>
      <c r="H26" s="2">
        <v>1.4E-3</v>
      </c>
      <c r="I26">
        <v>0.64</v>
      </c>
      <c r="J26">
        <v>678</v>
      </c>
      <c r="K26" t="s">
        <v>43</v>
      </c>
      <c r="L26">
        <v>53852.4</v>
      </c>
      <c r="M26" s="1">
        <f t="shared" si="2"/>
        <v>1.2871240289382558E-5</v>
      </c>
      <c r="N26">
        <v>1</v>
      </c>
      <c r="O26">
        <f t="shared" si="3"/>
        <v>0.61837631724918096</v>
      </c>
      <c r="P26" s="1">
        <f t="shared" si="4"/>
        <v>1.290165485602297</v>
      </c>
      <c r="Q26" s="1">
        <f t="shared" si="5"/>
        <v>7.901984472514841E-4</v>
      </c>
      <c r="R26" s="1">
        <f t="shared" si="6"/>
        <v>2.6799940207843546E-2</v>
      </c>
      <c r="S26" s="1">
        <f t="shared" si="7"/>
        <v>1.5480450089601607</v>
      </c>
      <c r="T26" s="1">
        <f t="shared" si="8"/>
        <v>12821650.845738964</v>
      </c>
      <c r="U26">
        <v>24</v>
      </c>
      <c r="V26" s="3">
        <v>23</v>
      </c>
      <c r="W26">
        <v>1</v>
      </c>
      <c r="X26" s="4">
        <v>5.83825E-24</v>
      </c>
      <c r="Y26" s="1">
        <f t="shared" si="9"/>
        <v>4.0735854255217812E-24</v>
      </c>
      <c r="AJ26" s="1">
        <f t="shared" si="10"/>
        <v>0.93397188871474723</v>
      </c>
      <c r="AK26" s="1">
        <f t="shared" si="11"/>
        <v>2.5030390773361933E-2</v>
      </c>
    </row>
    <row r="27" spans="1:37" x14ac:dyDescent="0.25">
      <c r="A27">
        <v>1460.73</v>
      </c>
      <c r="B27">
        <f t="shared" si="0"/>
        <v>2.790250543849198E-2</v>
      </c>
      <c r="C27">
        <v>234.6</v>
      </c>
      <c r="D27">
        <f t="shared" si="1"/>
        <v>15.316657598836633</v>
      </c>
      <c r="E27">
        <v>18.100000000000001</v>
      </c>
      <c r="F27" s="1">
        <v>8.0400000000000003E-3</v>
      </c>
      <c r="G27">
        <v>1.77</v>
      </c>
      <c r="H27" s="2">
        <v>1.1999999999999999E-3</v>
      </c>
      <c r="I27">
        <v>1.03</v>
      </c>
      <c r="J27">
        <v>382</v>
      </c>
      <c r="K27" t="s">
        <v>44</v>
      </c>
      <c r="L27">
        <f>1280000000*31600000</f>
        <v>4.0448E+16</v>
      </c>
      <c r="M27" s="1">
        <f t="shared" si="2"/>
        <v>1.7136747937103079E-17</v>
      </c>
      <c r="N27">
        <v>0.11</v>
      </c>
      <c r="O27">
        <f t="shared" si="3"/>
        <v>2.6176360897551536</v>
      </c>
      <c r="P27" s="1">
        <f t="shared" si="4"/>
        <v>5.4613730226479316</v>
      </c>
      <c r="Q27" s="1">
        <f t="shared" si="5"/>
        <v>5.2454306845330935E-4</v>
      </c>
      <c r="R27" s="1">
        <f t="shared" si="6"/>
        <v>0.17090126046520582</v>
      </c>
      <c r="S27" s="1">
        <f t="shared" si="7"/>
        <v>5.4610951582673444</v>
      </c>
      <c r="T27" s="1">
        <f t="shared" si="8"/>
        <v>5.4610951583831673</v>
      </c>
      <c r="U27">
        <v>25</v>
      </c>
      <c r="V27" s="3"/>
      <c r="Y27" s="1">
        <f t="shared" si="9"/>
        <v>0</v>
      </c>
      <c r="AJ27" s="1" t="e">
        <f t="shared" si="10"/>
        <v>#DIV/0!</v>
      </c>
      <c r="AK27" s="1" t="e">
        <f t="shared" si="11"/>
        <v>#DIV/0!</v>
      </c>
    </row>
    <row r="28" spans="1:37" x14ac:dyDescent="0.25">
      <c r="A28">
        <v>1474.92</v>
      </c>
      <c r="B28">
        <f t="shared" si="0"/>
        <v>2.7674963606130334E-2</v>
      </c>
      <c r="C28">
        <v>340.3</v>
      </c>
      <c r="D28">
        <f t="shared" si="1"/>
        <v>18.447222013083703</v>
      </c>
      <c r="E28">
        <v>20.5</v>
      </c>
      <c r="F28" s="1">
        <v>1.17E-2</v>
      </c>
      <c r="G28">
        <v>1.94</v>
      </c>
      <c r="H28" s="2">
        <v>1.2999999999999999E-3</v>
      </c>
      <c r="I28">
        <v>1.04</v>
      </c>
      <c r="J28">
        <v>465</v>
      </c>
      <c r="K28" t="s">
        <v>37</v>
      </c>
      <c r="L28">
        <v>127080</v>
      </c>
      <c r="M28" s="1">
        <f t="shared" si="2"/>
        <v>5.4544159628576115E-6</v>
      </c>
      <c r="N28">
        <v>0.16320000000000001</v>
      </c>
      <c r="O28">
        <f t="shared" si="3"/>
        <v>2.5803099958241438</v>
      </c>
      <c r="P28" s="1">
        <f t="shared" si="4"/>
        <v>5.3834967574048482</v>
      </c>
      <c r="Q28" s="1">
        <f t="shared" si="5"/>
        <v>6.3175417853026381E-4</v>
      </c>
      <c r="R28" s="1">
        <f t="shared" si="6"/>
        <v>0.13987526110945361</v>
      </c>
      <c r="S28" s="1">
        <f t="shared" si="7"/>
        <v>5.8240477927916858</v>
      </c>
      <c r="T28" s="1">
        <f t="shared" si="8"/>
        <v>4976.4296907254438</v>
      </c>
      <c r="U28">
        <v>26</v>
      </c>
      <c r="V28" s="3">
        <v>81</v>
      </c>
      <c r="W28">
        <v>0.49309999999999998</v>
      </c>
      <c r="X28" s="4">
        <v>8.1571100000000004E-24</v>
      </c>
      <c r="Y28" s="1">
        <f t="shared" si="9"/>
        <v>5.691548736415532E-24</v>
      </c>
      <c r="AJ28" s="1">
        <f t="shared" si="10"/>
        <v>4.3726873264486616E-3</v>
      </c>
      <c r="AK28" s="1">
        <f t="shared" si="11"/>
        <v>6.1163078153700519E-4</v>
      </c>
    </row>
    <row r="29" spans="1:37" x14ac:dyDescent="0.25">
      <c r="A29">
        <v>1764.3</v>
      </c>
      <c r="B29">
        <f t="shared" si="0"/>
        <v>2.3778644625362593E-2</v>
      </c>
      <c r="C29">
        <v>53.5</v>
      </c>
      <c r="D29">
        <f t="shared" si="1"/>
        <v>7.3143694191638966</v>
      </c>
      <c r="E29">
        <v>9.9</v>
      </c>
      <c r="F29" s="1">
        <v>1.83E-3</v>
      </c>
      <c r="G29">
        <v>1.65</v>
      </c>
      <c r="H29" s="2">
        <v>8.9999999999999998E-4</v>
      </c>
      <c r="I29">
        <v>1.04</v>
      </c>
      <c r="J29">
        <v>123</v>
      </c>
      <c r="M29" s="1" t="e">
        <f t="shared" si="2"/>
        <v>#DIV/0!</v>
      </c>
      <c r="O29" t="e">
        <f t="shared" si="3"/>
        <v>#DIV/0!</v>
      </c>
      <c r="P29" s="1" t="e">
        <f t="shared" si="4"/>
        <v>#DIV/0!</v>
      </c>
      <c r="Q29" s="1">
        <f t="shared" si="5"/>
        <v>2.5049210339602384E-4</v>
      </c>
      <c r="R29" s="1" t="e">
        <f t="shared" si="6"/>
        <v>#DIV/0!</v>
      </c>
      <c r="S29" s="1" t="e">
        <f t="shared" si="7"/>
        <v>#DIV/0!</v>
      </c>
      <c r="T29" s="1" t="e">
        <f t="shared" si="8"/>
        <v>#DIV/0!</v>
      </c>
      <c r="U29">
        <v>27</v>
      </c>
      <c r="V29" s="3"/>
      <c r="Y29" s="1">
        <f t="shared" si="9"/>
        <v>0</v>
      </c>
      <c r="AJ29" s="1" t="e">
        <f t="shared" si="10"/>
        <v>#DIV/0!</v>
      </c>
      <c r="AK29" s="1" t="e">
        <f t="shared" si="11"/>
        <v>#DIV/0!</v>
      </c>
    </row>
    <row r="30" spans="1:37" x14ac:dyDescent="0.25">
      <c r="A30">
        <v>1820.28</v>
      </c>
      <c r="B30">
        <f t="shared" si="0"/>
        <v>2.3157778457545214E-2</v>
      </c>
      <c r="C30">
        <v>45.2</v>
      </c>
      <c r="D30">
        <f t="shared" si="1"/>
        <v>6.7230945255886443</v>
      </c>
      <c r="E30">
        <v>9.6</v>
      </c>
      <c r="F30" s="1">
        <v>1.5499999999999999E-3</v>
      </c>
      <c r="G30">
        <v>2.0499999999999998</v>
      </c>
      <c r="H30" s="2">
        <v>1.1000000000000001E-3</v>
      </c>
      <c r="I30">
        <v>0.78</v>
      </c>
      <c r="J30">
        <v>120</v>
      </c>
      <c r="M30" s="1" t="e">
        <f t="shared" si="2"/>
        <v>#DIV/0!</v>
      </c>
      <c r="O30" t="e">
        <f t="shared" si="3"/>
        <v>#DIV/0!</v>
      </c>
      <c r="P30" s="1" t="e">
        <f t="shared" si="4"/>
        <v>#DIV/0!</v>
      </c>
      <c r="Q30" s="1">
        <f t="shared" si="5"/>
        <v>2.3024296320509055E-4</v>
      </c>
      <c r="R30" s="1" t="e">
        <f t="shared" si="6"/>
        <v>#DIV/0!</v>
      </c>
      <c r="S30" s="1" t="e">
        <f t="shared" si="7"/>
        <v>#DIV/0!</v>
      </c>
      <c r="T30" s="1" t="e">
        <f t="shared" si="8"/>
        <v>#DIV/0!</v>
      </c>
      <c r="U30">
        <v>28</v>
      </c>
      <c r="V30" s="3"/>
      <c r="Y30" s="1">
        <f t="shared" si="9"/>
        <v>0</v>
      </c>
      <c r="AJ30" s="1" t="e">
        <f t="shared" si="10"/>
        <v>#DIV/0!</v>
      </c>
      <c r="AK30" s="1" t="e">
        <f t="shared" si="11"/>
        <v>#DIV/0!</v>
      </c>
    </row>
    <row r="31" spans="1:37" x14ac:dyDescent="0.25">
      <c r="A31">
        <v>1871.69</v>
      </c>
      <c r="B31">
        <f t="shared" si="0"/>
        <v>2.261787594917147E-2</v>
      </c>
      <c r="C31">
        <v>92.2</v>
      </c>
      <c r="D31">
        <f t="shared" si="1"/>
        <v>9.6020831073262425</v>
      </c>
      <c r="E31">
        <v>12.1</v>
      </c>
      <c r="F31" s="1">
        <v>3.16E-3</v>
      </c>
      <c r="G31">
        <v>1.66</v>
      </c>
      <c r="H31" s="2">
        <v>8.9999999999999998E-4</v>
      </c>
      <c r="I31">
        <v>1.19</v>
      </c>
      <c r="J31">
        <v>181</v>
      </c>
      <c r="K31" t="s">
        <v>37</v>
      </c>
      <c r="L31">
        <v>127080</v>
      </c>
      <c r="M31" s="1">
        <f t="shared" si="2"/>
        <v>5.4544159628576115E-6</v>
      </c>
      <c r="N31">
        <v>2.5000000000000001E-4</v>
      </c>
      <c r="O31">
        <f t="shared" si="3"/>
        <v>558.41392952568708</v>
      </c>
      <c r="P31" s="1">
        <f t="shared" si="4"/>
        <v>1165.0614010550535</v>
      </c>
      <c r="Q31" s="1">
        <f t="shared" si="5"/>
        <v>3.2883846257966584E-4</v>
      </c>
      <c r="R31" s="1">
        <f t="shared" si="6"/>
        <v>58.155498477161238</v>
      </c>
      <c r="S31" s="1">
        <f t="shared" si="7"/>
        <v>1260.4025946422989</v>
      </c>
      <c r="T31" s="1">
        <f t="shared" si="8"/>
        <v>1076966.5904885663</v>
      </c>
      <c r="U31">
        <v>29</v>
      </c>
      <c r="V31" s="3">
        <v>81</v>
      </c>
      <c r="W31">
        <v>0.49309999999999998</v>
      </c>
      <c r="X31" s="4">
        <v>8.1571100000000004E-24</v>
      </c>
      <c r="Y31" s="1">
        <f t="shared" si="9"/>
        <v>5.691548736415532E-24</v>
      </c>
      <c r="AJ31" s="1">
        <f t="shared" si="10"/>
        <v>0.94630858947220153</v>
      </c>
      <c r="AK31" s="1">
        <f t="shared" si="11"/>
        <v>55.033047733975216</v>
      </c>
    </row>
    <row r="32" spans="1:37" x14ac:dyDescent="0.25">
      <c r="A32">
        <v>2614.0100000000002</v>
      </c>
      <c r="B32">
        <f t="shared" si="0"/>
        <v>1.7044125047534515E-2</v>
      </c>
      <c r="C32">
        <v>157.6</v>
      </c>
      <c r="D32">
        <f t="shared" si="1"/>
        <v>12.553883861180172</v>
      </c>
      <c r="E32">
        <v>13.5</v>
      </c>
      <c r="F32" s="1">
        <v>5.4000000000000003E-3</v>
      </c>
      <c r="G32">
        <v>2.48</v>
      </c>
      <c r="H32" s="2">
        <v>1E-3</v>
      </c>
      <c r="I32">
        <v>1.02</v>
      </c>
      <c r="J32">
        <v>196</v>
      </c>
      <c r="M32" s="1" t="e">
        <f t="shared" si="2"/>
        <v>#DIV/0!</v>
      </c>
      <c r="O32" t="e">
        <f t="shared" si="3"/>
        <v>#DIV/0!</v>
      </c>
      <c r="P32" s="1" t="e">
        <f t="shared" si="4"/>
        <v>#DIV/0!</v>
      </c>
      <c r="Q32" s="1">
        <f t="shared" si="5"/>
        <v>4.299275294924716E-4</v>
      </c>
      <c r="R32" s="1" t="e">
        <f t="shared" si="6"/>
        <v>#DIV/0!</v>
      </c>
      <c r="S32" s="1" t="e">
        <f t="shared" si="7"/>
        <v>#DIV/0!</v>
      </c>
      <c r="T32" s="1" t="e">
        <f t="shared" si="8"/>
        <v>#DIV/0!</v>
      </c>
      <c r="U32">
        <v>30</v>
      </c>
      <c r="V32" s="3"/>
      <c r="Y32" s="1">
        <f t="shared" si="9"/>
        <v>0</v>
      </c>
      <c r="AJ32" s="1" t="e">
        <f t="shared" si="10"/>
        <v>#DIV/0!</v>
      </c>
      <c r="AK32" s="1" t="e">
        <f t="shared" si="11"/>
        <v>#DIV/0!</v>
      </c>
    </row>
    <row r="33" spans="1:37" x14ac:dyDescent="0.25">
      <c r="A33">
        <v>2751.11</v>
      </c>
      <c r="B33">
        <f t="shared" si="0"/>
        <v>1.6321899887915003E-2</v>
      </c>
      <c r="C33">
        <v>305.60000000000002</v>
      </c>
      <c r="D33">
        <f t="shared" si="1"/>
        <v>17.481418706729727</v>
      </c>
      <c r="E33">
        <v>18</v>
      </c>
      <c r="F33" s="1">
        <v>1.0500000000000001E-2</v>
      </c>
      <c r="G33">
        <v>3.33</v>
      </c>
      <c r="H33" s="2">
        <v>1.1999999999999999E-3</v>
      </c>
      <c r="I33">
        <v>1.01</v>
      </c>
      <c r="J33">
        <v>332</v>
      </c>
      <c r="K33" t="s">
        <v>43</v>
      </c>
      <c r="L33">
        <v>53852.4</v>
      </c>
      <c r="M33" s="1">
        <f t="shared" si="2"/>
        <v>1.2871240289382558E-5</v>
      </c>
      <c r="N33">
        <v>0.99939999999999996</v>
      </c>
      <c r="O33">
        <f t="shared" si="3"/>
        <v>0.64159422117269493</v>
      </c>
      <c r="P33" s="1">
        <f t="shared" si="4"/>
        <v>1.338606762304809</v>
      </c>
      <c r="Q33" s="1">
        <f t="shared" si="5"/>
        <v>5.9867872283320979E-4</v>
      </c>
      <c r="R33" s="1">
        <f t="shared" si="6"/>
        <v>3.6701496139195149E-2</v>
      </c>
      <c r="S33" s="1">
        <f t="shared" si="7"/>
        <v>1.6061687748365778</v>
      </c>
      <c r="T33" s="1">
        <f t="shared" si="8"/>
        <v>13303059.737336686</v>
      </c>
      <c r="U33">
        <v>31</v>
      </c>
      <c r="V33" s="3">
        <v>23</v>
      </c>
      <c r="W33">
        <v>1</v>
      </c>
      <c r="X33" s="4">
        <v>5.83825E-24</v>
      </c>
      <c r="Y33" s="1">
        <f t="shared" si="9"/>
        <v>4.0735854255217812E-24</v>
      </c>
      <c r="AJ33" s="1">
        <f t="shared" si="10"/>
        <v>0.96903932091510403</v>
      </c>
      <c r="AK33" s="1">
        <f t="shared" si="11"/>
        <v>3.556519289529398E-2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tabSelected="1" workbookViewId="0">
      <selection activeCell="A11" sqref="A11"/>
    </sheetView>
  </sheetViews>
  <sheetFormatPr defaultRowHeight="15" x14ac:dyDescent="0.25"/>
  <cols>
    <col min="16" max="16" width="12.42578125" bestFit="1" customWidth="1"/>
  </cols>
  <sheetData>
    <row r="1" spans="1:35" x14ac:dyDescent="0.25">
      <c r="A1" t="s">
        <v>0</v>
      </c>
      <c r="B1" t="s">
        <v>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93</v>
      </c>
      <c r="O1" t="s">
        <v>99</v>
      </c>
      <c r="P1" t="s">
        <v>100</v>
      </c>
      <c r="Q1" t="s">
        <v>12</v>
      </c>
      <c r="R1" t="s">
        <v>86</v>
      </c>
      <c r="S1" t="s">
        <v>13</v>
      </c>
      <c r="T1" t="s">
        <v>14</v>
      </c>
      <c r="U1" t="s">
        <v>74</v>
      </c>
      <c r="V1" t="s">
        <v>75</v>
      </c>
      <c r="W1" t="s">
        <v>88</v>
      </c>
      <c r="X1" t="s">
        <v>89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81</v>
      </c>
      <c r="AE1" t="s">
        <v>80</v>
      </c>
      <c r="AF1" s="6" t="s">
        <v>84</v>
      </c>
      <c r="AH1" t="s">
        <v>98</v>
      </c>
      <c r="AI1" t="s">
        <v>97</v>
      </c>
    </row>
    <row r="2" spans="1:35" x14ac:dyDescent="0.25">
      <c r="A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21</v>
      </c>
      <c r="K2" t="s">
        <v>27</v>
      </c>
      <c r="L2" t="s">
        <v>28</v>
      </c>
      <c r="Q2" t="s">
        <v>29</v>
      </c>
      <c r="T2" t="s">
        <v>30</v>
      </c>
      <c r="Y2" t="s">
        <v>27</v>
      </c>
      <c r="Z2" t="s">
        <v>27</v>
      </c>
      <c r="AA2" t="s">
        <v>31</v>
      </c>
      <c r="AC2" t="s">
        <v>32</v>
      </c>
      <c r="AF2" t="s">
        <v>27</v>
      </c>
    </row>
    <row r="3" spans="1:35" x14ac:dyDescent="0.25">
      <c r="A3">
        <v>92.85</v>
      </c>
      <c r="B3">
        <f>13.367*A3^-0.847</f>
        <v>0.28795370572532691</v>
      </c>
      <c r="C3">
        <v>319.60000000000002</v>
      </c>
      <c r="D3">
        <v>84.2</v>
      </c>
      <c r="E3" s="1">
        <v>1.095E-2</v>
      </c>
      <c r="F3">
        <v>0.84599999999999997</v>
      </c>
      <c r="G3" s="2">
        <v>9.1999999999999998E-3</v>
      </c>
      <c r="H3">
        <v>0.86</v>
      </c>
      <c r="I3">
        <v>11983</v>
      </c>
      <c r="L3" t="e">
        <f>LN(2)/K3</f>
        <v>#DIV/0!</v>
      </c>
      <c r="N3" t="e">
        <f>C3/($Y$3*M3*B3)</f>
        <v>#DIV/0!</v>
      </c>
      <c r="O3">
        <f>SQRT(C3)/$Y$3</f>
        <v>6.1223835561880944E-4</v>
      </c>
      <c r="P3" t="e">
        <f>(1/(M3*B3))*O3</f>
        <v>#DIV/0!</v>
      </c>
      <c r="Q3" s="1" t="e">
        <f>N3/$AC$3</f>
        <v>#DIV/0!</v>
      </c>
      <c r="R3" t="e">
        <f>Q3*((L3*$Z$3)/(1-EXP(-L3*$Z$3)))</f>
        <v>#DIV/0!</v>
      </c>
      <c r="S3" t="e">
        <f>R3*EXP(L3*$AF$3)</f>
        <v>#DIV/0!</v>
      </c>
      <c r="T3">
        <v>1</v>
      </c>
      <c r="X3">
        <f>(1/1.128)*((293/473)^(1/2))*W3</f>
        <v>0</v>
      </c>
      <c r="Y3">
        <v>29200</v>
      </c>
      <c r="Z3">
        <v>29215</v>
      </c>
      <c r="AA3">
        <v>0.05</v>
      </c>
      <c r="AB3" t="s">
        <v>45</v>
      </c>
      <c r="AC3">
        <v>0.36270000000000002</v>
      </c>
      <c r="AD3" s="5" t="s">
        <v>82</v>
      </c>
      <c r="AE3" t="s">
        <v>87</v>
      </c>
      <c r="AF3">
        <v>2077374</v>
      </c>
      <c r="AH3" t="e">
        <f>S3*(U3/(6.022E+23*V3))*(1/L3)*(1/(100000000000*X3*100))</f>
        <v>#DIV/0!</v>
      </c>
      <c r="AI3" t="e">
        <f>S3*(U3/(6.022E+23*V3))*(1/L3)*(1/(100000000000*X3*100))*P3</f>
        <v>#DIV/0!</v>
      </c>
    </row>
    <row r="4" spans="1:35" x14ac:dyDescent="0.25">
      <c r="A4">
        <v>136.29</v>
      </c>
      <c r="B4">
        <f>13.367*A4^-0.847</f>
        <v>0.20803813280744093</v>
      </c>
      <c r="C4">
        <v>230.4</v>
      </c>
      <c r="D4">
        <v>80.8</v>
      </c>
      <c r="E4" s="1">
        <v>7.8890000000000002E-3</v>
      </c>
      <c r="F4">
        <v>1.1000000000000001</v>
      </c>
      <c r="G4" s="2">
        <v>8.0999999999999996E-3</v>
      </c>
      <c r="H4">
        <v>1.1100000000000001</v>
      </c>
      <c r="I4">
        <v>11974</v>
      </c>
      <c r="L4" t="e">
        <f t="shared" ref="L4:L26" si="0">LN(2)/K4</f>
        <v>#DIV/0!</v>
      </c>
      <c r="N4" t="e">
        <f t="shared" ref="N4:N26" si="1">C4/($Y$3*M4*B4)</f>
        <v>#DIV/0!</v>
      </c>
      <c r="O4">
        <f t="shared" ref="O4:O26" si="2">SQRT(C4)/$Y$3</f>
        <v>5.1982646468521298E-4</v>
      </c>
      <c r="P4" t="e">
        <f t="shared" ref="P4:P26" si="3">(1/(M4*B4))*O4</f>
        <v>#DIV/0!</v>
      </c>
      <c r="Q4" s="1" t="e">
        <f t="shared" ref="Q4:Q26" si="4">N4/$AC$3</f>
        <v>#DIV/0!</v>
      </c>
      <c r="R4" t="e">
        <f t="shared" ref="R4:R26" si="5">Q4*((L4*$Z$3)/(1-EXP(-L4*$Z$3)))</f>
        <v>#DIV/0!</v>
      </c>
      <c r="S4" t="e">
        <f t="shared" ref="S4:S26" si="6">R4*EXP(L4*$AF$3)</f>
        <v>#DIV/0!</v>
      </c>
      <c r="T4">
        <v>2</v>
      </c>
      <c r="X4">
        <f t="shared" ref="X4:X26" si="7">(1/1.128)*((293/473)^(1/2))*W4</f>
        <v>0</v>
      </c>
      <c r="AH4" t="e">
        <f t="shared" ref="AH4:AH26" si="8">S4*(U4/(6.022E+23*V4))*(1/L4)*(1/(100000000000*X4*100))</f>
        <v>#DIV/0!</v>
      </c>
      <c r="AI4" t="e">
        <f t="shared" ref="AI4:AI26" si="9">S4*(U4/(6.022E+23*V4))*(1/L4)*(1/(100000000000*X4*100))*P4</f>
        <v>#DIV/0!</v>
      </c>
    </row>
    <row r="5" spans="1:35" x14ac:dyDescent="0.25">
      <c r="A5">
        <v>185.92</v>
      </c>
      <c r="B5">
        <f t="shared" ref="B5:B22" si="10">13.367*A5^-0.847</f>
        <v>0.15992440083287396</v>
      </c>
      <c r="C5">
        <v>271.8</v>
      </c>
      <c r="D5">
        <v>53.4</v>
      </c>
      <c r="E5" s="1">
        <v>9.3089999999999996E-3</v>
      </c>
      <c r="F5">
        <v>0.80700000000000005</v>
      </c>
      <c r="G5" s="2">
        <v>4.4000000000000003E-3</v>
      </c>
      <c r="H5">
        <v>1.1299999999999999</v>
      </c>
      <c r="I5">
        <v>4203</v>
      </c>
      <c r="L5" t="e">
        <f t="shared" si="0"/>
        <v>#DIV/0!</v>
      </c>
      <c r="N5" t="e">
        <f t="shared" si="1"/>
        <v>#DIV/0!</v>
      </c>
      <c r="O5">
        <f t="shared" si="2"/>
        <v>5.6460130126167486E-4</v>
      </c>
      <c r="P5" t="e">
        <f t="shared" si="3"/>
        <v>#DIV/0!</v>
      </c>
      <c r="Q5" s="1" t="e">
        <f t="shared" si="4"/>
        <v>#DIV/0!</v>
      </c>
      <c r="R5" t="e">
        <f t="shared" si="5"/>
        <v>#DIV/0!</v>
      </c>
      <c r="S5" t="e">
        <f t="shared" si="6"/>
        <v>#DIV/0!</v>
      </c>
      <c r="T5">
        <v>3</v>
      </c>
      <c r="X5">
        <f t="shared" si="7"/>
        <v>0</v>
      </c>
      <c r="AH5" t="e">
        <f t="shared" si="8"/>
        <v>#DIV/0!</v>
      </c>
      <c r="AI5" t="e">
        <f t="shared" si="9"/>
        <v>#DIV/0!</v>
      </c>
    </row>
    <row r="6" spans="1:35" x14ac:dyDescent="0.25">
      <c r="A6">
        <v>238.69</v>
      </c>
      <c r="B6">
        <f t="shared" si="10"/>
        <v>0.12942207542340284</v>
      </c>
      <c r="C6">
        <v>382.2</v>
      </c>
      <c r="D6">
        <v>53.5</v>
      </c>
      <c r="E6" s="1">
        <v>1.3089999999999999E-2</v>
      </c>
      <c r="F6">
        <v>1.49</v>
      </c>
      <c r="G6" s="2">
        <v>6.3E-3</v>
      </c>
      <c r="H6">
        <v>0.8</v>
      </c>
      <c r="I6">
        <v>2721</v>
      </c>
      <c r="L6" t="e">
        <f t="shared" si="0"/>
        <v>#DIV/0!</v>
      </c>
      <c r="N6" t="e">
        <f t="shared" si="1"/>
        <v>#DIV/0!</v>
      </c>
      <c r="O6">
        <f t="shared" si="2"/>
        <v>6.6951835826289453E-4</v>
      </c>
      <c r="P6" t="e">
        <f t="shared" si="3"/>
        <v>#DIV/0!</v>
      </c>
      <c r="Q6" s="1" t="e">
        <f t="shared" si="4"/>
        <v>#DIV/0!</v>
      </c>
      <c r="R6" t="e">
        <f t="shared" si="5"/>
        <v>#DIV/0!</v>
      </c>
      <c r="S6" t="e">
        <f t="shared" si="6"/>
        <v>#DIV/0!</v>
      </c>
      <c r="T6">
        <v>4</v>
      </c>
      <c r="X6">
        <f t="shared" si="7"/>
        <v>0</v>
      </c>
      <c r="AH6" t="e">
        <f t="shared" si="8"/>
        <v>#DIV/0!</v>
      </c>
      <c r="AI6" t="e">
        <f t="shared" si="9"/>
        <v>#DIV/0!</v>
      </c>
    </row>
    <row r="7" spans="1:35" x14ac:dyDescent="0.25">
      <c r="A7">
        <v>264.68</v>
      </c>
      <c r="B7">
        <f t="shared" si="10"/>
        <v>0.1185739136306659</v>
      </c>
      <c r="C7">
        <v>237.1</v>
      </c>
      <c r="D7">
        <v>44.4</v>
      </c>
      <c r="E7" s="1">
        <v>8.1200000000000005E-3</v>
      </c>
      <c r="F7">
        <v>1.1599999999999999</v>
      </c>
      <c r="G7" s="2">
        <v>4.4000000000000003E-3</v>
      </c>
      <c r="H7">
        <v>1.1299999999999999</v>
      </c>
      <c r="I7">
        <v>2890</v>
      </c>
      <c r="J7" t="s">
        <v>33</v>
      </c>
      <c r="K7">
        <v>10348300.800000001</v>
      </c>
      <c r="L7">
        <f t="shared" si="0"/>
        <v>6.6981738737237439E-8</v>
      </c>
      <c r="M7">
        <v>0.58899999999999997</v>
      </c>
      <c r="N7">
        <f t="shared" si="1"/>
        <v>0.11626373037704139</v>
      </c>
      <c r="O7">
        <f t="shared" si="2"/>
        <v>5.2733054194606551E-4</v>
      </c>
      <c r="P7">
        <f t="shared" si="3"/>
        <v>7.5505480628139067E-3</v>
      </c>
      <c r="Q7" s="1">
        <f>N7/$AC$3</f>
        <v>0.32055067652892577</v>
      </c>
      <c r="R7">
        <f t="shared" si="5"/>
        <v>0.32086441706169933</v>
      </c>
      <c r="S7">
        <f t="shared" si="6"/>
        <v>0.3687669156962719</v>
      </c>
      <c r="T7">
        <v>5</v>
      </c>
      <c r="U7">
        <v>74</v>
      </c>
      <c r="V7">
        <v>8.6999999999999994E-3</v>
      </c>
      <c r="W7" s="4">
        <v>5.9198300000000002E-23</v>
      </c>
      <c r="X7">
        <f t="shared" si="7"/>
        <v>4.1305071227793612E-23</v>
      </c>
      <c r="AH7">
        <f t="shared" si="8"/>
        <v>1.8826252298243077E-4</v>
      </c>
      <c r="AI7">
        <f t="shared" si="9"/>
        <v>1.4214852282054513E-6</v>
      </c>
    </row>
    <row r="8" spans="1:35" x14ac:dyDescent="0.25">
      <c r="A8">
        <v>279.38</v>
      </c>
      <c r="B8">
        <f t="shared" si="10"/>
        <v>0.11326781372787685</v>
      </c>
      <c r="C8">
        <v>203.2</v>
      </c>
      <c r="D8">
        <v>38.1</v>
      </c>
      <c r="E8" s="1">
        <v>6.96E-3</v>
      </c>
      <c r="F8">
        <v>0.94399999999999995</v>
      </c>
      <c r="G8" s="2">
        <v>3.3999999999999998E-3</v>
      </c>
      <c r="H8">
        <v>1.04</v>
      </c>
      <c r="I8">
        <v>2375</v>
      </c>
      <c r="J8" t="s">
        <v>35</v>
      </c>
      <c r="K8">
        <v>4027276.8</v>
      </c>
      <c r="L8">
        <f t="shared" si="0"/>
        <v>1.7211312134292467E-7</v>
      </c>
      <c r="M8">
        <v>0.81</v>
      </c>
      <c r="N8">
        <f t="shared" si="1"/>
        <v>7.5848904986443852E-2</v>
      </c>
      <c r="O8">
        <f t="shared" si="2"/>
        <v>4.8817889537549209E-4</v>
      </c>
      <c r="P8">
        <f t="shared" si="3"/>
        <v>5.3209289952278853E-3</v>
      </c>
      <c r="Q8" s="1">
        <f t="shared" si="4"/>
        <v>0.20912298038721766</v>
      </c>
      <c r="R8">
        <f t="shared" si="5"/>
        <v>0.20964918595901455</v>
      </c>
      <c r="S8">
        <f t="shared" si="6"/>
        <v>0.29975902866027837</v>
      </c>
      <c r="T8">
        <v>6</v>
      </c>
      <c r="U8">
        <v>202</v>
      </c>
      <c r="V8">
        <v>0.29859999999999998</v>
      </c>
      <c r="W8" s="4">
        <v>1.9567299999999999E-23</v>
      </c>
      <c r="X8">
        <f t="shared" si="7"/>
        <v>1.3652904225891721E-23</v>
      </c>
      <c r="AH8">
        <f t="shared" si="8"/>
        <v>1.4330259773790037E-5</v>
      </c>
      <c r="AI8">
        <f t="shared" si="9"/>
        <v>7.6250294739507202E-8</v>
      </c>
    </row>
    <row r="9" spans="1:35" x14ac:dyDescent="0.25">
      <c r="A9">
        <v>338.35</v>
      </c>
      <c r="B9">
        <f t="shared" si="10"/>
        <v>9.6307651577685158E-2</v>
      </c>
      <c r="C9">
        <v>65.5</v>
      </c>
      <c r="D9">
        <v>26.8</v>
      </c>
      <c r="E9" s="1">
        <v>2.2420000000000001E-3</v>
      </c>
      <c r="F9">
        <v>0.80200000000000005</v>
      </c>
      <c r="G9" s="2">
        <v>2.3999999999999998E-3</v>
      </c>
      <c r="H9">
        <v>1.29</v>
      </c>
      <c r="I9">
        <v>1114</v>
      </c>
      <c r="L9" t="e">
        <f t="shared" si="0"/>
        <v>#DIV/0!</v>
      </c>
      <c r="N9" t="e">
        <f t="shared" si="1"/>
        <v>#DIV/0!</v>
      </c>
      <c r="O9">
        <f t="shared" si="2"/>
        <v>2.7716462425066173E-4</v>
      </c>
      <c r="P9" t="e">
        <f t="shared" si="3"/>
        <v>#DIV/0!</v>
      </c>
      <c r="Q9" s="1" t="e">
        <f t="shared" si="4"/>
        <v>#DIV/0!</v>
      </c>
      <c r="R9" t="e">
        <f t="shared" si="5"/>
        <v>#DIV/0!</v>
      </c>
      <c r="S9" t="e">
        <f t="shared" si="6"/>
        <v>#DIV/0!</v>
      </c>
      <c r="T9">
        <v>7</v>
      </c>
      <c r="X9">
        <f t="shared" si="7"/>
        <v>0</v>
      </c>
      <c r="AH9" t="e">
        <f t="shared" si="8"/>
        <v>#DIV/0!</v>
      </c>
      <c r="AI9" t="e">
        <f t="shared" si="9"/>
        <v>#DIV/0!</v>
      </c>
    </row>
    <row r="10" spans="1:35" x14ac:dyDescent="0.25">
      <c r="A10">
        <v>510.65</v>
      </c>
      <c r="B10">
        <f t="shared" si="10"/>
        <v>6.7960017534995393E-2</v>
      </c>
      <c r="C10">
        <v>713.1</v>
      </c>
      <c r="D10">
        <v>39.1</v>
      </c>
      <c r="E10" s="1">
        <v>2.4420000000000001E-2</v>
      </c>
      <c r="F10">
        <v>2.44</v>
      </c>
      <c r="G10" s="2">
        <v>4.7999999999999996E-3</v>
      </c>
      <c r="H10">
        <v>1.1000000000000001</v>
      </c>
      <c r="I10">
        <v>1851</v>
      </c>
      <c r="J10" t="s">
        <v>36</v>
      </c>
      <c r="L10" t="e">
        <f t="shared" si="0"/>
        <v>#DIV/0!</v>
      </c>
      <c r="N10" t="e">
        <f t="shared" si="1"/>
        <v>#DIV/0!</v>
      </c>
      <c r="O10">
        <f t="shared" si="2"/>
        <v>9.1451822927059818E-4</v>
      </c>
      <c r="P10" t="e">
        <f t="shared" si="3"/>
        <v>#DIV/0!</v>
      </c>
      <c r="Q10" s="1" t="e">
        <f t="shared" si="4"/>
        <v>#DIV/0!</v>
      </c>
      <c r="R10" t="e">
        <f t="shared" si="5"/>
        <v>#DIV/0!</v>
      </c>
      <c r="S10" t="e">
        <f t="shared" si="6"/>
        <v>#DIV/0!</v>
      </c>
      <c r="T10">
        <v>8</v>
      </c>
      <c r="X10">
        <f t="shared" si="7"/>
        <v>0</v>
      </c>
      <c r="AH10" t="e">
        <f t="shared" si="8"/>
        <v>#DIV/0!</v>
      </c>
      <c r="AI10" t="e">
        <f t="shared" si="9"/>
        <v>#DIV/0!</v>
      </c>
    </row>
    <row r="11" spans="1:35" s="9" customFormat="1" x14ac:dyDescent="0.25">
      <c r="A11" s="9">
        <v>559.05999999999995</v>
      </c>
      <c r="B11" s="9">
        <f t="shared" si="10"/>
        <v>6.2941438768704491E-2</v>
      </c>
      <c r="C11" s="9">
        <v>150</v>
      </c>
      <c r="E11" s="10"/>
      <c r="G11" s="11"/>
      <c r="J11" s="9" t="s">
        <v>38</v>
      </c>
      <c r="K11" s="9">
        <v>93121.919999999998</v>
      </c>
      <c r="L11" s="9">
        <f t="shared" si="0"/>
        <v>7.4434373835928777E-6</v>
      </c>
      <c r="M11" s="9">
        <v>0.45</v>
      </c>
      <c r="N11" s="9">
        <f t="shared" si="1"/>
        <v>0.18136740019726458</v>
      </c>
      <c r="O11" s="9">
        <f t="shared" si="2"/>
        <v>4.1943317513410582E-4</v>
      </c>
      <c r="P11" s="9">
        <f t="shared" si="3"/>
        <v>1.4808586215281711E-2</v>
      </c>
      <c r="Q11" s="10">
        <f t="shared" si="4"/>
        <v>0.50004797407572255</v>
      </c>
      <c r="R11" s="9">
        <f t="shared" si="5"/>
        <v>0.55638720303325517</v>
      </c>
      <c r="S11" s="9">
        <f t="shared" si="6"/>
        <v>2889264.3355927961</v>
      </c>
      <c r="U11" s="9">
        <v>75</v>
      </c>
      <c r="V11" s="9">
        <v>1</v>
      </c>
      <c r="W11" s="12">
        <v>9.9733600000000005E-24</v>
      </c>
      <c r="X11" s="9">
        <f t="shared" si="7"/>
        <v>6.9588205266101859E-24</v>
      </c>
      <c r="AH11" s="9">
        <f t="shared" si="8"/>
        <v>0.69470210343686467</v>
      </c>
      <c r="AI11" s="9">
        <f t="shared" si="9"/>
        <v>1.0287555992682364E-2</v>
      </c>
    </row>
    <row r="12" spans="1:35" x14ac:dyDescent="0.25">
      <c r="A12">
        <v>582.73</v>
      </c>
      <c r="B12">
        <f t="shared" si="10"/>
        <v>6.0769138530426717E-2</v>
      </c>
      <c r="C12">
        <v>125.7</v>
      </c>
      <c r="D12">
        <v>22.1</v>
      </c>
      <c r="E12" s="1">
        <v>4.3039999999999997E-3</v>
      </c>
      <c r="F12">
        <v>1.64</v>
      </c>
      <c r="G12" s="2">
        <v>2.8E-3</v>
      </c>
      <c r="H12">
        <v>1.06</v>
      </c>
      <c r="I12">
        <v>702</v>
      </c>
      <c r="L12" t="e">
        <f t="shared" si="0"/>
        <v>#DIV/0!</v>
      </c>
      <c r="N12" t="e">
        <f t="shared" si="1"/>
        <v>#DIV/0!</v>
      </c>
      <c r="O12">
        <f t="shared" si="2"/>
        <v>3.839589429636702E-4</v>
      </c>
      <c r="P12" t="e">
        <f t="shared" si="3"/>
        <v>#DIV/0!</v>
      </c>
      <c r="Q12" s="1" t="e">
        <f t="shared" si="4"/>
        <v>#DIV/0!</v>
      </c>
      <c r="R12" t="e">
        <f t="shared" si="5"/>
        <v>#DIV/0!</v>
      </c>
      <c r="S12" t="e">
        <f t="shared" si="6"/>
        <v>#DIV/0!</v>
      </c>
      <c r="T12">
        <v>9</v>
      </c>
      <c r="X12">
        <f t="shared" si="7"/>
        <v>0</v>
      </c>
      <c r="AH12" t="e">
        <f t="shared" si="8"/>
        <v>#DIV/0!</v>
      </c>
      <c r="AI12" t="e">
        <f t="shared" si="9"/>
        <v>#DIV/0!</v>
      </c>
    </row>
    <row r="13" spans="1:35" x14ac:dyDescent="0.25">
      <c r="A13">
        <v>604.58000000000004</v>
      </c>
      <c r="B13">
        <f t="shared" si="10"/>
        <v>5.8903703251031815E-2</v>
      </c>
      <c r="C13">
        <v>145.4</v>
      </c>
      <c r="D13">
        <v>20.6</v>
      </c>
      <c r="E13" s="1">
        <v>4.9810000000000002E-3</v>
      </c>
      <c r="F13">
        <v>1.34</v>
      </c>
      <c r="G13" s="2">
        <v>2.2000000000000001E-3</v>
      </c>
      <c r="H13">
        <v>1.1599999999999999</v>
      </c>
      <c r="I13">
        <v>551</v>
      </c>
      <c r="J13" t="s">
        <v>39</v>
      </c>
      <c r="K13">
        <f>2.0648*31600000</f>
        <v>65247680</v>
      </c>
      <c r="L13">
        <f t="shared" si="0"/>
        <v>1.0623323014089471E-8</v>
      </c>
      <c r="M13">
        <v>0.97619999999999996</v>
      </c>
      <c r="N13">
        <f t="shared" si="1"/>
        <v>8.6596462683507611E-2</v>
      </c>
      <c r="O13">
        <f t="shared" si="2"/>
        <v>4.1295178890364E-4</v>
      </c>
      <c r="P13">
        <f t="shared" si="3"/>
        <v>7.1815460384741922E-3</v>
      </c>
      <c r="Q13" s="1">
        <f t="shared" si="4"/>
        <v>0.23875506667633747</v>
      </c>
      <c r="R13">
        <f t="shared" si="5"/>
        <v>0.23879211864967032</v>
      </c>
      <c r="S13">
        <f t="shared" si="6"/>
        <v>0.24412050882984923</v>
      </c>
      <c r="T13">
        <v>10</v>
      </c>
      <c r="U13">
        <v>133</v>
      </c>
      <c r="V13">
        <v>1</v>
      </c>
      <c r="W13" s="4">
        <v>3.3074400000000003E-23</v>
      </c>
      <c r="X13">
        <f t="shared" si="7"/>
        <v>2.3077359448101334E-23</v>
      </c>
      <c r="AH13">
        <f t="shared" si="8"/>
        <v>2.1992198907490494E-5</v>
      </c>
      <c r="AI13">
        <f t="shared" si="9"/>
        <v>1.5793798894142482E-7</v>
      </c>
    </row>
    <row r="14" spans="1:35" x14ac:dyDescent="0.25">
      <c r="A14">
        <v>609.17999999999995</v>
      </c>
      <c r="B14">
        <f t="shared" si="10"/>
        <v>5.8526748051163105E-2</v>
      </c>
      <c r="C14">
        <v>140.5</v>
      </c>
      <c r="D14">
        <v>19.7</v>
      </c>
      <c r="E14" s="1">
        <v>4.81E-3</v>
      </c>
      <c r="F14">
        <v>1.5</v>
      </c>
      <c r="G14" s="2">
        <v>2.5000000000000001E-3</v>
      </c>
      <c r="H14">
        <v>0.79</v>
      </c>
      <c r="I14">
        <v>452</v>
      </c>
      <c r="L14" t="e">
        <f t="shared" si="0"/>
        <v>#DIV/0!</v>
      </c>
      <c r="N14" t="e">
        <f t="shared" si="1"/>
        <v>#DIV/0!</v>
      </c>
      <c r="O14">
        <f t="shared" si="2"/>
        <v>4.0593389010718141E-4</v>
      </c>
      <c r="P14" t="e">
        <f t="shared" si="3"/>
        <v>#DIV/0!</v>
      </c>
      <c r="Q14" s="1" t="e">
        <f t="shared" si="4"/>
        <v>#DIV/0!</v>
      </c>
      <c r="R14" t="e">
        <f t="shared" si="5"/>
        <v>#DIV/0!</v>
      </c>
      <c r="S14" t="e">
        <f t="shared" si="6"/>
        <v>#DIV/0!</v>
      </c>
      <c r="T14">
        <v>11</v>
      </c>
      <c r="X14">
        <f t="shared" si="7"/>
        <v>0</v>
      </c>
      <c r="AH14" t="e">
        <f t="shared" si="8"/>
        <v>#DIV/0!</v>
      </c>
      <c r="AI14" t="e">
        <f t="shared" si="9"/>
        <v>#DIV/0!</v>
      </c>
    </row>
    <row r="15" spans="1:35" x14ac:dyDescent="0.25">
      <c r="A15">
        <v>795.65</v>
      </c>
      <c r="B15">
        <f t="shared" si="10"/>
        <v>4.6679087446070543E-2</v>
      </c>
      <c r="C15">
        <v>114.7</v>
      </c>
      <c r="D15">
        <v>17.2</v>
      </c>
      <c r="E15" s="1">
        <v>3.9280000000000001E-3</v>
      </c>
      <c r="F15">
        <v>1.63</v>
      </c>
      <c r="G15" s="2">
        <v>2E-3</v>
      </c>
      <c r="H15">
        <v>0.56999999999999995</v>
      </c>
      <c r="I15">
        <v>395</v>
      </c>
      <c r="J15" t="s">
        <v>39</v>
      </c>
      <c r="K15">
        <f>2.0648*31600000</f>
        <v>65247680</v>
      </c>
      <c r="L15">
        <f t="shared" si="0"/>
        <v>1.0623323014089471E-8</v>
      </c>
      <c r="M15">
        <v>0.85529999999999995</v>
      </c>
      <c r="N15">
        <f t="shared" si="1"/>
        <v>9.8387457367168779E-2</v>
      </c>
      <c r="O15">
        <f t="shared" si="2"/>
        <v>3.6677426672576137E-4</v>
      </c>
      <c r="P15">
        <f t="shared" si="3"/>
        <v>9.1866681421183833E-3</v>
      </c>
      <c r="Q15" s="1">
        <f t="shared" si="4"/>
        <v>0.27126401259213889</v>
      </c>
      <c r="R15">
        <f t="shared" si="5"/>
        <v>0.27130610957085705</v>
      </c>
      <c r="S15">
        <f t="shared" si="6"/>
        <v>0.27736001460857218</v>
      </c>
      <c r="T15">
        <v>12</v>
      </c>
      <c r="U15">
        <v>133</v>
      </c>
      <c r="V15">
        <v>1</v>
      </c>
      <c r="W15" s="4">
        <v>3.3074400000000003E-23</v>
      </c>
      <c r="X15">
        <f t="shared" si="7"/>
        <v>2.3077359448101334E-23</v>
      </c>
      <c r="AH15">
        <f t="shared" si="8"/>
        <v>2.4986661872426659E-5</v>
      </c>
      <c r="AI15">
        <f t="shared" si="9"/>
        <v>2.2954417060130606E-7</v>
      </c>
    </row>
    <row r="16" spans="1:35" x14ac:dyDescent="0.25">
      <c r="A16">
        <v>911</v>
      </c>
      <c r="B16">
        <f t="shared" si="10"/>
        <v>4.1621898207740898E-2</v>
      </c>
      <c r="C16">
        <v>87.1</v>
      </c>
      <c r="D16">
        <v>16.100000000000001</v>
      </c>
      <c r="E16" s="1">
        <v>2.9840000000000001E-3</v>
      </c>
      <c r="F16">
        <v>2.21</v>
      </c>
      <c r="G16" s="2">
        <v>2.3999999999999998E-3</v>
      </c>
      <c r="H16">
        <v>0.85</v>
      </c>
      <c r="I16">
        <v>344</v>
      </c>
      <c r="L16" t="e">
        <f t="shared" si="0"/>
        <v>#DIV/0!</v>
      </c>
      <c r="N16" t="e">
        <f t="shared" si="1"/>
        <v>#DIV/0!</v>
      </c>
      <c r="O16">
        <f t="shared" si="2"/>
        <v>3.1961431768000266E-4</v>
      </c>
      <c r="P16" t="e">
        <f t="shared" si="3"/>
        <v>#DIV/0!</v>
      </c>
      <c r="Q16" s="1" t="e">
        <f t="shared" si="4"/>
        <v>#DIV/0!</v>
      </c>
      <c r="R16" t="e">
        <f t="shared" si="5"/>
        <v>#DIV/0!</v>
      </c>
      <c r="S16" t="e">
        <f t="shared" si="6"/>
        <v>#DIV/0!</v>
      </c>
      <c r="T16">
        <v>13</v>
      </c>
      <c r="X16">
        <f t="shared" si="7"/>
        <v>0</v>
      </c>
      <c r="AH16" t="e">
        <f t="shared" si="8"/>
        <v>#DIV/0!</v>
      </c>
      <c r="AI16" t="e">
        <f t="shared" si="9"/>
        <v>#DIV/0!</v>
      </c>
    </row>
    <row r="17" spans="1:35" x14ac:dyDescent="0.25">
      <c r="A17">
        <v>1077.17</v>
      </c>
      <c r="B17">
        <f t="shared" si="10"/>
        <v>3.6115130520474402E-2</v>
      </c>
      <c r="C17">
        <v>153.9</v>
      </c>
      <c r="D17">
        <v>15.8</v>
      </c>
      <c r="E17" s="1">
        <v>5.2709999999999996E-3</v>
      </c>
      <c r="F17">
        <v>1.96</v>
      </c>
      <c r="G17" s="2">
        <v>1.8E-3</v>
      </c>
      <c r="H17">
        <v>0.83</v>
      </c>
      <c r="I17">
        <v>298</v>
      </c>
      <c r="J17" t="s">
        <v>40</v>
      </c>
      <c r="K17">
        <f>18.6*24*3600</f>
        <v>1607040.0000000002</v>
      </c>
      <c r="L17">
        <f t="shared" si="0"/>
        <v>4.3131918344281736E-7</v>
      </c>
      <c r="M17">
        <v>0.09</v>
      </c>
      <c r="N17">
        <f t="shared" si="1"/>
        <v>1.6215265732576172</v>
      </c>
      <c r="O17">
        <f t="shared" si="2"/>
        <v>4.2485081770141098E-4</v>
      </c>
      <c r="P17">
        <f t="shared" si="3"/>
        <v>0.13070877975785258</v>
      </c>
      <c r="Q17" s="1">
        <f t="shared" si="4"/>
        <v>4.4707101551078496</v>
      </c>
      <c r="R17">
        <f t="shared" si="5"/>
        <v>4.4989369985952354</v>
      </c>
      <c r="S17">
        <f t="shared" si="6"/>
        <v>11.021549520901385</v>
      </c>
      <c r="T17">
        <v>14</v>
      </c>
      <c r="U17">
        <v>85</v>
      </c>
      <c r="V17">
        <v>0.72170000000000001</v>
      </c>
      <c r="W17" s="4">
        <v>6.7842300000000004E-24</v>
      </c>
      <c r="X17">
        <f t="shared" si="7"/>
        <v>4.733634299899394E-24</v>
      </c>
      <c r="AH17">
        <f t="shared" si="8"/>
        <v>1.0557732351617377E-4</v>
      </c>
      <c r="AI17">
        <f t="shared" si="9"/>
        <v>1.3799883126899107E-5</v>
      </c>
    </row>
    <row r="18" spans="1:35" x14ac:dyDescent="0.25">
      <c r="A18">
        <v>1115.93</v>
      </c>
      <c r="B18">
        <f t="shared" si="10"/>
        <v>3.5049792305742344E-2</v>
      </c>
      <c r="C18">
        <v>453.5</v>
      </c>
      <c r="D18">
        <v>24</v>
      </c>
      <c r="E18" s="1">
        <v>1.553E-2</v>
      </c>
      <c r="F18">
        <v>1.75</v>
      </c>
      <c r="G18" s="2">
        <v>1.6000000000000001E-3</v>
      </c>
      <c r="H18">
        <v>0.73</v>
      </c>
      <c r="I18">
        <v>605</v>
      </c>
      <c r="J18" t="s">
        <v>41</v>
      </c>
      <c r="K18">
        <f>243.75*24*3600</f>
        <v>21060000</v>
      </c>
      <c r="L18">
        <f t="shared" si="0"/>
        <v>3.2912971536559604E-8</v>
      </c>
      <c r="M18">
        <v>0.50600000000000001</v>
      </c>
      <c r="N18">
        <f t="shared" si="1"/>
        <v>0.8757063003539961</v>
      </c>
      <c r="O18">
        <f t="shared" si="2"/>
        <v>7.2929929585776904E-4</v>
      </c>
      <c r="P18">
        <f t="shared" si="3"/>
        <v>4.1121583365403162E-2</v>
      </c>
      <c r="Q18" s="1">
        <f t="shared" si="4"/>
        <v>2.4144094302563994</v>
      </c>
      <c r="R18">
        <f t="shared" si="5"/>
        <v>2.4155704069508621</v>
      </c>
      <c r="S18">
        <f t="shared" si="6"/>
        <v>2.5865061906426261</v>
      </c>
      <c r="T18">
        <v>15</v>
      </c>
      <c r="U18">
        <v>64</v>
      </c>
      <c r="V18">
        <v>0.48599999999999999</v>
      </c>
      <c r="W18" s="4">
        <v>4.7157900000000003E-24</v>
      </c>
      <c r="X18">
        <f t="shared" si="7"/>
        <v>3.2903992487168863E-24</v>
      </c>
      <c r="AH18">
        <f t="shared" si="8"/>
        <v>5.2227685976104254E-4</v>
      </c>
      <c r="AI18">
        <f t="shared" si="9"/>
        <v>2.1476851428484688E-5</v>
      </c>
    </row>
    <row r="19" spans="1:35" x14ac:dyDescent="0.25">
      <c r="A19">
        <v>1120.45</v>
      </c>
      <c r="B19">
        <f t="shared" si="10"/>
        <v>3.492999445478872E-2</v>
      </c>
      <c r="C19">
        <v>67</v>
      </c>
      <c r="D19">
        <v>12.9</v>
      </c>
      <c r="E19" s="1">
        <v>2.2950000000000002E-3</v>
      </c>
      <c r="F19">
        <v>2.13</v>
      </c>
      <c r="G19" s="2">
        <v>1.9E-3</v>
      </c>
      <c r="H19">
        <v>0.67</v>
      </c>
      <c r="I19">
        <v>150</v>
      </c>
      <c r="L19" t="e">
        <f t="shared" si="0"/>
        <v>#DIV/0!</v>
      </c>
      <c r="N19" t="e">
        <f t="shared" si="1"/>
        <v>#DIV/0!</v>
      </c>
      <c r="O19">
        <f t="shared" si="2"/>
        <v>2.8032030040659074E-4</v>
      </c>
      <c r="P19" t="e">
        <f t="shared" si="3"/>
        <v>#DIV/0!</v>
      </c>
      <c r="Q19" s="1" t="e">
        <f t="shared" si="4"/>
        <v>#DIV/0!</v>
      </c>
      <c r="R19" t="e">
        <f t="shared" si="5"/>
        <v>#DIV/0!</v>
      </c>
      <c r="S19" t="e">
        <f t="shared" si="6"/>
        <v>#DIV/0!</v>
      </c>
      <c r="T19">
        <v>16</v>
      </c>
      <c r="X19">
        <f t="shared" si="7"/>
        <v>0</v>
      </c>
      <c r="AH19" t="e">
        <f t="shared" si="8"/>
        <v>#DIV/0!</v>
      </c>
      <c r="AI19" t="e">
        <f t="shared" si="9"/>
        <v>#DIV/0!</v>
      </c>
    </row>
    <row r="20" spans="1:35" x14ac:dyDescent="0.25">
      <c r="A20">
        <v>1173.68</v>
      </c>
      <c r="B20">
        <f t="shared" si="10"/>
        <v>3.3583453084278299E-2</v>
      </c>
      <c r="C20">
        <v>122.1</v>
      </c>
      <c r="D20">
        <v>14.5</v>
      </c>
      <c r="E20" s="1">
        <v>4.1809999999999998E-3</v>
      </c>
      <c r="F20">
        <v>1.86</v>
      </c>
      <c r="G20" s="2">
        <v>1.6000000000000001E-3</v>
      </c>
      <c r="H20">
        <v>1.07</v>
      </c>
      <c r="I20">
        <v>261</v>
      </c>
      <c r="J20" t="s">
        <v>42</v>
      </c>
      <c r="K20">
        <v>166238870.40000001</v>
      </c>
      <c r="L20">
        <f t="shared" si="0"/>
        <v>4.1695854819760931E-9</v>
      </c>
      <c r="M20">
        <v>0.99970000000000003</v>
      </c>
      <c r="N20">
        <f t="shared" si="1"/>
        <v>0.12454829071095505</v>
      </c>
      <c r="O20">
        <f t="shared" si="2"/>
        <v>3.7842078346743202E-4</v>
      </c>
      <c r="P20">
        <f t="shared" si="3"/>
        <v>1.1271453915731184E-2</v>
      </c>
      <c r="Q20" s="1">
        <f t="shared" si="4"/>
        <v>0.34339203394252837</v>
      </c>
      <c r="R20">
        <f t="shared" si="5"/>
        <v>0.34341294942115563</v>
      </c>
      <c r="S20">
        <f t="shared" si="6"/>
        <v>0.34640043957272465</v>
      </c>
      <c r="T20">
        <v>17</v>
      </c>
      <c r="U20">
        <v>59</v>
      </c>
      <c r="V20">
        <v>1</v>
      </c>
      <c r="W20" s="4">
        <v>4.3258399999999999E-23</v>
      </c>
      <c r="X20">
        <f t="shared" si="7"/>
        <v>3.0183152104036553E-23</v>
      </c>
      <c r="AH20">
        <f t="shared" si="8"/>
        <v>2.6966974268674108E-5</v>
      </c>
      <c r="AI20">
        <f t="shared" si="9"/>
        <v>3.0395700771606887E-7</v>
      </c>
    </row>
    <row r="21" spans="1:35" x14ac:dyDescent="0.25">
      <c r="A21">
        <v>1333.46</v>
      </c>
      <c r="B21">
        <f t="shared" si="10"/>
        <v>3.0142265737001198E-2</v>
      </c>
      <c r="C21">
        <v>100</v>
      </c>
      <c r="D21">
        <v>12.6</v>
      </c>
      <c r="E21" s="1">
        <v>3.424E-3</v>
      </c>
      <c r="F21">
        <v>1.88</v>
      </c>
      <c r="G21" s="2">
        <v>1.4E-3</v>
      </c>
      <c r="H21">
        <v>1.54</v>
      </c>
      <c r="I21">
        <v>190</v>
      </c>
      <c r="J21" t="s">
        <v>42</v>
      </c>
      <c r="K21">
        <v>166238870.40000001</v>
      </c>
      <c r="L21">
        <f t="shared" si="0"/>
        <v>4.1695854819760931E-9</v>
      </c>
      <c r="M21">
        <v>0.99990000000000001</v>
      </c>
      <c r="N21">
        <f t="shared" si="1"/>
        <v>0.11362782294250809</v>
      </c>
      <c r="O21">
        <f t="shared" si="2"/>
        <v>3.4246575342465754E-4</v>
      </c>
      <c r="P21">
        <f t="shared" si="3"/>
        <v>1.1362782294250808E-2</v>
      </c>
      <c r="Q21" s="1">
        <f t="shared" si="4"/>
        <v>0.31328321737664205</v>
      </c>
      <c r="R21">
        <f t="shared" si="5"/>
        <v>0.31330229897373701</v>
      </c>
      <c r="S21">
        <f t="shared" si="6"/>
        <v>0.31602784422246932</v>
      </c>
      <c r="T21">
        <v>18</v>
      </c>
      <c r="U21">
        <v>59</v>
      </c>
      <c r="V21">
        <v>1</v>
      </c>
      <c r="W21" s="4">
        <v>4.3258399999999999E-23</v>
      </c>
      <c r="X21">
        <f t="shared" si="7"/>
        <v>3.0183152104036553E-23</v>
      </c>
      <c r="AH21">
        <f t="shared" si="8"/>
        <v>2.4602494020630921E-5</v>
      </c>
      <c r="AI21">
        <f t="shared" si="9"/>
        <v>2.7955278345203641E-7</v>
      </c>
    </row>
    <row r="22" spans="1:35" s="9" customFormat="1" x14ac:dyDescent="0.25">
      <c r="A22" s="9">
        <v>1368.62</v>
      </c>
      <c r="B22" s="9">
        <f t="shared" si="10"/>
        <v>2.9485082471199565E-2</v>
      </c>
      <c r="C22" s="9">
        <f>SQRT(30)</f>
        <v>5.4772255750516612</v>
      </c>
      <c r="E22" s="10"/>
      <c r="G22" s="11"/>
      <c r="J22" s="9" t="s">
        <v>43</v>
      </c>
      <c r="K22" s="9">
        <v>53852.4</v>
      </c>
      <c r="L22" s="9">
        <f t="shared" si="0"/>
        <v>1.2871240289382558E-5</v>
      </c>
      <c r="M22" s="9">
        <v>0.99939999999999996</v>
      </c>
      <c r="N22" s="9">
        <f t="shared" si="1"/>
        <v>6.3655522010491678E-3</v>
      </c>
      <c r="O22" s="9">
        <f t="shared" si="2"/>
        <v>8.0148880798654653E-5</v>
      </c>
      <c r="P22" s="9">
        <f t="shared" si="3"/>
        <v>2.7199177440452578E-3</v>
      </c>
      <c r="Q22" s="10">
        <f t="shared" si="4"/>
        <v>1.7550460989934291E-2</v>
      </c>
      <c r="R22" s="9">
        <f t="shared" si="5"/>
        <v>2.1056558442993076E-2</v>
      </c>
      <c r="S22" s="9">
        <f t="shared" si="6"/>
        <v>8624188621.1068897</v>
      </c>
      <c r="U22" s="9">
        <v>23</v>
      </c>
      <c r="V22" s="9">
        <v>1</v>
      </c>
      <c r="W22" s="12">
        <v>5.83825E-24</v>
      </c>
      <c r="X22" s="9">
        <f t="shared" si="7"/>
        <v>4.0735854255217812E-24</v>
      </c>
      <c r="AH22" s="9">
        <f t="shared" si="8"/>
        <v>628.21471524973549</v>
      </c>
      <c r="AI22" s="9">
        <f t="shared" si="9"/>
        <v>1.7086923510780945</v>
      </c>
    </row>
    <row r="23" spans="1:35" x14ac:dyDescent="0.25">
      <c r="A23">
        <v>1462.27</v>
      </c>
      <c r="B23">
        <f>13.367*A23^-0.847</f>
        <v>2.7877613726641503E-2</v>
      </c>
      <c r="C23">
        <v>272.7</v>
      </c>
      <c r="D23">
        <v>18.2</v>
      </c>
      <c r="E23" s="1">
        <v>9.3399999999999993E-3</v>
      </c>
      <c r="F23">
        <v>2.1800000000000002</v>
      </c>
      <c r="G23" s="2">
        <v>1.5E-3</v>
      </c>
      <c r="H23">
        <v>1.34</v>
      </c>
      <c r="I23">
        <v>360</v>
      </c>
      <c r="J23" t="s">
        <v>44</v>
      </c>
      <c r="K23">
        <f>1280000000*31600000</f>
        <v>4.0448E+16</v>
      </c>
      <c r="L23">
        <f t="shared" si="0"/>
        <v>1.7136747937103079E-17</v>
      </c>
      <c r="M23">
        <v>0.11</v>
      </c>
      <c r="N23">
        <f t="shared" si="1"/>
        <v>3.0454677517060182</v>
      </c>
      <c r="O23">
        <f t="shared" si="2"/>
        <v>5.6553529908998155E-4</v>
      </c>
      <c r="P23">
        <f t="shared" si="3"/>
        <v>0.18442145164002471</v>
      </c>
      <c r="Q23" s="1">
        <f t="shared" si="4"/>
        <v>8.3966577107968519</v>
      </c>
      <c r="R23">
        <f t="shared" si="5"/>
        <v>8.3975052469369214</v>
      </c>
      <c r="S23">
        <f t="shared" si="6"/>
        <v>8.397505247235868</v>
      </c>
      <c r="T23">
        <v>19</v>
      </c>
      <c r="X23">
        <f t="shared" si="7"/>
        <v>0</v>
      </c>
      <c r="AH23" t="e">
        <f t="shared" si="8"/>
        <v>#DIV/0!</v>
      </c>
      <c r="AI23" t="e">
        <f t="shared" si="9"/>
        <v>#DIV/0!</v>
      </c>
    </row>
    <row r="24" spans="1:35" x14ac:dyDescent="0.25">
      <c r="A24">
        <v>1767.66</v>
      </c>
      <c r="B24">
        <f>13.367*A24^-0.847</f>
        <v>2.3740355606045517E-2</v>
      </c>
      <c r="C24">
        <v>69.8</v>
      </c>
      <c r="D24">
        <v>9.6</v>
      </c>
      <c r="E24" s="1">
        <v>2.3890000000000001E-3</v>
      </c>
      <c r="F24">
        <v>2.2200000000000002</v>
      </c>
      <c r="G24" s="2">
        <v>1.2999999999999999E-3</v>
      </c>
      <c r="H24">
        <v>1.93</v>
      </c>
      <c r="I24">
        <v>102</v>
      </c>
      <c r="L24" t="e">
        <f t="shared" si="0"/>
        <v>#DIV/0!</v>
      </c>
      <c r="N24" t="e">
        <f t="shared" si="1"/>
        <v>#DIV/0!</v>
      </c>
      <c r="O24">
        <f t="shared" si="2"/>
        <v>2.8611778868774555E-4</v>
      </c>
      <c r="P24" t="e">
        <f t="shared" si="3"/>
        <v>#DIV/0!</v>
      </c>
      <c r="Q24" s="1" t="e">
        <f t="shared" si="4"/>
        <v>#DIV/0!</v>
      </c>
      <c r="R24" t="e">
        <f t="shared" si="5"/>
        <v>#DIV/0!</v>
      </c>
      <c r="S24" t="e">
        <f t="shared" si="6"/>
        <v>#DIV/0!</v>
      </c>
      <c r="T24">
        <v>20</v>
      </c>
      <c r="X24">
        <f t="shared" si="7"/>
        <v>0</v>
      </c>
      <c r="AH24" t="e">
        <f t="shared" si="8"/>
        <v>#DIV/0!</v>
      </c>
      <c r="AI24" t="e">
        <f t="shared" si="9"/>
        <v>#DIV/0!</v>
      </c>
    </row>
    <row r="25" spans="1:35" x14ac:dyDescent="0.25">
      <c r="A25">
        <v>2623.52</v>
      </c>
      <c r="B25">
        <f>13.367*A25^-0.847</f>
        <v>1.699178009104611E-2</v>
      </c>
      <c r="C25">
        <v>166.1</v>
      </c>
      <c r="D25">
        <v>13.4</v>
      </c>
      <c r="E25" s="1">
        <v>5.6880000000000003E-3</v>
      </c>
      <c r="F25">
        <v>2.62</v>
      </c>
      <c r="G25" s="2">
        <v>1E-3</v>
      </c>
      <c r="H25">
        <v>1.2</v>
      </c>
      <c r="I25">
        <v>184</v>
      </c>
      <c r="L25" t="e">
        <f t="shared" si="0"/>
        <v>#DIV/0!</v>
      </c>
      <c r="N25" t="e">
        <f t="shared" si="1"/>
        <v>#DIV/0!</v>
      </c>
      <c r="O25">
        <f t="shared" si="2"/>
        <v>4.4136914024242921E-4</v>
      </c>
      <c r="P25" t="e">
        <f t="shared" si="3"/>
        <v>#DIV/0!</v>
      </c>
      <c r="Q25" s="1" t="e">
        <f t="shared" si="4"/>
        <v>#DIV/0!</v>
      </c>
      <c r="R25" t="e">
        <f t="shared" si="5"/>
        <v>#DIV/0!</v>
      </c>
      <c r="S25" t="e">
        <f t="shared" si="6"/>
        <v>#DIV/0!</v>
      </c>
      <c r="T25">
        <v>21</v>
      </c>
      <c r="X25">
        <f t="shared" si="7"/>
        <v>0</v>
      </c>
      <c r="AH25" t="e">
        <f t="shared" si="8"/>
        <v>#DIV/0!</v>
      </c>
      <c r="AI25" t="e">
        <f t="shared" si="9"/>
        <v>#DIV/0!</v>
      </c>
    </row>
    <row r="26" spans="1:35" s="9" customFormat="1" x14ac:dyDescent="0.25">
      <c r="A26" s="9">
        <v>2751.11</v>
      </c>
      <c r="B26" s="9">
        <f>13.367*A26^-0.847</f>
        <v>1.6321899887915003E-2</v>
      </c>
      <c r="C26" s="9">
        <f>SQRT(7)</f>
        <v>2.6457513110645907</v>
      </c>
      <c r="J26" s="9" t="s">
        <v>43</v>
      </c>
      <c r="K26" s="9">
        <v>53852.4</v>
      </c>
      <c r="L26" s="9">
        <f t="shared" si="0"/>
        <v>1.2871240289382558E-5</v>
      </c>
      <c r="M26" s="9">
        <v>0.99939999999999996</v>
      </c>
      <c r="N26" s="9">
        <f t="shared" si="1"/>
        <v>5.5546425125625734E-3</v>
      </c>
      <c r="O26" s="9">
        <f t="shared" si="2"/>
        <v>5.5704676770472116E-5</v>
      </c>
      <c r="P26" s="9">
        <f t="shared" si="3"/>
        <v>3.4149284106029148E-3</v>
      </c>
      <c r="Q26" s="10">
        <f t="shared" si="4"/>
        <v>1.5314702267886884E-2</v>
      </c>
      <c r="R26" s="9">
        <f t="shared" si="5"/>
        <v>1.837415686834367E-2</v>
      </c>
      <c r="S26" s="9">
        <f t="shared" si="6"/>
        <v>7525550531.6982822</v>
      </c>
      <c r="U26" s="9">
        <v>23</v>
      </c>
      <c r="V26" s="9">
        <v>1</v>
      </c>
      <c r="W26" s="12">
        <v>5.83825E-24</v>
      </c>
      <c r="X26" s="9">
        <f t="shared" si="7"/>
        <v>4.0735854255217812E-24</v>
      </c>
      <c r="AH26" s="9">
        <f t="shared" si="8"/>
        <v>548.18624592669801</v>
      </c>
      <c r="AI26" s="9">
        <f t="shared" si="9"/>
        <v>1.8720167855168375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topLeftCell="Q1" workbookViewId="0">
      <selection activeCell="AI5" sqref="AI5"/>
    </sheetView>
  </sheetViews>
  <sheetFormatPr defaultRowHeight="15" x14ac:dyDescent="0.25"/>
  <cols>
    <col min="34" max="34" width="8.5703125" bestFit="1" customWidth="1"/>
    <col min="35" max="35" width="12.42578125" bestFit="1" customWidth="1"/>
  </cols>
  <sheetData>
    <row r="1" spans="1:35" x14ac:dyDescent="0.25">
      <c r="A1" t="s">
        <v>0</v>
      </c>
      <c r="B1" t="s">
        <v>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93</v>
      </c>
      <c r="O1" t="s">
        <v>95</v>
      </c>
      <c r="P1" t="s">
        <v>96</v>
      </c>
      <c r="Q1" t="s">
        <v>12</v>
      </c>
      <c r="R1" t="s">
        <v>86</v>
      </c>
      <c r="S1" t="s">
        <v>13</v>
      </c>
      <c r="T1" t="s">
        <v>14</v>
      </c>
      <c r="U1" t="s">
        <v>74</v>
      </c>
      <c r="V1" t="s">
        <v>75</v>
      </c>
      <c r="W1" t="s">
        <v>91</v>
      </c>
      <c r="X1" t="s">
        <v>92</v>
      </c>
      <c r="Y1" t="s">
        <v>15</v>
      </c>
      <c r="Z1" t="s">
        <v>16</v>
      </c>
      <c r="AA1" t="s">
        <v>17</v>
      </c>
      <c r="AB1" t="s">
        <v>46</v>
      </c>
      <c r="AC1" t="s">
        <v>19</v>
      </c>
      <c r="AD1" t="s">
        <v>81</v>
      </c>
      <c r="AE1" t="s">
        <v>80</v>
      </c>
      <c r="AF1" s="6" t="s">
        <v>84</v>
      </c>
      <c r="AH1" t="s">
        <v>98</v>
      </c>
      <c r="AI1" t="s">
        <v>97</v>
      </c>
    </row>
    <row r="2" spans="1:35" x14ac:dyDescent="0.25">
      <c r="A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21</v>
      </c>
      <c r="K2" t="s">
        <v>27</v>
      </c>
      <c r="L2" t="s">
        <v>28</v>
      </c>
      <c r="Q2" t="s">
        <v>29</v>
      </c>
      <c r="T2" t="s">
        <v>30</v>
      </c>
      <c r="Y2" t="s">
        <v>27</v>
      </c>
      <c r="Z2" t="s">
        <v>27</v>
      </c>
      <c r="AA2" t="s">
        <v>31</v>
      </c>
      <c r="AC2" t="s">
        <v>32</v>
      </c>
      <c r="AF2" t="s">
        <v>27</v>
      </c>
    </row>
    <row r="3" spans="1:35" x14ac:dyDescent="0.25">
      <c r="A3">
        <v>92.12</v>
      </c>
      <c r="B3">
        <f>13.367*A3^-0.847</f>
        <v>0.2898852846317756</v>
      </c>
      <c r="C3">
        <v>854.8</v>
      </c>
      <c r="D3">
        <v>94.4</v>
      </c>
      <c r="E3" s="1">
        <v>2.93E-2</v>
      </c>
      <c r="F3">
        <v>1.17</v>
      </c>
      <c r="G3" s="2">
        <v>1.2800000000000001E-2</v>
      </c>
      <c r="H3">
        <v>0.63</v>
      </c>
      <c r="I3">
        <v>13466</v>
      </c>
      <c r="J3" t="s">
        <v>37</v>
      </c>
      <c r="K3">
        <v>127080</v>
      </c>
      <c r="L3" s="1">
        <f>LN(2)/K3</f>
        <v>5.4544159628576115E-6</v>
      </c>
      <c r="M3">
        <v>7.1999999999999998E-3</v>
      </c>
      <c r="N3">
        <f>C3/($Y$3*M3*B3)</f>
        <v>14.0256499508862</v>
      </c>
      <c r="O3">
        <f>SQRT(C3)/$Y$3</f>
        <v>1.001265852964638E-3</v>
      </c>
      <c r="P3">
        <f>SQRT(((1/(B3*M3))^2)*O3^2)</f>
        <v>0.47972321871146362</v>
      </c>
      <c r="Q3" s="1">
        <f>N3/$AC$3</f>
        <v>59.913071127237075</v>
      </c>
      <c r="R3" s="1">
        <f>Q3*((L3*$Z$3)/(1-EXP(-L3*$Z$3)))</f>
        <v>64.817523362180111</v>
      </c>
      <c r="S3" s="1">
        <f t="shared" ref="S3:S38" si="0">R3*EXP(L3*$AF$3)</f>
        <v>214628.42766425636</v>
      </c>
      <c r="T3">
        <v>1</v>
      </c>
      <c r="U3" s="7">
        <v>81</v>
      </c>
      <c r="V3">
        <v>0.49309999999999998</v>
      </c>
      <c r="W3" s="4">
        <v>8.1571100000000004E-24</v>
      </c>
      <c r="X3" s="1">
        <f>(1/1.128)*((293/473)^(1/2))*W3</f>
        <v>5.691548736415532E-24</v>
      </c>
      <c r="Y3">
        <v>29200</v>
      </c>
      <c r="Z3">
        <v>29239</v>
      </c>
      <c r="AA3">
        <v>0.13</v>
      </c>
      <c r="AB3" t="s">
        <v>47</v>
      </c>
      <c r="AC3">
        <v>0.2341</v>
      </c>
      <c r="AD3" s="5" t="s">
        <v>82</v>
      </c>
      <c r="AE3" t="s">
        <v>90</v>
      </c>
      <c r="AF3">
        <v>1485968</v>
      </c>
      <c r="AH3" s="1">
        <f t="shared" ref="AH3:AH38" si="1">S3*(U3/(6.022E+23*V3))*(1/L3)*(1/(100000000000*X3*100))</f>
        <v>0.18858962426258771</v>
      </c>
      <c r="AI3" s="1">
        <f>(S3*(U3/(6.022E+23*V3))*(1/L3)*(1/(100000000000*X3*100)))*P3</f>
        <v>9.0470821566834114E-2</v>
      </c>
    </row>
    <row r="4" spans="1:35" x14ac:dyDescent="0.25">
      <c r="A4">
        <v>159.29</v>
      </c>
      <c r="B4">
        <f t="shared" ref="B4:B38" si="2">13.367*A4^-0.847</f>
        <v>0.18229731753853229</v>
      </c>
      <c r="C4">
        <v>2182.1</v>
      </c>
      <c r="D4">
        <v>86.5</v>
      </c>
      <c r="E4" s="1">
        <v>7.4700000000000003E-2</v>
      </c>
      <c r="F4">
        <v>1.1000000000000001</v>
      </c>
      <c r="G4" s="2">
        <v>7.0000000000000001E-3</v>
      </c>
      <c r="H4">
        <v>0.86</v>
      </c>
      <c r="I4">
        <v>10534</v>
      </c>
      <c r="J4" t="s">
        <v>48</v>
      </c>
      <c r="K4">
        <v>288576</v>
      </c>
      <c r="L4" s="1">
        <f t="shared" ref="L4:L38" si="3">LN(2)/K4</f>
        <v>2.4019571293522169E-6</v>
      </c>
      <c r="M4">
        <v>0.68300000000000005</v>
      </c>
      <c r="N4">
        <f t="shared" ref="N4:N38" si="4">C4/($Y$3*M4*B4)</f>
        <v>0.60019284802234119</v>
      </c>
      <c r="O4">
        <f t="shared" ref="O4:O38" si="5">SQRT(C4)/$Y$3</f>
        <v>1.5997586724552247E-3</v>
      </c>
      <c r="P4">
        <f t="shared" ref="P4:P38" si="6">SQRT(((1/(B4*M4))^2)*O4^2)</f>
        <v>1.2848531433969461E-2</v>
      </c>
      <c r="Q4" s="1">
        <f t="shared" ref="Q4:Q38" si="7">N4/$AC$3</f>
        <v>2.5638310466567331</v>
      </c>
      <c r="R4" s="1">
        <f t="shared" ref="R4:R38" si="8">Q4*((L4*$Z$3)/(1-EXP(-L4*$Z$3)))</f>
        <v>2.6549147575224121</v>
      </c>
      <c r="S4" s="1">
        <f t="shared" si="0"/>
        <v>94.221084111098534</v>
      </c>
      <c r="T4">
        <v>2</v>
      </c>
      <c r="U4" s="7">
        <v>46</v>
      </c>
      <c r="V4">
        <v>4.0000000000000003E-5</v>
      </c>
      <c r="W4" s="4">
        <v>3.6853499999999998E-24</v>
      </c>
      <c r="X4" s="1">
        <f t="shared" ref="X4:X38" si="9">(1/1.128)*((293/473)^(1/2))*W4</f>
        <v>2.5714191834790725E-24</v>
      </c>
      <c r="AH4" s="1">
        <f t="shared" si="1"/>
        <v>2.9131782232132939</v>
      </c>
      <c r="AI4" s="1">
        <f t="shared" ref="AI4:AI38" si="10">(S4*(U4/(6.022E+23*V4))*(1/L4)*(1/(100000000000*X4*100)))*P4</f>
        <v>3.7430061973711307E-2</v>
      </c>
    </row>
    <row r="5" spans="1:35" x14ac:dyDescent="0.25">
      <c r="A5">
        <v>221.46</v>
      </c>
      <c r="B5">
        <f t="shared" si="2"/>
        <v>0.13790144999875828</v>
      </c>
      <c r="C5">
        <v>2210</v>
      </c>
      <c r="D5">
        <v>80.8</v>
      </c>
      <c r="E5" s="1">
        <v>7.5700000000000003E-2</v>
      </c>
      <c r="F5">
        <v>1.1299999999999999</v>
      </c>
      <c r="G5" s="2">
        <v>5.1000000000000004E-3</v>
      </c>
      <c r="H5">
        <v>0.88</v>
      </c>
      <c r="I5">
        <v>8921</v>
      </c>
      <c r="J5" t="s">
        <v>37</v>
      </c>
      <c r="K5">
        <v>127080</v>
      </c>
      <c r="L5" s="1">
        <f t="shared" si="3"/>
        <v>5.4544159628576115E-6</v>
      </c>
      <c r="M5">
        <v>2.2599999999999999E-2</v>
      </c>
      <c r="N5">
        <f t="shared" si="4"/>
        <v>24.284666873840017</v>
      </c>
      <c r="O5">
        <f t="shared" si="5"/>
        <v>1.6099533251428986E-3</v>
      </c>
      <c r="P5">
        <f t="shared" si="6"/>
        <v>0.51657812731175068</v>
      </c>
      <c r="Q5" s="1">
        <f t="shared" si="7"/>
        <v>103.7362959155917</v>
      </c>
      <c r="R5" s="1">
        <f t="shared" si="8"/>
        <v>112.22809409544907</v>
      </c>
      <c r="S5" s="1">
        <f t="shared" si="0"/>
        <v>371617.70654009568</v>
      </c>
      <c r="T5">
        <v>3</v>
      </c>
      <c r="U5" s="7">
        <v>81</v>
      </c>
      <c r="V5">
        <v>0.49309999999999998</v>
      </c>
      <c r="W5" s="4">
        <v>8.1571100000000004E-24</v>
      </c>
      <c r="X5" s="1">
        <f t="shared" si="9"/>
        <v>5.691548736415532E-24</v>
      </c>
      <c r="AH5" s="1">
        <f t="shared" si="1"/>
        <v>0.32653290343883329</v>
      </c>
      <c r="AI5" s="1">
        <f t="shared" si="10"/>
        <v>0.16867975576410121</v>
      </c>
    </row>
    <row r="6" spans="1:35" x14ac:dyDescent="0.25">
      <c r="A6">
        <v>273.51</v>
      </c>
      <c r="B6">
        <f t="shared" si="2"/>
        <v>0.11532345355461456</v>
      </c>
      <c r="C6">
        <v>596.4</v>
      </c>
      <c r="D6">
        <v>67.3</v>
      </c>
      <c r="E6" s="1">
        <v>2.0400000000000001E-2</v>
      </c>
      <c r="F6">
        <v>1.21</v>
      </c>
      <c r="G6" s="2">
        <v>4.4000000000000003E-3</v>
      </c>
      <c r="H6">
        <v>1.62</v>
      </c>
      <c r="I6">
        <v>7136</v>
      </c>
      <c r="J6" t="s">
        <v>37</v>
      </c>
      <c r="K6">
        <v>127080</v>
      </c>
      <c r="L6" s="1">
        <f t="shared" si="3"/>
        <v>5.4544159628576115E-6</v>
      </c>
      <c r="M6">
        <v>8.0199999999999994E-3</v>
      </c>
      <c r="N6">
        <f t="shared" si="4"/>
        <v>22.083239139786723</v>
      </c>
      <c r="O6">
        <f t="shared" si="5"/>
        <v>8.3634596495148835E-4</v>
      </c>
      <c r="P6">
        <f t="shared" si="6"/>
        <v>0.90426132808599347</v>
      </c>
      <c r="Q6" s="1">
        <f t="shared" si="7"/>
        <v>94.33250380088306</v>
      </c>
      <c r="R6" s="1">
        <f t="shared" si="8"/>
        <v>102.05451254437558</v>
      </c>
      <c r="S6" s="1">
        <f t="shared" si="0"/>
        <v>337930.2143503672</v>
      </c>
      <c r="T6">
        <v>4</v>
      </c>
      <c r="U6" s="7">
        <v>81</v>
      </c>
      <c r="V6">
        <v>0.49309999999999998</v>
      </c>
      <c r="W6" s="4">
        <v>8.1571100000000004E-24</v>
      </c>
      <c r="X6" s="1">
        <f t="shared" si="9"/>
        <v>5.691548736415532E-24</v>
      </c>
      <c r="AH6" s="1">
        <f t="shared" si="1"/>
        <v>0.29693239075955324</v>
      </c>
      <c r="AI6" s="1">
        <f t="shared" si="10"/>
        <v>0.26850447801998278</v>
      </c>
    </row>
    <row r="7" spans="1:35" x14ac:dyDescent="0.25">
      <c r="A7">
        <v>514.17999999999995</v>
      </c>
      <c r="B7">
        <f t="shared" si="2"/>
        <v>6.7564628108346889E-2</v>
      </c>
      <c r="C7">
        <v>2056.6999999999998</v>
      </c>
      <c r="D7">
        <v>73.599999999999994</v>
      </c>
      <c r="E7" s="1">
        <v>7.0400000000000004E-2</v>
      </c>
      <c r="F7">
        <v>1.4</v>
      </c>
      <c r="G7" s="2">
        <v>2.7000000000000001E-3</v>
      </c>
      <c r="H7">
        <v>1.47</v>
      </c>
      <c r="I7">
        <v>6109</v>
      </c>
      <c r="J7" t="s">
        <v>36</v>
      </c>
      <c r="L7" s="1" t="e">
        <f t="shared" si="3"/>
        <v>#DIV/0!</v>
      </c>
      <c r="N7" t="e">
        <f t="shared" si="4"/>
        <v>#DIV/0!</v>
      </c>
      <c r="O7">
        <f t="shared" si="5"/>
        <v>1.5531114540144018E-3</v>
      </c>
      <c r="P7" t="e">
        <f t="shared" si="6"/>
        <v>#DIV/0!</v>
      </c>
      <c r="Q7" s="1" t="e">
        <f t="shared" si="7"/>
        <v>#DIV/0!</v>
      </c>
      <c r="R7" s="1" t="e">
        <f t="shared" si="8"/>
        <v>#DIV/0!</v>
      </c>
      <c r="S7" s="1" t="e">
        <f t="shared" si="0"/>
        <v>#DIV/0!</v>
      </c>
      <c r="T7">
        <v>5</v>
      </c>
      <c r="U7" s="7"/>
      <c r="X7" s="1">
        <f t="shared" si="9"/>
        <v>0</v>
      </c>
      <c r="AH7" s="1" t="e">
        <f t="shared" si="1"/>
        <v>#DIV/0!</v>
      </c>
      <c r="AI7" s="1" t="e">
        <f t="shared" si="10"/>
        <v>#DIV/0!</v>
      </c>
    </row>
    <row r="8" spans="1:35" x14ac:dyDescent="0.25">
      <c r="A8">
        <v>554.49</v>
      </c>
      <c r="B8">
        <f t="shared" si="2"/>
        <v>6.3380544913001172E-2</v>
      </c>
      <c r="C8">
        <v>38873</v>
      </c>
      <c r="D8">
        <v>205.8</v>
      </c>
      <c r="E8" s="1">
        <v>1.33</v>
      </c>
      <c r="F8">
        <v>1.48</v>
      </c>
      <c r="G8" s="2">
        <v>2.7000000000000001E-3</v>
      </c>
      <c r="H8">
        <v>1.67</v>
      </c>
      <c r="I8">
        <v>43153</v>
      </c>
      <c r="J8" t="s">
        <v>37</v>
      </c>
      <c r="K8">
        <v>127080</v>
      </c>
      <c r="L8" s="1">
        <f t="shared" si="3"/>
        <v>5.4544159628576115E-6</v>
      </c>
      <c r="M8">
        <v>0.70799999999999996</v>
      </c>
      <c r="N8">
        <f t="shared" si="4"/>
        <v>29.667160454127742</v>
      </c>
      <c r="O8">
        <f t="shared" si="5"/>
        <v>6.7521359463964346E-3</v>
      </c>
      <c r="P8">
        <f t="shared" si="6"/>
        <v>0.15047070345666499</v>
      </c>
      <c r="Q8" s="1">
        <f t="shared" si="7"/>
        <v>126.72857947085751</v>
      </c>
      <c r="R8" s="1">
        <f t="shared" si="8"/>
        <v>137.10251379141764</v>
      </c>
      <c r="S8" s="1">
        <f t="shared" si="0"/>
        <v>453983.66734015947</v>
      </c>
      <c r="T8">
        <v>6</v>
      </c>
      <c r="U8" s="7">
        <v>81</v>
      </c>
      <c r="V8">
        <v>0.49309999999999998</v>
      </c>
      <c r="W8" s="4">
        <v>8.1571100000000004E-24</v>
      </c>
      <c r="X8" s="1">
        <f t="shared" si="9"/>
        <v>5.691548736415532E-24</v>
      </c>
      <c r="AH8" s="1">
        <f t="shared" si="1"/>
        <v>0.39890619419232992</v>
      </c>
      <c r="AI8" s="1">
        <f t="shared" si="10"/>
        <v>6.0023695653340897E-2</v>
      </c>
    </row>
    <row r="9" spans="1:35" x14ac:dyDescent="0.25">
      <c r="A9">
        <v>559.29</v>
      </c>
      <c r="B9">
        <f t="shared" si="2"/>
        <v>6.2919514529951162E-2</v>
      </c>
      <c r="C9">
        <v>360.3</v>
      </c>
      <c r="D9">
        <v>60.4</v>
      </c>
      <c r="E9" s="1">
        <v>1.23E-2</v>
      </c>
      <c r="F9">
        <v>1.48</v>
      </c>
      <c r="G9" s="2">
        <v>2.7000000000000001E-3</v>
      </c>
      <c r="H9">
        <v>1.23</v>
      </c>
      <c r="I9">
        <v>3850</v>
      </c>
      <c r="J9" t="s">
        <v>38</v>
      </c>
      <c r="K9">
        <v>93121</v>
      </c>
      <c r="L9" s="1">
        <f t="shared" si="3"/>
        <v>7.4435109219182067E-6</v>
      </c>
      <c r="M9">
        <v>0.45</v>
      </c>
      <c r="N9">
        <f t="shared" si="4"/>
        <v>0.43579629514064844</v>
      </c>
      <c r="O9">
        <f t="shared" si="5"/>
        <v>6.5005376742558168E-4</v>
      </c>
      <c r="P9">
        <f t="shared" si="6"/>
        <v>2.2958917251733681E-2</v>
      </c>
      <c r="Q9" s="1">
        <f t="shared" si="7"/>
        <v>1.861581781890852</v>
      </c>
      <c r="R9" s="1">
        <f t="shared" si="8"/>
        <v>2.0715022862938923</v>
      </c>
      <c r="S9" s="1">
        <f t="shared" si="0"/>
        <v>131806.88314412747</v>
      </c>
      <c r="T9">
        <v>7</v>
      </c>
      <c r="U9" s="7">
        <v>75</v>
      </c>
      <c r="V9">
        <v>1</v>
      </c>
      <c r="W9" s="4">
        <v>9.9733600000000005E-24</v>
      </c>
      <c r="X9" s="1">
        <f t="shared" si="9"/>
        <v>6.9588205266101859E-24</v>
      </c>
      <c r="AH9" s="1">
        <f t="shared" si="1"/>
        <v>3.1691670854170365E-2</v>
      </c>
      <c r="AI9" s="1">
        <f t="shared" si="10"/>
        <v>7.2760644871007745E-4</v>
      </c>
    </row>
    <row r="10" spans="1:35" x14ac:dyDescent="0.25">
      <c r="A10">
        <v>606.20000000000005</v>
      </c>
      <c r="B10">
        <f t="shared" si="2"/>
        <v>5.8770346821049549E-2</v>
      </c>
      <c r="C10">
        <v>348.9</v>
      </c>
      <c r="D10">
        <v>54.8</v>
      </c>
      <c r="E10" s="1">
        <v>1.2E-2</v>
      </c>
      <c r="F10">
        <v>1.5</v>
      </c>
      <c r="G10" s="2">
        <v>2.5000000000000001E-3</v>
      </c>
      <c r="H10">
        <v>1.01</v>
      </c>
      <c r="I10">
        <v>4701</v>
      </c>
      <c r="J10" t="s">
        <v>37</v>
      </c>
      <c r="K10">
        <v>127080</v>
      </c>
      <c r="L10" s="1">
        <f t="shared" si="3"/>
        <v>5.4544159628576115E-6</v>
      </c>
      <c r="M10">
        <v>1.2E-2</v>
      </c>
      <c r="N10">
        <f t="shared" si="4"/>
        <v>16.942543849776271</v>
      </c>
      <c r="O10">
        <f t="shared" si="5"/>
        <v>6.3968715965349681E-4</v>
      </c>
      <c r="P10">
        <f t="shared" si="6"/>
        <v>0.90704353790481984</v>
      </c>
      <c r="Q10" s="1">
        <f t="shared" si="7"/>
        <v>72.373104868758105</v>
      </c>
      <c r="R10" s="1">
        <f t="shared" si="8"/>
        <v>78.297528859134786</v>
      </c>
      <c r="S10" s="1">
        <f t="shared" si="0"/>
        <v>259264.38773558856</v>
      </c>
      <c r="T10">
        <v>8</v>
      </c>
      <c r="U10" s="7">
        <v>81</v>
      </c>
      <c r="V10">
        <v>0.49309999999999998</v>
      </c>
      <c r="W10" s="4">
        <v>8.1571100000000004E-24</v>
      </c>
      <c r="X10" s="1">
        <f t="shared" si="9"/>
        <v>5.691548736415532E-24</v>
      </c>
      <c r="AH10" s="1">
        <f t="shared" si="1"/>
        <v>0.22781033248871566</v>
      </c>
      <c r="AI10" s="1">
        <f t="shared" si="10"/>
        <v>0.20663388995183796</v>
      </c>
    </row>
    <row r="11" spans="1:35" x14ac:dyDescent="0.25">
      <c r="A11">
        <v>619.27</v>
      </c>
      <c r="B11">
        <f t="shared" si="2"/>
        <v>5.7718037087370846E-2</v>
      </c>
      <c r="C11">
        <v>19798.900000000001</v>
      </c>
      <c r="D11">
        <v>149.6</v>
      </c>
      <c r="E11" s="1">
        <v>0.67800000000000005</v>
      </c>
      <c r="F11">
        <v>1.48</v>
      </c>
      <c r="G11" s="2">
        <v>2.3999999999999998E-3</v>
      </c>
      <c r="H11">
        <v>1.38</v>
      </c>
      <c r="I11">
        <v>23946</v>
      </c>
      <c r="J11" t="s">
        <v>37</v>
      </c>
      <c r="K11">
        <v>127080</v>
      </c>
      <c r="L11" s="1">
        <f t="shared" si="3"/>
        <v>5.4544159628576115E-6</v>
      </c>
      <c r="M11">
        <v>0.434</v>
      </c>
      <c r="N11">
        <f t="shared" si="4"/>
        <v>27.068047395817882</v>
      </c>
      <c r="O11">
        <f t="shared" si="5"/>
        <v>4.8187864404319975E-3</v>
      </c>
      <c r="P11">
        <f t="shared" si="6"/>
        <v>0.19236958017820105</v>
      </c>
      <c r="Q11" s="1">
        <f t="shared" si="7"/>
        <v>115.62600339947835</v>
      </c>
      <c r="R11" s="1">
        <f t="shared" si="8"/>
        <v>125.09108672972182</v>
      </c>
      <c r="S11" s="1">
        <f t="shared" si="0"/>
        <v>414210.56941028876</v>
      </c>
      <c r="T11">
        <v>9</v>
      </c>
      <c r="U11" s="7">
        <v>81</v>
      </c>
      <c r="V11">
        <v>0.49309999999999998</v>
      </c>
      <c r="W11" s="4">
        <v>8.1571100000000004E-24</v>
      </c>
      <c r="X11" s="1">
        <f t="shared" si="9"/>
        <v>5.691548736415532E-24</v>
      </c>
      <c r="AH11" s="1">
        <f t="shared" si="1"/>
        <v>0.36395838380214746</v>
      </c>
      <c r="AI11" s="1">
        <f t="shared" si="10"/>
        <v>7.0014521494355678E-2</v>
      </c>
    </row>
    <row r="12" spans="1:35" x14ac:dyDescent="0.25">
      <c r="A12">
        <v>698.56</v>
      </c>
      <c r="B12">
        <f t="shared" si="2"/>
        <v>5.2118679326035658E-2</v>
      </c>
      <c r="C12">
        <v>10920.1</v>
      </c>
      <c r="D12">
        <v>113.1</v>
      </c>
      <c r="E12" s="1">
        <v>0.374</v>
      </c>
      <c r="F12">
        <v>1.58</v>
      </c>
      <c r="G12" s="2">
        <v>2.3E-3</v>
      </c>
      <c r="H12">
        <v>1.33</v>
      </c>
      <c r="I12">
        <v>13414</v>
      </c>
      <c r="J12" t="s">
        <v>37</v>
      </c>
      <c r="K12">
        <v>127080</v>
      </c>
      <c r="L12" s="1">
        <f t="shared" si="3"/>
        <v>5.4544159628576115E-6</v>
      </c>
      <c r="M12">
        <v>0.28489999999999999</v>
      </c>
      <c r="N12">
        <f t="shared" si="4"/>
        <v>25.185925387902532</v>
      </c>
      <c r="O12">
        <f t="shared" si="5"/>
        <v>3.5787425443214423E-3</v>
      </c>
      <c r="P12">
        <f t="shared" si="6"/>
        <v>0.24101529536824168</v>
      </c>
      <c r="Q12" s="1">
        <f t="shared" si="7"/>
        <v>107.58618277617485</v>
      </c>
      <c r="R12" s="1">
        <f t="shared" si="8"/>
        <v>116.3931306531253</v>
      </c>
      <c r="S12" s="1">
        <f t="shared" si="0"/>
        <v>385409.2740232154</v>
      </c>
      <c r="T12">
        <v>10</v>
      </c>
      <c r="U12" s="7">
        <v>81</v>
      </c>
      <c r="V12">
        <v>0.49309999999999998</v>
      </c>
      <c r="W12" s="4">
        <v>8.1571100000000004E-24</v>
      </c>
      <c r="X12" s="1">
        <f t="shared" si="9"/>
        <v>5.691548736415532E-24</v>
      </c>
      <c r="AH12" s="1">
        <f t="shared" si="1"/>
        <v>0.33865127264993483</v>
      </c>
      <c r="AI12" s="1">
        <f t="shared" si="10"/>
        <v>8.1620136504554991E-2</v>
      </c>
    </row>
    <row r="13" spans="1:35" x14ac:dyDescent="0.25">
      <c r="A13">
        <v>776.72</v>
      </c>
      <c r="B13">
        <f t="shared" si="2"/>
        <v>4.7640896638827049E-2</v>
      </c>
      <c r="C13">
        <v>34846.699999999997</v>
      </c>
      <c r="D13">
        <v>192.5</v>
      </c>
      <c r="E13" s="1">
        <v>1.19</v>
      </c>
      <c r="F13">
        <v>1.6</v>
      </c>
      <c r="G13" s="2">
        <v>2.0999999999999999E-3</v>
      </c>
      <c r="H13">
        <v>1.55</v>
      </c>
      <c r="I13">
        <v>37877</v>
      </c>
      <c r="J13" t="s">
        <v>37</v>
      </c>
      <c r="K13">
        <v>127080</v>
      </c>
      <c r="L13" s="1">
        <f t="shared" si="3"/>
        <v>5.4544159628576115E-6</v>
      </c>
      <c r="M13">
        <v>0.83499999999999996</v>
      </c>
      <c r="N13">
        <f t="shared" si="4"/>
        <v>29.999388543856291</v>
      </c>
      <c r="O13">
        <f t="shared" si="5"/>
        <v>6.3929009669713693E-3</v>
      </c>
      <c r="P13">
        <f t="shared" si="6"/>
        <v>0.16070580872486082</v>
      </c>
      <c r="Q13" s="1">
        <f t="shared" si="7"/>
        <v>128.14775114846771</v>
      </c>
      <c r="R13" s="1">
        <f t="shared" si="8"/>
        <v>138.63785811007375</v>
      </c>
      <c r="S13" s="1">
        <f t="shared" si="0"/>
        <v>459067.60945863731</v>
      </c>
      <c r="T13">
        <v>11</v>
      </c>
      <c r="U13" s="7">
        <v>81</v>
      </c>
      <c r="V13">
        <v>0.49309999999999998</v>
      </c>
      <c r="W13" s="4">
        <v>8.1571100000000004E-24</v>
      </c>
      <c r="X13" s="1">
        <f t="shared" si="9"/>
        <v>5.691548736415532E-24</v>
      </c>
      <c r="AH13" s="1">
        <f t="shared" si="1"/>
        <v>0.40337335049744116</v>
      </c>
      <c r="AI13" s="1">
        <f t="shared" si="10"/>
        <v>6.4824440509748019E-2</v>
      </c>
    </row>
    <row r="14" spans="1:35" x14ac:dyDescent="0.25">
      <c r="A14">
        <v>828.03</v>
      </c>
      <c r="B14">
        <f t="shared" si="2"/>
        <v>4.5128294953944624E-2</v>
      </c>
      <c r="C14">
        <v>10567.1</v>
      </c>
      <c r="D14">
        <v>112</v>
      </c>
      <c r="E14" s="1">
        <v>0.36199999999999999</v>
      </c>
      <c r="F14">
        <v>1.67</v>
      </c>
      <c r="G14" s="2">
        <v>2E-3</v>
      </c>
      <c r="H14">
        <v>1.06</v>
      </c>
      <c r="I14">
        <v>13452</v>
      </c>
      <c r="J14" t="s">
        <v>37</v>
      </c>
      <c r="K14">
        <v>127080</v>
      </c>
      <c r="L14" s="1">
        <f t="shared" si="3"/>
        <v>5.4544159628576115E-6</v>
      </c>
      <c r="M14">
        <v>0.24030000000000001</v>
      </c>
      <c r="N14">
        <f t="shared" si="4"/>
        <v>33.37108059365724</v>
      </c>
      <c r="O14">
        <f t="shared" si="5"/>
        <v>3.5204246820274019E-3</v>
      </c>
      <c r="P14">
        <f t="shared" si="6"/>
        <v>0.32463277275741009</v>
      </c>
      <c r="Q14" s="1">
        <f t="shared" si="7"/>
        <v>142.55053649575925</v>
      </c>
      <c r="R14" s="1">
        <f t="shared" si="8"/>
        <v>154.21964782914779</v>
      </c>
      <c r="S14" s="1">
        <f t="shared" si="0"/>
        <v>510663.14804336632</v>
      </c>
      <c r="T14">
        <v>12</v>
      </c>
      <c r="U14" s="7">
        <v>81</v>
      </c>
      <c r="V14">
        <v>0.49309999999999998</v>
      </c>
      <c r="W14" s="4">
        <v>8.1571100000000004E-24</v>
      </c>
      <c r="X14" s="1">
        <f t="shared" si="9"/>
        <v>5.691548736415532E-24</v>
      </c>
      <c r="AH14" s="1">
        <f t="shared" si="1"/>
        <v>0.44870929849469876</v>
      </c>
      <c r="AI14" s="1">
        <f t="shared" si="10"/>
        <v>0.14566574373236643</v>
      </c>
    </row>
    <row r="15" spans="1:35" x14ac:dyDescent="0.25">
      <c r="A15">
        <v>952.34</v>
      </c>
      <c r="B15">
        <f t="shared" si="2"/>
        <v>4.0086404282849257E-2</v>
      </c>
      <c r="C15">
        <v>75.8</v>
      </c>
      <c r="D15">
        <v>26.7</v>
      </c>
      <c r="E15" s="1">
        <v>2.5999999999999999E-3</v>
      </c>
      <c r="F15">
        <v>0.751</v>
      </c>
      <c r="G15" s="2">
        <v>8.0000000000000004E-4</v>
      </c>
      <c r="H15">
        <v>0.76</v>
      </c>
      <c r="I15">
        <v>1258</v>
      </c>
      <c r="J15" t="s">
        <v>37</v>
      </c>
      <c r="K15">
        <v>127080</v>
      </c>
      <c r="L15" s="1">
        <f t="shared" si="3"/>
        <v>5.4544159628576115E-6</v>
      </c>
      <c r="M15">
        <v>3.6800000000000001E-3</v>
      </c>
      <c r="N15">
        <f t="shared" si="4"/>
        <v>17.59711342530581</v>
      </c>
      <c r="O15">
        <f t="shared" si="5"/>
        <v>2.981616282147797E-4</v>
      </c>
      <c r="P15">
        <f t="shared" si="6"/>
        <v>2.0211885558108804</v>
      </c>
      <c r="Q15" s="1">
        <f t="shared" si="7"/>
        <v>75.169215827876158</v>
      </c>
      <c r="R15" s="1">
        <f t="shared" si="8"/>
        <v>81.322527978792507</v>
      </c>
      <c r="S15" s="1">
        <f t="shared" si="0"/>
        <v>269280.9815679398</v>
      </c>
      <c r="T15">
        <v>13</v>
      </c>
      <c r="U15" s="7">
        <v>81</v>
      </c>
      <c r="V15">
        <v>0.49309999999999998</v>
      </c>
      <c r="W15" s="4">
        <v>8.1571100000000004E-24</v>
      </c>
      <c r="X15" s="1">
        <f t="shared" si="9"/>
        <v>5.691548736415532E-24</v>
      </c>
      <c r="AH15" s="1">
        <f t="shared" si="1"/>
        <v>0.23661170930441447</v>
      </c>
      <c r="AI15" s="1">
        <f t="shared" si="10"/>
        <v>0.47823687901693335</v>
      </c>
    </row>
    <row r="16" spans="1:35" x14ac:dyDescent="0.25">
      <c r="A16">
        <v>1007.95</v>
      </c>
      <c r="B16">
        <f t="shared" si="2"/>
        <v>3.8205080949304145E-2</v>
      </c>
      <c r="C16">
        <v>468.4</v>
      </c>
      <c r="D16">
        <v>41.7</v>
      </c>
      <c r="E16" s="1">
        <v>1.6E-2</v>
      </c>
      <c r="F16">
        <v>1.71</v>
      </c>
      <c r="G16" s="2">
        <v>1.6999999999999999E-3</v>
      </c>
      <c r="H16">
        <v>1.31</v>
      </c>
      <c r="I16">
        <v>2437</v>
      </c>
      <c r="J16" t="s">
        <v>37</v>
      </c>
      <c r="K16">
        <v>127080</v>
      </c>
      <c r="L16" s="1">
        <f t="shared" si="3"/>
        <v>5.4544159628576115E-6</v>
      </c>
      <c r="M16">
        <v>1.2710000000000001E-2</v>
      </c>
      <c r="N16">
        <f t="shared" si="4"/>
        <v>33.034471273657161</v>
      </c>
      <c r="O16">
        <f t="shared" si="5"/>
        <v>7.4118324251609777E-4</v>
      </c>
      <c r="P16">
        <f t="shared" si="6"/>
        <v>1.5263668206142009</v>
      </c>
      <c r="Q16" s="1">
        <f t="shared" si="7"/>
        <v>141.11264960981273</v>
      </c>
      <c r="R16" s="1">
        <f t="shared" si="8"/>
        <v>152.66405628512427</v>
      </c>
      <c r="S16" s="1">
        <f t="shared" si="0"/>
        <v>505512.16186149704</v>
      </c>
      <c r="T16">
        <v>14</v>
      </c>
      <c r="U16" s="7">
        <v>81</v>
      </c>
      <c r="V16">
        <v>0.49309999999999998</v>
      </c>
      <c r="W16" s="4">
        <v>8.1571100000000004E-24</v>
      </c>
      <c r="X16" s="1">
        <f t="shared" si="9"/>
        <v>5.691548736415532E-24</v>
      </c>
      <c r="AH16" s="1">
        <f t="shared" si="1"/>
        <v>0.44418323193775544</v>
      </c>
      <c r="AI16" s="1">
        <f t="shared" si="10"/>
        <v>0.67798654750297194</v>
      </c>
    </row>
    <row r="17" spans="1:35" x14ac:dyDescent="0.25">
      <c r="A17">
        <v>1044.26</v>
      </c>
      <c r="B17">
        <f t="shared" si="2"/>
        <v>3.7076866871174639E-2</v>
      </c>
      <c r="C17">
        <v>9675.7000000000007</v>
      </c>
      <c r="D17">
        <v>105.7</v>
      </c>
      <c r="E17" s="1">
        <v>0.33100000000000002</v>
      </c>
      <c r="F17">
        <v>1.79</v>
      </c>
      <c r="G17" s="2">
        <v>1.6999999999999999E-3</v>
      </c>
      <c r="H17">
        <v>0.69</v>
      </c>
      <c r="I17">
        <v>11911</v>
      </c>
      <c r="J17" t="s">
        <v>37</v>
      </c>
      <c r="K17">
        <v>127080</v>
      </c>
      <c r="L17" s="1">
        <f t="shared" si="3"/>
        <v>5.4544159628576115E-6</v>
      </c>
      <c r="M17">
        <v>0.27229999999999999</v>
      </c>
      <c r="N17">
        <f t="shared" si="4"/>
        <v>32.820778184649889</v>
      </c>
      <c r="O17">
        <f t="shared" si="5"/>
        <v>3.3686690445255052E-3</v>
      </c>
      <c r="P17">
        <f t="shared" si="6"/>
        <v>0.33366271309008627</v>
      </c>
      <c r="Q17" s="1">
        <f t="shared" si="7"/>
        <v>140.19982137825667</v>
      </c>
      <c r="R17" s="1">
        <f t="shared" si="8"/>
        <v>151.67650441853925</v>
      </c>
      <c r="S17" s="1">
        <f t="shared" si="0"/>
        <v>502242.10936076049</v>
      </c>
      <c r="T17">
        <v>15</v>
      </c>
      <c r="U17" s="7">
        <v>81</v>
      </c>
      <c r="V17">
        <v>0.49309999999999998</v>
      </c>
      <c r="W17" s="4">
        <v>8.1571100000000004E-24</v>
      </c>
      <c r="X17" s="1">
        <f t="shared" si="9"/>
        <v>5.691548736415532E-24</v>
      </c>
      <c r="AH17" s="1">
        <f t="shared" si="1"/>
        <v>0.44130990346424337</v>
      </c>
      <c r="AI17" s="1">
        <f t="shared" si="10"/>
        <v>0.14724865970340351</v>
      </c>
    </row>
    <row r="18" spans="1:35" x14ac:dyDescent="0.25">
      <c r="A18">
        <v>1077.1099999999999</v>
      </c>
      <c r="B18">
        <f t="shared" si="2"/>
        <v>3.6116834490460728E-2</v>
      </c>
      <c r="C18">
        <v>802.6</v>
      </c>
      <c r="D18">
        <v>48</v>
      </c>
      <c r="E18" s="1">
        <v>2.75E-2</v>
      </c>
      <c r="F18">
        <v>1.72</v>
      </c>
      <c r="G18" s="2">
        <v>1.6000000000000001E-3</v>
      </c>
      <c r="H18">
        <v>1.1200000000000001</v>
      </c>
      <c r="I18">
        <v>3209</v>
      </c>
      <c r="J18" t="s">
        <v>40</v>
      </c>
      <c r="K18">
        <v>1609718</v>
      </c>
      <c r="L18" s="1">
        <f t="shared" si="3"/>
        <v>4.3060162125288111E-7</v>
      </c>
      <c r="M18">
        <v>0.09</v>
      </c>
      <c r="N18">
        <f t="shared" si="4"/>
        <v>8.4559832793402041</v>
      </c>
      <c r="O18">
        <f t="shared" si="5"/>
        <v>9.7021218851792081E-4</v>
      </c>
      <c r="P18">
        <f t="shared" si="6"/>
        <v>0.29847952014798462</v>
      </c>
      <c r="Q18" s="1">
        <f t="shared" si="7"/>
        <v>36.121244251773618</v>
      </c>
      <c r="R18" s="1">
        <f t="shared" si="8"/>
        <v>36.349111152583035</v>
      </c>
      <c r="S18" s="1">
        <f t="shared" si="0"/>
        <v>68.925759849031465</v>
      </c>
      <c r="T18">
        <v>16</v>
      </c>
      <c r="U18" s="7">
        <v>85</v>
      </c>
      <c r="V18">
        <v>0.72170000000000001</v>
      </c>
      <c r="W18" s="4">
        <v>6.7842300000000004E-24</v>
      </c>
      <c r="X18" s="1">
        <f t="shared" si="9"/>
        <v>4.733634299899394E-24</v>
      </c>
      <c r="AH18" s="1">
        <f t="shared" si="1"/>
        <v>6.6135199500034667E-4</v>
      </c>
      <c r="AI18" s="1">
        <f t="shared" si="10"/>
        <v>1.9740002611661579E-4</v>
      </c>
    </row>
    <row r="19" spans="1:35" x14ac:dyDescent="0.25">
      <c r="A19">
        <v>1115.8699999999999</v>
      </c>
      <c r="B19">
        <f t="shared" si="2"/>
        <v>3.5051388569750055E-2</v>
      </c>
      <c r="C19">
        <v>286.39999999999998</v>
      </c>
      <c r="D19">
        <v>38.9</v>
      </c>
      <c r="E19" s="1">
        <v>9.8099999999999993E-3</v>
      </c>
      <c r="F19">
        <v>1.61</v>
      </c>
      <c r="G19" s="2">
        <v>1.4E-3</v>
      </c>
      <c r="H19">
        <v>1.28</v>
      </c>
      <c r="I19">
        <v>2045</v>
      </c>
      <c r="J19" t="s">
        <v>41</v>
      </c>
      <c r="K19">
        <f>243.75*24*3600</f>
        <v>21060000</v>
      </c>
      <c r="L19" s="1">
        <f t="shared" si="3"/>
        <v>3.2912971536559604E-8</v>
      </c>
      <c r="M19">
        <v>0.50600000000000001</v>
      </c>
      <c r="N19">
        <f t="shared" si="4"/>
        <v>0.55301182517145531</v>
      </c>
      <c r="O19">
        <f t="shared" si="5"/>
        <v>5.7956700825496379E-4</v>
      </c>
      <c r="P19">
        <f t="shared" si="6"/>
        <v>3.2677431369035385E-2</v>
      </c>
      <c r="Q19" s="1">
        <f t="shared" si="7"/>
        <v>2.3622888730092066</v>
      </c>
      <c r="R19" s="1">
        <f t="shared" si="8"/>
        <v>2.3634257206614726</v>
      </c>
      <c r="S19" s="1">
        <f t="shared" si="0"/>
        <v>2.4818885080262008</v>
      </c>
      <c r="T19">
        <v>17</v>
      </c>
      <c r="U19" s="7">
        <v>64</v>
      </c>
      <c r="V19">
        <v>0.48599999999999999</v>
      </c>
      <c r="W19" s="4">
        <v>4.7157900000000003E-24</v>
      </c>
      <c r="X19" s="1">
        <f t="shared" si="9"/>
        <v>3.2903992487168863E-24</v>
      </c>
      <c r="AH19" s="1">
        <f t="shared" si="1"/>
        <v>5.0115207183281079E-4</v>
      </c>
      <c r="AI19" s="1">
        <f t="shared" si="10"/>
        <v>1.6376362432766565E-5</v>
      </c>
    </row>
    <row r="20" spans="1:35" x14ac:dyDescent="0.25">
      <c r="A20">
        <v>1120.58</v>
      </c>
      <c r="B20">
        <f t="shared" si="2"/>
        <v>3.4926562146675971E-2</v>
      </c>
      <c r="C20">
        <v>62.4</v>
      </c>
      <c r="D20">
        <v>24.9</v>
      </c>
      <c r="E20" s="1">
        <v>2.14E-3</v>
      </c>
      <c r="F20">
        <v>0.71799999999999997</v>
      </c>
      <c r="G20" s="2">
        <v>5.9999999999999995E-4</v>
      </c>
      <c r="H20">
        <v>1.61</v>
      </c>
      <c r="I20">
        <v>968</v>
      </c>
      <c r="L20" s="1" t="e">
        <f t="shared" si="3"/>
        <v>#DIV/0!</v>
      </c>
      <c r="N20" t="e">
        <f t="shared" si="4"/>
        <v>#DIV/0!</v>
      </c>
      <c r="O20">
        <f t="shared" si="5"/>
        <v>2.705262692894726E-4</v>
      </c>
      <c r="P20" t="e">
        <f t="shared" si="6"/>
        <v>#DIV/0!</v>
      </c>
      <c r="Q20" s="1" t="e">
        <f t="shared" si="7"/>
        <v>#DIV/0!</v>
      </c>
      <c r="R20" s="1" t="e">
        <f t="shared" si="8"/>
        <v>#DIV/0!</v>
      </c>
      <c r="S20" s="1" t="e">
        <f t="shared" si="0"/>
        <v>#DIV/0!</v>
      </c>
      <c r="T20">
        <v>18</v>
      </c>
      <c r="U20" s="7"/>
      <c r="X20" s="1">
        <f t="shared" si="9"/>
        <v>0</v>
      </c>
      <c r="AH20" s="1" t="e">
        <f t="shared" si="1"/>
        <v>#DIV/0!</v>
      </c>
      <c r="AI20" s="1" t="e">
        <f t="shared" si="10"/>
        <v>#DIV/0!</v>
      </c>
    </row>
    <row r="21" spans="1:35" x14ac:dyDescent="0.25">
      <c r="A21">
        <v>1173.6500000000001</v>
      </c>
      <c r="B21">
        <f t="shared" si="2"/>
        <v>3.3584180178279237E-2</v>
      </c>
      <c r="C21">
        <v>2002.6</v>
      </c>
      <c r="D21">
        <v>55.6</v>
      </c>
      <c r="E21" s="1">
        <v>6.8599999999999994E-2</v>
      </c>
      <c r="F21">
        <v>1.86</v>
      </c>
      <c r="G21" s="2">
        <v>1.6000000000000001E-3</v>
      </c>
      <c r="H21">
        <v>1.1100000000000001</v>
      </c>
      <c r="I21">
        <v>3645</v>
      </c>
      <c r="J21" t="s">
        <v>42</v>
      </c>
      <c r="K21" s="1">
        <v>170000000</v>
      </c>
      <c r="L21" s="1">
        <f t="shared" si="3"/>
        <v>4.0773363562349719E-9</v>
      </c>
      <c r="M21">
        <v>0.99970000000000003</v>
      </c>
      <c r="N21">
        <f t="shared" si="4"/>
        <v>2.042710950466343</v>
      </c>
      <c r="O21">
        <f t="shared" si="5"/>
        <v>1.5325485956319146E-3</v>
      </c>
      <c r="P21">
        <f t="shared" si="6"/>
        <v>4.5646744688823793E-2</v>
      </c>
      <c r="Q21" s="1">
        <f t="shared" si="7"/>
        <v>8.7258049998562282</v>
      </c>
      <c r="R21" s="1">
        <f t="shared" si="8"/>
        <v>8.7263251433791815</v>
      </c>
      <c r="S21" s="1">
        <f t="shared" si="0"/>
        <v>8.7793566177722173</v>
      </c>
      <c r="T21">
        <v>19</v>
      </c>
      <c r="U21" s="7">
        <v>59</v>
      </c>
      <c r="V21">
        <v>1</v>
      </c>
      <c r="W21" s="4">
        <v>4.3258399999999999E-23</v>
      </c>
      <c r="X21" s="1">
        <f t="shared" si="9"/>
        <v>3.0183152104036553E-23</v>
      </c>
      <c r="AH21" s="1">
        <f t="shared" si="1"/>
        <v>6.9892861106313512E-4</v>
      </c>
      <c r="AI21" s="1">
        <f t="shared" si="10"/>
        <v>3.1903815864913154E-5</v>
      </c>
    </row>
    <row r="22" spans="1:35" x14ac:dyDescent="0.25">
      <c r="A22">
        <v>1252.98</v>
      </c>
      <c r="B22">
        <f t="shared" si="2"/>
        <v>3.1774246647828373E-2</v>
      </c>
      <c r="C22">
        <v>1070.8</v>
      </c>
      <c r="D22">
        <v>45</v>
      </c>
      <c r="E22" s="1">
        <v>3.6700000000000003E-2</v>
      </c>
      <c r="F22">
        <v>2</v>
      </c>
      <c r="G22" s="2">
        <v>1.6000000000000001E-3</v>
      </c>
      <c r="H22">
        <v>0.69</v>
      </c>
      <c r="I22">
        <v>2523</v>
      </c>
      <c r="L22" s="1" t="e">
        <f t="shared" si="3"/>
        <v>#DIV/0!</v>
      </c>
      <c r="N22" t="e">
        <f t="shared" si="4"/>
        <v>#DIV/0!</v>
      </c>
      <c r="O22">
        <f t="shared" si="5"/>
        <v>1.1206534431363853E-3</v>
      </c>
      <c r="P22" t="e">
        <f t="shared" si="6"/>
        <v>#DIV/0!</v>
      </c>
      <c r="Q22" s="1" t="e">
        <f t="shared" si="7"/>
        <v>#DIV/0!</v>
      </c>
      <c r="R22" s="1" t="e">
        <f t="shared" si="8"/>
        <v>#DIV/0!</v>
      </c>
      <c r="S22" s="1" t="e">
        <f t="shared" si="0"/>
        <v>#DIV/0!</v>
      </c>
      <c r="T22">
        <v>20</v>
      </c>
      <c r="U22" s="7"/>
      <c r="X22" s="1">
        <f t="shared" si="9"/>
        <v>0</v>
      </c>
      <c r="AH22" s="1" t="e">
        <f t="shared" si="1"/>
        <v>#DIV/0!</v>
      </c>
      <c r="AI22" s="1" t="e">
        <f t="shared" si="10"/>
        <v>#DIV/0!</v>
      </c>
    </row>
    <row r="23" spans="1:35" x14ac:dyDescent="0.25">
      <c r="A23">
        <v>1297.1300000000001</v>
      </c>
      <c r="B23">
        <f t="shared" si="2"/>
        <v>3.0855807776673193E-2</v>
      </c>
      <c r="C23">
        <v>278.5</v>
      </c>
      <c r="D23">
        <v>31.6</v>
      </c>
      <c r="E23" s="1">
        <v>9.5399999999999999E-3</v>
      </c>
      <c r="F23">
        <v>1.89</v>
      </c>
      <c r="G23" s="2">
        <v>1.5E-3</v>
      </c>
      <c r="H23">
        <v>0.7</v>
      </c>
      <c r="I23">
        <v>1271</v>
      </c>
      <c r="J23" t="s">
        <v>49</v>
      </c>
      <c r="K23">
        <v>391824</v>
      </c>
      <c r="L23" s="1">
        <f t="shared" si="3"/>
        <v>1.7690268604269909E-6</v>
      </c>
      <c r="M23">
        <v>0.71</v>
      </c>
      <c r="N23">
        <f t="shared" si="4"/>
        <v>0.43535855103332</v>
      </c>
      <c r="O23">
        <f t="shared" si="5"/>
        <v>5.7151778316022733E-4</v>
      </c>
      <c r="P23">
        <f t="shared" si="6"/>
        <v>2.6087621169907441E-2</v>
      </c>
      <c r="Q23" s="1">
        <f t="shared" si="7"/>
        <v>1.8597118796809911</v>
      </c>
      <c r="R23" s="1">
        <f t="shared" si="8"/>
        <v>1.9082228934609067</v>
      </c>
      <c r="S23" s="1">
        <f t="shared" si="0"/>
        <v>26.440308752966718</v>
      </c>
      <c r="T23">
        <v>21</v>
      </c>
      <c r="U23" s="7">
        <v>46</v>
      </c>
      <c r="V23">
        <v>4.0000000000000003E-5</v>
      </c>
      <c r="X23" s="1">
        <f t="shared" si="9"/>
        <v>0</v>
      </c>
      <c r="AH23" s="1" t="e">
        <f t="shared" si="1"/>
        <v>#DIV/0!</v>
      </c>
      <c r="AI23" s="1" t="e">
        <f t="shared" si="10"/>
        <v>#DIV/0!</v>
      </c>
    </row>
    <row r="24" spans="1:35" x14ac:dyDescent="0.25">
      <c r="A24">
        <v>1317.78</v>
      </c>
      <c r="B24">
        <f t="shared" si="2"/>
        <v>3.04457727627905E-2</v>
      </c>
      <c r="C24">
        <v>9146.1</v>
      </c>
      <c r="D24">
        <v>100.1</v>
      </c>
      <c r="E24" s="1">
        <v>0.313</v>
      </c>
      <c r="F24">
        <v>1.95</v>
      </c>
      <c r="G24" s="2">
        <v>1.5E-3</v>
      </c>
      <c r="H24">
        <v>0.91</v>
      </c>
      <c r="I24">
        <v>10236</v>
      </c>
      <c r="J24" t="s">
        <v>37</v>
      </c>
      <c r="K24">
        <v>127080</v>
      </c>
      <c r="L24" s="1">
        <f t="shared" si="3"/>
        <v>5.4544159628576115E-6</v>
      </c>
      <c r="M24">
        <v>0.26479999999999998</v>
      </c>
      <c r="N24">
        <f t="shared" si="4"/>
        <v>38.851528689638684</v>
      </c>
      <c r="O24">
        <f t="shared" si="5"/>
        <v>3.2751796078519494E-3</v>
      </c>
      <c r="P24">
        <f t="shared" si="6"/>
        <v>0.40624697383003067</v>
      </c>
      <c r="Q24" s="1">
        <f t="shared" si="7"/>
        <v>165.96125027611569</v>
      </c>
      <c r="R24" s="1">
        <f t="shared" si="8"/>
        <v>179.54675022656988</v>
      </c>
      <c r="S24" s="1">
        <f t="shared" si="0"/>
        <v>594528.06424011942</v>
      </c>
      <c r="T24">
        <v>22</v>
      </c>
      <c r="U24" s="7">
        <v>81</v>
      </c>
      <c r="V24">
        <v>0.49309999999999998</v>
      </c>
      <c r="W24" s="4">
        <v>8.1571100000000004E-24</v>
      </c>
      <c r="X24" s="1">
        <f t="shared" si="9"/>
        <v>5.691548736415532E-24</v>
      </c>
      <c r="AH24" s="1">
        <f t="shared" si="1"/>
        <v>0.52239969079958093</v>
      </c>
      <c r="AI24" s="1">
        <f t="shared" si="10"/>
        <v>0.21222329351707347</v>
      </c>
    </row>
    <row r="25" spans="1:35" x14ac:dyDescent="0.25">
      <c r="A25">
        <v>1331.09</v>
      </c>
      <c r="B25">
        <f t="shared" si="2"/>
        <v>3.0187716493059038E-2</v>
      </c>
      <c r="C25">
        <v>2237.6999999999998</v>
      </c>
      <c r="D25">
        <v>55.1</v>
      </c>
      <c r="E25" s="1">
        <v>7.6600000000000001E-2</v>
      </c>
      <c r="F25">
        <v>2.11</v>
      </c>
      <c r="G25" s="2">
        <v>1.6000000000000001E-3</v>
      </c>
      <c r="H25">
        <v>1.01</v>
      </c>
      <c r="I25">
        <v>3434</v>
      </c>
      <c r="J25" t="s">
        <v>42</v>
      </c>
      <c r="K25" s="1">
        <v>170000000</v>
      </c>
      <c r="L25" s="1">
        <f t="shared" si="3"/>
        <v>4.0773363562349719E-9</v>
      </c>
      <c r="M25">
        <v>0.99990000000000001</v>
      </c>
      <c r="N25">
        <f t="shared" si="4"/>
        <v>2.5388215694961267</v>
      </c>
      <c r="O25">
        <f t="shared" si="5"/>
        <v>1.62001143286E-3</v>
      </c>
      <c r="P25">
        <f t="shared" si="6"/>
        <v>5.3669957135629692E-2</v>
      </c>
      <c r="Q25" s="1">
        <f t="shared" si="7"/>
        <v>10.845030198616517</v>
      </c>
      <c r="R25" s="1">
        <f t="shared" si="8"/>
        <v>10.845676668737513</v>
      </c>
      <c r="S25" s="1">
        <f t="shared" si="0"/>
        <v>10.911587830089285</v>
      </c>
      <c r="T25">
        <v>23</v>
      </c>
      <c r="U25" s="7">
        <v>59</v>
      </c>
      <c r="V25">
        <v>1</v>
      </c>
      <c r="W25" s="4">
        <v>4.3258399999999999E-23</v>
      </c>
      <c r="X25" s="1">
        <f t="shared" si="9"/>
        <v>3.0183152104036553E-23</v>
      </c>
      <c r="AH25" s="1">
        <f t="shared" si="1"/>
        <v>8.6867651681210958E-4</v>
      </c>
      <c r="AI25" s="1">
        <f t="shared" si="10"/>
        <v>4.662183142203403E-5</v>
      </c>
    </row>
    <row r="26" spans="1:35" x14ac:dyDescent="0.25">
      <c r="A26">
        <v>1368.93</v>
      </c>
      <c r="B26">
        <f t="shared" si="2"/>
        <v>2.9479426935682895E-2</v>
      </c>
      <c r="C26">
        <v>411.3</v>
      </c>
      <c r="D26">
        <v>31.2</v>
      </c>
      <c r="E26" s="1">
        <v>1.41E-2</v>
      </c>
      <c r="F26">
        <v>1.88</v>
      </c>
      <c r="G26" s="2">
        <v>1.4E-3</v>
      </c>
      <c r="H26">
        <v>1.07</v>
      </c>
      <c r="I26">
        <v>1312</v>
      </c>
      <c r="J26" t="s">
        <v>43</v>
      </c>
      <c r="K26">
        <v>52524</v>
      </c>
      <c r="L26" s="1">
        <f t="shared" si="3"/>
        <v>1.3196770629806284E-5</v>
      </c>
      <c r="M26">
        <v>1</v>
      </c>
      <c r="N26">
        <f t="shared" si="4"/>
        <v>0.47781174542801091</v>
      </c>
      <c r="O26">
        <f t="shared" si="5"/>
        <v>6.9453878552694121E-4</v>
      </c>
      <c r="P26">
        <f t="shared" si="6"/>
        <v>2.35601182832441E-2</v>
      </c>
      <c r="Q26" s="1">
        <f t="shared" si="7"/>
        <v>2.0410582888851385</v>
      </c>
      <c r="R26" s="1">
        <f t="shared" si="8"/>
        <v>2.4601015592768416</v>
      </c>
      <c r="S26" s="1">
        <f t="shared" si="0"/>
        <v>808087976.67604625</v>
      </c>
      <c r="T26">
        <v>24</v>
      </c>
      <c r="U26" s="7">
        <v>23</v>
      </c>
      <c r="V26">
        <v>1</v>
      </c>
      <c r="W26" s="4">
        <v>5.83825E-24</v>
      </c>
      <c r="X26" s="1">
        <f t="shared" si="9"/>
        <v>4.0735854255217812E-24</v>
      </c>
      <c r="AH26" s="1">
        <f t="shared" si="1"/>
        <v>57.411809265547397</v>
      </c>
      <c r="AI26" s="1">
        <f t="shared" si="10"/>
        <v>1.3526290171513462</v>
      </c>
    </row>
    <row r="27" spans="1:35" x14ac:dyDescent="0.25">
      <c r="A27">
        <v>1395.9</v>
      </c>
      <c r="B27">
        <f t="shared" si="2"/>
        <v>2.8996284338620077E-2</v>
      </c>
      <c r="C27">
        <v>790.6</v>
      </c>
      <c r="D27">
        <v>37.299999999999997</v>
      </c>
      <c r="E27" s="1">
        <v>2.7099999999999999E-2</v>
      </c>
      <c r="F27">
        <v>2.0499999999999998</v>
      </c>
      <c r="G27" s="2">
        <v>1.5E-3</v>
      </c>
      <c r="H27">
        <v>1.19</v>
      </c>
      <c r="I27">
        <v>1719</v>
      </c>
      <c r="L27" s="1" t="e">
        <f t="shared" si="3"/>
        <v>#DIV/0!</v>
      </c>
      <c r="N27" t="e">
        <f t="shared" si="4"/>
        <v>#DIV/0!</v>
      </c>
      <c r="O27">
        <f t="shared" si="5"/>
        <v>9.6293185411870511E-4</v>
      </c>
      <c r="P27" t="e">
        <f t="shared" si="6"/>
        <v>#DIV/0!</v>
      </c>
      <c r="Q27" s="1" t="e">
        <f t="shared" si="7"/>
        <v>#DIV/0!</v>
      </c>
      <c r="R27" s="1" t="e">
        <f t="shared" si="8"/>
        <v>#DIV/0!</v>
      </c>
      <c r="S27" s="1" t="e">
        <f t="shared" si="0"/>
        <v>#DIV/0!</v>
      </c>
      <c r="T27">
        <v>25</v>
      </c>
      <c r="U27" s="7"/>
      <c r="X27" s="1">
        <f t="shared" si="9"/>
        <v>0</v>
      </c>
      <c r="AH27" s="1" t="e">
        <f t="shared" si="1"/>
        <v>#DIV/0!</v>
      </c>
      <c r="AI27" s="1" t="e">
        <f t="shared" si="10"/>
        <v>#DIV/0!</v>
      </c>
    </row>
    <row r="28" spans="1:35" x14ac:dyDescent="0.25">
      <c r="A28">
        <v>1461.05</v>
      </c>
      <c r="B28">
        <f t="shared" si="2"/>
        <v>2.7897329146237635E-2</v>
      </c>
      <c r="C28">
        <v>365.3</v>
      </c>
      <c r="D28">
        <v>29</v>
      </c>
      <c r="E28" s="1">
        <v>1.2500000000000001E-2</v>
      </c>
      <c r="F28">
        <v>2.37</v>
      </c>
      <c r="G28" s="2">
        <v>1.6000000000000001E-3</v>
      </c>
      <c r="H28">
        <v>1.08</v>
      </c>
      <c r="I28">
        <v>881</v>
      </c>
      <c r="J28" t="s">
        <v>44</v>
      </c>
      <c r="K28" s="1">
        <v>4.04E+16</v>
      </c>
      <c r="L28" s="1">
        <f t="shared" si="3"/>
        <v>1.7157108429701615E-17</v>
      </c>
      <c r="M28">
        <v>0.11</v>
      </c>
      <c r="N28">
        <f t="shared" si="4"/>
        <v>4.076725868312586</v>
      </c>
      <c r="O28">
        <f t="shared" si="5"/>
        <v>6.5454873016271915E-4</v>
      </c>
      <c r="P28">
        <f t="shared" si="6"/>
        <v>0.21329794584589362</v>
      </c>
      <c r="Q28" s="1">
        <f t="shared" si="7"/>
        <v>17.414463341788064</v>
      </c>
      <c r="R28" s="1">
        <f t="shared" si="8"/>
        <v>17.41262052513655</v>
      </c>
      <c r="S28" s="1">
        <f t="shared" si="0"/>
        <v>17.412620525580483</v>
      </c>
      <c r="T28">
        <v>26</v>
      </c>
      <c r="U28" s="7"/>
      <c r="X28" s="1">
        <f t="shared" si="9"/>
        <v>0</v>
      </c>
      <c r="AH28" s="1" t="e">
        <f t="shared" si="1"/>
        <v>#DIV/0!</v>
      </c>
      <c r="AI28" s="1" t="e">
        <f t="shared" si="10"/>
        <v>#DIV/0!</v>
      </c>
    </row>
    <row r="29" spans="1:35" x14ac:dyDescent="0.25">
      <c r="A29">
        <v>1475.2</v>
      </c>
      <c r="B29">
        <f t="shared" si="2"/>
        <v>2.7670514385904801E-2</v>
      </c>
      <c r="C29">
        <v>5097.3</v>
      </c>
      <c r="D29">
        <v>75</v>
      </c>
      <c r="E29" s="1">
        <v>0.17499999999999999</v>
      </c>
      <c r="F29">
        <v>2.04</v>
      </c>
      <c r="G29" s="2">
        <v>1.4E-3</v>
      </c>
      <c r="H29">
        <v>1.34</v>
      </c>
      <c r="I29">
        <v>5862</v>
      </c>
      <c r="J29" t="s">
        <v>37</v>
      </c>
      <c r="K29">
        <v>127080</v>
      </c>
      <c r="L29" s="1">
        <f t="shared" si="3"/>
        <v>5.4544159628576115E-6</v>
      </c>
      <c r="M29">
        <v>0.16320000000000001</v>
      </c>
      <c r="N29">
        <f t="shared" si="4"/>
        <v>38.656270901326209</v>
      </c>
      <c r="O29">
        <f t="shared" si="5"/>
        <v>2.4450471918376912E-3</v>
      </c>
      <c r="P29">
        <f t="shared" si="6"/>
        <v>0.54143940382845379</v>
      </c>
      <c r="Q29" s="1">
        <f t="shared" si="7"/>
        <v>165.12717172715168</v>
      </c>
      <c r="R29" s="1">
        <f t="shared" si="8"/>
        <v>178.6443944498387</v>
      </c>
      <c r="S29" s="1">
        <f t="shared" si="0"/>
        <v>591540.11913658003</v>
      </c>
      <c r="T29">
        <v>27</v>
      </c>
      <c r="U29" s="7">
        <v>81</v>
      </c>
      <c r="V29">
        <v>0.49309999999999998</v>
      </c>
      <c r="W29" s="4">
        <v>8.1571100000000004E-24</v>
      </c>
      <c r="X29" s="1">
        <f t="shared" si="9"/>
        <v>5.691548736415532E-24</v>
      </c>
      <c r="AH29" s="1">
        <f t="shared" si="1"/>
        <v>0.51977424434532449</v>
      </c>
      <c r="AI29" s="1">
        <f t="shared" si="10"/>
        <v>0.28142625698371754</v>
      </c>
    </row>
    <row r="30" spans="1:35" x14ac:dyDescent="0.25">
      <c r="A30">
        <v>1604.53</v>
      </c>
      <c r="B30">
        <f t="shared" si="2"/>
        <v>2.5769401154941991E-2</v>
      </c>
      <c r="C30">
        <v>746.2</v>
      </c>
      <c r="D30">
        <v>34.6</v>
      </c>
      <c r="E30" s="1">
        <v>2.5600000000000001E-2</v>
      </c>
      <c r="F30">
        <v>2.09</v>
      </c>
      <c r="G30" s="2">
        <v>1.2999999999999999E-3</v>
      </c>
      <c r="H30">
        <v>0.84</v>
      </c>
      <c r="I30">
        <v>1433</v>
      </c>
      <c r="L30" s="1" t="e">
        <f t="shared" si="3"/>
        <v>#DIV/0!</v>
      </c>
      <c r="N30" t="e">
        <f t="shared" si="4"/>
        <v>#DIV/0!</v>
      </c>
      <c r="O30">
        <f t="shared" si="5"/>
        <v>9.3550210898168278E-4</v>
      </c>
      <c r="P30" t="e">
        <f t="shared" si="6"/>
        <v>#DIV/0!</v>
      </c>
      <c r="Q30" s="1" t="e">
        <f t="shared" si="7"/>
        <v>#DIV/0!</v>
      </c>
      <c r="R30" s="1" t="e">
        <f t="shared" si="8"/>
        <v>#DIV/0!</v>
      </c>
      <c r="S30" s="1" t="e">
        <f t="shared" si="0"/>
        <v>#DIV/0!</v>
      </c>
      <c r="T30">
        <v>28</v>
      </c>
      <c r="U30" s="7"/>
      <c r="X30" s="1">
        <f t="shared" si="9"/>
        <v>0</v>
      </c>
      <c r="AH30" s="1" t="e">
        <f t="shared" si="1"/>
        <v>#DIV/0!</v>
      </c>
      <c r="AI30" s="1" t="e">
        <f t="shared" si="10"/>
        <v>#DIV/0!</v>
      </c>
    </row>
    <row r="31" spans="1:35" x14ac:dyDescent="0.25">
      <c r="A31">
        <v>1650.84</v>
      </c>
      <c r="B31">
        <f t="shared" si="2"/>
        <v>2.5155782272070108E-2</v>
      </c>
      <c r="C31">
        <v>213</v>
      </c>
      <c r="D31">
        <v>25.4</v>
      </c>
      <c r="E31" s="1">
        <v>7.2899999999999996E-3</v>
      </c>
      <c r="F31">
        <v>2.2000000000000002</v>
      </c>
      <c r="G31" s="2">
        <v>1.2999999999999999E-3</v>
      </c>
      <c r="H31">
        <v>1.1200000000000001</v>
      </c>
      <c r="I31">
        <v>775</v>
      </c>
      <c r="J31" t="s">
        <v>37</v>
      </c>
      <c r="K31">
        <v>127080</v>
      </c>
      <c r="L31" s="1">
        <f t="shared" si="3"/>
        <v>5.4544159628576115E-6</v>
      </c>
      <c r="M31">
        <v>7.43E-3</v>
      </c>
      <c r="N31">
        <f t="shared" si="4"/>
        <v>39.02744416357077</v>
      </c>
      <c r="O31">
        <f t="shared" si="5"/>
        <v>4.998123123056994E-4</v>
      </c>
      <c r="P31">
        <f t="shared" si="6"/>
        <v>2.6741164114303082</v>
      </c>
      <c r="Q31" s="1">
        <f t="shared" si="7"/>
        <v>166.71270467138305</v>
      </c>
      <c r="R31" s="1">
        <f t="shared" si="8"/>
        <v>180.35971828019237</v>
      </c>
      <c r="S31" s="1">
        <f t="shared" si="0"/>
        <v>597220.02231008909</v>
      </c>
      <c r="T31">
        <v>29</v>
      </c>
      <c r="U31" s="7">
        <v>81</v>
      </c>
      <c r="V31">
        <v>0.49309999999999998</v>
      </c>
      <c r="W31" s="4">
        <v>8.1571100000000004E-24</v>
      </c>
      <c r="X31" s="1">
        <f t="shared" si="9"/>
        <v>5.691548736415532E-24</v>
      </c>
      <c r="AH31" s="1">
        <f t="shared" si="1"/>
        <v>0.52476505948103247</v>
      </c>
      <c r="AI31" s="1">
        <f t="shared" si="10"/>
        <v>1.4032828577034309</v>
      </c>
    </row>
    <row r="32" spans="1:35" x14ac:dyDescent="0.25">
      <c r="A32">
        <v>1820.74</v>
      </c>
      <c r="B32">
        <f t="shared" si="2"/>
        <v>2.3152822830687623E-2</v>
      </c>
      <c r="C32">
        <v>727.8</v>
      </c>
      <c r="D32">
        <v>31.1</v>
      </c>
      <c r="E32" s="1">
        <v>2.4899999999999999E-2</v>
      </c>
      <c r="F32">
        <v>2.2400000000000002</v>
      </c>
      <c r="G32" s="2">
        <v>1.1999999999999999E-3</v>
      </c>
      <c r="H32">
        <v>0.7</v>
      </c>
      <c r="I32">
        <v>990</v>
      </c>
      <c r="L32" s="1" t="e">
        <f t="shared" si="3"/>
        <v>#DIV/0!</v>
      </c>
      <c r="N32" t="e">
        <f t="shared" si="4"/>
        <v>#DIV/0!</v>
      </c>
      <c r="O32">
        <f t="shared" si="5"/>
        <v>9.2389618579780488E-4</v>
      </c>
      <c r="P32" t="e">
        <f t="shared" si="6"/>
        <v>#DIV/0!</v>
      </c>
      <c r="Q32" s="1" t="e">
        <f t="shared" si="7"/>
        <v>#DIV/0!</v>
      </c>
      <c r="R32" s="1" t="e">
        <f t="shared" si="8"/>
        <v>#DIV/0!</v>
      </c>
      <c r="S32" s="1" t="e">
        <f t="shared" si="0"/>
        <v>#DIV/0!</v>
      </c>
      <c r="T32">
        <v>30</v>
      </c>
      <c r="U32" s="7"/>
      <c r="X32" s="1">
        <f t="shared" si="9"/>
        <v>0</v>
      </c>
      <c r="AH32" s="1" t="e">
        <f t="shared" si="1"/>
        <v>#DIV/0!</v>
      </c>
      <c r="AI32" s="1" t="e">
        <f t="shared" si="10"/>
        <v>#DIV/0!</v>
      </c>
    </row>
    <row r="33" spans="1:35" x14ac:dyDescent="0.25">
      <c r="A33">
        <v>1872</v>
      </c>
      <c r="B33">
        <f t="shared" si="2"/>
        <v>2.2614703486069553E-2</v>
      </c>
      <c r="C33">
        <v>1372.2</v>
      </c>
      <c r="D33">
        <v>40.200000000000003</v>
      </c>
      <c r="E33" s="1">
        <v>4.7E-2</v>
      </c>
      <c r="F33">
        <v>2.2000000000000002</v>
      </c>
      <c r="G33" s="2">
        <v>1.1999999999999999E-3</v>
      </c>
      <c r="H33">
        <v>0.8</v>
      </c>
      <c r="I33">
        <v>1733</v>
      </c>
      <c r="J33" t="s">
        <v>37</v>
      </c>
      <c r="K33">
        <v>127080</v>
      </c>
      <c r="L33" s="1">
        <f t="shared" si="3"/>
        <v>5.4544159628576115E-6</v>
      </c>
      <c r="M33">
        <v>2.5000000000000001E-4</v>
      </c>
      <c r="N33">
        <f t="shared" si="4"/>
        <v>8311.9640660119821</v>
      </c>
      <c r="O33">
        <f t="shared" si="5"/>
        <v>1.2686033562589029E-3</v>
      </c>
      <c r="P33">
        <f t="shared" si="6"/>
        <v>224.38558295320578</v>
      </c>
      <c r="Q33" s="1">
        <f t="shared" si="7"/>
        <v>35506.040435762421</v>
      </c>
      <c r="R33" s="1">
        <f t="shared" si="8"/>
        <v>38412.546079569896</v>
      </c>
      <c r="S33" s="1">
        <f t="shared" si="0"/>
        <v>127194374.91574013</v>
      </c>
      <c r="T33">
        <v>31</v>
      </c>
      <c r="U33" s="7">
        <v>81</v>
      </c>
      <c r="V33">
        <v>0.49309999999999998</v>
      </c>
      <c r="W33" s="4">
        <v>8.1571100000000004E-24</v>
      </c>
      <c r="X33" s="1">
        <f t="shared" si="9"/>
        <v>5.691548736415532E-24</v>
      </c>
      <c r="AH33" s="1">
        <f t="shared" si="1"/>
        <v>111.76310442528094</v>
      </c>
      <c r="AI33" s="1">
        <f>(S33*(U33/(6.022E+23*V33))*(1/L33)*(1/(100000000000*X33*100)))*P33</f>
        <v>25078.029339126679</v>
      </c>
    </row>
    <row r="34" spans="1:35" x14ac:dyDescent="0.25">
      <c r="A34">
        <v>2029.37</v>
      </c>
      <c r="B34">
        <f t="shared" si="2"/>
        <v>2.1120246429289523E-2</v>
      </c>
      <c r="C34">
        <v>429.3</v>
      </c>
      <c r="D34">
        <v>22.9</v>
      </c>
      <c r="E34" s="1">
        <v>1.47E-2</v>
      </c>
      <c r="F34">
        <v>2.16</v>
      </c>
      <c r="G34" s="2">
        <v>1.1000000000000001E-3</v>
      </c>
      <c r="H34">
        <v>1.05</v>
      </c>
      <c r="I34">
        <v>577</v>
      </c>
      <c r="L34" s="1" t="e">
        <f t="shared" si="3"/>
        <v>#DIV/0!</v>
      </c>
      <c r="N34" t="e">
        <f t="shared" si="4"/>
        <v>#DIV/0!</v>
      </c>
      <c r="O34">
        <f t="shared" si="5"/>
        <v>7.09573834924603E-4</v>
      </c>
      <c r="P34" t="e">
        <f t="shared" si="6"/>
        <v>#DIV/0!</v>
      </c>
      <c r="Q34" s="1" t="e">
        <f t="shared" si="7"/>
        <v>#DIV/0!</v>
      </c>
      <c r="R34" s="1" t="e">
        <f t="shared" si="8"/>
        <v>#DIV/0!</v>
      </c>
      <c r="S34" s="1" t="e">
        <f t="shared" si="0"/>
        <v>#DIV/0!</v>
      </c>
      <c r="T34">
        <v>32</v>
      </c>
      <c r="U34" s="7"/>
      <c r="X34" s="1">
        <f t="shared" si="9"/>
        <v>0</v>
      </c>
      <c r="AH34" s="1" t="e">
        <f t="shared" si="1"/>
        <v>#DIV/0!</v>
      </c>
      <c r="AI34" s="1" t="e">
        <f t="shared" si="10"/>
        <v>#DIV/0!</v>
      </c>
    </row>
    <row r="35" spans="1:35" x14ac:dyDescent="0.25">
      <c r="A35">
        <v>2094.1999999999998</v>
      </c>
      <c r="B35">
        <f t="shared" si="2"/>
        <v>2.0565135273051784E-2</v>
      </c>
      <c r="C35">
        <v>953.9</v>
      </c>
      <c r="D35">
        <v>32.4</v>
      </c>
      <c r="E35" s="1">
        <v>3.27E-2</v>
      </c>
      <c r="F35">
        <v>2.46</v>
      </c>
      <c r="G35" s="2">
        <v>1.1999999999999999E-3</v>
      </c>
      <c r="H35">
        <v>0.84</v>
      </c>
      <c r="I35">
        <v>1105</v>
      </c>
      <c r="L35" s="1" t="e">
        <f t="shared" si="3"/>
        <v>#DIV/0!</v>
      </c>
      <c r="N35" t="e">
        <f t="shared" si="4"/>
        <v>#DIV/0!</v>
      </c>
      <c r="O35">
        <f t="shared" si="5"/>
        <v>1.0577147798207719E-3</v>
      </c>
      <c r="P35" t="e">
        <f t="shared" si="6"/>
        <v>#DIV/0!</v>
      </c>
      <c r="Q35" s="1" t="e">
        <f t="shared" si="7"/>
        <v>#DIV/0!</v>
      </c>
      <c r="R35" s="1" t="e">
        <f t="shared" si="8"/>
        <v>#DIV/0!</v>
      </c>
      <c r="S35" s="1" t="e">
        <f t="shared" si="0"/>
        <v>#DIV/0!</v>
      </c>
      <c r="T35">
        <v>33</v>
      </c>
      <c r="U35" s="7"/>
      <c r="X35" s="1">
        <f t="shared" si="9"/>
        <v>0</v>
      </c>
      <c r="AH35" s="1" t="e">
        <f t="shared" si="1"/>
        <v>#DIV/0!</v>
      </c>
      <c r="AI35" s="1" t="e">
        <f t="shared" si="10"/>
        <v>#DIV/0!</v>
      </c>
    </row>
    <row r="36" spans="1:35" x14ac:dyDescent="0.25">
      <c r="A36">
        <v>2614.7800000000002</v>
      </c>
      <c r="B36">
        <f t="shared" si="2"/>
        <v>1.7039873730650766E-2</v>
      </c>
      <c r="C36">
        <v>159.5</v>
      </c>
      <c r="D36">
        <v>14</v>
      </c>
      <c r="E36" s="1">
        <v>5.4599999999999996E-3</v>
      </c>
      <c r="F36">
        <v>2.5099999999999998</v>
      </c>
      <c r="G36" s="2">
        <v>1E-3</v>
      </c>
      <c r="H36">
        <v>0.93</v>
      </c>
      <c r="I36">
        <v>220</v>
      </c>
      <c r="L36" s="1" t="e">
        <f t="shared" si="3"/>
        <v>#DIV/0!</v>
      </c>
      <c r="N36" t="e">
        <f t="shared" si="4"/>
        <v>#DIV/0!</v>
      </c>
      <c r="O36">
        <f t="shared" si="5"/>
        <v>4.3251133357243455E-4</v>
      </c>
      <c r="P36" t="e">
        <f t="shared" si="6"/>
        <v>#DIV/0!</v>
      </c>
      <c r="Q36" s="1" t="e">
        <f t="shared" si="7"/>
        <v>#DIV/0!</v>
      </c>
      <c r="R36" s="1" t="e">
        <f t="shared" si="8"/>
        <v>#DIV/0!</v>
      </c>
      <c r="S36" s="1" t="e">
        <f t="shared" si="0"/>
        <v>#DIV/0!</v>
      </c>
      <c r="T36">
        <v>34</v>
      </c>
      <c r="U36" s="7"/>
      <c r="X36" s="1">
        <f t="shared" si="9"/>
        <v>0</v>
      </c>
      <c r="AH36" s="1" t="e">
        <f t="shared" si="1"/>
        <v>#DIV/0!</v>
      </c>
      <c r="AI36" s="1" t="e">
        <f t="shared" si="10"/>
        <v>#DIV/0!</v>
      </c>
    </row>
    <row r="37" spans="1:35" x14ac:dyDescent="0.25">
      <c r="A37">
        <v>2648.47</v>
      </c>
      <c r="B37">
        <f t="shared" si="2"/>
        <v>1.6856101354756056E-2</v>
      </c>
      <c r="C37">
        <v>133</v>
      </c>
      <c r="D37">
        <v>12.3</v>
      </c>
      <c r="E37" s="1">
        <v>4.5599999999999998E-3</v>
      </c>
      <c r="F37">
        <v>2.68</v>
      </c>
      <c r="G37" s="2">
        <v>1E-3</v>
      </c>
      <c r="H37">
        <v>0.82</v>
      </c>
      <c r="I37">
        <v>163</v>
      </c>
      <c r="L37" s="1" t="e">
        <f t="shared" si="3"/>
        <v>#DIV/0!</v>
      </c>
      <c r="N37" t="e">
        <f t="shared" si="4"/>
        <v>#DIV/0!</v>
      </c>
      <c r="O37">
        <f t="shared" si="5"/>
        <v>3.9495077379009578E-4</v>
      </c>
      <c r="P37" t="e">
        <f t="shared" si="6"/>
        <v>#DIV/0!</v>
      </c>
      <c r="Q37" s="1" t="e">
        <f t="shared" si="7"/>
        <v>#DIV/0!</v>
      </c>
      <c r="R37" s="1" t="e">
        <f t="shared" si="8"/>
        <v>#DIV/0!</v>
      </c>
      <c r="S37" s="1" t="e">
        <f t="shared" si="0"/>
        <v>#DIV/0!</v>
      </c>
      <c r="T37">
        <v>35</v>
      </c>
      <c r="U37" s="7"/>
      <c r="X37" s="1">
        <f t="shared" si="9"/>
        <v>0</v>
      </c>
      <c r="AH37" s="1" t="e">
        <f t="shared" si="1"/>
        <v>#DIV/0!</v>
      </c>
      <c r="AI37" s="1" t="e">
        <f t="shared" si="10"/>
        <v>#DIV/0!</v>
      </c>
    </row>
    <row r="38" spans="1:35" x14ac:dyDescent="0.25">
      <c r="A38">
        <v>2751.88</v>
      </c>
      <c r="B38">
        <f t="shared" si="2"/>
        <v>1.631803154780857E-2</v>
      </c>
      <c r="C38">
        <v>212.7</v>
      </c>
      <c r="D38">
        <v>15.3</v>
      </c>
      <c r="E38" s="1">
        <v>7.2899999999999996E-3</v>
      </c>
      <c r="F38">
        <v>3.85</v>
      </c>
      <c r="G38" s="2">
        <v>1.4E-3</v>
      </c>
      <c r="H38">
        <v>1.1200000000000001</v>
      </c>
      <c r="I38">
        <v>244</v>
      </c>
      <c r="J38" t="s">
        <v>43</v>
      </c>
      <c r="K38">
        <v>52524</v>
      </c>
      <c r="L38" s="1">
        <f t="shared" si="3"/>
        <v>1.3196770629806284E-5</v>
      </c>
      <c r="M38">
        <v>0.99944</v>
      </c>
      <c r="N38">
        <f t="shared" si="4"/>
        <v>0.44664260010105916</v>
      </c>
      <c r="O38">
        <f t="shared" si="5"/>
        <v>4.9946020777992301E-4</v>
      </c>
      <c r="P38">
        <f t="shared" si="6"/>
        <v>3.0625021207406348E-2</v>
      </c>
      <c r="Q38" s="1">
        <f t="shared" si="7"/>
        <v>1.9079137125205432</v>
      </c>
      <c r="R38" s="1">
        <f t="shared" si="8"/>
        <v>2.2996214878807875</v>
      </c>
      <c r="S38" s="1">
        <f t="shared" si="0"/>
        <v>755373886.19378769</v>
      </c>
      <c r="T38">
        <v>36</v>
      </c>
      <c r="U38" s="7">
        <v>23</v>
      </c>
      <c r="V38">
        <v>1</v>
      </c>
      <c r="W38" s="4">
        <v>5.83825E-24</v>
      </c>
      <c r="X38" s="1">
        <f t="shared" si="9"/>
        <v>4.0735854255217812E-24</v>
      </c>
      <c r="AH38" s="1">
        <f t="shared" si="1"/>
        <v>53.666658495178382</v>
      </c>
      <c r="AI38" s="1">
        <f t="shared" si="10"/>
        <v>1.643542554545472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topLeftCell="S21" workbookViewId="0">
      <selection activeCell="AJ40" sqref="AJ40"/>
    </sheetView>
  </sheetViews>
  <sheetFormatPr defaultRowHeight="15" x14ac:dyDescent="0.25"/>
  <sheetData>
    <row r="1" spans="1:36" x14ac:dyDescent="0.25">
      <c r="A1" t="s">
        <v>0</v>
      </c>
      <c r="B1" t="s">
        <v>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93</v>
      </c>
      <c r="O1" t="s">
        <v>95</v>
      </c>
      <c r="P1" t="s">
        <v>96</v>
      </c>
      <c r="Q1" t="s">
        <v>50</v>
      </c>
      <c r="R1" t="s">
        <v>103</v>
      </c>
      <c r="S1" t="s">
        <v>13</v>
      </c>
      <c r="T1" t="s">
        <v>14</v>
      </c>
      <c r="U1" t="s">
        <v>74</v>
      </c>
      <c r="V1" t="s">
        <v>75</v>
      </c>
      <c r="W1" t="s">
        <v>88</v>
      </c>
      <c r="X1" t="s">
        <v>89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81</v>
      </c>
      <c r="AF1" t="s">
        <v>80</v>
      </c>
      <c r="AG1" s="6" t="s">
        <v>84</v>
      </c>
      <c r="AI1" t="s">
        <v>98</v>
      </c>
      <c r="AJ1" t="s">
        <v>97</v>
      </c>
    </row>
    <row r="2" spans="1:36" x14ac:dyDescent="0.25">
      <c r="A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21</v>
      </c>
      <c r="K2" t="s">
        <v>27</v>
      </c>
      <c r="L2" t="s">
        <v>28</v>
      </c>
      <c r="Q2" t="s">
        <v>29</v>
      </c>
      <c r="T2" t="s">
        <v>30</v>
      </c>
      <c r="Z2" t="s">
        <v>27</v>
      </c>
      <c r="AA2" t="s">
        <v>27</v>
      </c>
      <c r="AB2" t="s">
        <v>31</v>
      </c>
      <c r="AD2" t="s">
        <v>32</v>
      </c>
      <c r="AG2" t="s">
        <v>27</v>
      </c>
    </row>
    <row r="3" spans="1:36" x14ac:dyDescent="0.25">
      <c r="A3">
        <v>159.26</v>
      </c>
      <c r="B3">
        <f>13.367*A3^-0.847</f>
        <v>0.18232640273313241</v>
      </c>
      <c r="C3">
        <v>1382</v>
      </c>
      <c r="D3">
        <v>60.5</v>
      </c>
      <c r="E3" s="1">
        <v>4.7300000000000002E-2</v>
      </c>
      <c r="F3">
        <v>1</v>
      </c>
      <c r="G3" s="2">
        <v>6.3E-3</v>
      </c>
      <c r="H3">
        <v>1.17</v>
      </c>
      <c r="I3">
        <v>4913</v>
      </c>
      <c r="J3" t="s">
        <v>48</v>
      </c>
      <c r="K3">
        <v>288576</v>
      </c>
      <c r="L3" s="1">
        <f>LN(2)/K3</f>
        <v>2.4019571293522169E-6</v>
      </c>
      <c r="M3">
        <v>0.68300000000000005</v>
      </c>
      <c r="N3">
        <f>C3/($Z$3*M3*B3)</f>
        <v>0.38006241567914434</v>
      </c>
      <c r="O3">
        <f>SQRT(C3)/$Z$3</f>
        <v>1.2731253627014457E-3</v>
      </c>
      <c r="P3">
        <f>O3/(M3*B3)</f>
        <v>1.0223530639415621E-2</v>
      </c>
      <c r="Q3" s="1">
        <f>N3/$AD$3</f>
        <v>1.8476539410750819</v>
      </c>
      <c r="R3" s="1">
        <f>Q3*((L3*$AA$3)/(1-EXP(-L3*$AA$3)))</f>
        <v>1.913235407415085</v>
      </c>
      <c r="S3" s="1">
        <f>R3*EXP(L3*$AG$3)</f>
        <v>95.494538193531099</v>
      </c>
      <c r="T3">
        <v>1</v>
      </c>
      <c r="U3">
        <v>46</v>
      </c>
      <c r="V3">
        <v>4.0000000000000003E-5</v>
      </c>
      <c r="W3" s="4">
        <v>3.6853499999999998E-24</v>
      </c>
      <c r="X3">
        <f>(1/1.128)*((293/473)^(1/2))*W3</f>
        <v>2.5714191834790725E-24</v>
      </c>
      <c r="Z3">
        <v>29200</v>
      </c>
      <c r="AA3">
        <v>29213</v>
      </c>
      <c r="AB3">
        <v>0.04</v>
      </c>
      <c r="AC3" t="s">
        <v>51</v>
      </c>
      <c r="AD3">
        <v>0.20569999999999999</v>
      </c>
      <c r="AE3" s="5" t="s">
        <v>82</v>
      </c>
      <c r="AF3" t="s">
        <v>104</v>
      </c>
      <c r="AG3">
        <v>1627953</v>
      </c>
      <c r="AI3">
        <f>S3*(U3/(6.022E+23*V3))*(1/L3)*(1/(100000000000*X3*100))</f>
        <v>2.9525515623783396</v>
      </c>
      <c r="AJ3">
        <f>(S3*(U3/(6.022E+23*V3))*(1/L3)*(1/(100000000000*X3*100)))*P3</f>
        <v>3.0185501362429416E-2</v>
      </c>
    </row>
    <row r="4" spans="1:36" x14ac:dyDescent="0.25">
      <c r="A4">
        <v>185.6</v>
      </c>
      <c r="B4">
        <f t="shared" ref="B4:B40" si="0">13.367*A4^-0.847</f>
        <v>0.160157914821078</v>
      </c>
      <c r="C4">
        <v>280.7</v>
      </c>
      <c r="D4">
        <v>53.4</v>
      </c>
      <c r="E4" s="1">
        <v>9.6100000000000005E-3</v>
      </c>
      <c r="F4">
        <v>1.37</v>
      </c>
      <c r="G4" s="2">
        <v>7.4000000000000003E-3</v>
      </c>
      <c r="H4">
        <v>1</v>
      </c>
      <c r="I4">
        <v>4303</v>
      </c>
      <c r="L4" s="1" t="e">
        <f t="shared" ref="L4:L40" si="1">LN(2)/K4</f>
        <v>#DIV/0!</v>
      </c>
      <c r="N4" t="e">
        <f t="shared" ref="N4:N40" si="2">C4/($Z$3*M4*B4)</f>
        <v>#DIV/0!</v>
      </c>
      <c r="O4">
        <f t="shared" ref="O4:O40" si="3">SQRT(C4)/$Z$3</f>
        <v>5.7377068407011894E-4</v>
      </c>
      <c r="P4" t="e">
        <f t="shared" ref="P4:P40" si="4">O4/(M4*B4)</f>
        <v>#DIV/0!</v>
      </c>
      <c r="Q4" s="1" t="e">
        <f t="shared" ref="Q4:Q40" si="5">N4/$AD$3</f>
        <v>#DIV/0!</v>
      </c>
      <c r="R4" s="1" t="e">
        <f t="shared" ref="R4:R40" si="6">Q4*((L4*$AA$3)/(1-EXP(-L4*$AA$3)))</f>
        <v>#DIV/0!</v>
      </c>
      <c r="S4" s="1" t="e">
        <f t="shared" ref="S4:S40" si="7">R4*EXP(L4*$AG$3)</f>
        <v>#DIV/0!</v>
      </c>
      <c r="T4">
        <v>2</v>
      </c>
      <c r="X4">
        <f t="shared" ref="X4:X40" si="8">(1/1.128)*((293/473)^(1/2))*W4</f>
        <v>0</v>
      </c>
      <c r="AI4" t="e">
        <f t="shared" ref="AI4:AI40" si="9">S4*(U4/(6.022E+23*V4))*(1/L4)*(1/(100000000000*X4*100))</f>
        <v>#DIV/0!</v>
      </c>
      <c r="AJ4" t="e">
        <f t="shared" ref="AJ4:AJ40" si="10">(S4*(U4/(6.022E+23*V4))*(1/L4)*(1/(100000000000*X4*100)))*P4</f>
        <v>#DIV/0!</v>
      </c>
    </row>
    <row r="5" spans="1:36" x14ac:dyDescent="0.25">
      <c r="A5">
        <v>221.45</v>
      </c>
      <c r="B5">
        <f t="shared" si="0"/>
        <v>0.13790672442299212</v>
      </c>
      <c r="C5">
        <v>305.5</v>
      </c>
      <c r="D5">
        <v>43.8</v>
      </c>
      <c r="E5" s="1">
        <v>1.0500000000000001E-2</v>
      </c>
      <c r="F5">
        <v>1.1399999999999999</v>
      </c>
      <c r="G5" s="2">
        <v>5.1999999999999998E-3</v>
      </c>
      <c r="H5">
        <v>0.93</v>
      </c>
      <c r="I5">
        <v>2770</v>
      </c>
      <c r="J5" t="s">
        <v>37</v>
      </c>
      <c r="K5">
        <v>127080</v>
      </c>
      <c r="L5" s="1">
        <f t="shared" si="1"/>
        <v>5.4544159628576115E-6</v>
      </c>
      <c r="M5">
        <v>2.2599999999999999E-2</v>
      </c>
      <c r="N5">
        <f t="shared" si="2"/>
        <v>3.3568696750436628</v>
      </c>
      <c r="O5">
        <f t="shared" si="3"/>
        <v>5.9858076345714161E-4</v>
      </c>
      <c r="P5">
        <f t="shared" si="4"/>
        <v>0.19205643959764931</v>
      </c>
      <c r="Q5" s="1">
        <f t="shared" si="5"/>
        <v>16.319249757139829</v>
      </c>
      <c r="R5" s="1">
        <f t="shared" si="6"/>
        <v>17.653916298004976</v>
      </c>
      <c r="S5" s="1">
        <f t="shared" si="7"/>
        <v>126815.74374702494</v>
      </c>
      <c r="T5">
        <v>3</v>
      </c>
      <c r="U5">
        <v>81</v>
      </c>
      <c r="V5">
        <v>0.49309999999999998</v>
      </c>
      <c r="W5" s="4">
        <v>8.1571100000000004E-24</v>
      </c>
      <c r="X5">
        <f t="shared" si="8"/>
        <v>5.691548736415532E-24</v>
      </c>
      <c r="AI5">
        <f t="shared" si="9"/>
        <v>0.11143040893559586</v>
      </c>
      <c r="AJ5">
        <f t="shared" si="10"/>
        <v>2.1400927603080627E-2</v>
      </c>
    </row>
    <row r="6" spans="1:36" x14ac:dyDescent="0.25">
      <c r="A6">
        <v>238.62</v>
      </c>
      <c r="B6">
        <f t="shared" si="0"/>
        <v>0.12945423225295433</v>
      </c>
      <c r="C6">
        <v>268.10000000000002</v>
      </c>
      <c r="D6">
        <v>40.6</v>
      </c>
      <c r="E6" s="1">
        <v>9.1800000000000007E-3</v>
      </c>
      <c r="F6">
        <v>1.05</v>
      </c>
      <c r="G6" s="2">
        <v>4.4000000000000003E-3</v>
      </c>
      <c r="H6">
        <v>1.08</v>
      </c>
      <c r="I6">
        <v>2490</v>
      </c>
      <c r="L6" s="1" t="e">
        <f t="shared" si="1"/>
        <v>#DIV/0!</v>
      </c>
      <c r="N6" t="e">
        <f t="shared" si="2"/>
        <v>#DIV/0!</v>
      </c>
      <c r="O6">
        <f t="shared" si="3"/>
        <v>5.6074518818482414E-4</v>
      </c>
      <c r="P6" t="e">
        <f t="shared" si="4"/>
        <v>#DIV/0!</v>
      </c>
      <c r="Q6" s="1" t="e">
        <f t="shared" si="5"/>
        <v>#DIV/0!</v>
      </c>
      <c r="R6" s="1" t="e">
        <f t="shared" si="6"/>
        <v>#DIV/0!</v>
      </c>
      <c r="S6" s="1" t="e">
        <f t="shared" si="7"/>
        <v>#DIV/0!</v>
      </c>
      <c r="T6">
        <v>4</v>
      </c>
      <c r="X6">
        <f t="shared" si="8"/>
        <v>0</v>
      </c>
      <c r="AI6" t="e">
        <f t="shared" si="9"/>
        <v>#DIV/0!</v>
      </c>
      <c r="AJ6" t="e">
        <f t="shared" si="10"/>
        <v>#DIV/0!</v>
      </c>
    </row>
    <row r="7" spans="1:36" x14ac:dyDescent="0.25">
      <c r="A7">
        <v>351.92</v>
      </c>
      <c r="B7">
        <f t="shared" si="0"/>
        <v>9.3152802093871431E-2</v>
      </c>
      <c r="C7">
        <v>124.3</v>
      </c>
      <c r="D7">
        <v>29.3</v>
      </c>
      <c r="E7" s="1">
        <v>4.2599999999999999E-3</v>
      </c>
      <c r="F7">
        <v>1.02</v>
      </c>
      <c r="G7" s="2">
        <v>2.8999999999999998E-3</v>
      </c>
      <c r="H7">
        <v>0.8</v>
      </c>
      <c r="I7">
        <v>1214</v>
      </c>
      <c r="L7" s="1" t="e">
        <f t="shared" si="1"/>
        <v>#DIV/0!</v>
      </c>
      <c r="N7" t="e">
        <f t="shared" si="2"/>
        <v>#DIV/0!</v>
      </c>
      <c r="O7">
        <f t="shared" si="3"/>
        <v>3.8181475978544475E-4</v>
      </c>
      <c r="P7" t="e">
        <f t="shared" si="4"/>
        <v>#DIV/0!</v>
      </c>
      <c r="Q7" s="1" t="e">
        <f t="shared" si="5"/>
        <v>#DIV/0!</v>
      </c>
      <c r="R7" s="1" t="e">
        <f t="shared" si="6"/>
        <v>#DIV/0!</v>
      </c>
      <c r="S7" s="1" t="e">
        <f t="shared" si="7"/>
        <v>#DIV/0!</v>
      </c>
      <c r="T7">
        <v>5</v>
      </c>
      <c r="X7">
        <f t="shared" si="8"/>
        <v>0</v>
      </c>
      <c r="AI7" t="e">
        <f t="shared" si="9"/>
        <v>#DIV/0!</v>
      </c>
      <c r="AJ7" t="e">
        <f t="shared" si="10"/>
        <v>#DIV/0!</v>
      </c>
    </row>
    <row r="8" spans="1:36" x14ac:dyDescent="0.25">
      <c r="A8">
        <v>411.78</v>
      </c>
      <c r="B8">
        <f t="shared" si="0"/>
        <v>8.1547843712487786E-2</v>
      </c>
      <c r="C8">
        <v>196.4</v>
      </c>
      <c r="D8">
        <v>30.6</v>
      </c>
      <c r="E8" s="1">
        <v>6.7299999999999999E-3</v>
      </c>
      <c r="F8">
        <v>1.31</v>
      </c>
      <c r="G8" s="2">
        <v>3.2000000000000002E-3</v>
      </c>
      <c r="H8">
        <v>1.1200000000000001</v>
      </c>
      <c r="I8">
        <v>1440</v>
      </c>
      <c r="L8" s="1" t="e">
        <f t="shared" si="1"/>
        <v>#DIV/0!</v>
      </c>
      <c r="N8" t="e">
        <f t="shared" si="2"/>
        <v>#DIV/0!</v>
      </c>
      <c r="O8">
        <f t="shared" si="3"/>
        <v>4.7994104222890001E-4</v>
      </c>
      <c r="P8" t="e">
        <f t="shared" si="4"/>
        <v>#DIV/0!</v>
      </c>
      <c r="Q8" s="1" t="e">
        <f t="shared" si="5"/>
        <v>#DIV/0!</v>
      </c>
      <c r="R8" s="1" t="e">
        <f t="shared" si="6"/>
        <v>#DIV/0!</v>
      </c>
      <c r="S8" s="1" t="e">
        <f t="shared" si="7"/>
        <v>#DIV/0!</v>
      </c>
      <c r="T8">
        <v>6</v>
      </c>
      <c r="X8">
        <f t="shared" si="8"/>
        <v>0</v>
      </c>
      <c r="AI8" t="e">
        <f t="shared" si="9"/>
        <v>#DIV/0!</v>
      </c>
      <c r="AJ8" t="e">
        <f t="shared" si="10"/>
        <v>#DIV/0!</v>
      </c>
    </row>
    <row r="9" spans="1:36" x14ac:dyDescent="0.25">
      <c r="A9">
        <v>511.14</v>
      </c>
      <c r="B9">
        <f t="shared" si="0"/>
        <v>6.7904832037251783E-2</v>
      </c>
      <c r="C9">
        <v>715.4</v>
      </c>
      <c r="D9">
        <v>43.5</v>
      </c>
      <c r="E9" s="1">
        <v>2.4500000000000001E-2</v>
      </c>
      <c r="F9">
        <v>2.8</v>
      </c>
      <c r="G9" s="2">
        <v>5.4999999999999997E-3</v>
      </c>
      <c r="H9">
        <v>0.95</v>
      </c>
      <c r="I9">
        <v>1679</v>
      </c>
      <c r="J9" t="s">
        <v>36</v>
      </c>
      <c r="L9" s="1" t="e">
        <f t="shared" si="1"/>
        <v>#DIV/0!</v>
      </c>
      <c r="N9" t="e">
        <f t="shared" si="2"/>
        <v>#DIV/0!</v>
      </c>
      <c r="O9">
        <f t="shared" si="3"/>
        <v>9.1599186453287401E-4</v>
      </c>
      <c r="P9" t="e">
        <f t="shared" si="4"/>
        <v>#DIV/0!</v>
      </c>
      <c r="Q9" s="1" t="e">
        <f t="shared" si="5"/>
        <v>#DIV/0!</v>
      </c>
      <c r="R9" s="1" t="e">
        <f t="shared" si="6"/>
        <v>#DIV/0!</v>
      </c>
      <c r="S9" s="1" t="e">
        <f t="shared" si="7"/>
        <v>#DIV/0!</v>
      </c>
      <c r="T9">
        <v>7</v>
      </c>
      <c r="X9">
        <f t="shared" si="8"/>
        <v>0</v>
      </c>
      <c r="AI9" t="e">
        <f t="shared" si="9"/>
        <v>#DIV/0!</v>
      </c>
      <c r="AJ9" t="e">
        <f t="shared" si="10"/>
        <v>#DIV/0!</v>
      </c>
    </row>
    <row r="10" spans="1:36" x14ac:dyDescent="0.25">
      <c r="A10">
        <v>514.12</v>
      </c>
      <c r="B10">
        <f t="shared" si="0"/>
        <v>6.7571306712071275E-2</v>
      </c>
      <c r="C10">
        <v>1898.3</v>
      </c>
      <c r="D10">
        <v>53.7</v>
      </c>
      <c r="E10" s="1">
        <v>6.5000000000000002E-2</v>
      </c>
      <c r="F10">
        <v>1.23</v>
      </c>
      <c r="G10" s="2">
        <v>2.3999999999999998E-3</v>
      </c>
      <c r="H10">
        <v>1.06</v>
      </c>
      <c r="I10">
        <v>2924</v>
      </c>
      <c r="L10" s="1" t="e">
        <f t="shared" si="1"/>
        <v>#DIV/0!</v>
      </c>
      <c r="N10" t="e">
        <f t="shared" si="2"/>
        <v>#DIV/0!</v>
      </c>
      <c r="O10">
        <f t="shared" si="3"/>
        <v>1.4921056415807428E-3</v>
      </c>
      <c r="P10" t="e">
        <f t="shared" si="4"/>
        <v>#DIV/0!</v>
      </c>
      <c r="Q10" s="1" t="e">
        <f t="shared" si="5"/>
        <v>#DIV/0!</v>
      </c>
      <c r="R10" s="1" t="e">
        <f t="shared" si="6"/>
        <v>#DIV/0!</v>
      </c>
      <c r="S10" s="1" t="e">
        <f t="shared" si="7"/>
        <v>#DIV/0!</v>
      </c>
      <c r="T10">
        <v>8</v>
      </c>
      <c r="X10">
        <f t="shared" si="8"/>
        <v>0</v>
      </c>
      <c r="AI10" t="e">
        <f t="shared" si="9"/>
        <v>#DIV/0!</v>
      </c>
      <c r="AJ10" t="e">
        <f t="shared" si="10"/>
        <v>#DIV/0!</v>
      </c>
    </row>
    <row r="11" spans="1:36" x14ac:dyDescent="0.25">
      <c r="A11">
        <v>554.47</v>
      </c>
      <c r="B11">
        <f t="shared" si="0"/>
        <v>6.3382481290926343E-2</v>
      </c>
      <c r="C11">
        <v>4339.8</v>
      </c>
      <c r="D11">
        <v>70.099999999999994</v>
      </c>
      <c r="E11" s="1">
        <v>0.14899999999999999</v>
      </c>
      <c r="F11">
        <v>1.31</v>
      </c>
      <c r="G11" s="2">
        <v>2.3999999999999998E-3</v>
      </c>
      <c r="H11">
        <v>1.4</v>
      </c>
      <c r="I11">
        <v>5259</v>
      </c>
      <c r="J11" t="s">
        <v>37</v>
      </c>
      <c r="K11">
        <v>127080</v>
      </c>
      <c r="L11" s="1">
        <f t="shared" si="1"/>
        <v>5.4544159628576115E-6</v>
      </c>
      <c r="M11">
        <v>0.70799999999999996</v>
      </c>
      <c r="N11">
        <f t="shared" si="2"/>
        <v>3.3119545585031545</v>
      </c>
      <c r="O11">
        <f t="shared" si="3"/>
        <v>2.2560670687898085E-3</v>
      </c>
      <c r="P11">
        <f t="shared" si="4"/>
        <v>5.027470277266323E-2</v>
      </c>
      <c r="Q11" s="1">
        <f t="shared" si="5"/>
        <v>16.100897221697398</v>
      </c>
      <c r="R11" s="1">
        <f t="shared" si="6"/>
        <v>17.417705844612573</v>
      </c>
      <c r="S11" s="1">
        <f t="shared" si="7"/>
        <v>125118.94152919838</v>
      </c>
      <c r="T11">
        <v>9</v>
      </c>
      <c r="U11">
        <v>81</v>
      </c>
      <c r="V11">
        <v>0.49309999999999998</v>
      </c>
      <c r="W11" s="4">
        <v>8.1571100000000004E-24</v>
      </c>
      <c r="X11">
        <f t="shared" si="8"/>
        <v>5.691548736415532E-24</v>
      </c>
      <c r="AI11">
        <f t="shared" si="9"/>
        <v>0.10993946341551586</v>
      </c>
      <c r="AJ11">
        <f t="shared" si="10"/>
        <v>5.5271738462011428E-3</v>
      </c>
    </row>
    <row r="12" spans="1:36" s="9" customFormat="1" x14ac:dyDescent="0.25">
      <c r="A12" s="9">
        <v>559.20000000000005</v>
      </c>
      <c r="B12" s="9">
        <f t="shared" si="0"/>
        <v>6.2928091596371818E-2</v>
      </c>
      <c r="C12" s="9">
        <f>SQRT(273)</f>
        <v>16.522711641858304</v>
      </c>
      <c r="E12" s="10"/>
      <c r="G12" s="11"/>
      <c r="J12" s="9" t="s">
        <v>38</v>
      </c>
      <c r="K12" s="9">
        <v>93121</v>
      </c>
      <c r="L12" s="10">
        <f t="shared" si="1"/>
        <v>7.4435109219182067E-6</v>
      </c>
      <c r="M12" s="9">
        <v>0.45</v>
      </c>
      <c r="N12" s="9">
        <f t="shared" si="2"/>
        <v>1.9982112377980078E-2</v>
      </c>
      <c r="O12" s="9">
        <f t="shared" si="3"/>
        <v>1.3920595379537476E-4</v>
      </c>
      <c r="P12" s="9">
        <f t="shared" si="4"/>
        <v>4.9158739148472347E-3</v>
      </c>
      <c r="Q12" s="10">
        <f t="shared" si="5"/>
        <v>9.7142014477297409E-2</v>
      </c>
      <c r="R12" s="10">
        <f t="shared" si="6"/>
        <v>0.10808611323348791</v>
      </c>
      <c r="S12" s="10">
        <f t="shared" si="7"/>
        <v>19788.552858878018</v>
      </c>
      <c r="U12" s="9">
        <v>75</v>
      </c>
      <c r="V12" s="9">
        <v>1</v>
      </c>
      <c r="W12" s="12">
        <v>9.9733600000000005E-24</v>
      </c>
      <c r="X12" s="10">
        <f t="shared" si="8"/>
        <v>6.9588205266101859E-24</v>
      </c>
      <c r="AI12" s="9">
        <f t="shared" si="9"/>
        <v>4.7579632332111288E-3</v>
      </c>
      <c r="AJ12" s="9">
        <f t="shared" si="10"/>
        <v>2.3389547345944799E-5</v>
      </c>
    </row>
    <row r="13" spans="1:36" x14ac:dyDescent="0.25">
      <c r="A13">
        <v>583.41999999999996</v>
      </c>
      <c r="B13">
        <f t="shared" si="0"/>
        <v>6.0708258679984632E-2</v>
      </c>
      <c r="C13">
        <v>90.2</v>
      </c>
      <c r="D13">
        <v>21.6</v>
      </c>
      <c r="E13" s="1">
        <v>3.0899999999999999E-3</v>
      </c>
      <c r="F13">
        <v>1.04</v>
      </c>
      <c r="G13" s="2">
        <v>1.8E-3</v>
      </c>
      <c r="H13">
        <v>1.41</v>
      </c>
      <c r="I13">
        <v>573</v>
      </c>
      <c r="L13" s="1" t="e">
        <f t="shared" si="1"/>
        <v>#DIV/0!</v>
      </c>
      <c r="N13" t="e">
        <f t="shared" si="2"/>
        <v>#DIV/0!</v>
      </c>
      <c r="O13">
        <f t="shared" si="3"/>
        <v>3.2525233070092508E-4</v>
      </c>
      <c r="P13" t="e">
        <f t="shared" si="4"/>
        <v>#DIV/0!</v>
      </c>
      <c r="Q13" s="1" t="e">
        <f t="shared" si="5"/>
        <v>#DIV/0!</v>
      </c>
      <c r="R13" s="1" t="e">
        <f t="shared" si="6"/>
        <v>#DIV/0!</v>
      </c>
      <c r="S13" s="1" t="e">
        <f t="shared" si="7"/>
        <v>#DIV/0!</v>
      </c>
      <c r="T13">
        <v>10</v>
      </c>
      <c r="X13">
        <f t="shared" si="8"/>
        <v>0</v>
      </c>
      <c r="AI13" t="e">
        <f t="shared" si="9"/>
        <v>#DIV/0!</v>
      </c>
      <c r="AJ13" t="e">
        <f t="shared" si="10"/>
        <v>#DIV/0!</v>
      </c>
    </row>
    <row r="14" spans="1:36" x14ac:dyDescent="0.25">
      <c r="A14">
        <v>609.52</v>
      </c>
      <c r="B14">
        <f t="shared" si="0"/>
        <v>5.8499094730041216E-2</v>
      </c>
      <c r="C14">
        <v>76.599999999999994</v>
      </c>
      <c r="D14">
        <v>21.7</v>
      </c>
      <c r="E14" s="1">
        <v>2.6199999999999999E-3</v>
      </c>
      <c r="F14">
        <v>1.07</v>
      </c>
      <c r="G14" s="2">
        <v>1.8E-3</v>
      </c>
      <c r="H14">
        <v>1.04</v>
      </c>
      <c r="I14">
        <v>803</v>
      </c>
      <c r="L14" s="1" t="e">
        <f t="shared" si="1"/>
        <v>#DIV/0!</v>
      </c>
      <c r="N14" t="e">
        <f t="shared" si="2"/>
        <v>#DIV/0!</v>
      </c>
      <c r="O14">
        <f t="shared" si="3"/>
        <v>2.9973091078138445E-4</v>
      </c>
      <c r="P14" t="e">
        <f t="shared" si="4"/>
        <v>#DIV/0!</v>
      </c>
      <c r="Q14" s="1" t="e">
        <f t="shared" si="5"/>
        <v>#DIV/0!</v>
      </c>
      <c r="R14" s="1" t="e">
        <f t="shared" si="6"/>
        <v>#DIV/0!</v>
      </c>
      <c r="S14" s="1" t="e">
        <f t="shared" si="7"/>
        <v>#DIV/0!</v>
      </c>
      <c r="T14">
        <v>11</v>
      </c>
      <c r="X14">
        <f t="shared" si="8"/>
        <v>0</v>
      </c>
      <c r="AI14" t="e">
        <f t="shared" si="9"/>
        <v>#DIV/0!</v>
      </c>
      <c r="AJ14" t="e">
        <f t="shared" si="10"/>
        <v>#DIV/0!</v>
      </c>
    </row>
    <row r="15" spans="1:36" x14ac:dyDescent="0.25">
      <c r="A15">
        <v>619.24</v>
      </c>
      <c r="B15">
        <f t="shared" si="0"/>
        <v>5.7720405490392243E-2</v>
      </c>
      <c r="C15">
        <v>2353.1999999999998</v>
      </c>
      <c r="D15">
        <v>53.3</v>
      </c>
      <c r="E15" s="1">
        <v>8.0600000000000005E-2</v>
      </c>
      <c r="F15">
        <v>1.4</v>
      </c>
      <c r="G15" s="2">
        <v>2.3E-3</v>
      </c>
      <c r="H15">
        <v>1.37</v>
      </c>
      <c r="I15">
        <v>3066</v>
      </c>
      <c r="J15" t="s">
        <v>37</v>
      </c>
      <c r="K15">
        <v>127080</v>
      </c>
      <c r="L15" s="1">
        <f t="shared" si="1"/>
        <v>5.4544159628576115E-6</v>
      </c>
      <c r="M15">
        <v>0.434</v>
      </c>
      <c r="N15">
        <f t="shared" si="2"/>
        <v>3.217043144543851</v>
      </c>
      <c r="O15">
        <f t="shared" si="3"/>
        <v>1.6612942748554453E-3</v>
      </c>
      <c r="P15">
        <f t="shared" si="4"/>
        <v>6.6317396079132604E-2</v>
      </c>
      <c r="Q15" s="1">
        <f t="shared" si="5"/>
        <v>15.639490250577788</v>
      </c>
      <c r="R15" s="1">
        <f t="shared" si="6"/>
        <v>16.918562797678213</v>
      </c>
      <c r="S15" s="1">
        <f t="shared" si="7"/>
        <v>121533.38036165787</v>
      </c>
      <c r="T15">
        <v>12</v>
      </c>
      <c r="U15">
        <v>81</v>
      </c>
      <c r="V15">
        <v>0.49309999999999998</v>
      </c>
      <c r="W15" s="4">
        <v>8.1571100000000004E-24</v>
      </c>
      <c r="X15">
        <f t="shared" si="8"/>
        <v>5.691548736415532E-24</v>
      </c>
      <c r="AI15">
        <f t="shared" si="9"/>
        <v>0.10678890390801776</v>
      </c>
      <c r="AJ15">
        <f t="shared" si="10"/>
        <v>7.0819620373244454E-3</v>
      </c>
    </row>
    <row r="16" spans="1:36" x14ac:dyDescent="0.25">
      <c r="A16">
        <v>698.54</v>
      </c>
      <c r="B16">
        <f t="shared" si="0"/>
        <v>5.2119943231458438E-2</v>
      </c>
      <c r="C16">
        <v>1219.9000000000001</v>
      </c>
      <c r="D16">
        <v>40.1</v>
      </c>
      <c r="E16" s="1">
        <v>4.1799999999999997E-2</v>
      </c>
      <c r="F16">
        <v>1.4</v>
      </c>
      <c r="G16" s="2">
        <v>2E-3</v>
      </c>
      <c r="H16">
        <v>0.84</v>
      </c>
      <c r="I16">
        <v>1805</v>
      </c>
      <c r="J16" t="s">
        <v>37</v>
      </c>
      <c r="K16">
        <v>127080</v>
      </c>
      <c r="L16" s="1">
        <f t="shared" si="1"/>
        <v>5.4544159628576115E-6</v>
      </c>
      <c r="M16">
        <v>0.28489999999999999</v>
      </c>
      <c r="N16">
        <f t="shared" si="2"/>
        <v>2.8134875429769224</v>
      </c>
      <c r="O16">
        <f t="shared" si="3"/>
        <v>1.1961324269854467E-3</v>
      </c>
      <c r="P16">
        <f t="shared" si="4"/>
        <v>8.0553215465013345E-2</v>
      </c>
      <c r="Q16" s="1">
        <f t="shared" si="5"/>
        <v>13.677625391234431</v>
      </c>
      <c r="R16" s="1">
        <f t="shared" si="6"/>
        <v>14.796247217595129</v>
      </c>
      <c r="S16" s="1">
        <f t="shared" si="7"/>
        <v>106287.86632324872</v>
      </c>
      <c r="T16">
        <v>13</v>
      </c>
      <c r="U16">
        <v>81</v>
      </c>
      <c r="V16">
        <v>0.49309999999999998</v>
      </c>
      <c r="W16" s="4">
        <v>8.1571100000000004E-24</v>
      </c>
      <c r="X16">
        <f t="shared" si="8"/>
        <v>5.691548736415532E-24</v>
      </c>
      <c r="AI16">
        <f t="shared" si="9"/>
        <v>9.3392981496979152E-2</v>
      </c>
      <c r="AJ16">
        <f t="shared" si="10"/>
        <v>7.5231049614461658E-3</v>
      </c>
    </row>
    <row r="17" spans="1:36" x14ac:dyDescent="0.25">
      <c r="A17">
        <v>776.75</v>
      </c>
      <c r="B17">
        <f t="shared" si="0"/>
        <v>4.7639338146699114E-2</v>
      </c>
      <c r="C17">
        <v>3962.8</v>
      </c>
      <c r="D17">
        <v>66</v>
      </c>
      <c r="E17" s="1">
        <v>0.13600000000000001</v>
      </c>
      <c r="F17">
        <v>1.56</v>
      </c>
      <c r="G17" s="2">
        <v>2E-3</v>
      </c>
      <c r="H17">
        <v>1.1000000000000001</v>
      </c>
      <c r="I17">
        <v>4510</v>
      </c>
      <c r="J17" t="s">
        <v>37</v>
      </c>
      <c r="K17">
        <v>127080</v>
      </c>
      <c r="L17" s="1">
        <f t="shared" si="1"/>
        <v>5.4544159628576115E-6</v>
      </c>
      <c r="M17">
        <v>0.83499999999999996</v>
      </c>
      <c r="N17">
        <f t="shared" si="2"/>
        <v>3.4116707194788893</v>
      </c>
      <c r="O17">
        <f t="shared" si="3"/>
        <v>2.1558484390199538E-3</v>
      </c>
      <c r="P17">
        <f t="shared" si="4"/>
        <v>5.4195849867550334E-2</v>
      </c>
      <c r="Q17" s="1">
        <f t="shared" si="5"/>
        <v>16.585662224010157</v>
      </c>
      <c r="R17" s="1">
        <f t="shared" si="6"/>
        <v>17.942117254597118</v>
      </c>
      <c r="S17" s="1">
        <f t="shared" si="7"/>
        <v>128886.01631668513</v>
      </c>
      <c r="T17">
        <v>14</v>
      </c>
      <c r="U17">
        <v>81</v>
      </c>
      <c r="V17">
        <v>0.49309999999999998</v>
      </c>
      <c r="W17" s="4">
        <v>8.1571100000000004E-24</v>
      </c>
      <c r="X17">
        <f t="shared" si="8"/>
        <v>5.691548736415532E-24</v>
      </c>
      <c r="AI17">
        <f t="shared" si="9"/>
        <v>0.11324951524076858</v>
      </c>
      <c r="AJ17">
        <f t="shared" si="10"/>
        <v>6.1376537255615473E-3</v>
      </c>
    </row>
    <row r="18" spans="1:36" x14ac:dyDescent="0.25">
      <c r="A18">
        <v>828.02</v>
      </c>
      <c r="B18">
        <f t="shared" si="0"/>
        <v>4.5128756580843865E-2</v>
      </c>
      <c r="C18">
        <v>1208.5</v>
      </c>
      <c r="D18">
        <v>39.6</v>
      </c>
      <c r="E18" s="1">
        <v>4.1399999999999999E-2</v>
      </c>
      <c r="F18">
        <v>1.58</v>
      </c>
      <c r="G18" s="2">
        <v>1.9E-3</v>
      </c>
      <c r="H18">
        <v>1.22</v>
      </c>
      <c r="I18">
        <v>1735</v>
      </c>
      <c r="J18" t="s">
        <v>37</v>
      </c>
      <c r="K18">
        <v>127080</v>
      </c>
      <c r="L18" s="1">
        <f t="shared" si="1"/>
        <v>5.4544159628576115E-6</v>
      </c>
      <c r="M18">
        <v>0.24030000000000001</v>
      </c>
      <c r="N18">
        <f t="shared" si="2"/>
        <v>3.8164244086138592</v>
      </c>
      <c r="O18">
        <f t="shared" si="3"/>
        <v>1.1905303627238832E-3</v>
      </c>
      <c r="P18">
        <f t="shared" si="4"/>
        <v>0.10978255585971362</v>
      </c>
      <c r="Q18" s="1">
        <f t="shared" si="5"/>
        <v>18.553351524617693</v>
      </c>
      <c r="R18" s="1">
        <f t="shared" si="6"/>
        <v>20.070733626695194</v>
      </c>
      <c r="S18" s="1">
        <f t="shared" si="7"/>
        <v>144176.7916791024</v>
      </c>
      <c r="T18">
        <v>15</v>
      </c>
      <c r="U18">
        <v>81</v>
      </c>
      <c r="V18">
        <v>0.49309999999999998</v>
      </c>
      <c r="W18" s="4">
        <v>8.1571100000000004E-24</v>
      </c>
      <c r="X18">
        <f t="shared" si="8"/>
        <v>5.691548736415532E-24</v>
      </c>
      <c r="AI18">
        <f t="shared" si="9"/>
        <v>0.12668520785457674</v>
      </c>
      <c r="AJ18">
        <f t="shared" si="10"/>
        <v>1.3907825907894501E-2</v>
      </c>
    </row>
    <row r="19" spans="1:36" x14ac:dyDescent="0.25">
      <c r="A19">
        <v>889.49</v>
      </c>
      <c r="B19">
        <f t="shared" si="0"/>
        <v>4.247285566772737E-2</v>
      </c>
      <c r="C19">
        <v>175</v>
      </c>
      <c r="D19">
        <v>21.5</v>
      </c>
      <c r="E19" s="1">
        <v>5.9899999999999997E-3</v>
      </c>
      <c r="F19">
        <v>1.43</v>
      </c>
      <c r="G19" s="2">
        <v>1.6000000000000001E-3</v>
      </c>
      <c r="H19">
        <v>0.74</v>
      </c>
      <c r="I19">
        <v>652</v>
      </c>
      <c r="L19" s="1" t="e">
        <f t="shared" si="1"/>
        <v>#DIV/0!</v>
      </c>
      <c r="N19" t="e">
        <f t="shared" si="2"/>
        <v>#DIV/0!</v>
      </c>
      <c r="O19">
        <f t="shared" si="3"/>
        <v>4.5303960805900524E-4</v>
      </c>
      <c r="P19" t="e">
        <f t="shared" si="4"/>
        <v>#DIV/0!</v>
      </c>
      <c r="Q19" s="1" t="e">
        <f t="shared" si="5"/>
        <v>#DIV/0!</v>
      </c>
      <c r="R19" s="1" t="e">
        <f t="shared" si="6"/>
        <v>#DIV/0!</v>
      </c>
      <c r="S19" s="1" t="e">
        <f t="shared" si="7"/>
        <v>#DIV/0!</v>
      </c>
      <c r="T19">
        <v>16</v>
      </c>
      <c r="X19">
        <f t="shared" si="8"/>
        <v>0</v>
      </c>
      <c r="AI19" t="e">
        <f t="shared" si="9"/>
        <v>#DIV/0!</v>
      </c>
      <c r="AJ19" t="e">
        <f t="shared" si="10"/>
        <v>#DIV/0!</v>
      </c>
    </row>
    <row r="20" spans="1:36" x14ac:dyDescent="0.25">
      <c r="A20">
        <v>911.51</v>
      </c>
      <c r="B20">
        <f t="shared" si="0"/>
        <v>4.1602172498642911E-2</v>
      </c>
      <c r="C20">
        <v>94.4</v>
      </c>
      <c r="D20">
        <v>19.100000000000001</v>
      </c>
      <c r="E20" s="1">
        <v>3.2299999999999998E-3</v>
      </c>
      <c r="F20">
        <v>1.68</v>
      </c>
      <c r="G20" s="2">
        <v>1.8E-3</v>
      </c>
      <c r="H20">
        <v>0.95</v>
      </c>
      <c r="I20">
        <v>507</v>
      </c>
      <c r="L20" s="1" t="e">
        <f t="shared" si="1"/>
        <v>#DIV/0!</v>
      </c>
      <c r="N20" t="e">
        <f t="shared" si="2"/>
        <v>#DIV/0!</v>
      </c>
      <c r="O20">
        <f t="shared" si="3"/>
        <v>3.3273856990386624E-4</v>
      </c>
      <c r="P20" t="e">
        <f t="shared" si="4"/>
        <v>#DIV/0!</v>
      </c>
      <c r="Q20" s="1" t="e">
        <f t="shared" si="5"/>
        <v>#DIV/0!</v>
      </c>
      <c r="R20" s="1" t="e">
        <f t="shared" si="6"/>
        <v>#DIV/0!</v>
      </c>
      <c r="S20" s="1" t="e">
        <f t="shared" si="7"/>
        <v>#DIV/0!</v>
      </c>
      <c r="T20">
        <v>17</v>
      </c>
      <c r="X20">
        <f t="shared" si="8"/>
        <v>0</v>
      </c>
      <c r="AI20" t="e">
        <f t="shared" si="9"/>
        <v>#DIV/0!</v>
      </c>
      <c r="AJ20" t="e">
        <f t="shared" si="10"/>
        <v>#DIV/0!</v>
      </c>
    </row>
    <row r="21" spans="1:36" x14ac:dyDescent="0.25">
      <c r="A21">
        <v>969.6</v>
      </c>
      <c r="B21">
        <f t="shared" si="0"/>
        <v>3.9481169621577029E-2</v>
      </c>
      <c r="C21">
        <v>44.5</v>
      </c>
      <c r="D21">
        <v>16.2</v>
      </c>
      <c r="E21" s="1">
        <v>1.5299999999999999E-3</v>
      </c>
      <c r="F21">
        <v>1.22</v>
      </c>
      <c r="G21" s="2">
        <v>1.2999999999999999E-3</v>
      </c>
      <c r="H21">
        <v>0.96</v>
      </c>
      <c r="I21">
        <v>319</v>
      </c>
      <c r="L21" s="1" t="e">
        <f t="shared" si="1"/>
        <v>#DIV/0!</v>
      </c>
      <c r="N21" t="e">
        <f t="shared" si="2"/>
        <v>#DIV/0!</v>
      </c>
      <c r="O21">
        <f t="shared" si="3"/>
        <v>2.2845315178298518E-4</v>
      </c>
      <c r="P21" t="e">
        <f t="shared" si="4"/>
        <v>#DIV/0!</v>
      </c>
      <c r="Q21" s="1" t="e">
        <f t="shared" si="5"/>
        <v>#DIV/0!</v>
      </c>
      <c r="R21" s="1" t="e">
        <f t="shared" si="6"/>
        <v>#DIV/0!</v>
      </c>
      <c r="S21" s="1" t="e">
        <f t="shared" si="7"/>
        <v>#DIV/0!</v>
      </c>
      <c r="T21">
        <v>18</v>
      </c>
      <c r="X21">
        <f t="shared" si="8"/>
        <v>0</v>
      </c>
      <c r="AI21" t="e">
        <f t="shared" si="9"/>
        <v>#DIV/0!</v>
      </c>
      <c r="AJ21" t="e">
        <f t="shared" si="10"/>
        <v>#DIV/0!</v>
      </c>
    </row>
    <row r="22" spans="1:36" x14ac:dyDescent="0.25">
      <c r="A22">
        <v>1044.27</v>
      </c>
      <c r="B22">
        <f t="shared" si="0"/>
        <v>3.7076566143113457E-2</v>
      </c>
      <c r="C22">
        <v>1148.5</v>
      </c>
      <c r="D22">
        <v>37.299999999999997</v>
      </c>
      <c r="E22" s="1">
        <v>3.9300000000000002E-2</v>
      </c>
      <c r="F22">
        <v>1.87</v>
      </c>
      <c r="G22" s="2">
        <v>1.8E-3</v>
      </c>
      <c r="H22">
        <v>1.06</v>
      </c>
      <c r="I22">
        <v>1431</v>
      </c>
      <c r="J22" t="s">
        <v>37</v>
      </c>
      <c r="K22">
        <v>127080</v>
      </c>
      <c r="L22" s="1">
        <f t="shared" si="1"/>
        <v>5.4544159628576115E-6</v>
      </c>
      <c r="M22">
        <v>0.27229999999999999</v>
      </c>
      <c r="N22">
        <f t="shared" si="2"/>
        <v>3.8958390076709466</v>
      </c>
      <c r="O22">
        <f t="shared" si="3"/>
        <v>1.160600219371955E-3</v>
      </c>
      <c r="P22">
        <f t="shared" si="4"/>
        <v>0.11495702126484024</v>
      </c>
      <c r="Q22" s="1">
        <f t="shared" si="5"/>
        <v>18.93942152489522</v>
      </c>
      <c r="R22" s="1">
        <f t="shared" si="6"/>
        <v>20.488378283863842</v>
      </c>
      <c r="S22" s="1">
        <f t="shared" si="7"/>
        <v>147176.91453721287</v>
      </c>
      <c r="T22">
        <v>19</v>
      </c>
      <c r="U22">
        <v>81</v>
      </c>
      <c r="V22">
        <v>0.49309999999999998</v>
      </c>
      <c r="W22" s="4">
        <v>8.1571100000000004E-24</v>
      </c>
      <c r="X22">
        <f t="shared" si="8"/>
        <v>5.691548736415532E-24</v>
      </c>
      <c r="AI22">
        <f t="shared" si="9"/>
        <v>0.12932135465353536</v>
      </c>
      <c r="AJ22">
        <f t="shared" si="10"/>
        <v>1.4866397716904411E-2</v>
      </c>
    </row>
    <row r="23" spans="1:36" x14ac:dyDescent="0.25">
      <c r="A23">
        <v>1077.01</v>
      </c>
      <c r="B23">
        <f t="shared" si="0"/>
        <v>3.6119674830061427E-2</v>
      </c>
      <c r="C23">
        <v>545.70000000000005</v>
      </c>
      <c r="D23">
        <v>28.2</v>
      </c>
      <c r="E23" s="1">
        <v>1.8700000000000001E-2</v>
      </c>
      <c r="F23">
        <v>1.74</v>
      </c>
      <c r="G23" s="2">
        <v>1.6000000000000001E-3</v>
      </c>
      <c r="H23">
        <v>1.1599999999999999</v>
      </c>
      <c r="I23">
        <v>922</v>
      </c>
      <c r="J23" t="s">
        <v>40</v>
      </c>
      <c r="K23">
        <v>1609718</v>
      </c>
      <c r="L23" s="1">
        <f t="shared" si="1"/>
        <v>4.3060162125288111E-7</v>
      </c>
      <c r="M23">
        <v>0.09</v>
      </c>
      <c r="N23">
        <f t="shared" si="2"/>
        <v>5.7489000884820785</v>
      </c>
      <c r="O23">
        <f t="shared" si="3"/>
        <v>8.0000762334517543E-4</v>
      </c>
      <c r="P23">
        <f t="shared" si="4"/>
        <v>0.24609782990975657</v>
      </c>
      <c r="Q23" s="1">
        <f t="shared" si="5"/>
        <v>27.947982928935726</v>
      </c>
      <c r="R23" s="1">
        <f t="shared" si="6"/>
        <v>28.124132604575465</v>
      </c>
      <c r="S23" s="1">
        <f t="shared" si="7"/>
        <v>56.691666263207395</v>
      </c>
      <c r="T23">
        <v>20</v>
      </c>
      <c r="U23">
        <v>85</v>
      </c>
      <c r="V23">
        <v>0.72170000000000001</v>
      </c>
      <c r="W23" s="4">
        <v>6.7842300000000004E-24</v>
      </c>
      <c r="X23">
        <f t="shared" si="8"/>
        <v>4.733634299899394E-24</v>
      </c>
      <c r="AI23">
        <f t="shared" si="9"/>
        <v>5.4396421113365361E-4</v>
      </c>
      <c r="AJ23">
        <f t="shared" si="10"/>
        <v>1.3386841190856481E-4</v>
      </c>
    </row>
    <row r="24" spans="1:36" x14ac:dyDescent="0.25">
      <c r="A24">
        <v>1115.79</v>
      </c>
      <c r="B24">
        <f t="shared" si="0"/>
        <v>3.5053517168377693E-2</v>
      </c>
      <c r="C24">
        <v>296.89999999999998</v>
      </c>
      <c r="D24">
        <v>25</v>
      </c>
      <c r="E24" s="1">
        <v>1.0200000000000001E-2</v>
      </c>
      <c r="F24">
        <v>2.0299999999999998</v>
      </c>
      <c r="G24" s="2">
        <v>1.8E-3</v>
      </c>
      <c r="H24">
        <v>1.04</v>
      </c>
      <c r="I24">
        <v>679</v>
      </c>
      <c r="J24" t="s">
        <v>41</v>
      </c>
      <c r="K24">
        <f>243.75*24*3600</f>
        <v>21060000</v>
      </c>
      <c r="L24" s="1">
        <f t="shared" si="1"/>
        <v>3.2912971536559604E-8</v>
      </c>
      <c r="M24">
        <v>0.50600000000000001</v>
      </c>
      <c r="N24">
        <f t="shared" si="2"/>
        <v>0.57325153849966681</v>
      </c>
      <c r="O24">
        <f t="shared" si="3"/>
        <v>5.9009542469487487E-4</v>
      </c>
      <c r="P24">
        <f t="shared" si="4"/>
        <v>3.3269029349896194E-2</v>
      </c>
      <c r="Q24" s="1">
        <f t="shared" si="5"/>
        <v>2.7868329533284726</v>
      </c>
      <c r="R24" s="1">
        <f t="shared" si="6"/>
        <v>2.7881729193435176</v>
      </c>
      <c r="S24" s="1">
        <f t="shared" si="7"/>
        <v>2.9416401044061797</v>
      </c>
      <c r="T24">
        <v>21</v>
      </c>
      <c r="U24">
        <v>64</v>
      </c>
      <c r="V24">
        <v>0.48599999999999999</v>
      </c>
      <c r="W24" s="4">
        <v>4.7157900000000003E-24</v>
      </c>
      <c r="X24">
        <f t="shared" si="8"/>
        <v>3.2903992487168863E-24</v>
      </c>
      <c r="AI24">
        <f t="shared" si="9"/>
        <v>5.9398680808673936E-4</v>
      </c>
      <c r="AJ24">
        <f t="shared" si="10"/>
        <v>1.9761364551688891E-5</v>
      </c>
    </row>
    <row r="25" spans="1:36" x14ac:dyDescent="0.25">
      <c r="A25">
        <v>1120.79</v>
      </c>
      <c r="B25">
        <f t="shared" si="0"/>
        <v>3.4921019202269317E-2</v>
      </c>
      <c r="C25">
        <v>196.3</v>
      </c>
      <c r="D25">
        <v>21.9</v>
      </c>
      <c r="E25" s="1">
        <v>6.7200000000000003E-3</v>
      </c>
      <c r="F25">
        <v>1.87</v>
      </c>
      <c r="G25" s="2">
        <v>1.6999999999999999E-3</v>
      </c>
      <c r="H25">
        <v>1.17</v>
      </c>
      <c r="I25">
        <v>524</v>
      </c>
      <c r="L25" s="1" t="e">
        <f t="shared" si="1"/>
        <v>#DIV/0!</v>
      </c>
      <c r="N25" t="e">
        <f t="shared" si="2"/>
        <v>#DIV/0!</v>
      </c>
      <c r="O25">
        <f t="shared" si="3"/>
        <v>4.7981884208885971E-4</v>
      </c>
      <c r="P25" t="e">
        <f t="shared" si="4"/>
        <v>#DIV/0!</v>
      </c>
      <c r="Q25" s="1" t="e">
        <f t="shared" si="5"/>
        <v>#DIV/0!</v>
      </c>
      <c r="R25" s="1" t="e">
        <f t="shared" si="6"/>
        <v>#DIV/0!</v>
      </c>
      <c r="S25" s="1" t="e">
        <f t="shared" si="7"/>
        <v>#DIV/0!</v>
      </c>
      <c r="T25">
        <v>22</v>
      </c>
      <c r="X25">
        <f t="shared" si="8"/>
        <v>0</v>
      </c>
      <c r="AI25" t="e">
        <f t="shared" si="9"/>
        <v>#DIV/0!</v>
      </c>
      <c r="AJ25" t="e">
        <f t="shared" si="10"/>
        <v>#DIV/0!</v>
      </c>
    </row>
    <row r="26" spans="1:36" x14ac:dyDescent="0.25">
      <c r="A26">
        <v>1173.5999999999999</v>
      </c>
      <c r="B26">
        <f t="shared" si="0"/>
        <v>3.3585392077900143E-2</v>
      </c>
      <c r="C26">
        <v>395.8</v>
      </c>
      <c r="D26">
        <v>24.3</v>
      </c>
      <c r="E26" s="1">
        <v>1.3599999999999999E-2</v>
      </c>
      <c r="F26">
        <v>1.86</v>
      </c>
      <c r="G26" s="2">
        <v>1.6000000000000001E-3</v>
      </c>
      <c r="H26">
        <v>0.74</v>
      </c>
      <c r="I26">
        <v>690</v>
      </c>
      <c r="J26" t="s">
        <v>42</v>
      </c>
      <c r="K26" s="1">
        <v>170000000</v>
      </c>
      <c r="L26" s="1">
        <f t="shared" si="1"/>
        <v>4.0773363562349719E-9</v>
      </c>
      <c r="M26">
        <v>0.99970000000000003</v>
      </c>
      <c r="N26">
        <f t="shared" si="2"/>
        <v>0.40371308299014041</v>
      </c>
      <c r="O26">
        <f t="shared" si="3"/>
        <v>6.8132612734254298E-4</v>
      </c>
      <c r="P26">
        <f t="shared" si="4"/>
        <v>2.0292470754478972E-2</v>
      </c>
      <c r="Q26" s="1">
        <f t="shared" si="5"/>
        <v>1.9626304472053497</v>
      </c>
      <c r="R26" s="1">
        <f t="shared" si="6"/>
        <v>1.9627473351862632</v>
      </c>
      <c r="S26" s="1">
        <f t="shared" si="7"/>
        <v>1.9758188210196532</v>
      </c>
      <c r="T26">
        <v>23</v>
      </c>
      <c r="U26">
        <v>59</v>
      </c>
      <c r="V26">
        <v>1</v>
      </c>
      <c r="W26" s="4">
        <v>4.3258399999999999E-23</v>
      </c>
      <c r="X26">
        <f t="shared" si="8"/>
        <v>3.0183152104036553E-23</v>
      </c>
      <c r="AI26">
        <f t="shared" si="9"/>
        <v>1.5729584346672643E-4</v>
      </c>
      <c r="AJ26">
        <f t="shared" si="10"/>
        <v>3.1919213033496482E-6</v>
      </c>
    </row>
    <row r="27" spans="1:36" x14ac:dyDescent="0.25">
      <c r="A27">
        <v>1252.76</v>
      </c>
      <c r="B27">
        <f t="shared" si="0"/>
        <v>3.1778972799352635E-2</v>
      </c>
      <c r="C27">
        <v>103.5</v>
      </c>
      <c r="D27">
        <v>15.9</v>
      </c>
      <c r="E27" s="1">
        <v>3.5400000000000002E-3</v>
      </c>
      <c r="F27">
        <v>1.64</v>
      </c>
      <c r="G27" s="2">
        <v>1.2999999999999999E-3</v>
      </c>
      <c r="H27">
        <v>0.91</v>
      </c>
      <c r="I27">
        <v>358</v>
      </c>
      <c r="L27" s="1" t="e">
        <f t="shared" si="1"/>
        <v>#DIV/0!</v>
      </c>
      <c r="N27" t="e">
        <f t="shared" si="2"/>
        <v>#DIV/0!</v>
      </c>
      <c r="O27">
        <f t="shared" si="3"/>
        <v>3.4840736214684595E-4</v>
      </c>
      <c r="P27" t="e">
        <f t="shared" si="4"/>
        <v>#DIV/0!</v>
      </c>
      <c r="Q27" s="1" t="e">
        <f t="shared" si="5"/>
        <v>#DIV/0!</v>
      </c>
      <c r="R27" s="1" t="e">
        <f t="shared" si="6"/>
        <v>#DIV/0!</v>
      </c>
      <c r="S27" s="1" t="e">
        <f t="shared" si="7"/>
        <v>#DIV/0!</v>
      </c>
      <c r="T27">
        <v>24</v>
      </c>
      <c r="X27">
        <f t="shared" si="8"/>
        <v>0</v>
      </c>
      <c r="AI27" t="e">
        <f t="shared" si="9"/>
        <v>#DIV/0!</v>
      </c>
      <c r="AJ27" t="e">
        <f t="shared" si="10"/>
        <v>#DIV/0!</v>
      </c>
    </row>
    <row r="28" spans="1:36" x14ac:dyDescent="0.25">
      <c r="A28">
        <v>1297.31</v>
      </c>
      <c r="B28">
        <f t="shared" si="0"/>
        <v>3.0852181560588575E-2</v>
      </c>
      <c r="C28">
        <v>157.9</v>
      </c>
      <c r="D28">
        <v>18</v>
      </c>
      <c r="E28" s="1">
        <v>5.4099999999999999E-3</v>
      </c>
      <c r="F28">
        <v>2.0499999999999998</v>
      </c>
      <c r="G28" s="2">
        <v>1.6000000000000001E-3</v>
      </c>
      <c r="H28">
        <v>0.8</v>
      </c>
      <c r="I28">
        <v>380</v>
      </c>
      <c r="J28" t="s">
        <v>49</v>
      </c>
      <c r="K28">
        <v>391910.40000000002</v>
      </c>
      <c r="L28" s="1">
        <f t="shared" si="1"/>
        <v>1.7686368633237221E-6</v>
      </c>
      <c r="M28">
        <v>0.71</v>
      </c>
      <c r="N28">
        <f t="shared" si="2"/>
        <v>0.24686245939382617</v>
      </c>
      <c r="O28">
        <f t="shared" si="3"/>
        <v>4.3033652993013067E-4</v>
      </c>
      <c r="P28">
        <f t="shared" si="4"/>
        <v>1.9645540703294891E-2</v>
      </c>
      <c r="Q28" s="1">
        <f t="shared" si="5"/>
        <v>1.2001091851911823</v>
      </c>
      <c r="R28" s="1">
        <f t="shared" si="6"/>
        <v>1.2313792813005586</v>
      </c>
      <c r="S28" s="1">
        <f t="shared" si="7"/>
        <v>21.919849487093973</v>
      </c>
      <c r="T28">
        <v>25</v>
      </c>
      <c r="U28">
        <v>46</v>
      </c>
      <c r="V28">
        <v>4.0000000000000003E-5</v>
      </c>
      <c r="W28" s="4">
        <v>3.6853499999999998E-24</v>
      </c>
      <c r="X28">
        <f t="shared" si="8"/>
        <v>2.5714191834790725E-24</v>
      </c>
      <c r="AI28">
        <f t="shared" si="9"/>
        <v>0.92041376431505051</v>
      </c>
      <c r="AJ28">
        <f t="shared" si="10"/>
        <v>1.8082026070724195E-2</v>
      </c>
    </row>
    <row r="29" spans="1:36" x14ac:dyDescent="0.25">
      <c r="A29">
        <v>1317.73</v>
      </c>
      <c r="B29">
        <f t="shared" si="0"/>
        <v>3.0446751244523347E-2</v>
      </c>
      <c r="C29">
        <v>1066.0999999999999</v>
      </c>
      <c r="D29">
        <v>35.1</v>
      </c>
      <c r="E29" s="1">
        <v>3.6499999999999998E-2</v>
      </c>
      <c r="F29">
        <v>2.0299999999999998</v>
      </c>
      <c r="G29" s="2">
        <v>1.5E-3</v>
      </c>
      <c r="H29">
        <v>0.86</v>
      </c>
      <c r="I29">
        <v>1309</v>
      </c>
      <c r="J29" t="s">
        <v>37</v>
      </c>
      <c r="K29">
        <v>127080</v>
      </c>
      <c r="L29" s="1">
        <f t="shared" si="1"/>
        <v>5.4544159628576115E-6</v>
      </c>
      <c r="M29">
        <v>0.26479999999999998</v>
      </c>
      <c r="N29">
        <f t="shared" si="2"/>
        <v>4.528518561371019</v>
      </c>
      <c r="O29">
        <f t="shared" si="3"/>
        <v>1.1181913290563498E-3</v>
      </c>
      <c r="P29">
        <f t="shared" si="4"/>
        <v>0.13869384252212516</v>
      </c>
      <c r="Q29" s="1">
        <f t="shared" si="5"/>
        <v>22.01516072615955</v>
      </c>
      <c r="R29" s="1">
        <f t="shared" si="6"/>
        <v>23.815666193643942</v>
      </c>
      <c r="S29" s="1">
        <f t="shared" si="7"/>
        <v>171078.26785828482</v>
      </c>
      <c r="T29">
        <v>26</v>
      </c>
      <c r="U29">
        <v>81</v>
      </c>
      <c r="V29">
        <v>0.49309999999999998</v>
      </c>
      <c r="W29" s="4">
        <v>8.1571100000000004E-24</v>
      </c>
      <c r="X29">
        <f t="shared" si="8"/>
        <v>5.691548736415532E-24</v>
      </c>
      <c r="AI29">
        <f t="shared" si="9"/>
        <v>0.15032298659597065</v>
      </c>
      <c r="AJ29">
        <f t="shared" si="10"/>
        <v>2.0848872630397086E-2</v>
      </c>
    </row>
    <row r="30" spans="1:36" x14ac:dyDescent="0.25">
      <c r="A30">
        <v>1331.53</v>
      </c>
      <c r="B30">
        <f t="shared" si="0"/>
        <v>3.0179267083268266E-2</v>
      </c>
      <c r="C30">
        <v>377.4</v>
      </c>
      <c r="D30">
        <v>23.4</v>
      </c>
      <c r="E30" s="1">
        <v>1.29E-2</v>
      </c>
      <c r="F30">
        <v>2.88</v>
      </c>
      <c r="G30" s="2">
        <v>2.2000000000000001E-3</v>
      </c>
      <c r="H30">
        <v>0.99</v>
      </c>
      <c r="I30">
        <v>619</v>
      </c>
      <c r="J30" t="s">
        <v>42</v>
      </c>
      <c r="K30" s="1">
        <v>170000000</v>
      </c>
      <c r="L30" s="1">
        <f t="shared" si="1"/>
        <v>4.0773363562349719E-9</v>
      </c>
      <c r="M30">
        <v>0.99990000000000001</v>
      </c>
      <c r="N30">
        <f t="shared" si="2"/>
        <v>0.42830563424867912</v>
      </c>
      <c r="O30">
        <f t="shared" si="3"/>
        <v>6.6530087781555122E-4</v>
      </c>
      <c r="P30">
        <f t="shared" si="4"/>
        <v>2.204716942665232E-2</v>
      </c>
      <c r="Q30" s="1">
        <f t="shared" si="5"/>
        <v>2.0821858738389847</v>
      </c>
      <c r="R30" s="1">
        <f t="shared" si="6"/>
        <v>2.0823098821580373</v>
      </c>
      <c r="S30" s="1">
        <f t="shared" si="7"/>
        <v>2.0961776294922982</v>
      </c>
      <c r="T30">
        <v>27</v>
      </c>
      <c r="U30">
        <v>59</v>
      </c>
      <c r="V30">
        <v>1</v>
      </c>
      <c r="W30" s="4">
        <v>4.3258399999999999E-23</v>
      </c>
      <c r="X30">
        <f t="shared" si="8"/>
        <v>3.0183152104036553E-23</v>
      </c>
      <c r="AI30">
        <f t="shared" si="9"/>
        <v>1.6687766346760321E-4</v>
      </c>
      <c r="AJ30">
        <f t="shared" si="10"/>
        <v>3.6791801199941163E-6</v>
      </c>
    </row>
    <row r="31" spans="1:36" x14ac:dyDescent="0.25">
      <c r="A31">
        <v>1395.72</v>
      </c>
      <c r="B31">
        <f t="shared" si="0"/>
        <v>2.8999451685865658E-2</v>
      </c>
      <c r="C31">
        <v>85</v>
      </c>
      <c r="D31">
        <v>13.9</v>
      </c>
      <c r="E31" s="1">
        <v>2.9099999999999998E-3</v>
      </c>
      <c r="F31">
        <v>1.88</v>
      </c>
      <c r="G31" s="2">
        <v>1.4E-3</v>
      </c>
      <c r="H31">
        <v>1.1000000000000001</v>
      </c>
      <c r="I31">
        <v>247</v>
      </c>
      <c r="K31">
        <v>93121</v>
      </c>
      <c r="L31" s="1">
        <f t="shared" si="1"/>
        <v>7.4435109219182067E-6</v>
      </c>
      <c r="N31" t="e">
        <f t="shared" si="2"/>
        <v>#DIV/0!</v>
      </c>
      <c r="O31">
        <f t="shared" si="3"/>
        <v>3.1573782387989341E-4</v>
      </c>
      <c r="P31" t="e">
        <f t="shared" si="4"/>
        <v>#DIV/0!</v>
      </c>
      <c r="Q31" s="1" t="e">
        <f t="shared" si="5"/>
        <v>#DIV/0!</v>
      </c>
      <c r="R31" s="1" t="e">
        <f t="shared" si="6"/>
        <v>#DIV/0!</v>
      </c>
      <c r="S31" s="1" t="e">
        <f t="shared" si="7"/>
        <v>#DIV/0!</v>
      </c>
      <c r="T31">
        <v>28</v>
      </c>
      <c r="U31">
        <v>75</v>
      </c>
      <c r="V31">
        <v>1</v>
      </c>
      <c r="W31" s="4">
        <v>9.9733600000000005E-24</v>
      </c>
      <c r="X31">
        <f t="shared" si="8"/>
        <v>6.9588205266101859E-24</v>
      </c>
      <c r="AI31" t="e">
        <f t="shared" si="9"/>
        <v>#DIV/0!</v>
      </c>
      <c r="AJ31" t="e">
        <f t="shared" si="10"/>
        <v>#DIV/0!</v>
      </c>
    </row>
    <row r="32" spans="1:36" x14ac:dyDescent="0.25">
      <c r="A32">
        <v>1461.1</v>
      </c>
      <c r="B32">
        <f t="shared" si="0"/>
        <v>2.7896520539720419E-2</v>
      </c>
      <c r="C32">
        <v>289.8</v>
      </c>
      <c r="D32">
        <v>20</v>
      </c>
      <c r="E32" s="1">
        <v>9.92E-3</v>
      </c>
      <c r="F32">
        <v>2.08</v>
      </c>
      <c r="G32" s="2">
        <v>1.4E-3</v>
      </c>
      <c r="H32">
        <v>0.81</v>
      </c>
      <c r="I32">
        <v>460</v>
      </c>
      <c r="J32" t="s">
        <v>44</v>
      </c>
      <c r="K32" s="1">
        <v>4.04E+16</v>
      </c>
      <c r="L32" s="1">
        <f t="shared" si="1"/>
        <v>1.7157108429701615E-17</v>
      </c>
      <c r="M32">
        <v>0.11</v>
      </c>
      <c r="N32">
        <f t="shared" si="2"/>
        <v>3.234244187327092</v>
      </c>
      <c r="O32">
        <f t="shared" si="3"/>
        <v>5.8299702571689479E-4</v>
      </c>
      <c r="P32">
        <f t="shared" si="4"/>
        <v>0.18998688218182339</v>
      </c>
      <c r="Q32" s="1">
        <f t="shared" si="5"/>
        <v>15.723112237856549</v>
      </c>
      <c r="R32" s="1">
        <f t="shared" si="6"/>
        <v>15.721384331764868</v>
      </c>
      <c r="S32" s="1">
        <f t="shared" si="7"/>
        <v>15.721384332203982</v>
      </c>
      <c r="T32">
        <v>29</v>
      </c>
      <c r="X32">
        <f t="shared" si="8"/>
        <v>0</v>
      </c>
      <c r="AI32" t="e">
        <f t="shared" si="9"/>
        <v>#DIV/0!</v>
      </c>
      <c r="AJ32" t="e">
        <f t="shared" si="10"/>
        <v>#DIV/0!</v>
      </c>
    </row>
    <row r="33" spans="1:36" x14ac:dyDescent="0.25">
      <c r="A33">
        <v>1475.2</v>
      </c>
      <c r="B33">
        <f t="shared" si="0"/>
        <v>2.7670514385904801E-2</v>
      </c>
      <c r="C33">
        <v>588.1</v>
      </c>
      <c r="D33">
        <v>26.4</v>
      </c>
      <c r="E33" s="1">
        <v>2.01E-2</v>
      </c>
      <c r="F33">
        <v>2.0099999999999998</v>
      </c>
      <c r="G33" s="2">
        <v>1.4E-3</v>
      </c>
      <c r="H33">
        <v>0.76</v>
      </c>
      <c r="I33">
        <v>754</v>
      </c>
      <c r="J33" t="s">
        <v>37</v>
      </c>
      <c r="K33">
        <v>127080</v>
      </c>
      <c r="L33" s="1">
        <f t="shared" si="1"/>
        <v>5.4544159628576115E-6</v>
      </c>
      <c r="M33">
        <v>0.16320000000000001</v>
      </c>
      <c r="N33">
        <f t="shared" si="2"/>
        <v>4.4599597663606119</v>
      </c>
      <c r="O33">
        <f t="shared" si="3"/>
        <v>8.305059309435018E-4</v>
      </c>
      <c r="P33">
        <f t="shared" si="4"/>
        <v>0.18391000289367621</v>
      </c>
      <c r="Q33" s="1">
        <f t="shared" si="5"/>
        <v>21.681865660479396</v>
      </c>
      <c r="R33" s="1">
        <f t="shared" si="6"/>
        <v>23.455112658425129</v>
      </c>
      <c r="S33" s="1">
        <f t="shared" si="7"/>
        <v>168488.25531049902</v>
      </c>
      <c r="T33">
        <v>30</v>
      </c>
      <c r="U33">
        <v>81</v>
      </c>
      <c r="V33">
        <v>0.49309999999999998</v>
      </c>
      <c r="W33" s="4">
        <v>8.1571100000000004E-24</v>
      </c>
      <c r="X33">
        <f t="shared" si="8"/>
        <v>5.691548736415532E-24</v>
      </c>
      <c r="AI33">
        <f t="shared" si="9"/>
        <v>0.14804719536673802</v>
      </c>
      <c r="AJ33">
        <f t="shared" si="10"/>
        <v>2.7227360128297438E-2</v>
      </c>
    </row>
    <row r="34" spans="1:36" x14ac:dyDescent="0.25">
      <c r="A34" t="s">
        <v>52</v>
      </c>
      <c r="B34" t="e">
        <f t="shared" si="0"/>
        <v>#VALUE!</v>
      </c>
      <c r="C34" t="s">
        <v>53</v>
      </c>
      <c r="D34" t="s">
        <v>54</v>
      </c>
      <c r="E34" t="s">
        <v>55</v>
      </c>
      <c r="F34" t="s">
        <v>56</v>
      </c>
      <c r="G34" t="s">
        <v>57</v>
      </c>
      <c r="H34" t="s">
        <v>57</v>
      </c>
      <c r="I34">
        <v>156</v>
      </c>
      <c r="L34" s="1" t="e">
        <f t="shared" si="1"/>
        <v>#DIV/0!</v>
      </c>
      <c r="N34" t="e">
        <f t="shared" si="2"/>
        <v>#VALUE!</v>
      </c>
      <c r="O34" t="e">
        <f t="shared" si="3"/>
        <v>#VALUE!</v>
      </c>
      <c r="P34" t="e">
        <f t="shared" si="4"/>
        <v>#VALUE!</v>
      </c>
      <c r="Q34" s="1" t="e">
        <f t="shared" si="5"/>
        <v>#VALUE!</v>
      </c>
      <c r="R34" s="1" t="e">
        <f t="shared" si="6"/>
        <v>#VALUE!</v>
      </c>
      <c r="S34" s="1" t="e">
        <f t="shared" si="7"/>
        <v>#VALUE!</v>
      </c>
      <c r="T34">
        <v>31</v>
      </c>
      <c r="X34">
        <f t="shared" si="8"/>
        <v>0</v>
      </c>
      <c r="AI34" t="e">
        <f t="shared" si="9"/>
        <v>#VALUE!</v>
      </c>
      <c r="AJ34" t="e">
        <f t="shared" si="10"/>
        <v>#VALUE!</v>
      </c>
    </row>
    <row r="35" spans="1:36" x14ac:dyDescent="0.25">
      <c r="A35">
        <v>1764.76</v>
      </c>
      <c r="B35">
        <f t="shared" si="0"/>
        <v>2.3773394721535487E-2</v>
      </c>
      <c r="C35">
        <v>63</v>
      </c>
      <c r="D35">
        <v>10.5</v>
      </c>
      <c r="E35" s="1">
        <v>2.16E-3</v>
      </c>
      <c r="F35">
        <v>1.91</v>
      </c>
      <c r="G35" s="2">
        <v>1.1000000000000001E-3</v>
      </c>
      <c r="H35">
        <v>0.84</v>
      </c>
      <c r="I35">
        <v>132</v>
      </c>
      <c r="L35" s="1" t="e">
        <f t="shared" si="1"/>
        <v>#DIV/0!</v>
      </c>
      <c r="N35" t="e">
        <f t="shared" si="2"/>
        <v>#DIV/0!</v>
      </c>
      <c r="O35">
        <f t="shared" si="3"/>
        <v>2.7182376483540316E-4</v>
      </c>
      <c r="P35" t="e">
        <f t="shared" si="4"/>
        <v>#DIV/0!</v>
      </c>
      <c r="Q35" s="1" t="e">
        <f t="shared" si="5"/>
        <v>#DIV/0!</v>
      </c>
      <c r="R35" s="1" t="e">
        <f t="shared" si="6"/>
        <v>#DIV/0!</v>
      </c>
      <c r="S35" s="1" t="e">
        <f t="shared" si="7"/>
        <v>#DIV/0!</v>
      </c>
      <c r="T35">
        <v>32</v>
      </c>
      <c r="X35">
        <f t="shared" si="8"/>
        <v>0</v>
      </c>
      <c r="AI35" t="e">
        <f t="shared" si="9"/>
        <v>#DIV/0!</v>
      </c>
      <c r="AJ35" t="e">
        <f t="shared" si="10"/>
        <v>#DIV/0!</v>
      </c>
    </row>
    <row r="36" spans="1:36" x14ac:dyDescent="0.25">
      <c r="A36">
        <v>1820.99</v>
      </c>
      <c r="B36">
        <f t="shared" si="0"/>
        <v>2.3150130525003948E-2</v>
      </c>
      <c r="C36">
        <v>85.7</v>
      </c>
      <c r="D36">
        <v>11.9</v>
      </c>
      <c r="E36" s="1">
        <v>2.9299999999999999E-3</v>
      </c>
      <c r="F36">
        <v>2.16</v>
      </c>
      <c r="G36" s="2">
        <v>1.1999999999999999E-3</v>
      </c>
      <c r="H36">
        <v>1</v>
      </c>
      <c r="I36">
        <v>173</v>
      </c>
      <c r="L36" s="1" t="e">
        <f t="shared" si="1"/>
        <v>#DIV/0!</v>
      </c>
      <c r="N36" t="e">
        <f t="shared" si="2"/>
        <v>#DIV/0!</v>
      </c>
      <c r="O36">
        <f t="shared" si="3"/>
        <v>3.1703525509679776E-4</v>
      </c>
      <c r="P36" t="e">
        <f t="shared" si="4"/>
        <v>#DIV/0!</v>
      </c>
      <c r="Q36" s="1" t="e">
        <f t="shared" si="5"/>
        <v>#DIV/0!</v>
      </c>
      <c r="R36" s="1" t="e">
        <f t="shared" si="6"/>
        <v>#DIV/0!</v>
      </c>
      <c r="S36" s="1" t="e">
        <f t="shared" si="7"/>
        <v>#DIV/0!</v>
      </c>
      <c r="T36">
        <v>33</v>
      </c>
      <c r="X36">
        <f t="shared" si="8"/>
        <v>0</v>
      </c>
      <c r="AI36" t="e">
        <f t="shared" si="9"/>
        <v>#DIV/0!</v>
      </c>
      <c r="AJ36" t="e">
        <f t="shared" si="10"/>
        <v>#DIV/0!</v>
      </c>
    </row>
    <row r="37" spans="1:36" x14ac:dyDescent="0.25">
      <c r="A37">
        <v>1872.07</v>
      </c>
      <c r="B37">
        <f t="shared" si="0"/>
        <v>2.2613987257720656E-2</v>
      </c>
      <c r="C37">
        <v>174.3</v>
      </c>
      <c r="D37">
        <v>15.1</v>
      </c>
      <c r="E37" s="1">
        <v>5.9699999999999996E-3</v>
      </c>
      <c r="F37">
        <v>2.19</v>
      </c>
      <c r="G37" s="2">
        <v>1.1999999999999999E-3</v>
      </c>
      <c r="H37">
        <v>1</v>
      </c>
      <c r="I37">
        <v>257</v>
      </c>
      <c r="J37" t="s">
        <v>37</v>
      </c>
      <c r="K37">
        <v>127080</v>
      </c>
      <c r="L37" s="1">
        <f t="shared" si="1"/>
        <v>5.4544159628576115E-6</v>
      </c>
      <c r="M37">
        <v>2.5000000000000001E-4</v>
      </c>
      <c r="N37">
        <f t="shared" si="2"/>
        <v>1055.8382321815168</v>
      </c>
      <c r="O37">
        <f t="shared" si="3"/>
        <v>4.5213262094696957E-4</v>
      </c>
      <c r="P37">
        <f t="shared" si="4"/>
        <v>79.973976423393751</v>
      </c>
      <c r="Q37" s="1">
        <f t="shared" si="5"/>
        <v>5132.9034136194305</v>
      </c>
      <c r="R37" s="1">
        <f t="shared" si="6"/>
        <v>5552.6968811869629</v>
      </c>
      <c r="S37" s="1">
        <f t="shared" si="7"/>
        <v>39887431.938775361</v>
      </c>
      <c r="T37">
        <v>34</v>
      </c>
      <c r="U37">
        <v>81</v>
      </c>
      <c r="V37">
        <v>0.49309999999999998</v>
      </c>
      <c r="W37" s="4">
        <v>8.1571100000000004E-24</v>
      </c>
      <c r="X37">
        <f t="shared" si="8"/>
        <v>5.691548736415532E-24</v>
      </c>
      <c r="AI37">
        <f t="shared" si="9"/>
        <v>35.048273353147898</v>
      </c>
      <c r="AJ37">
        <f t="shared" si="10"/>
        <v>2802.9497868253093</v>
      </c>
    </row>
    <row r="38" spans="1:36" x14ac:dyDescent="0.25">
      <c r="A38">
        <v>2094.09</v>
      </c>
      <c r="B38">
        <f t="shared" si="0"/>
        <v>2.0566050250896094E-2</v>
      </c>
      <c r="C38">
        <v>111.6</v>
      </c>
      <c r="D38">
        <v>12.5</v>
      </c>
      <c r="E38" s="1">
        <v>3.82E-3</v>
      </c>
      <c r="F38">
        <v>2.31</v>
      </c>
      <c r="G38" s="2">
        <v>1.1000000000000001E-3</v>
      </c>
      <c r="H38">
        <v>1.01</v>
      </c>
      <c r="I38">
        <v>177</v>
      </c>
      <c r="K38">
        <v>93121</v>
      </c>
      <c r="L38" s="1">
        <f t="shared" si="1"/>
        <v>7.4435109219182067E-6</v>
      </c>
      <c r="M38">
        <v>5.5E-2</v>
      </c>
      <c r="N38">
        <f t="shared" si="2"/>
        <v>3.3788410437179777</v>
      </c>
      <c r="O38">
        <f t="shared" si="3"/>
        <v>3.6178390811628103E-4</v>
      </c>
      <c r="P38">
        <f t="shared" si="4"/>
        <v>0.31984212613655494</v>
      </c>
      <c r="Q38" s="1">
        <f t="shared" si="5"/>
        <v>16.426062439076215</v>
      </c>
      <c r="R38" s="1">
        <f t="shared" si="6"/>
        <v>18.276636060345048</v>
      </c>
      <c r="S38" s="1">
        <f t="shared" si="7"/>
        <v>3346111.428591548</v>
      </c>
      <c r="T38">
        <v>35</v>
      </c>
      <c r="U38">
        <v>75</v>
      </c>
      <c r="V38">
        <v>1</v>
      </c>
      <c r="W38" s="4">
        <v>9.9733600000000005E-24</v>
      </c>
      <c r="X38">
        <f t="shared" si="8"/>
        <v>6.9588205266101859E-24</v>
      </c>
      <c r="AI38">
        <f t="shared" si="9"/>
        <v>0.80453963789087457</v>
      </c>
      <c r="AJ38">
        <f t="shared" si="10"/>
        <v>0.25732566834415133</v>
      </c>
    </row>
    <row r="39" spans="1:36" x14ac:dyDescent="0.25">
      <c r="A39">
        <v>2614.69</v>
      </c>
      <c r="B39">
        <f t="shared" si="0"/>
        <v>1.7040370518474249E-2</v>
      </c>
      <c r="C39">
        <v>154.30000000000001</v>
      </c>
      <c r="D39">
        <v>13.4</v>
      </c>
      <c r="E39" s="1">
        <v>5.28E-3</v>
      </c>
      <c r="F39">
        <v>2.88</v>
      </c>
      <c r="G39" s="2">
        <v>1.1000000000000001E-3</v>
      </c>
      <c r="H39">
        <v>0.71</v>
      </c>
      <c r="I39">
        <v>190</v>
      </c>
      <c r="L39" s="1" t="e">
        <f t="shared" si="1"/>
        <v>#DIV/0!</v>
      </c>
      <c r="N39" t="e">
        <f t="shared" si="2"/>
        <v>#DIV/0!</v>
      </c>
      <c r="O39">
        <f t="shared" si="3"/>
        <v>4.2540257224261399E-4</v>
      </c>
      <c r="P39" t="e">
        <f t="shared" si="4"/>
        <v>#DIV/0!</v>
      </c>
      <c r="Q39" s="1" t="e">
        <f t="shared" si="5"/>
        <v>#DIV/0!</v>
      </c>
      <c r="R39" s="1" t="e">
        <f t="shared" si="6"/>
        <v>#DIV/0!</v>
      </c>
      <c r="S39" s="1" t="e">
        <f t="shared" si="7"/>
        <v>#DIV/0!</v>
      </c>
      <c r="T39">
        <v>36</v>
      </c>
      <c r="X39">
        <f t="shared" si="8"/>
        <v>0</v>
      </c>
      <c r="AI39" t="e">
        <f t="shared" si="9"/>
        <v>#DIV/0!</v>
      </c>
      <c r="AJ39" t="e">
        <f t="shared" si="10"/>
        <v>#DIV/0!</v>
      </c>
    </row>
    <row r="40" spans="1:36" s="9" customFormat="1" x14ac:dyDescent="0.25">
      <c r="A40" s="9">
        <v>2751.88</v>
      </c>
      <c r="B40" s="9">
        <f t="shared" si="0"/>
        <v>1.631803154780857E-2</v>
      </c>
      <c r="C40" s="9">
        <f>SQRT(38)</f>
        <v>6.164414002968976</v>
      </c>
      <c r="J40" s="9" t="s">
        <v>43</v>
      </c>
      <c r="K40" s="9">
        <v>52524</v>
      </c>
      <c r="L40" s="10">
        <f t="shared" si="1"/>
        <v>1.3196770629806284E-5</v>
      </c>
      <c r="M40" s="9">
        <v>0.99944</v>
      </c>
      <c r="N40" s="9">
        <f t="shared" si="2"/>
        <v>1.2944475309757602E-2</v>
      </c>
      <c r="O40" s="9">
        <f t="shared" si="3"/>
        <v>8.5028212198574941E-5</v>
      </c>
      <c r="P40" s="9">
        <f t="shared" si="4"/>
        <v>5.2136101359982626E-3</v>
      </c>
      <c r="Q40" s="10">
        <f t="shared" si="5"/>
        <v>6.2928902818461849E-2</v>
      </c>
      <c r="R40" s="10">
        <f t="shared" si="6"/>
        <v>7.5836461249687875E-2</v>
      </c>
      <c r="S40" s="10">
        <f t="shared" si="7"/>
        <v>162233344.38275415</v>
      </c>
      <c r="U40" s="9">
        <v>23</v>
      </c>
      <c r="V40" s="9">
        <v>1</v>
      </c>
      <c r="W40" s="12">
        <v>5.83825E-24</v>
      </c>
      <c r="X40" s="9">
        <f t="shared" si="8"/>
        <v>4.0735854255217812E-24</v>
      </c>
      <c r="AI40" s="9">
        <f t="shared" si="9"/>
        <v>11.526108657781048</v>
      </c>
      <c r="AJ40" s="9">
        <f t="shared" si="10"/>
        <v>6.0092636926824601E-2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topLeftCell="Q26" workbookViewId="0">
      <selection activeCell="AH46" sqref="AH46"/>
    </sheetView>
  </sheetViews>
  <sheetFormatPr defaultRowHeight="15" x14ac:dyDescent="0.25"/>
  <sheetData>
    <row r="1" spans="1:35" x14ac:dyDescent="0.25">
      <c r="A1" t="s">
        <v>0</v>
      </c>
      <c r="B1" t="s">
        <v>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93</v>
      </c>
      <c r="O1" t="s">
        <v>95</v>
      </c>
      <c r="P1" t="s">
        <v>102</v>
      </c>
      <c r="Q1" t="s">
        <v>12</v>
      </c>
      <c r="R1" t="s">
        <v>86</v>
      </c>
      <c r="S1" t="s">
        <v>13</v>
      </c>
      <c r="T1" t="s">
        <v>14</v>
      </c>
      <c r="U1" t="s">
        <v>74</v>
      </c>
      <c r="V1" t="s">
        <v>75</v>
      </c>
      <c r="W1" t="s">
        <v>91</v>
      </c>
      <c r="X1" t="s">
        <v>77</v>
      </c>
      <c r="Y1" t="s">
        <v>58</v>
      </c>
      <c r="Z1" t="s">
        <v>16</v>
      </c>
      <c r="AA1" t="s">
        <v>17</v>
      </c>
      <c r="AB1" t="s">
        <v>18</v>
      </c>
      <c r="AC1" t="s">
        <v>19</v>
      </c>
      <c r="AD1" t="s">
        <v>81</v>
      </c>
      <c r="AE1" t="s">
        <v>80</v>
      </c>
      <c r="AF1" s="6" t="s">
        <v>84</v>
      </c>
      <c r="AH1" t="s">
        <v>98</v>
      </c>
      <c r="AI1" t="s">
        <v>97</v>
      </c>
    </row>
    <row r="2" spans="1:35" x14ac:dyDescent="0.25">
      <c r="A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21</v>
      </c>
      <c r="K2" t="s">
        <v>27</v>
      </c>
      <c r="L2" t="s">
        <v>28</v>
      </c>
      <c r="Q2" t="s">
        <v>29</v>
      </c>
      <c r="T2" t="s">
        <v>30</v>
      </c>
      <c r="Y2" t="s">
        <v>27</v>
      </c>
      <c r="Z2" t="s">
        <v>27</v>
      </c>
      <c r="AA2" t="s">
        <v>31</v>
      </c>
      <c r="AC2" t="s">
        <v>32</v>
      </c>
      <c r="AF2" t="s">
        <v>27</v>
      </c>
    </row>
    <row r="3" spans="1:35" x14ac:dyDescent="0.25">
      <c r="A3">
        <v>80.81</v>
      </c>
      <c r="B3">
        <f>13.367*A3^-0.847</f>
        <v>0.32390004072925288</v>
      </c>
      <c r="C3">
        <v>1895.1</v>
      </c>
      <c r="D3">
        <v>104.5</v>
      </c>
      <c r="E3" s="1">
        <v>6.4899999999999999E-2</v>
      </c>
      <c r="F3">
        <v>0.91300000000000003</v>
      </c>
      <c r="G3" s="2">
        <v>1.1299999999999999E-2</v>
      </c>
      <c r="H3">
        <v>0.86</v>
      </c>
      <c r="I3">
        <v>16052</v>
      </c>
      <c r="L3" t="e">
        <f>LN(2)/K3</f>
        <v>#DIV/0!</v>
      </c>
      <c r="N3" t="e">
        <f>C3/($Y$3*B3*M3)</f>
        <v>#DIV/0!</v>
      </c>
      <c r="O3">
        <f>SQRT(C3)/$Y$3</f>
        <v>1.4908474758621288E-3</v>
      </c>
      <c r="P3" t="e">
        <f>(1/(B3*M3))*O3</f>
        <v>#DIV/0!</v>
      </c>
      <c r="Q3" s="1" t="e">
        <f>N3/$AC$3</f>
        <v>#DIV/0!</v>
      </c>
      <c r="R3" t="e">
        <f>Q3*((L3*$Z$3)/(1-EXP(-L3*$Z$3)))</f>
        <v>#DIV/0!</v>
      </c>
      <c r="S3" t="e">
        <f>R3*EXP(L3*$AF$3)</f>
        <v>#DIV/0!</v>
      </c>
      <c r="T3">
        <v>1</v>
      </c>
      <c r="X3">
        <f>(1/1.128)*((293/473)^(1/2))*W3</f>
        <v>0</v>
      </c>
      <c r="Y3">
        <v>29200</v>
      </c>
      <c r="Z3">
        <v>29245</v>
      </c>
      <c r="AA3">
        <v>0.15</v>
      </c>
      <c r="AB3" t="s">
        <v>59</v>
      </c>
      <c r="AC3">
        <v>0.83599999999999997</v>
      </c>
      <c r="AD3" s="5" t="s">
        <v>82</v>
      </c>
      <c r="AE3" t="s">
        <v>101</v>
      </c>
      <c r="AF3">
        <v>1680165</v>
      </c>
      <c r="AH3" t="e">
        <f>S3*(U3/(6.022E+23*V3))*(1/L3)*(1/(100000000000*X3*100))</f>
        <v>#DIV/0!</v>
      </c>
      <c r="AI3" t="e">
        <f>(S3*(U3/(6.022E+23*V3))*(1/L3)*(1/(100000000000*X3*100)))*P3</f>
        <v>#DIV/0!</v>
      </c>
    </row>
    <row r="4" spans="1:35" x14ac:dyDescent="0.25">
      <c r="A4">
        <v>90.96</v>
      </c>
      <c r="B4">
        <f t="shared" ref="B4:B67" si="0">13.367*A4^-0.847</f>
        <v>0.29301349017024525</v>
      </c>
      <c r="C4">
        <v>1505.2</v>
      </c>
      <c r="D4">
        <v>111.8</v>
      </c>
      <c r="E4" s="1">
        <v>5.16E-2</v>
      </c>
      <c r="F4">
        <v>1.06</v>
      </c>
      <c r="G4" s="2">
        <v>1.17E-2</v>
      </c>
      <c r="H4">
        <v>1.27</v>
      </c>
      <c r="I4">
        <v>18987</v>
      </c>
      <c r="J4" t="s">
        <v>37</v>
      </c>
      <c r="K4">
        <v>127080</v>
      </c>
      <c r="L4">
        <f t="shared" ref="L4:L68" si="1">LN(2)/K4</f>
        <v>5.4544159628576115E-6</v>
      </c>
      <c r="N4" t="e">
        <f t="shared" ref="N4:N67" si="2">C4/($Y$3*B4*M4)</f>
        <v>#DIV/0!</v>
      </c>
      <c r="O4">
        <f t="shared" ref="O4:O67" si="3">SQRT(C4)/$Y$3</f>
        <v>1.3286612018226273E-3</v>
      </c>
      <c r="P4" t="e">
        <f t="shared" ref="P4:P67" si="4">(1/(B4*M4))*O4</f>
        <v>#DIV/0!</v>
      </c>
      <c r="Q4" s="1" t="e">
        <f t="shared" ref="Q4:Q67" si="5">N4/$AC$3</f>
        <v>#DIV/0!</v>
      </c>
      <c r="R4" t="e">
        <f t="shared" ref="R4:R19" si="6">Q4*((L4*$Z$3)/(1-EXP(-L4*$Z$3)))</f>
        <v>#DIV/0!</v>
      </c>
      <c r="S4" t="e">
        <f t="shared" ref="S4:S21" si="7">R4*EXP(L4*$AF$3)</f>
        <v>#DIV/0!</v>
      </c>
      <c r="T4">
        <v>2</v>
      </c>
      <c r="U4">
        <v>81</v>
      </c>
      <c r="V4">
        <v>0.49309999999999998</v>
      </c>
      <c r="W4" s="4">
        <v>8.1571100000000004E-24</v>
      </c>
      <c r="X4" s="1">
        <f>(1/1.128)*((293/473)^(1/2))*W4</f>
        <v>5.691548736415532E-24</v>
      </c>
      <c r="AH4" s="8" t="e">
        <f>S4*(U4/(6.022E+23*V4))*(1/L4)*(1/(100000000000*X4*100))</f>
        <v>#DIV/0!</v>
      </c>
      <c r="AI4" t="e">
        <f t="shared" ref="AI4:AI67" si="8">(S4*(U4/(6.022E+23*V4))*(1/L4)*(1/(100000000000*X4*100)))*P4</f>
        <v>#DIV/0!</v>
      </c>
    </row>
    <row r="5" spans="1:35" x14ac:dyDescent="0.25">
      <c r="A5">
        <v>99.34</v>
      </c>
      <c r="B5">
        <f t="shared" si="0"/>
        <v>0.27193793052969378</v>
      </c>
      <c r="C5">
        <v>4030.9</v>
      </c>
      <c r="D5">
        <v>132.80000000000001</v>
      </c>
      <c r="E5" s="1">
        <v>0.13800000000000001</v>
      </c>
      <c r="F5">
        <v>1.1000000000000001</v>
      </c>
      <c r="G5" s="2">
        <v>1.11E-2</v>
      </c>
      <c r="H5">
        <v>1.19</v>
      </c>
      <c r="I5">
        <v>22951</v>
      </c>
      <c r="L5" t="e">
        <f t="shared" si="1"/>
        <v>#DIV/0!</v>
      </c>
      <c r="N5" t="e">
        <f t="shared" si="2"/>
        <v>#DIV/0!</v>
      </c>
      <c r="O5">
        <f t="shared" si="3"/>
        <v>2.1742934653720888E-3</v>
      </c>
      <c r="P5" t="e">
        <f t="shared" si="4"/>
        <v>#DIV/0!</v>
      </c>
      <c r="Q5" s="1" t="e">
        <f t="shared" si="5"/>
        <v>#DIV/0!</v>
      </c>
      <c r="R5" t="e">
        <f t="shared" si="6"/>
        <v>#DIV/0!</v>
      </c>
      <c r="S5" t="e">
        <f t="shared" si="7"/>
        <v>#DIV/0!</v>
      </c>
      <c r="T5">
        <v>3</v>
      </c>
      <c r="X5">
        <f t="shared" ref="X5:X67" si="9">(1/1.128)*((293/473)^(1/2))*W5</f>
        <v>0</v>
      </c>
      <c r="AH5" t="e">
        <f t="shared" ref="AH5:AH67" si="10">S5*(U5/(6.022E+23*V5))*(1/L5)*(1/(100000000000*X5*100))</f>
        <v>#DIV/0!</v>
      </c>
      <c r="AI5" t="e">
        <f t="shared" si="8"/>
        <v>#DIV/0!</v>
      </c>
    </row>
    <row r="6" spans="1:35" x14ac:dyDescent="0.25">
      <c r="A6">
        <v>103.51</v>
      </c>
      <c r="B6">
        <f t="shared" si="0"/>
        <v>0.26262975750788348</v>
      </c>
      <c r="C6">
        <v>8139.7</v>
      </c>
      <c r="D6">
        <v>151.69999999999999</v>
      </c>
      <c r="E6" s="1">
        <v>0.27900000000000003</v>
      </c>
      <c r="F6">
        <v>1.23</v>
      </c>
      <c r="G6" s="2">
        <v>1.1900000000000001E-2</v>
      </c>
      <c r="H6">
        <v>1.23</v>
      </c>
      <c r="I6">
        <v>20772</v>
      </c>
      <c r="L6" t="e">
        <f t="shared" si="1"/>
        <v>#DIV/0!</v>
      </c>
      <c r="N6" t="e">
        <f t="shared" si="2"/>
        <v>#DIV/0!</v>
      </c>
      <c r="O6">
        <f t="shared" si="3"/>
        <v>3.0897358207938853E-3</v>
      </c>
      <c r="P6" t="e">
        <f t="shared" si="4"/>
        <v>#DIV/0!</v>
      </c>
      <c r="Q6" s="1" t="e">
        <f t="shared" si="5"/>
        <v>#DIV/0!</v>
      </c>
      <c r="R6" t="e">
        <f t="shared" si="6"/>
        <v>#DIV/0!</v>
      </c>
      <c r="S6" t="e">
        <f t="shared" si="7"/>
        <v>#DIV/0!</v>
      </c>
      <c r="T6">
        <v>4</v>
      </c>
      <c r="X6">
        <f t="shared" si="9"/>
        <v>0</v>
      </c>
      <c r="AH6" t="e">
        <f t="shared" si="10"/>
        <v>#DIV/0!</v>
      </c>
      <c r="AI6" t="e">
        <f t="shared" si="8"/>
        <v>#DIV/0!</v>
      </c>
    </row>
    <row r="7" spans="1:35" x14ac:dyDescent="0.25">
      <c r="A7">
        <v>105.99</v>
      </c>
      <c r="B7">
        <f t="shared" si="0"/>
        <v>0.25741543507442938</v>
      </c>
      <c r="C7">
        <v>6725.8</v>
      </c>
      <c r="D7">
        <v>138.4</v>
      </c>
      <c r="E7" s="1">
        <v>0.23</v>
      </c>
      <c r="F7">
        <v>0.999</v>
      </c>
      <c r="G7" s="2">
        <v>9.4000000000000004E-3</v>
      </c>
      <c r="H7">
        <v>0.76</v>
      </c>
      <c r="I7">
        <v>20158</v>
      </c>
      <c r="J7" t="s">
        <v>60</v>
      </c>
      <c r="K7">
        <f>2.3565*24*3600</f>
        <v>203601.59999999998</v>
      </c>
      <c r="L7">
        <f t="shared" si="1"/>
        <v>3.4044289463341415E-6</v>
      </c>
      <c r="M7">
        <v>0.27200000000000002</v>
      </c>
      <c r="N7">
        <f t="shared" si="2"/>
        <v>3.2897099547034205</v>
      </c>
      <c r="O7">
        <f t="shared" si="3"/>
        <v>2.8085950299766354E-3</v>
      </c>
      <c r="P7">
        <f t="shared" si="4"/>
        <v>4.0113045354049318E-2</v>
      </c>
      <c r="Q7" s="1">
        <f t="shared" si="5"/>
        <v>3.9350597544299291</v>
      </c>
      <c r="R7">
        <f t="shared" si="6"/>
        <v>4.134202046882808</v>
      </c>
      <c r="S7">
        <f t="shared" si="7"/>
        <v>1260.5415322459885</v>
      </c>
      <c r="T7">
        <v>5</v>
      </c>
      <c r="U7">
        <v>238</v>
      </c>
      <c r="W7" s="4">
        <v>2.7094899999999998E-21</v>
      </c>
      <c r="X7">
        <f t="shared" si="9"/>
        <v>1.8905218129742663E-21</v>
      </c>
      <c r="AH7" t="e">
        <f t="shared" si="10"/>
        <v>#DIV/0!</v>
      </c>
      <c r="AI7" t="e">
        <f t="shared" si="8"/>
        <v>#DIV/0!</v>
      </c>
    </row>
    <row r="8" spans="1:35" x14ac:dyDescent="0.25">
      <c r="A8">
        <v>112.99</v>
      </c>
      <c r="B8">
        <f t="shared" si="0"/>
        <v>0.24384230822301131</v>
      </c>
      <c r="C8">
        <v>962.7</v>
      </c>
      <c r="D8">
        <v>124.4</v>
      </c>
      <c r="E8" s="1">
        <v>3.3000000000000002E-2</v>
      </c>
      <c r="F8">
        <v>1.36</v>
      </c>
      <c r="G8" s="2">
        <v>1.21E-2</v>
      </c>
      <c r="H8">
        <v>1.2</v>
      </c>
      <c r="I8">
        <v>13820</v>
      </c>
      <c r="L8" t="e">
        <f t="shared" si="1"/>
        <v>#DIV/0!</v>
      </c>
      <c r="N8" t="e">
        <f t="shared" si="2"/>
        <v>#DIV/0!</v>
      </c>
      <c r="O8">
        <f t="shared" si="3"/>
        <v>1.0625824397057159E-3</v>
      </c>
      <c r="P8" t="e">
        <f t="shared" si="4"/>
        <v>#DIV/0!</v>
      </c>
      <c r="Q8" s="1" t="e">
        <f t="shared" si="5"/>
        <v>#DIV/0!</v>
      </c>
      <c r="R8" t="e">
        <f t="shared" si="6"/>
        <v>#DIV/0!</v>
      </c>
      <c r="S8" t="e">
        <f t="shared" si="7"/>
        <v>#DIV/0!</v>
      </c>
      <c r="T8">
        <v>6</v>
      </c>
      <c r="X8">
        <f t="shared" si="9"/>
        <v>0</v>
      </c>
      <c r="AH8" t="e">
        <f t="shared" si="10"/>
        <v>#DIV/0!</v>
      </c>
      <c r="AI8" t="e">
        <f t="shared" si="8"/>
        <v>#DIV/0!</v>
      </c>
    </row>
    <row r="9" spans="1:35" x14ac:dyDescent="0.25">
      <c r="A9">
        <v>116.89</v>
      </c>
      <c r="B9">
        <f t="shared" si="0"/>
        <v>0.23693353021250943</v>
      </c>
      <c r="C9">
        <v>2636.6</v>
      </c>
      <c r="D9">
        <v>145.1</v>
      </c>
      <c r="E9" s="1">
        <v>9.0300000000000005E-2</v>
      </c>
      <c r="F9">
        <v>1.77</v>
      </c>
      <c r="G9" s="2">
        <v>1.5100000000000001E-2</v>
      </c>
      <c r="H9">
        <v>1.52</v>
      </c>
      <c r="I9">
        <v>18057</v>
      </c>
      <c r="L9" t="e">
        <f t="shared" si="1"/>
        <v>#DIV/0!</v>
      </c>
      <c r="N9" t="e">
        <f t="shared" si="2"/>
        <v>#DIV/0!</v>
      </c>
      <c r="O9">
        <f t="shared" si="3"/>
        <v>1.7584874469148272E-3</v>
      </c>
      <c r="P9" t="e">
        <f t="shared" si="4"/>
        <v>#DIV/0!</v>
      </c>
      <c r="Q9" s="1" t="e">
        <f t="shared" si="5"/>
        <v>#DIV/0!</v>
      </c>
      <c r="R9" t="e">
        <f t="shared" si="6"/>
        <v>#DIV/0!</v>
      </c>
      <c r="S9" t="e">
        <f t="shared" si="7"/>
        <v>#DIV/0!</v>
      </c>
      <c r="T9">
        <v>7</v>
      </c>
      <c r="X9">
        <f t="shared" si="9"/>
        <v>0</v>
      </c>
      <c r="AH9" t="e">
        <f t="shared" si="10"/>
        <v>#DIV/0!</v>
      </c>
      <c r="AI9" t="e">
        <f t="shared" si="8"/>
        <v>#DIV/0!</v>
      </c>
    </row>
    <row r="10" spans="1:35" x14ac:dyDescent="0.25">
      <c r="A10">
        <v>121.56</v>
      </c>
      <c r="B10">
        <f t="shared" si="0"/>
        <v>0.22920085450359609</v>
      </c>
      <c r="C10">
        <v>2643</v>
      </c>
      <c r="D10">
        <v>131.5</v>
      </c>
      <c r="E10" s="1">
        <v>9.0499999999999997E-2</v>
      </c>
      <c r="F10">
        <v>1.4</v>
      </c>
      <c r="G10" s="2">
        <v>1.15E-2</v>
      </c>
      <c r="H10">
        <v>2.97</v>
      </c>
      <c r="I10">
        <v>14401</v>
      </c>
      <c r="L10" t="e">
        <f t="shared" si="1"/>
        <v>#DIV/0!</v>
      </c>
      <c r="N10" t="e">
        <f t="shared" si="2"/>
        <v>#DIV/0!</v>
      </c>
      <c r="O10">
        <f t="shared" si="3"/>
        <v>1.7606204019215005E-3</v>
      </c>
      <c r="P10" t="e">
        <f t="shared" si="4"/>
        <v>#DIV/0!</v>
      </c>
      <c r="Q10" s="1" t="e">
        <f t="shared" si="5"/>
        <v>#DIV/0!</v>
      </c>
      <c r="R10" t="e">
        <f t="shared" si="6"/>
        <v>#DIV/0!</v>
      </c>
      <c r="S10" t="e">
        <f t="shared" si="7"/>
        <v>#DIV/0!</v>
      </c>
      <c r="T10">
        <v>8</v>
      </c>
      <c r="X10">
        <f t="shared" si="9"/>
        <v>0</v>
      </c>
      <c r="AH10" t="e">
        <f t="shared" si="10"/>
        <v>#DIV/0!</v>
      </c>
      <c r="AI10" t="e">
        <f t="shared" si="8"/>
        <v>#DIV/0!</v>
      </c>
    </row>
    <row r="11" spans="1:35" x14ac:dyDescent="0.25">
      <c r="A11">
        <v>123.61</v>
      </c>
      <c r="B11">
        <f t="shared" si="0"/>
        <v>0.22597715850451022</v>
      </c>
      <c r="C11">
        <v>838.4</v>
      </c>
      <c r="D11">
        <v>103.1</v>
      </c>
      <c r="E11" s="1">
        <v>2.87E-2</v>
      </c>
      <c r="F11">
        <v>0.93100000000000005</v>
      </c>
      <c r="G11" s="2">
        <v>7.4999999999999997E-3</v>
      </c>
      <c r="H11">
        <v>1.59</v>
      </c>
      <c r="I11">
        <v>12679</v>
      </c>
      <c r="J11" t="s">
        <v>61</v>
      </c>
      <c r="K11">
        <f>11.5*24*3600</f>
        <v>993600</v>
      </c>
      <c r="L11">
        <f t="shared" si="1"/>
        <v>6.976118966988177E-7</v>
      </c>
      <c r="M11">
        <v>0.28970000000000001</v>
      </c>
      <c r="N11">
        <f t="shared" si="2"/>
        <v>0.43858662110462243</v>
      </c>
      <c r="O11">
        <f t="shared" si="3"/>
        <v>9.9161430525226621E-4</v>
      </c>
      <c r="P11">
        <f t="shared" si="4"/>
        <v>1.514710879451848E-2</v>
      </c>
      <c r="Q11" s="1">
        <f t="shared" si="5"/>
        <v>0.52462514486198852</v>
      </c>
      <c r="R11">
        <f t="shared" si="6"/>
        <v>0.52999495359194293</v>
      </c>
      <c r="S11">
        <f t="shared" si="7"/>
        <v>1.711234942419011</v>
      </c>
      <c r="T11">
        <v>9</v>
      </c>
      <c r="U11">
        <v>130</v>
      </c>
      <c r="V11">
        <v>1.06E-3</v>
      </c>
      <c r="W11" s="4">
        <v>9.6839200000000003E-24</v>
      </c>
      <c r="X11">
        <f t="shared" si="9"/>
        <v>6.7568664195467635E-24</v>
      </c>
      <c r="AH11">
        <f t="shared" si="10"/>
        <v>7.3934504079042548E-3</v>
      </c>
      <c r="AI11">
        <f t="shared" si="8"/>
        <v>1.1198939769540277E-4</v>
      </c>
    </row>
    <row r="12" spans="1:35" x14ac:dyDescent="0.25">
      <c r="A12">
        <v>140.44</v>
      </c>
      <c r="B12">
        <f t="shared" si="0"/>
        <v>0.20281927354799287</v>
      </c>
      <c r="C12">
        <v>2081.3000000000002</v>
      </c>
      <c r="D12">
        <v>115.6</v>
      </c>
      <c r="E12" s="1">
        <v>7.1300000000000002E-2</v>
      </c>
      <c r="F12">
        <v>1.0900000000000001</v>
      </c>
      <c r="G12" s="2">
        <v>7.7999999999999996E-3</v>
      </c>
      <c r="H12">
        <v>1.06</v>
      </c>
      <c r="I12">
        <v>19612</v>
      </c>
      <c r="L12" t="e">
        <f t="shared" si="1"/>
        <v>#DIV/0!</v>
      </c>
      <c r="N12" t="e">
        <f t="shared" si="2"/>
        <v>#DIV/0!</v>
      </c>
      <c r="O12">
        <f t="shared" si="3"/>
        <v>1.562372156526362E-3</v>
      </c>
      <c r="P12" t="e">
        <f t="shared" si="4"/>
        <v>#DIV/0!</v>
      </c>
      <c r="Q12" s="1" t="e">
        <f t="shared" si="5"/>
        <v>#DIV/0!</v>
      </c>
      <c r="R12" t="e">
        <f t="shared" si="6"/>
        <v>#DIV/0!</v>
      </c>
      <c r="S12" t="e">
        <f t="shared" si="7"/>
        <v>#DIV/0!</v>
      </c>
      <c r="T12">
        <v>10</v>
      </c>
      <c r="X12">
        <f t="shared" si="9"/>
        <v>0</v>
      </c>
      <c r="AH12" t="e">
        <f t="shared" si="10"/>
        <v>#DIV/0!</v>
      </c>
      <c r="AI12" t="e">
        <f t="shared" si="8"/>
        <v>#DIV/0!</v>
      </c>
    </row>
    <row r="13" spans="1:35" x14ac:dyDescent="0.25">
      <c r="A13">
        <v>145.36000000000001</v>
      </c>
      <c r="B13">
        <f t="shared" si="0"/>
        <v>0.19698951259627237</v>
      </c>
      <c r="C13">
        <v>7205.9</v>
      </c>
      <c r="D13">
        <v>135.19999999999999</v>
      </c>
      <c r="E13" s="1">
        <v>0.247</v>
      </c>
      <c r="F13">
        <v>1.06</v>
      </c>
      <c r="G13" s="2">
        <v>7.3000000000000001E-3</v>
      </c>
      <c r="H13">
        <v>1.22</v>
      </c>
      <c r="I13">
        <v>24890</v>
      </c>
      <c r="J13" t="s">
        <v>62</v>
      </c>
      <c r="L13" t="e">
        <f t="shared" si="1"/>
        <v>#DIV/0!</v>
      </c>
      <c r="N13" t="e">
        <f t="shared" si="2"/>
        <v>#DIV/0!</v>
      </c>
      <c r="O13">
        <f t="shared" si="3"/>
        <v>2.9071086543319248E-3</v>
      </c>
      <c r="P13" t="e">
        <f t="shared" si="4"/>
        <v>#DIV/0!</v>
      </c>
      <c r="Q13" s="1" t="e">
        <f t="shared" si="5"/>
        <v>#DIV/0!</v>
      </c>
      <c r="R13" t="e">
        <f t="shared" si="6"/>
        <v>#DIV/0!</v>
      </c>
      <c r="S13" t="e">
        <f t="shared" si="7"/>
        <v>#DIV/0!</v>
      </c>
      <c r="T13">
        <v>11</v>
      </c>
      <c r="U13">
        <v>140</v>
      </c>
      <c r="X13">
        <f t="shared" si="9"/>
        <v>0</v>
      </c>
      <c r="AH13" t="e">
        <f t="shared" si="10"/>
        <v>#DIV/0!</v>
      </c>
      <c r="AI13" t="e">
        <f t="shared" si="8"/>
        <v>#DIV/0!</v>
      </c>
    </row>
    <row r="14" spans="1:35" x14ac:dyDescent="0.25">
      <c r="A14">
        <v>159.31</v>
      </c>
      <c r="B14">
        <f t="shared" si="0"/>
        <v>0.18227793302896891</v>
      </c>
      <c r="C14">
        <v>199693.1</v>
      </c>
      <c r="D14">
        <v>458.4</v>
      </c>
      <c r="E14" s="1">
        <v>6.84</v>
      </c>
      <c r="F14">
        <v>1.0900000000000001</v>
      </c>
      <c r="G14" s="2">
        <v>6.7999999999999996E-3</v>
      </c>
      <c r="H14">
        <v>27</v>
      </c>
      <c r="I14">
        <v>222600</v>
      </c>
      <c r="J14" t="s">
        <v>48</v>
      </c>
      <c r="K14">
        <v>288576</v>
      </c>
      <c r="L14">
        <f t="shared" si="1"/>
        <v>2.4019571293522169E-6</v>
      </c>
      <c r="M14">
        <v>0.68300000000000005</v>
      </c>
      <c r="N14">
        <f t="shared" si="2"/>
        <v>54.931999651465645</v>
      </c>
      <c r="O14">
        <f t="shared" si="3"/>
        <v>1.53037787375525E-2</v>
      </c>
      <c r="P14">
        <f t="shared" si="4"/>
        <v>0.12292603657161098</v>
      </c>
      <c r="Q14" s="1">
        <f t="shared" si="5"/>
        <v>65.708133554384744</v>
      </c>
      <c r="R14">
        <f t="shared" si="6"/>
        <v>68.042992162430451</v>
      </c>
      <c r="S14">
        <f t="shared" si="7"/>
        <v>3849.9831217798364</v>
      </c>
      <c r="T14">
        <v>12</v>
      </c>
      <c r="U14">
        <v>46</v>
      </c>
      <c r="W14" s="4">
        <v>8.51273E-24</v>
      </c>
      <c r="X14">
        <f t="shared" si="9"/>
        <v>5.9396793318891849E-24</v>
      </c>
      <c r="AH14" t="e">
        <f t="shared" si="10"/>
        <v>#DIV/0!</v>
      </c>
      <c r="AI14" t="e">
        <f t="shared" si="8"/>
        <v>#DIV/0!</v>
      </c>
    </row>
    <row r="15" spans="1:35" x14ac:dyDescent="0.25">
      <c r="A15">
        <v>162.63999999999999</v>
      </c>
      <c r="B15">
        <f t="shared" si="0"/>
        <v>0.17911187051284622</v>
      </c>
      <c r="C15">
        <v>809.5</v>
      </c>
      <c r="D15">
        <v>81</v>
      </c>
      <c r="E15" s="1">
        <v>2.7699999999999999E-2</v>
      </c>
      <c r="F15">
        <v>1.08</v>
      </c>
      <c r="G15" s="2">
        <v>6.7000000000000002E-3</v>
      </c>
      <c r="H15">
        <v>0.86</v>
      </c>
      <c r="I15">
        <v>6266</v>
      </c>
      <c r="L15" t="e">
        <f t="shared" si="1"/>
        <v>#DIV/0!</v>
      </c>
      <c r="N15" t="e">
        <f t="shared" si="2"/>
        <v>#DIV/0!</v>
      </c>
      <c r="O15">
        <f t="shared" si="3"/>
        <v>9.7437374934635586E-4</v>
      </c>
      <c r="P15" t="e">
        <f t="shared" si="4"/>
        <v>#DIV/0!</v>
      </c>
      <c r="Q15" s="1" t="e">
        <f t="shared" si="5"/>
        <v>#DIV/0!</v>
      </c>
      <c r="R15" t="e">
        <f t="shared" si="6"/>
        <v>#DIV/0!</v>
      </c>
      <c r="S15" t="e">
        <f t="shared" si="7"/>
        <v>#DIV/0!</v>
      </c>
      <c r="T15">
        <v>13</v>
      </c>
      <c r="X15">
        <f t="shared" si="9"/>
        <v>0</v>
      </c>
      <c r="AH15" t="e">
        <f t="shared" si="10"/>
        <v>#DIV/0!</v>
      </c>
      <c r="AI15" t="e">
        <f t="shared" si="8"/>
        <v>#DIV/0!</v>
      </c>
    </row>
    <row r="16" spans="1:35" x14ac:dyDescent="0.25">
      <c r="A16">
        <v>177.13</v>
      </c>
      <c r="B16">
        <f t="shared" si="0"/>
        <v>0.16662130062058098</v>
      </c>
      <c r="C16">
        <v>731.4</v>
      </c>
      <c r="D16">
        <v>81.5</v>
      </c>
      <c r="E16" s="1">
        <v>2.5100000000000001E-2</v>
      </c>
      <c r="F16">
        <v>1.2</v>
      </c>
      <c r="G16" s="2">
        <v>6.7999999999999996E-3</v>
      </c>
      <c r="H16">
        <v>1.28</v>
      </c>
      <c r="I16">
        <v>10059</v>
      </c>
      <c r="L16" t="e">
        <f t="shared" si="1"/>
        <v>#DIV/0!</v>
      </c>
      <c r="N16" t="e">
        <f t="shared" si="2"/>
        <v>#DIV/0!</v>
      </c>
      <c r="O16">
        <f t="shared" si="3"/>
        <v>9.2617835358715104E-4</v>
      </c>
      <c r="P16" t="e">
        <f t="shared" si="4"/>
        <v>#DIV/0!</v>
      </c>
      <c r="Q16" s="1" t="e">
        <f t="shared" si="5"/>
        <v>#DIV/0!</v>
      </c>
      <c r="R16" t="e">
        <f t="shared" si="6"/>
        <v>#DIV/0!</v>
      </c>
      <c r="S16" t="e">
        <f t="shared" si="7"/>
        <v>#DIV/0!</v>
      </c>
      <c r="T16">
        <v>14</v>
      </c>
      <c r="X16">
        <f t="shared" si="9"/>
        <v>0</v>
      </c>
      <c r="AH16" t="e">
        <f t="shared" si="10"/>
        <v>#DIV/0!</v>
      </c>
      <c r="AI16" t="e">
        <f t="shared" si="8"/>
        <v>#DIV/0!</v>
      </c>
    </row>
    <row r="17" spans="1:35" x14ac:dyDescent="0.25">
      <c r="A17">
        <v>197.98</v>
      </c>
      <c r="B17">
        <f t="shared" si="0"/>
        <v>0.15163368526594201</v>
      </c>
      <c r="C17">
        <v>1285.9000000000001</v>
      </c>
      <c r="D17">
        <v>88.4</v>
      </c>
      <c r="E17" s="1">
        <v>4.3999999999999997E-2</v>
      </c>
      <c r="F17">
        <v>1.53</v>
      </c>
      <c r="G17" s="2">
        <v>7.7000000000000002E-3</v>
      </c>
      <c r="H17">
        <v>1.07</v>
      </c>
      <c r="I17">
        <v>10470</v>
      </c>
      <c r="L17" t="e">
        <f t="shared" si="1"/>
        <v>#DIV/0!</v>
      </c>
      <c r="N17" t="e">
        <f t="shared" si="2"/>
        <v>#DIV/0!</v>
      </c>
      <c r="O17">
        <f t="shared" si="3"/>
        <v>1.2280632824832151E-3</v>
      </c>
      <c r="P17" t="e">
        <f t="shared" si="4"/>
        <v>#DIV/0!</v>
      </c>
      <c r="Q17" s="1" t="e">
        <f t="shared" si="5"/>
        <v>#DIV/0!</v>
      </c>
      <c r="R17" t="e">
        <f t="shared" si="6"/>
        <v>#DIV/0!</v>
      </c>
      <c r="S17" t="e">
        <f t="shared" si="7"/>
        <v>#DIV/0!</v>
      </c>
      <c r="T17">
        <v>15</v>
      </c>
      <c r="X17">
        <f t="shared" si="9"/>
        <v>0</v>
      </c>
      <c r="AH17" t="e">
        <f t="shared" si="10"/>
        <v>#DIV/0!</v>
      </c>
      <c r="AI17" t="e">
        <f t="shared" si="8"/>
        <v>#DIV/0!</v>
      </c>
    </row>
    <row r="18" spans="1:35" x14ac:dyDescent="0.25">
      <c r="A18">
        <v>209</v>
      </c>
      <c r="B18">
        <f t="shared" si="0"/>
        <v>0.14483383945718914</v>
      </c>
      <c r="C18">
        <v>3059</v>
      </c>
      <c r="D18">
        <v>114.7</v>
      </c>
      <c r="E18" s="1">
        <v>0.105</v>
      </c>
      <c r="F18">
        <v>2.4300000000000002</v>
      </c>
      <c r="G18" s="2">
        <v>1.1599999999999999E-2</v>
      </c>
      <c r="H18">
        <v>1.81</v>
      </c>
      <c r="I18">
        <v>17254</v>
      </c>
      <c r="J18" t="s">
        <v>60</v>
      </c>
      <c r="K18">
        <f>2.3565*24*3600</f>
        <v>203601.59999999998</v>
      </c>
      <c r="L18">
        <f t="shared" si="1"/>
        <v>3.4044289463341415E-6</v>
      </c>
      <c r="M18">
        <v>3.4200000000000001E-2</v>
      </c>
      <c r="N18">
        <f t="shared" si="2"/>
        <v>21.14951807610602</v>
      </c>
      <c r="O18">
        <f t="shared" si="3"/>
        <v>1.8941173710992922E-3</v>
      </c>
      <c r="P18">
        <f t="shared" si="4"/>
        <v>0.3823937076453946</v>
      </c>
      <c r="Q18" s="1">
        <f t="shared" si="5"/>
        <v>25.298466598212944</v>
      </c>
      <c r="R18">
        <f t="shared" si="6"/>
        <v>26.578750748469911</v>
      </c>
      <c r="S18">
        <f t="shared" si="7"/>
        <v>8104.0110797009147</v>
      </c>
      <c r="T18">
        <v>16</v>
      </c>
      <c r="U18">
        <v>238</v>
      </c>
      <c r="W18" s="4">
        <v>2.7094899999999998E-21</v>
      </c>
      <c r="X18">
        <f t="shared" si="9"/>
        <v>1.8905218129742663E-21</v>
      </c>
      <c r="AH18" t="e">
        <f t="shared" si="10"/>
        <v>#DIV/0!</v>
      </c>
      <c r="AI18" t="e">
        <f t="shared" si="8"/>
        <v>#DIV/0!</v>
      </c>
    </row>
    <row r="19" spans="1:35" x14ac:dyDescent="0.25">
      <c r="A19">
        <v>216</v>
      </c>
      <c r="B19">
        <f t="shared" si="0"/>
        <v>0.14084830366078913</v>
      </c>
      <c r="C19">
        <v>821.2</v>
      </c>
      <c r="D19">
        <v>73.8</v>
      </c>
      <c r="E19" s="1">
        <v>2.81E-2</v>
      </c>
      <c r="F19">
        <v>1.1599999999999999</v>
      </c>
      <c r="G19" s="2">
        <v>5.4000000000000003E-3</v>
      </c>
      <c r="H19">
        <v>0.86</v>
      </c>
      <c r="I19">
        <v>7977</v>
      </c>
      <c r="J19" t="s">
        <v>61</v>
      </c>
      <c r="K19">
        <f>11.5*24*3600</f>
        <v>993600</v>
      </c>
      <c r="L19">
        <f>LN(2)/K19</f>
        <v>6.976118966988177E-7</v>
      </c>
      <c r="M19">
        <v>0.1966</v>
      </c>
      <c r="N19">
        <f t="shared" si="2"/>
        <v>1.0156193226118542</v>
      </c>
      <c r="O19">
        <f t="shared" si="3"/>
        <v>9.8138997860723804E-4</v>
      </c>
      <c r="P19">
        <f t="shared" si="4"/>
        <v>3.5441042204702192E-2</v>
      </c>
      <c r="Q19" s="1">
        <f t="shared" si="5"/>
        <v>1.214855649057242</v>
      </c>
      <c r="R19">
        <f t="shared" si="6"/>
        <v>1.2272903227167711</v>
      </c>
      <c r="S19">
        <f t="shared" si="7"/>
        <v>3.9626454374556719</v>
      </c>
      <c r="T19">
        <v>17</v>
      </c>
      <c r="U19">
        <v>130</v>
      </c>
      <c r="V19">
        <v>1.06E-3</v>
      </c>
      <c r="W19" s="4">
        <v>9.6839200000000003E-24</v>
      </c>
      <c r="X19">
        <f t="shared" si="9"/>
        <v>6.7568664195467635E-24</v>
      </c>
      <c r="AH19">
        <f t="shared" si="10"/>
        <v>1.7120748179978895E-2</v>
      </c>
      <c r="AI19">
        <f t="shared" si="8"/>
        <v>6.0677715882271027E-4</v>
      </c>
    </row>
    <row r="20" spans="1:35" x14ac:dyDescent="0.25">
      <c r="A20">
        <v>228.2</v>
      </c>
      <c r="B20">
        <f t="shared" si="0"/>
        <v>0.13444374482633661</v>
      </c>
      <c r="C20">
        <v>5526</v>
      </c>
      <c r="D20">
        <v>100</v>
      </c>
      <c r="E20" s="1">
        <v>0.189</v>
      </c>
      <c r="F20">
        <v>1.17</v>
      </c>
      <c r="G20" s="2">
        <v>5.1000000000000004E-3</v>
      </c>
      <c r="H20">
        <v>1.22</v>
      </c>
      <c r="I20">
        <v>12642</v>
      </c>
      <c r="J20" t="s">
        <v>60</v>
      </c>
      <c r="K20">
        <f>2.3565*24*3600</f>
        <v>203601.59999999998</v>
      </c>
      <c r="L20">
        <f t="shared" si="1"/>
        <v>3.4044289463341415E-6</v>
      </c>
      <c r="M20">
        <v>0.1076</v>
      </c>
      <c r="N20">
        <f t="shared" si="2"/>
        <v>13.082030487042342</v>
      </c>
      <c r="O20">
        <f t="shared" si="3"/>
        <v>2.5457900739788769E-3</v>
      </c>
      <c r="P20">
        <f t="shared" si="4"/>
        <v>0.17598259467117663</v>
      </c>
      <c r="Q20" s="1">
        <f t="shared" si="5"/>
        <v>15.648361826605672</v>
      </c>
      <c r="R20">
        <f t="shared" ref="R20:R68" si="11">Q20*((L20*$Z$3)/(1-EXP(-L20*$Z$3)))</f>
        <v>16.440281350514866</v>
      </c>
      <c r="S20">
        <f t="shared" si="7"/>
        <v>5012.7345517035901</v>
      </c>
      <c r="T20">
        <v>18</v>
      </c>
      <c r="U20">
        <v>238</v>
      </c>
      <c r="W20" s="4">
        <v>2.7094899999999998E-21</v>
      </c>
      <c r="X20">
        <f t="shared" si="9"/>
        <v>1.8905218129742663E-21</v>
      </c>
      <c r="AH20" t="e">
        <f t="shared" si="10"/>
        <v>#DIV/0!</v>
      </c>
      <c r="AI20" t="e">
        <f t="shared" si="8"/>
        <v>#DIV/0!</v>
      </c>
    </row>
    <row r="21" spans="1:35" x14ac:dyDescent="0.25">
      <c r="A21">
        <v>244.84</v>
      </c>
      <c r="B21">
        <f t="shared" si="0"/>
        <v>0.12666323621773048</v>
      </c>
      <c r="C21">
        <v>337.7</v>
      </c>
      <c r="D21">
        <v>63.1</v>
      </c>
      <c r="E21" s="1">
        <v>1.1599999999999999E-2</v>
      </c>
      <c r="F21">
        <v>1.0900000000000001</v>
      </c>
      <c r="G21" s="2">
        <v>4.4999999999999997E-3</v>
      </c>
      <c r="H21">
        <v>1.01</v>
      </c>
      <c r="I21">
        <v>5999</v>
      </c>
      <c r="L21" t="e">
        <f t="shared" si="1"/>
        <v>#DIV/0!</v>
      </c>
      <c r="N21" t="e">
        <f t="shared" si="2"/>
        <v>#DIV/0!</v>
      </c>
      <c r="O21">
        <f t="shared" si="3"/>
        <v>6.2933614983684343E-4</v>
      </c>
      <c r="P21" t="e">
        <f t="shared" si="4"/>
        <v>#DIV/0!</v>
      </c>
      <c r="Q21" s="1" t="e">
        <f t="shared" si="5"/>
        <v>#DIV/0!</v>
      </c>
      <c r="R21" t="e">
        <f t="shared" si="11"/>
        <v>#DIV/0!</v>
      </c>
      <c r="S21" t="e">
        <f t="shared" si="7"/>
        <v>#DIV/0!</v>
      </c>
      <c r="T21">
        <v>19</v>
      </c>
      <c r="X21">
        <f t="shared" si="9"/>
        <v>0</v>
      </c>
      <c r="AH21" t="e">
        <f t="shared" si="10"/>
        <v>#DIV/0!</v>
      </c>
      <c r="AI21" t="e">
        <f t="shared" si="8"/>
        <v>#DIV/0!</v>
      </c>
    </row>
    <row r="22" spans="1:35" x14ac:dyDescent="0.25">
      <c r="A22">
        <v>277.60000000000002</v>
      </c>
      <c r="B22">
        <f t="shared" si="0"/>
        <v>0.11388267608728846</v>
      </c>
      <c r="C22">
        <v>3904.3</v>
      </c>
      <c r="D22">
        <v>86.1</v>
      </c>
      <c r="E22" s="1">
        <v>0.13400000000000001</v>
      </c>
      <c r="F22">
        <v>1.2</v>
      </c>
      <c r="G22" s="2">
        <v>4.3E-3</v>
      </c>
      <c r="H22">
        <v>1.46</v>
      </c>
      <c r="I22">
        <v>9354</v>
      </c>
      <c r="J22" t="s">
        <v>60</v>
      </c>
      <c r="K22">
        <f>2.3565*24*3600</f>
        <v>203601.59999999998</v>
      </c>
      <c r="L22">
        <f t="shared" si="1"/>
        <v>3.4044289463341415E-6</v>
      </c>
      <c r="M22">
        <v>0.14380000000000001</v>
      </c>
      <c r="N22">
        <f t="shared" si="2"/>
        <v>8.1647666927189615</v>
      </c>
      <c r="O22">
        <f t="shared" si="3"/>
        <v>2.1398766456381473E-3</v>
      </c>
      <c r="P22">
        <f t="shared" si="4"/>
        <v>0.13066888610883864</v>
      </c>
      <c r="Q22" s="1">
        <f t="shared" si="5"/>
        <v>9.7664673357882315</v>
      </c>
      <c r="R22">
        <f t="shared" si="11"/>
        <v>10.260720743814762</v>
      </c>
      <c r="S22">
        <f t="shared" ref="S22:S67" si="12">R22*EXP(L22*$AF$3)</f>
        <v>3128.5516531802682</v>
      </c>
      <c r="T22">
        <v>20</v>
      </c>
      <c r="U22">
        <v>238</v>
      </c>
      <c r="W22" s="4">
        <v>2.7094899999999998E-21</v>
      </c>
      <c r="X22">
        <f t="shared" si="9"/>
        <v>1.8905218129742663E-21</v>
      </c>
      <c r="AH22" t="e">
        <f t="shared" si="10"/>
        <v>#DIV/0!</v>
      </c>
      <c r="AI22" t="e">
        <f t="shared" si="8"/>
        <v>#DIV/0!</v>
      </c>
    </row>
    <row r="23" spans="1:35" x14ac:dyDescent="0.25">
      <c r="A23">
        <v>282.58</v>
      </c>
      <c r="B23">
        <f t="shared" si="0"/>
        <v>0.11218044659993355</v>
      </c>
      <c r="C23">
        <v>225</v>
      </c>
      <c r="D23">
        <v>53.5</v>
      </c>
      <c r="E23" s="1">
        <v>7.7099999999999998E-3</v>
      </c>
      <c r="F23">
        <v>0.79500000000000004</v>
      </c>
      <c r="G23" s="2">
        <v>2.8E-3</v>
      </c>
      <c r="H23">
        <v>1.8</v>
      </c>
      <c r="I23">
        <v>4986</v>
      </c>
      <c r="L23" t="e">
        <f t="shared" si="1"/>
        <v>#DIV/0!</v>
      </c>
      <c r="N23" t="e">
        <f t="shared" si="2"/>
        <v>#DIV/0!</v>
      </c>
      <c r="O23">
        <f t="shared" si="3"/>
        <v>5.1369863013698625E-4</v>
      </c>
      <c r="P23" t="e">
        <f t="shared" si="4"/>
        <v>#DIV/0!</v>
      </c>
      <c r="Q23" s="1" t="e">
        <f t="shared" si="5"/>
        <v>#DIV/0!</v>
      </c>
      <c r="R23" t="e">
        <f t="shared" si="11"/>
        <v>#DIV/0!</v>
      </c>
      <c r="S23" t="e">
        <f t="shared" si="12"/>
        <v>#DIV/0!</v>
      </c>
      <c r="T23">
        <v>21</v>
      </c>
      <c r="X23">
        <f t="shared" si="9"/>
        <v>0</v>
      </c>
      <c r="AH23" t="e">
        <f t="shared" si="10"/>
        <v>#DIV/0!</v>
      </c>
      <c r="AI23" t="e">
        <f t="shared" si="8"/>
        <v>#DIV/0!</v>
      </c>
    </row>
    <row r="24" spans="1:35" x14ac:dyDescent="0.25">
      <c r="A24">
        <v>284.94</v>
      </c>
      <c r="B24">
        <f t="shared" si="0"/>
        <v>0.11139297459705348</v>
      </c>
      <c r="C24">
        <v>125.6</v>
      </c>
      <c r="D24">
        <v>44.8</v>
      </c>
      <c r="E24" s="1">
        <v>4.3010000000000001E-3</v>
      </c>
      <c r="F24">
        <v>0.57099999999999995</v>
      </c>
      <c r="G24" s="2">
        <v>2E-3</v>
      </c>
      <c r="H24">
        <v>0.81</v>
      </c>
      <c r="I24">
        <v>5547</v>
      </c>
      <c r="J24" t="s">
        <v>60</v>
      </c>
      <c r="K24">
        <f>2.3565*24*3600</f>
        <v>203601.59999999998</v>
      </c>
      <c r="L24">
        <f t="shared" si="1"/>
        <v>3.4044289463341415E-6</v>
      </c>
      <c r="M24">
        <v>7.9000000000000008E-3</v>
      </c>
      <c r="N24">
        <f t="shared" si="2"/>
        <v>4.8878953077552296</v>
      </c>
      <c r="O24">
        <f t="shared" si="3"/>
        <v>3.8380618427731231E-4</v>
      </c>
      <c r="P24">
        <f t="shared" si="4"/>
        <v>0.43614116129555897</v>
      </c>
      <c r="Q24" s="1">
        <f t="shared" si="5"/>
        <v>5.8467647221952506</v>
      </c>
      <c r="R24">
        <f t="shared" si="11"/>
        <v>6.1426530194186455</v>
      </c>
      <c r="S24">
        <f t="shared" si="12"/>
        <v>1872.9295669019632</v>
      </c>
      <c r="T24">
        <v>22</v>
      </c>
      <c r="U24">
        <v>238</v>
      </c>
      <c r="W24" s="4">
        <v>2.7094899999999998E-21</v>
      </c>
      <c r="X24">
        <f t="shared" si="9"/>
        <v>1.8905218129742663E-21</v>
      </c>
      <c r="AH24" t="e">
        <f t="shared" si="10"/>
        <v>#DIV/0!</v>
      </c>
      <c r="AI24" t="e">
        <f t="shared" si="8"/>
        <v>#DIV/0!</v>
      </c>
    </row>
    <row r="25" spans="1:35" x14ac:dyDescent="0.25">
      <c r="A25">
        <v>298.60000000000002</v>
      </c>
      <c r="B25">
        <f t="shared" si="0"/>
        <v>0.10706139171648327</v>
      </c>
      <c r="C25">
        <v>539.70000000000005</v>
      </c>
      <c r="D25">
        <v>59.6</v>
      </c>
      <c r="E25" s="1">
        <v>1.8499999999999999E-2</v>
      </c>
      <c r="F25">
        <v>1.03</v>
      </c>
      <c r="G25" s="2">
        <v>3.5000000000000001E-3</v>
      </c>
      <c r="H25">
        <v>1.03</v>
      </c>
      <c r="I25">
        <v>5508</v>
      </c>
      <c r="L25" t="e">
        <f t="shared" si="1"/>
        <v>#DIV/0!</v>
      </c>
      <c r="N25" t="e">
        <f t="shared" si="2"/>
        <v>#DIV/0!</v>
      </c>
      <c r="O25">
        <f t="shared" si="3"/>
        <v>7.9559740439136229E-4</v>
      </c>
      <c r="P25" t="e">
        <f t="shared" si="4"/>
        <v>#DIV/0!</v>
      </c>
      <c r="Q25" s="1" t="e">
        <f t="shared" si="5"/>
        <v>#DIV/0!</v>
      </c>
      <c r="R25" t="e">
        <f t="shared" si="11"/>
        <v>#DIV/0!</v>
      </c>
      <c r="S25" t="e">
        <f t="shared" si="12"/>
        <v>#DIV/0!</v>
      </c>
      <c r="T25">
        <f>T24+1</f>
        <v>23</v>
      </c>
      <c r="X25">
        <f t="shared" si="9"/>
        <v>0</v>
      </c>
      <c r="AH25" t="e">
        <f t="shared" si="10"/>
        <v>#DIV/0!</v>
      </c>
      <c r="AI25" t="e">
        <f t="shared" si="8"/>
        <v>#DIV/0!</v>
      </c>
    </row>
    <row r="26" spans="1:35" x14ac:dyDescent="0.25">
      <c r="A26">
        <v>304.81</v>
      </c>
      <c r="B26">
        <f t="shared" si="0"/>
        <v>0.10521101403191566</v>
      </c>
      <c r="C26">
        <v>342</v>
      </c>
      <c r="D26">
        <v>66.099999999999994</v>
      </c>
      <c r="E26" s="1">
        <v>1.17E-2</v>
      </c>
      <c r="F26">
        <v>1.44</v>
      </c>
      <c r="G26" s="2">
        <v>4.7000000000000002E-3</v>
      </c>
      <c r="H26">
        <v>1.03</v>
      </c>
      <c r="I26">
        <v>4722</v>
      </c>
      <c r="L26" t="e">
        <f t="shared" si="1"/>
        <v>#DIV/0!</v>
      </c>
      <c r="N26" t="e">
        <f t="shared" si="2"/>
        <v>#DIV/0!</v>
      </c>
      <c r="O26">
        <f t="shared" si="3"/>
        <v>6.3333020578448384E-4</v>
      </c>
      <c r="P26" t="e">
        <f t="shared" si="4"/>
        <v>#DIV/0!</v>
      </c>
      <c r="Q26" s="1" t="e">
        <f t="shared" si="5"/>
        <v>#DIV/0!</v>
      </c>
      <c r="R26" t="e">
        <f t="shared" si="11"/>
        <v>#DIV/0!</v>
      </c>
      <c r="S26" t="e">
        <f t="shared" si="12"/>
        <v>#DIV/0!</v>
      </c>
      <c r="T26">
        <f t="shared" ref="T26:T80" si="13">T25+1</f>
        <v>24</v>
      </c>
      <c r="X26">
        <f t="shared" si="9"/>
        <v>0</v>
      </c>
      <c r="AH26" t="e">
        <f t="shared" si="10"/>
        <v>#DIV/0!</v>
      </c>
      <c r="AI26" t="e">
        <f t="shared" si="8"/>
        <v>#DIV/0!</v>
      </c>
    </row>
    <row r="27" spans="1:35" x14ac:dyDescent="0.25">
      <c r="A27">
        <v>307.77999999999997</v>
      </c>
      <c r="B27">
        <f t="shared" si="0"/>
        <v>0.10435045167411112</v>
      </c>
      <c r="C27">
        <v>214.5</v>
      </c>
      <c r="D27">
        <v>51.5</v>
      </c>
      <c r="E27" s="1">
        <v>7.3499999999999998E-3</v>
      </c>
      <c r="F27">
        <v>0.82499999999999996</v>
      </c>
      <c r="G27" s="2">
        <v>2.7000000000000001E-3</v>
      </c>
      <c r="H27">
        <v>1.46</v>
      </c>
      <c r="I27">
        <v>3930</v>
      </c>
      <c r="L27" t="e">
        <f t="shared" si="1"/>
        <v>#DIV/0!</v>
      </c>
      <c r="N27" t="e">
        <f t="shared" si="2"/>
        <v>#DIV/0!</v>
      </c>
      <c r="O27">
        <f t="shared" si="3"/>
        <v>5.0156912725605508E-4</v>
      </c>
      <c r="P27" t="e">
        <f t="shared" si="4"/>
        <v>#DIV/0!</v>
      </c>
      <c r="Q27" s="1" t="e">
        <f t="shared" si="5"/>
        <v>#DIV/0!</v>
      </c>
      <c r="R27" t="e">
        <f t="shared" si="11"/>
        <v>#DIV/0!</v>
      </c>
      <c r="S27" t="e">
        <f t="shared" si="12"/>
        <v>#DIV/0!</v>
      </c>
      <c r="T27">
        <f t="shared" si="13"/>
        <v>25</v>
      </c>
      <c r="X27">
        <f t="shared" si="9"/>
        <v>0</v>
      </c>
      <c r="AH27" t="e">
        <f t="shared" si="10"/>
        <v>#DIV/0!</v>
      </c>
      <c r="AI27" t="e">
        <f t="shared" si="8"/>
        <v>#DIV/0!</v>
      </c>
    </row>
    <row r="28" spans="1:35" x14ac:dyDescent="0.25">
      <c r="A28">
        <v>311.70999999999998</v>
      </c>
      <c r="B28">
        <f t="shared" si="0"/>
        <v>0.10323502692464254</v>
      </c>
      <c r="C28">
        <v>215.5</v>
      </c>
      <c r="D28">
        <v>59.1</v>
      </c>
      <c r="E28" s="1">
        <v>7.3800000000000003E-3</v>
      </c>
      <c r="F28">
        <v>1.18</v>
      </c>
      <c r="G28" s="2">
        <v>3.8E-3</v>
      </c>
      <c r="H28">
        <v>1.51</v>
      </c>
      <c r="I28">
        <v>4319</v>
      </c>
      <c r="L28" t="e">
        <f t="shared" si="1"/>
        <v>#DIV/0!</v>
      </c>
      <c r="N28" t="e">
        <f t="shared" si="2"/>
        <v>#DIV/0!</v>
      </c>
      <c r="O28">
        <f t="shared" si="3"/>
        <v>5.0273692657202738E-4</v>
      </c>
      <c r="P28" t="e">
        <f t="shared" si="4"/>
        <v>#DIV/0!</v>
      </c>
      <c r="Q28" s="1" t="e">
        <f t="shared" si="5"/>
        <v>#DIV/0!</v>
      </c>
      <c r="R28" t="e">
        <f t="shared" si="11"/>
        <v>#DIV/0!</v>
      </c>
      <c r="S28" t="e">
        <f t="shared" si="12"/>
        <v>#DIV/0!</v>
      </c>
      <c r="T28">
        <f t="shared" si="13"/>
        <v>26</v>
      </c>
      <c r="X28">
        <f t="shared" si="9"/>
        <v>0</v>
      </c>
      <c r="AH28" t="e">
        <f t="shared" si="10"/>
        <v>#DIV/0!</v>
      </c>
      <c r="AI28" t="e">
        <f t="shared" si="8"/>
        <v>#DIV/0!</v>
      </c>
    </row>
    <row r="29" spans="1:35" x14ac:dyDescent="0.25">
      <c r="A29">
        <v>315.83</v>
      </c>
      <c r="B29">
        <f t="shared" si="0"/>
        <v>0.10209322783580149</v>
      </c>
      <c r="C29">
        <v>537.4</v>
      </c>
      <c r="D29">
        <v>61.7</v>
      </c>
      <c r="E29" s="1">
        <v>1.84E-2</v>
      </c>
      <c r="F29">
        <v>1.19</v>
      </c>
      <c r="G29" s="2">
        <v>3.8E-3</v>
      </c>
      <c r="H29">
        <v>1.61</v>
      </c>
      <c r="I29">
        <v>4466</v>
      </c>
      <c r="J29" t="s">
        <v>60</v>
      </c>
      <c r="K29">
        <f>2.3565*24*3600</f>
        <v>203601.59999999998</v>
      </c>
      <c r="L29">
        <f t="shared" si="1"/>
        <v>3.4044289463341415E-6</v>
      </c>
      <c r="M29">
        <v>1.6E-2</v>
      </c>
      <c r="N29">
        <f t="shared" si="2"/>
        <v>11.26673016123115</v>
      </c>
      <c r="O29">
        <f t="shared" si="3"/>
        <v>7.9390032475877743E-4</v>
      </c>
      <c r="P29">
        <f t="shared" si="4"/>
        <v>0.48601431602521583</v>
      </c>
      <c r="Q29" s="1">
        <f t="shared" si="5"/>
        <v>13.476949953625779</v>
      </c>
      <c r="R29">
        <f t="shared" si="11"/>
        <v>14.158980437665168</v>
      </c>
      <c r="S29">
        <f t="shared" si="12"/>
        <v>4317.1530306296527</v>
      </c>
      <c r="T29">
        <f t="shared" si="13"/>
        <v>27</v>
      </c>
      <c r="U29">
        <v>238</v>
      </c>
      <c r="W29" s="4">
        <v>2.7094899999999998E-21</v>
      </c>
      <c r="X29">
        <f t="shared" si="9"/>
        <v>1.8905218129742663E-21</v>
      </c>
      <c r="AH29" t="e">
        <f t="shared" si="10"/>
        <v>#DIV/0!</v>
      </c>
      <c r="AI29" t="e">
        <f t="shared" si="8"/>
        <v>#DIV/0!</v>
      </c>
    </row>
    <row r="30" spans="1:35" x14ac:dyDescent="0.25">
      <c r="A30">
        <v>320.13</v>
      </c>
      <c r="B30">
        <f t="shared" si="0"/>
        <v>0.10093051952927688</v>
      </c>
      <c r="C30">
        <v>6021.5</v>
      </c>
      <c r="D30">
        <v>97.1</v>
      </c>
      <c r="E30" s="1">
        <v>0.20599999999999999</v>
      </c>
      <c r="F30">
        <v>1.23</v>
      </c>
      <c r="G30" s="2">
        <v>3.8999999999999998E-3</v>
      </c>
      <c r="H30">
        <v>1.46</v>
      </c>
      <c r="I30">
        <v>10604</v>
      </c>
      <c r="J30" t="s">
        <v>63</v>
      </c>
      <c r="K30">
        <f>27.7*24*3600</f>
        <v>2393280</v>
      </c>
      <c r="L30">
        <f t="shared" si="1"/>
        <v>2.8962226758254166E-7</v>
      </c>
      <c r="M30">
        <v>0.1</v>
      </c>
      <c r="N30">
        <f t="shared" si="2"/>
        <v>20.431456648238157</v>
      </c>
      <c r="O30">
        <f t="shared" si="3"/>
        <v>2.6574768741159114E-3</v>
      </c>
      <c r="P30">
        <f t="shared" si="4"/>
        <v>0.26329765134569211</v>
      </c>
      <c r="Q30" s="1">
        <f t="shared" si="5"/>
        <v>24.439541445260954</v>
      </c>
      <c r="R30">
        <f t="shared" si="11"/>
        <v>24.543189052068207</v>
      </c>
      <c r="S30">
        <f t="shared" si="12"/>
        <v>39.926792160617616</v>
      </c>
      <c r="T30">
        <f t="shared" si="13"/>
        <v>28</v>
      </c>
      <c r="U30">
        <v>50</v>
      </c>
      <c r="V30">
        <v>4.3450000000000003E-2</v>
      </c>
      <c r="W30" s="4">
        <v>1.78634E-23</v>
      </c>
      <c r="X30">
        <f t="shared" si="9"/>
        <v>1.246402361842432E-23</v>
      </c>
      <c r="AH30">
        <f t="shared" si="10"/>
        <v>2.113555607871393E-3</v>
      </c>
      <c r="AI30">
        <f t="shared" si="8"/>
        <v>5.564942275410544E-4</v>
      </c>
    </row>
    <row r="31" spans="1:35" x14ac:dyDescent="0.25">
      <c r="A31">
        <v>328.81</v>
      </c>
      <c r="B31">
        <f t="shared" si="0"/>
        <v>9.8669179901616694E-2</v>
      </c>
      <c r="C31">
        <v>1725.7</v>
      </c>
      <c r="D31">
        <v>72.099999999999994</v>
      </c>
      <c r="E31" s="1">
        <v>5.91E-2</v>
      </c>
      <c r="F31">
        <v>1.27</v>
      </c>
      <c r="G31" s="2">
        <v>3.8999999999999998E-3</v>
      </c>
      <c r="H31">
        <v>1.29</v>
      </c>
      <c r="I31">
        <v>7068</v>
      </c>
      <c r="J31" t="s">
        <v>64</v>
      </c>
      <c r="K31">
        <f>1.6781*24*3600</f>
        <v>144987.84</v>
      </c>
      <c r="L31">
        <f t="shared" si="1"/>
        <v>4.7807263047711129E-6</v>
      </c>
      <c r="M31">
        <v>0.20300000000000001</v>
      </c>
      <c r="N31">
        <f t="shared" si="2"/>
        <v>2.9505629941341636</v>
      </c>
      <c r="O31">
        <f t="shared" si="3"/>
        <v>1.4226556667659509E-3</v>
      </c>
      <c r="P31">
        <f t="shared" si="4"/>
        <v>7.1026798853591283E-2</v>
      </c>
      <c r="Q31" s="1">
        <f t="shared" si="5"/>
        <v>3.5293815719308177</v>
      </c>
      <c r="R31">
        <f t="shared" si="11"/>
        <v>3.7818544620702839</v>
      </c>
      <c r="S31">
        <f t="shared" si="12"/>
        <v>11644.898890351327</v>
      </c>
      <c r="T31">
        <f t="shared" si="13"/>
        <v>29</v>
      </c>
      <c r="U31">
        <v>139</v>
      </c>
      <c r="V31">
        <v>0.99909999999999999</v>
      </c>
      <c r="W31" s="4">
        <v>1.9257700000000001E-23</v>
      </c>
      <c r="X31">
        <f t="shared" si="9"/>
        <v>1.3436883663609953E-23</v>
      </c>
      <c r="AH31">
        <f t="shared" si="10"/>
        <v>4.1880164020454084E-3</v>
      </c>
      <c r="AI31">
        <f t="shared" si="8"/>
        <v>2.9746139858362032E-4</v>
      </c>
    </row>
    <row r="32" spans="1:35" x14ac:dyDescent="0.25">
      <c r="A32">
        <v>334.33</v>
      </c>
      <c r="B32">
        <f t="shared" si="0"/>
        <v>9.728758614736005E-2</v>
      </c>
      <c r="C32">
        <v>590.9</v>
      </c>
      <c r="D32">
        <v>61.6</v>
      </c>
      <c r="E32" s="1">
        <v>2.0199999999999999E-2</v>
      </c>
      <c r="F32">
        <v>1.17</v>
      </c>
      <c r="G32" s="2">
        <v>3.5000000000000001E-3</v>
      </c>
      <c r="H32">
        <v>0.87</v>
      </c>
      <c r="I32">
        <v>5711</v>
      </c>
      <c r="J32" t="s">
        <v>60</v>
      </c>
      <c r="K32">
        <f>2.3565*24*3600</f>
        <v>203601.59999999998</v>
      </c>
      <c r="L32">
        <f t="shared" si="1"/>
        <v>3.4044289463341415E-6</v>
      </c>
      <c r="M32">
        <v>2.7E-2</v>
      </c>
      <c r="N32">
        <f t="shared" si="2"/>
        <v>7.7038877518557651</v>
      </c>
      <c r="O32">
        <f t="shared" si="3"/>
        <v>8.3248064212680434E-4</v>
      </c>
      <c r="P32">
        <f t="shared" si="4"/>
        <v>0.31692241113234249</v>
      </c>
      <c r="Q32" s="1">
        <f t="shared" si="5"/>
        <v>9.2151767366695765</v>
      </c>
      <c r="R32">
        <f t="shared" si="11"/>
        <v>9.6815308799917723</v>
      </c>
      <c r="S32">
        <f t="shared" si="12"/>
        <v>2951.9533954934514</v>
      </c>
      <c r="T32">
        <f t="shared" si="13"/>
        <v>30</v>
      </c>
      <c r="U32">
        <v>238</v>
      </c>
      <c r="W32" s="4">
        <v>2.7094899999999998E-21</v>
      </c>
      <c r="X32">
        <f t="shared" si="9"/>
        <v>1.8905218129742663E-21</v>
      </c>
      <c r="AH32" t="e">
        <f t="shared" si="10"/>
        <v>#DIV/0!</v>
      </c>
      <c r="AI32" t="e">
        <f t="shared" si="8"/>
        <v>#DIV/0!</v>
      </c>
    </row>
    <row r="33" spans="1:35" x14ac:dyDescent="0.25">
      <c r="A33">
        <v>344.36</v>
      </c>
      <c r="B33">
        <f t="shared" si="0"/>
        <v>9.4882078944730885E-2</v>
      </c>
      <c r="C33">
        <v>1571.8</v>
      </c>
      <c r="D33">
        <v>68.2</v>
      </c>
      <c r="E33" s="1">
        <v>5.3800000000000001E-2</v>
      </c>
      <c r="F33">
        <v>1.36</v>
      </c>
      <c r="G33" s="2">
        <v>4.0000000000000001E-3</v>
      </c>
      <c r="H33">
        <v>1.1100000000000001</v>
      </c>
      <c r="I33">
        <v>5662</v>
      </c>
      <c r="L33" t="e">
        <f t="shared" si="1"/>
        <v>#DIV/0!</v>
      </c>
      <c r="N33" t="e">
        <f t="shared" si="2"/>
        <v>#DIV/0!</v>
      </c>
      <c r="O33">
        <f t="shared" si="3"/>
        <v>1.3577374300208841E-3</v>
      </c>
      <c r="P33" t="e">
        <f t="shared" si="4"/>
        <v>#DIV/0!</v>
      </c>
      <c r="Q33" s="1" t="e">
        <f t="shared" si="5"/>
        <v>#DIV/0!</v>
      </c>
      <c r="R33" t="e">
        <f t="shared" si="11"/>
        <v>#DIV/0!</v>
      </c>
      <c r="S33" t="e">
        <f t="shared" si="12"/>
        <v>#DIV/0!</v>
      </c>
      <c r="T33">
        <f t="shared" si="13"/>
        <v>31</v>
      </c>
      <c r="X33">
        <f t="shared" si="9"/>
        <v>0</v>
      </c>
      <c r="AH33" t="e">
        <f t="shared" si="10"/>
        <v>#DIV/0!</v>
      </c>
      <c r="AI33" t="e">
        <f t="shared" si="8"/>
        <v>#DIV/0!</v>
      </c>
    </row>
    <row r="34" spans="1:35" x14ac:dyDescent="0.25">
      <c r="A34">
        <v>364.54</v>
      </c>
      <c r="B34">
        <f t="shared" si="0"/>
        <v>9.0414018632927903E-2</v>
      </c>
      <c r="C34">
        <v>3348.2</v>
      </c>
      <c r="D34">
        <v>75.900000000000006</v>
      </c>
      <c r="E34" s="1">
        <v>0.115</v>
      </c>
      <c r="F34">
        <v>1.29</v>
      </c>
      <c r="G34" s="2">
        <v>3.5000000000000001E-3</v>
      </c>
      <c r="H34">
        <v>0.84</v>
      </c>
      <c r="I34">
        <v>7139</v>
      </c>
      <c r="L34" t="e">
        <f t="shared" si="1"/>
        <v>#DIV/0!</v>
      </c>
      <c r="N34" t="e">
        <f t="shared" si="2"/>
        <v>#DIV/0!</v>
      </c>
      <c r="O34">
        <f t="shared" si="3"/>
        <v>1.9816312600333158E-3</v>
      </c>
      <c r="P34" t="e">
        <f t="shared" si="4"/>
        <v>#DIV/0!</v>
      </c>
      <c r="Q34" s="1" t="e">
        <f t="shared" si="5"/>
        <v>#DIV/0!</v>
      </c>
      <c r="R34" t="e">
        <f t="shared" si="11"/>
        <v>#DIV/0!</v>
      </c>
      <c r="S34" t="e">
        <f t="shared" si="12"/>
        <v>#DIV/0!</v>
      </c>
      <c r="T34">
        <f t="shared" si="13"/>
        <v>32</v>
      </c>
      <c r="X34">
        <f t="shared" si="9"/>
        <v>0</v>
      </c>
      <c r="AH34" t="e">
        <f t="shared" si="10"/>
        <v>#DIV/0!</v>
      </c>
      <c r="AI34" t="e">
        <f t="shared" si="8"/>
        <v>#DIV/0!</v>
      </c>
    </row>
    <row r="35" spans="1:35" x14ac:dyDescent="0.25">
      <c r="A35">
        <v>383.79</v>
      </c>
      <c r="B35">
        <f t="shared" si="0"/>
        <v>8.655788230605721E-2</v>
      </c>
      <c r="C35">
        <v>186.9</v>
      </c>
      <c r="D35">
        <v>45.2</v>
      </c>
      <c r="E35" s="1">
        <v>6.4000000000000003E-3</v>
      </c>
      <c r="F35">
        <v>1.1299999999999999</v>
      </c>
      <c r="G35" s="2">
        <v>3.0000000000000001E-3</v>
      </c>
      <c r="H35">
        <v>0.96</v>
      </c>
      <c r="I35">
        <v>3184</v>
      </c>
      <c r="L35" t="e">
        <f t="shared" si="1"/>
        <v>#DIV/0!</v>
      </c>
      <c r="N35" t="e">
        <f t="shared" si="2"/>
        <v>#DIV/0!</v>
      </c>
      <c r="O35">
        <f t="shared" si="3"/>
        <v>4.6818963972970886E-4</v>
      </c>
      <c r="P35" t="e">
        <f t="shared" si="4"/>
        <v>#DIV/0!</v>
      </c>
      <c r="Q35" s="1" t="e">
        <f t="shared" si="5"/>
        <v>#DIV/0!</v>
      </c>
      <c r="R35" t="e">
        <f t="shared" si="11"/>
        <v>#DIV/0!</v>
      </c>
      <c r="S35" t="e">
        <f t="shared" si="12"/>
        <v>#DIV/0!</v>
      </c>
      <c r="T35">
        <f t="shared" si="13"/>
        <v>33</v>
      </c>
      <c r="X35">
        <f t="shared" si="9"/>
        <v>0</v>
      </c>
      <c r="AH35" t="e">
        <f t="shared" si="10"/>
        <v>#DIV/0!</v>
      </c>
      <c r="AI35" t="e">
        <f t="shared" si="8"/>
        <v>#DIV/0!</v>
      </c>
    </row>
    <row r="36" spans="1:35" x14ac:dyDescent="0.25">
      <c r="A36">
        <v>396.36</v>
      </c>
      <c r="B36">
        <f t="shared" si="0"/>
        <v>8.4227104432919447E-2</v>
      </c>
      <c r="C36">
        <v>901.5</v>
      </c>
      <c r="D36">
        <v>51.7</v>
      </c>
      <c r="E36" s="1">
        <v>3.09E-2</v>
      </c>
      <c r="F36">
        <v>1.1599999999999999</v>
      </c>
      <c r="G36" s="2">
        <v>2.8999999999999998E-3</v>
      </c>
      <c r="H36">
        <v>0.67</v>
      </c>
      <c r="I36">
        <v>3677</v>
      </c>
      <c r="L36" t="e">
        <f t="shared" si="1"/>
        <v>#DIV/0!</v>
      </c>
      <c r="N36" t="e">
        <f t="shared" si="2"/>
        <v>#DIV/0!</v>
      </c>
      <c r="O36">
        <f t="shared" si="3"/>
        <v>1.0282530682193445E-3</v>
      </c>
      <c r="P36" t="e">
        <f t="shared" si="4"/>
        <v>#DIV/0!</v>
      </c>
      <c r="Q36" s="1" t="e">
        <f t="shared" si="5"/>
        <v>#DIV/0!</v>
      </c>
      <c r="R36" t="e">
        <f t="shared" si="11"/>
        <v>#DIV/0!</v>
      </c>
      <c r="S36" t="e">
        <f t="shared" si="12"/>
        <v>#DIV/0!</v>
      </c>
      <c r="T36">
        <f t="shared" si="13"/>
        <v>34</v>
      </c>
      <c r="X36">
        <f t="shared" si="9"/>
        <v>0</v>
      </c>
      <c r="AH36" t="e">
        <f t="shared" si="10"/>
        <v>#DIV/0!</v>
      </c>
      <c r="AI36" t="e">
        <f t="shared" si="8"/>
        <v>#DIV/0!</v>
      </c>
    </row>
    <row r="37" spans="1:35" x14ac:dyDescent="0.25">
      <c r="A37">
        <v>423.77</v>
      </c>
      <c r="B37">
        <f t="shared" si="0"/>
        <v>7.9589295693817813E-2</v>
      </c>
      <c r="C37">
        <v>409.3</v>
      </c>
      <c r="D37">
        <v>49.7</v>
      </c>
      <c r="E37" s="1">
        <v>1.4E-2</v>
      </c>
      <c r="F37">
        <v>1.78</v>
      </c>
      <c r="G37" s="2">
        <v>4.1999999999999997E-3</v>
      </c>
      <c r="H37">
        <v>1.48</v>
      </c>
      <c r="I37">
        <v>2263</v>
      </c>
      <c r="L37" t="e">
        <f t="shared" si="1"/>
        <v>#DIV/0!</v>
      </c>
      <c r="N37" t="e">
        <f t="shared" si="2"/>
        <v>#DIV/0!</v>
      </c>
      <c r="O37">
        <f t="shared" si="3"/>
        <v>6.9284808490452225E-4</v>
      </c>
      <c r="P37" t="e">
        <f t="shared" si="4"/>
        <v>#DIV/0!</v>
      </c>
      <c r="Q37" s="1" t="e">
        <f t="shared" si="5"/>
        <v>#DIV/0!</v>
      </c>
      <c r="R37" t="e">
        <f t="shared" si="11"/>
        <v>#DIV/0!</v>
      </c>
      <c r="S37" t="e">
        <f t="shared" si="12"/>
        <v>#DIV/0!</v>
      </c>
      <c r="T37">
        <f t="shared" si="13"/>
        <v>35</v>
      </c>
      <c r="X37">
        <f t="shared" si="9"/>
        <v>0</v>
      </c>
      <c r="AH37" t="e">
        <f t="shared" si="10"/>
        <v>#DIV/0!</v>
      </c>
      <c r="AI37" t="e">
        <f t="shared" si="8"/>
        <v>#DIV/0!</v>
      </c>
    </row>
    <row r="38" spans="1:35" x14ac:dyDescent="0.25">
      <c r="A38">
        <v>432.82</v>
      </c>
      <c r="B38">
        <f t="shared" si="0"/>
        <v>7.817747645369931E-2</v>
      </c>
      <c r="C38">
        <v>221.4</v>
      </c>
      <c r="D38">
        <v>45.1</v>
      </c>
      <c r="E38" s="1">
        <v>7.5799999999999999E-3</v>
      </c>
      <c r="F38">
        <v>1.43</v>
      </c>
      <c r="G38" s="2">
        <v>3.3E-3</v>
      </c>
      <c r="H38">
        <v>0.65</v>
      </c>
      <c r="I38">
        <v>2998</v>
      </c>
      <c r="J38" t="s">
        <v>64</v>
      </c>
      <c r="K38">
        <f>1.6781*24*3600</f>
        <v>144987.84</v>
      </c>
      <c r="L38">
        <f t="shared" si="1"/>
        <v>4.7807263047711129E-6</v>
      </c>
      <c r="M38">
        <v>2.8999999999999998E-3</v>
      </c>
      <c r="N38">
        <f t="shared" si="2"/>
        <v>33.443761663080316</v>
      </c>
      <c r="O38">
        <f t="shared" si="3"/>
        <v>5.0957246990290046E-4</v>
      </c>
      <c r="P38">
        <f t="shared" si="4"/>
        <v>2.2476377182393552</v>
      </c>
      <c r="Q38" s="1">
        <f t="shared" si="5"/>
        <v>40.004499596986022</v>
      </c>
      <c r="R38">
        <f t="shared" si="11"/>
        <v>42.866205373476703</v>
      </c>
      <c r="S38">
        <f t="shared" si="12"/>
        <v>131991.4958107381</v>
      </c>
      <c r="T38">
        <f t="shared" si="13"/>
        <v>36</v>
      </c>
      <c r="U38">
        <v>139</v>
      </c>
      <c r="V38">
        <v>0.99909999999999999</v>
      </c>
      <c r="W38" s="4">
        <v>1.9257700000000001E-23</v>
      </c>
      <c r="X38">
        <f t="shared" si="9"/>
        <v>1.3436883663609953E-23</v>
      </c>
      <c r="AH38">
        <f t="shared" si="10"/>
        <v>4.7469931219746422E-2</v>
      </c>
      <c r="AI38">
        <f t="shared" si="8"/>
        <v>0.10669520789172998</v>
      </c>
    </row>
    <row r="39" spans="1:35" x14ac:dyDescent="0.25">
      <c r="A39">
        <v>487.19</v>
      </c>
      <c r="B39">
        <f t="shared" si="0"/>
        <v>7.0721820645538822E-2</v>
      </c>
      <c r="C39">
        <v>3234.2</v>
      </c>
      <c r="D39">
        <v>72.5</v>
      </c>
      <c r="E39" s="1">
        <v>0.111</v>
      </c>
      <c r="F39">
        <v>1.46</v>
      </c>
      <c r="G39" s="2">
        <v>3.0000000000000001E-3</v>
      </c>
      <c r="H39">
        <v>1.59</v>
      </c>
      <c r="I39">
        <v>4842</v>
      </c>
      <c r="J39" t="s">
        <v>64</v>
      </c>
      <c r="K39">
        <f>1.6781*24*3600</f>
        <v>144987.84</v>
      </c>
      <c r="L39">
        <f t="shared" si="1"/>
        <v>4.7807263047711129E-6</v>
      </c>
      <c r="M39">
        <v>0.45500000000000002</v>
      </c>
      <c r="N39">
        <f t="shared" si="2"/>
        <v>3.4420659895937717</v>
      </c>
      <c r="O39">
        <f t="shared" si="3"/>
        <v>1.9476036731211224E-3</v>
      </c>
      <c r="P39">
        <f t="shared" si="4"/>
        <v>6.0525133461807303E-2</v>
      </c>
      <c r="Q39" s="1">
        <f t="shared" si="5"/>
        <v>4.117303815303555</v>
      </c>
      <c r="R39">
        <f t="shared" si="11"/>
        <v>4.4118334864785691</v>
      </c>
      <c r="S39">
        <f t="shared" si="12"/>
        <v>13584.69909045229</v>
      </c>
      <c r="T39">
        <f t="shared" si="13"/>
        <v>37</v>
      </c>
      <c r="U39">
        <v>139</v>
      </c>
      <c r="V39">
        <v>0.99909999999999999</v>
      </c>
      <c r="W39" s="4">
        <v>1.9257700000000001E-23</v>
      </c>
      <c r="X39">
        <f t="shared" si="9"/>
        <v>1.3436883663609953E-23</v>
      </c>
      <c r="AH39">
        <f t="shared" si="10"/>
        <v>4.8856536362720674E-3</v>
      </c>
      <c r="AI39">
        <f t="shared" si="8"/>
        <v>2.9570483838353104E-4</v>
      </c>
    </row>
    <row r="40" spans="1:35" x14ac:dyDescent="0.25">
      <c r="A40">
        <v>489.28</v>
      </c>
      <c r="B40">
        <f t="shared" si="0"/>
        <v>7.0465863185092334E-2</v>
      </c>
      <c r="C40">
        <v>2852.4</v>
      </c>
      <c r="D40">
        <v>78.7</v>
      </c>
      <c r="E40" s="1">
        <v>9.7699999999999995E-2</v>
      </c>
      <c r="F40">
        <v>1.1599999999999999</v>
      </c>
      <c r="G40" s="2">
        <v>2.3999999999999998E-3</v>
      </c>
      <c r="H40">
        <v>4.92</v>
      </c>
      <c r="I40">
        <v>5634</v>
      </c>
      <c r="J40" t="s">
        <v>49</v>
      </c>
      <c r="K40">
        <v>391910.40000000002</v>
      </c>
      <c r="L40">
        <f t="shared" si="1"/>
        <v>1.7686368633237221E-6</v>
      </c>
      <c r="M40">
        <v>6.2E-2</v>
      </c>
      <c r="N40">
        <f t="shared" si="2"/>
        <v>22.359243755551123</v>
      </c>
      <c r="O40">
        <f t="shared" si="3"/>
        <v>1.8290364585411964E-3</v>
      </c>
      <c r="P40">
        <f t="shared" si="4"/>
        <v>0.41865077226823982</v>
      </c>
      <c r="Q40" s="1">
        <f t="shared" si="5"/>
        <v>26.745506884630529</v>
      </c>
      <c r="R40">
        <f t="shared" si="11"/>
        <v>27.443158842778086</v>
      </c>
      <c r="S40">
        <f t="shared" si="12"/>
        <v>535.77734297850589</v>
      </c>
      <c r="T40">
        <f t="shared" si="13"/>
        <v>38</v>
      </c>
      <c r="U40">
        <v>46</v>
      </c>
      <c r="V40">
        <v>4.0000000000000003E-5</v>
      </c>
      <c r="W40" s="4">
        <v>3.6853499999999998E-24</v>
      </c>
      <c r="X40">
        <f t="shared" si="9"/>
        <v>2.5714191834790725E-24</v>
      </c>
      <c r="AH40">
        <f t="shared" si="10"/>
        <v>22.497273139394181</v>
      </c>
      <c r="AI40">
        <f t="shared" si="8"/>
        <v>9.418500773736902</v>
      </c>
    </row>
    <row r="41" spans="1:35" x14ac:dyDescent="0.25">
      <c r="A41">
        <v>496.99</v>
      </c>
      <c r="B41">
        <f t="shared" si="0"/>
        <v>6.9538847433625733E-2</v>
      </c>
      <c r="C41">
        <v>2676.2</v>
      </c>
      <c r="D41">
        <v>67.8</v>
      </c>
      <c r="E41" s="1">
        <v>9.1700000000000004E-2</v>
      </c>
      <c r="F41">
        <v>1.58</v>
      </c>
      <c r="G41" s="2">
        <v>3.2000000000000002E-3</v>
      </c>
      <c r="H41">
        <v>1.1200000000000001</v>
      </c>
      <c r="I41">
        <v>5569</v>
      </c>
      <c r="J41" t="s">
        <v>61</v>
      </c>
      <c r="K41">
        <f>11.5*24*3600</f>
        <v>993600</v>
      </c>
      <c r="L41">
        <f t="shared" si="1"/>
        <v>6.976118966988177E-7</v>
      </c>
      <c r="M41">
        <v>0.47</v>
      </c>
      <c r="N41">
        <f t="shared" si="2"/>
        <v>2.8042089349727246</v>
      </c>
      <c r="O41">
        <f t="shared" si="3"/>
        <v>1.7716438938724227E-3</v>
      </c>
      <c r="P41">
        <f t="shared" si="4"/>
        <v>5.4206464910760775E-2</v>
      </c>
      <c r="Q41" s="1">
        <f t="shared" si="5"/>
        <v>3.3543169078621111</v>
      </c>
      <c r="R41">
        <f t="shared" si="11"/>
        <v>3.388650070104287</v>
      </c>
      <c r="S41">
        <f t="shared" si="12"/>
        <v>10.941191738323074</v>
      </c>
      <c r="T41">
        <f t="shared" si="13"/>
        <v>39</v>
      </c>
      <c r="U41">
        <v>130</v>
      </c>
      <c r="V41">
        <v>1.06E-3</v>
      </c>
      <c r="W41" s="4">
        <v>9.6839200000000003E-24</v>
      </c>
      <c r="X41">
        <f t="shared" si="9"/>
        <v>6.7568664195467635E-24</v>
      </c>
      <c r="AH41">
        <f t="shared" si="10"/>
        <v>4.7271801501617534E-2</v>
      </c>
      <c r="AI41">
        <f t="shared" si="8"/>
        <v>2.5624372493658794E-3</v>
      </c>
    </row>
    <row r="42" spans="1:35" x14ac:dyDescent="0.25">
      <c r="A42">
        <v>514.15</v>
      </c>
      <c r="B42">
        <f t="shared" si="0"/>
        <v>6.7567967230270629E-2</v>
      </c>
      <c r="C42">
        <v>39565.1</v>
      </c>
      <c r="D42">
        <v>203.9</v>
      </c>
      <c r="E42" s="1">
        <v>1.36</v>
      </c>
      <c r="F42">
        <v>1.4</v>
      </c>
      <c r="G42" s="2">
        <v>2.7000000000000001E-3</v>
      </c>
      <c r="H42">
        <v>6.28</v>
      </c>
      <c r="I42">
        <v>43101</v>
      </c>
      <c r="J42" t="s">
        <v>36</v>
      </c>
      <c r="L42" t="e">
        <f t="shared" si="1"/>
        <v>#DIV/0!</v>
      </c>
      <c r="N42" t="e">
        <f t="shared" si="2"/>
        <v>#DIV/0!</v>
      </c>
      <c r="O42">
        <f t="shared" si="3"/>
        <v>6.8119787172238487E-3</v>
      </c>
      <c r="P42" t="e">
        <f t="shared" si="4"/>
        <v>#DIV/0!</v>
      </c>
      <c r="Q42" s="1" t="e">
        <f t="shared" si="5"/>
        <v>#DIV/0!</v>
      </c>
      <c r="R42" t="e">
        <f t="shared" si="11"/>
        <v>#DIV/0!</v>
      </c>
      <c r="S42" t="e">
        <f t="shared" si="12"/>
        <v>#DIV/0!</v>
      </c>
      <c r="T42">
        <f t="shared" si="13"/>
        <v>40</v>
      </c>
      <c r="X42">
        <f t="shared" si="9"/>
        <v>0</v>
      </c>
      <c r="AH42" t="e">
        <f t="shared" si="10"/>
        <v>#DIV/0!</v>
      </c>
      <c r="AI42" t="e">
        <f t="shared" si="8"/>
        <v>#DIV/0!</v>
      </c>
    </row>
    <row r="43" spans="1:35" x14ac:dyDescent="0.25">
      <c r="A43">
        <v>522.49</v>
      </c>
      <c r="B43">
        <f t="shared" si="0"/>
        <v>6.6653336896890708E-2</v>
      </c>
      <c r="C43">
        <v>152</v>
      </c>
      <c r="D43">
        <v>38.1</v>
      </c>
      <c r="E43" s="1">
        <v>5.2100000000000002E-3</v>
      </c>
      <c r="F43">
        <v>1.37</v>
      </c>
      <c r="G43" s="2">
        <v>2.5999999999999999E-3</v>
      </c>
      <c r="H43">
        <v>0.81</v>
      </c>
      <c r="I43">
        <v>2186</v>
      </c>
      <c r="L43" t="e">
        <f t="shared" si="1"/>
        <v>#DIV/0!</v>
      </c>
      <c r="N43" t="e">
        <f t="shared" si="2"/>
        <v>#DIV/0!</v>
      </c>
      <c r="O43">
        <f t="shared" si="3"/>
        <v>4.2222013718965591E-4</v>
      </c>
      <c r="P43" t="e">
        <f t="shared" si="4"/>
        <v>#DIV/0!</v>
      </c>
      <c r="Q43" s="1" t="e">
        <f t="shared" si="5"/>
        <v>#DIV/0!</v>
      </c>
      <c r="R43" t="e">
        <f t="shared" si="11"/>
        <v>#DIV/0!</v>
      </c>
      <c r="S43" t="e">
        <f t="shared" si="12"/>
        <v>#DIV/0!</v>
      </c>
      <c r="T43">
        <f t="shared" si="13"/>
        <v>41</v>
      </c>
      <c r="X43">
        <f t="shared" si="9"/>
        <v>0</v>
      </c>
      <c r="AH43" t="e">
        <f t="shared" si="10"/>
        <v>#DIV/0!</v>
      </c>
      <c r="AI43" t="e">
        <f t="shared" si="8"/>
        <v>#DIV/0!</v>
      </c>
    </row>
    <row r="44" spans="1:35" x14ac:dyDescent="0.25">
      <c r="A44">
        <v>531.15</v>
      </c>
      <c r="B44">
        <f t="shared" si="0"/>
        <v>6.57317192534424E-2</v>
      </c>
      <c r="C44">
        <v>466</v>
      </c>
      <c r="D44">
        <v>44.2</v>
      </c>
      <c r="E44" s="1">
        <v>1.6E-2</v>
      </c>
      <c r="F44">
        <v>1.55</v>
      </c>
      <c r="G44" s="2">
        <v>2.8999999999999998E-3</v>
      </c>
      <c r="H44">
        <v>1.27</v>
      </c>
      <c r="I44">
        <v>2694</v>
      </c>
      <c r="J44" t="s">
        <v>49</v>
      </c>
      <c r="K44">
        <v>391910.40000000002</v>
      </c>
      <c r="L44">
        <f t="shared" si="1"/>
        <v>1.7686368633237221E-6</v>
      </c>
      <c r="M44">
        <v>9.1E-4</v>
      </c>
      <c r="N44">
        <f t="shared" si="2"/>
        <v>266.80052587193251</v>
      </c>
      <c r="O44">
        <f t="shared" si="3"/>
        <v>7.3928195701790757E-4</v>
      </c>
      <c r="P44">
        <f t="shared" si="4"/>
        <v>12.359295697597137</v>
      </c>
      <c r="Q44" s="1">
        <f t="shared" si="5"/>
        <v>319.13938501427333</v>
      </c>
      <c r="R44">
        <f t="shared" si="11"/>
        <v>327.46408111510368</v>
      </c>
      <c r="S44">
        <f t="shared" si="12"/>
        <v>6393.1355827472044</v>
      </c>
      <c r="T44">
        <f t="shared" si="13"/>
        <v>42</v>
      </c>
      <c r="U44">
        <v>46</v>
      </c>
      <c r="V44">
        <v>4.0000000000000003E-5</v>
      </c>
      <c r="W44" s="4">
        <v>3.6853499999999998E-24</v>
      </c>
      <c r="X44">
        <f t="shared" si="9"/>
        <v>2.5714191834790725E-24</v>
      </c>
      <c r="AH44">
        <f t="shared" si="10"/>
        <v>268.44755439390406</v>
      </c>
      <c r="AI44">
        <f t="shared" si="8"/>
        <v>3317.8227040510519</v>
      </c>
    </row>
    <row r="45" spans="1:35" x14ac:dyDescent="0.25">
      <c r="A45">
        <v>537.47</v>
      </c>
      <c r="B45">
        <f t="shared" si="0"/>
        <v>6.5076459460369593E-2</v>
      </c>
      <c r="C45">
        <v>1676</v>
      </c>
      <c r="D45">
        <v>54.6</v>
      </c>
      <c r="E45" s="1">
        <v>5.74E-2</v>
      </c>
      <c r="F45">
        <v>1.42</v>
      </c>
      <c r="G45" s="2">
        <v>2.5999999999999999E-3</v>
      </c>
      <c r="H45">
        <v>1.27</v>
      </c>
      <c r="I45">
        <v>3627</v>
      </c>
      <c r="L45" t="e">
        <f t="shared" si="1"/>
        <v>#DIV/0!</v>
      </c>
      <c r="N45" t="e">
        <f t="shared" si="2"/>
        <v>#DIV/0!</v>
      </c>
      <c r="O45">
        <f t="shared" si="3"/>
        <v>1.4020198281136109E-3</v>
      </c>
      <c r="P45" t="e">
        <f t="shared" si="4"/>
        <v>#DIV/0!</v>
      </c>
      <c r="Q45" s="1" t="e">
        <f t="shared" si="5"/>
        <v>#DIV/0!</v>
      </c>
      <c r="R45" t="e">
        <f t="shared" si="11"/>
        <v>#DIV/0!</v>
      </c>
      <c r="S45" t="e">
        <f t="shared" si="12"/>
        <v>#DIV/0!</v>
      </c>
      <c r="T45">
        <f t="shared" si="13"/>
        <v>43</v>
      </c>
      <c r="X45">
        <f t="shared" si="9"/>
        <v>0</v>
      </c>
      <c r="AH45" t="e">
        <f t="shared" si="10"/>
        <v>#DIV/0!</v>
      </c>
      <c r="AI45" t="e">
        <f t="shared" si="8"/>
        <v>#DIV/0!</v>
      </c>
    </row>
    <row r="46" spans="1:35" x14ac:dyDescent="0.25">
      <c r="A46">
        <v>554.84</v>
      </c>
      <c r="B46">
        <f t="shared" si="0"/>
        <v>6.3346679168875097E-2</v>
      </c>
      <c r="C46">
        <v>168.1</v>
      </c>
      <c r="D46">
        <v>36</v>
      </c>
      <c r="E46" s="1">
        <v>5.7600000000000004E-3</v>
      </c>
      <c r="F46">
        <v>1.21</v>
      </c>
      <c r="G46" s="2">
        <v>2.2000000000000001E-3</v>
      </c>
      <c r="H46">
        <v>1.1399999999999999</v>
      </c>
      <c r="I46">
        <v>1917</v>
      </c>
      <c r="J46" t="s">
        <v>37</v>
      </c>
      <c r="K46">
        <v>127080</v>
      </c>
      <c r="L46">
        <f t="shared" si="1"/>
        <v>5.4544159628576115E-6</v>
      </c>
      <c r="M46">
        <v>0.70799999999999996</v>
      </c>
      <c r="N46">
        <f t="shared" si="2"/>
        <v>0.12835942163128264</v>
      </c>
      <c r="O46">
        <f t="shared" si="3"/>
        <v>4.4401843858528616E-4</v>
      </c>
      <c r="P46">
        <f t="shared" si="4"/>
        <v>9.9001983291887551E-3</v>
      </c>
      <c r="Q46" s="1">
        <f t="shared" si="5"/>
        <v>0.15353997802785005</v>
      </c>
      <c r="R46">
        <f t="shared" si="11"/>
        <v>0.16611132509267146</v>
      </c>
      <c r="S46">
        <f t="shared" si="12"/>
        <v>1586.3986304899936</v>
      </c>
      <c r="T46">
        <f t="shared" si="13"/>
        <v>44</v>
      </c>
      <c r="U46">
        <v>81</v>
      </c>
      <c r="V46">
        <v>0.49309999999999998</v>
      </c>
      <c r="W46" s="4">
        <v>8.1571100000000004E-24</v>
      </c>
      <c r="X46">
        <f t="shared" si="9"/>
        <v>5.691548736415532E-24</v>
      </c>
      <c r="AH46">
        <f t="shared" si="10"/>
        <v>1.3939361384261587E-3</v>
      </c>
      <c r="AI46">
        <f t="shared" si="8"/>
        <v>1.3800244228642481E-5</v>
      </c>
    </row>
    <row r="47" spans="1:35" x14ac:dyDescent="0.25">
      <c r="A47">
        <v>583.27</v>
      </c>
      <c r="B47">
        <f t="shared" si="0"/>
        <v>6.0721482114309062E-2</v>
      </c>
      <c r="C47">
        <v>143.1</v>
      </c>
      <c r="D47">
        <v>37</v>
      </c>
      <c r="E47" s="1">
        <v>4.8999999999999998E-3</v>
      </c>
      <c r="F47">
        <v>1.4</v>
      </c>
      <c r="G47" s="2">
        <v>2.3999999999999998E-3</v>
      </c>
      <c r="H47">
        <v>0.96</v>
      </c>
      <c r="I47">
        <v>2051</v>
      </c>
      <c r="L47" t="e">
        <f t="shared" si="1"/>
        <v>#DIV/0!</v>
      </c>
      <c r="N47" t="e">
        <f t="shared" si="2"/>
        <v>#DIV/0!</v>
      </c>
      <c r="O47">
        <f t="shared" si="3"/>
        <v>4.0967264460363461E-4</v>
      </c>
      <c r="P47" t="e">
        <f t="shared" si="4"/>
        <v>#DIV/0!</v>
      </c>
      <c r="Q47" s="1" t="e">
        <f t="shared" si="5"/>
        <v>#DIV/0!</v>
      </c>
      <c r="R47" t="e">
        <f t="shared" si="11"/>
        <v>#DIV/0!</v>
      </c>
      <c r="S47" t="e">
        <f t="shared" si="12"/>
        <v>#DIV/0!</v>
      </c>
      <c r="T47">
        <f t="shared" si="13"/>
        <v>45</v>
      </c>
      <c r="X47">
        <f t="shared" si="9"/>
        <v>0</v>
      </c>
      <c r="AH47" t="e">
        <f t="shared" si="10"/>
        <v>#DIV/0!</v>
      </c>
      <c r="AI47" t="e">
        <f t="shared" si="8"/>
        <v>#DIV/0!</v>
      </c>
    </row>
    <row r="48" spans="1:35" x14ac:dyDescent="0.25">
      <c r="A48">
        <v>610.16999999999996</v>
      </c>
      <c r="B48">
        <f t="shared" si="0"/>
        <v>5.8446307306340463E-2</v>
      </c>
      <c r="C48">
        <v>308.7</v>
      </c>
      <c r="D48">
        <v>46.5</v>
      </c>
      <c r="E48" s="1">
        <v>1.06E-2</v>
      </c>
      <c r="F48">
        <v>2.16</v>
      </c>
      <c r="G48" s="2">
        <v>3.5999999999999999E-3</v>
      </c>
      <c r="H48">
        <v>0.9</v>
      </c>
      <c r="I48">
        <v>2554</v>
      </c>
      <c r="L48" t="e">
        <f t="shared" si="1"/>
        <v>#DIV/0!</v>
      </c>
      <c r="N48" t="e">
        <f t="shared" si="2"/>
        <v>#DIV/0!</v>
      </c>
      <c r="O48">
        <f t="shared" si="3"/>
        <v>6.0170755332930093E-4</v>
      </c>
      <c r="P48" t="e">
        <f t="shared" si="4"/>
        <v>#DIV/0!</v>
      </c>
      <c r="Q48" s="1" t="e">
        <f t="shared" si="5"/>
        <v>#DIV/0!</v>
      </c>
      <c r="R48" t="e">
        <f t="shared" si="11"/>
        <v>#DIV/0!</v>
      </c>
      <c r="S48" t="e">
        <f t="shared" si="12"/>
        <v>#DIV/0!</v>
      </c>
      <c r="T48">
        <f t="shared" si="13"/>
        <v>46</v>
      </c>
      <c r="X48">
        <f t="shared" si="9"/>
        <v>0</v>
      </c>
      <c r="AH48" t="e">
        <f t="shared" si="10"/>
        <v>#DIV/0!</v>
      </c>
      <c r="AI48" t="e">
        <f t="shared" si="8"/>
        <v>#DIV/0!</v>
      </c>
    </row>
    <row r="49" spans="1:35" x14ac:dyDescent="0.25">
      <c r="A49">
        <v>636.85</v>
      </c>
      <c r="B49">
        <f t="shared" si="0"/>
        <v>5.6365644776545348E-2</v>
      </c>
      <c r="C49">
        <v>154.69999999999999</v>
      </c>
      <c r="D49">
        <v>36.299999999999997</v>
      </c>
      <c r="E49" s="1">
        <v>5.3E-3</v>
      </c>
      <c r="F49">
        <v>1.37</v>
      </c>
      <c r="G49" s="2">
        <v>2.2000000000000001E-3</v>
      </c>
      <c r="H49">
        <v>1.44</v>
      </c>
      <c r="I49">
        <v>2017</v>
      </c>
      <c r="L49" t="e">
        <f t="shared" si="1"/>
        <v>#DIV/0!</v>
      </c>
      <c r="N49" t="e">
        <f t="shared" si="2"/>
        <v>#DIV/0!</v>
      </c>
      <c r="O49">
        <f t="shared" si="3"/>
        <v>4.2595361207496202E-4</v>
      </c>
      <c r="P49" t="e">
        <f t="shared" si="4"/>
        <v>#DIV/0!</v>
      </c>
      <c r="Q49" s="1" t="e">
        <f t="shared" si="5"/>
        <v>#DIV/0!</v>
      </c>
      <c r="R49" t="e">
        <f t="shared" si="11"/>
        <v>#DIV/0!</v>
      </c>
      <c r="S49" t="e">
        <f t="shared" si="12"/>
        <v>#DIV/0!</v>
      </c>
      <c r="T49">
        <f t="shared" si="13"/>
        <v>47</v>
      </c>
      <c r="X49">
        <f t="shared" si="9"/>
        <v>0</v>
      </c>
      <c r="AH49" t="e">
        <f t="shared" si="10"/>
        <v>#DIV/0!</v>
      </c>
      <c r="AI49" t="e">
        <f t="shared" si="8"/>
        <v>#DIV/0!</v>
      </c>
    </row>
    <row r="50" spans="1:35" x14ac:dyDescent="0.25">
      <c r="A50">
        <v>667.94</v>
      </c>
      <c r="B50">
        <f t="shared" si="0"/>
        <v>5.4135396999626016E-2</v>
      </c>
      <c r="C50">
        <v>674.4</v>
      </c>
      <c r="D50">
        <v>43.7</v>
      </c>
      <c r="E50" s="1">
        <v>2.3099999999999999E-2</v>
      </c>
      <c r="F50">
        <v>1.46</v>
      </c>
      <c r="G50" s="2">
        <v>2.2000000000000001E-3</v>
      </c>
      <c r="H50">
        <v>0.87</v>
      </c>
      <c r="I50">
        <v>2688</v>
      </c>
      <c r="L50" t="e">
        <f t="shared" si="1"/>
        <v>#DIV/0!</v>
      </c>
      <c r="N50" t="e">
        <f t="shared" si="2"/>
        <v>#DIV/0!</v>
      </c>
      <c r="O50">
        <f t="shared" si="3"/>
        <v>8.8935659387010587E-4</v>
      </c>
      <c r="P50" t="e">
        <f t="shared" si="4"/>
        <v>#DIV/0!</v>
      </c>
      <c r="Q50" s="1" t="e">
        <f t="shared" si="5"/>
        <v>#DIV/0!</v>
      </c>
      <c r="R50" t="e">
        <f t="shared" si="11"/>
        <v>#DIV/0!</v>
      </c>
      <c r="S50" t="e">
        <f t="shared" si="12"/>
        <v>#DIV/0!</v>
      </c>
      <c r="T50">
        <f t="shared" si="13"/>
        <v>48</v>
      </c>
      <c r="X50">
        <f t="shared" si="9"/>
        <v>0</v>
      </c>
      <c r="AH50" t="e">
        <f t="shared" si="10"/>
        <v>#DIV/0!</v>
      </c>
      <c r="AI50" t="e">
        <f t="shared" si="8"/>
        <v>#DIV/0!</v>
      </c>
    </row>
    <row r="51" spans="1:35" x14ac:dyDescent="0.25">
      <c r="A51">
        <v>724.31</v>
      </c>
      <c r="B51">
        <f t="shared" si="0"/>
        <v>5.0544966432534116E-2</v>
      </c>
      <c r="C51">
        <v>1108.7</v>
      </c>
      <c r="D51">
        <v>48.1</v>
      </c>
      <c r="E51" s="1">
        <v>3.7999999999999999E-2</v>
      </c>
      <c r="F51">
        <v>1.62</v>
      </c>
      <c r="G51" s="2">
        <v>2.2000000000000001E-3</v>
      </c>
      <c r="H51">
        <v>0.75</v>
      </c>
      <c r="I51">
        <v>2994</v>
      </c>
      <c r="J51" t="s">
        <v>65</v>
      </c>
      <c r="K51">
        <f>64.4*24*3600</f>
        <v>5564160.0000000009</v>
      </c>
      <c r="L51">
        <f t="shared" si="1"/>
        <v>1.2457355298193171E-7</v>
      </c>
      <c r="M51">
        <v>0.44169999999999998</v>
      </c>
      <c r="N51">
        <f t="shared" si="2"/>
        <v>1.7006928441024691</v>
      </c>
      <c r="O51">
        <f t="shared" si="3"/>
        <v>1.1403132542785251E-3</v>
      </c>
      <c r="P51">
        <f t="shared" si="4"/>
        <v>5.1076233132796307E-2</v>
      </c>
      <c r="Q51" s="1">
        <f t="shared" si="5"/>
        <v>2.034321583854628</v>
      </c>
      <c r="R51">
        <f t="shared" si="11"/>
        <v>2.0380295068671543</v>
      </c>
      <c r="S51">
        <f t="shared" si="12"/>
        <v>2.51252327415266</v>
      </c>
      <c r="T51">
        <f t="shared" si="13"/>
        <v>49</v>
      </c>
      <c r="U51">
        <v>94</v>
      </c>
      <c r="V51">
        <v>0.17380000000000001</v>
      </c>
      <c r="W51" s="4">
        <v>8.7085100000000005E-24</v>
      </c>
      <c r="X51">
        <f t="shared" si="9"/>
        <v>6.0762830324173667E-24</v>
      </c>
      <c r="AH51">
        <f t="shared" si="10"/>
        <v>2.9811482762565528E-4</v>
      </c>
      <c r="AI51">
        <f t="shared" si="8"/>
        <v>1.5226582436151354E-5</v>
      </c>
    </row>
    <row r="52" spans="1:35" x14ac:dyDescent="0.25">
      <c r="A52">
        <v>751.85</v>
      </c>
      <c r="B52">
        <f t="shared" si="0"/>
        <v>4.8972335738228241E-2</v>
      </c>
      <c r="C52">
        <v>213.3</v>
      </c>
      <c r="D52">
        <v>30.8</v>
      </c>
      <c r="E52" s="1">
        <v>7.3000000000000001E-3</v>
      </c>
      <c r="F52">
        <v>1.02</v>
      </c>
      <c r="G52" s="2">
        <v>1.4E-3</v>
      </c>
      <c r="H52">
        <v>0.57999999999999996</v>
      </c>
      <c r="I52">
        <v>1443</v>
      </c>
      <c r="J52" t="s">
        <v>64</v>
      </c>
      <c r="K52">
        <f>1.6781*24*3600</f>
        <v>144987.84</v>
      </c>
      <c r="L52">
        <f t="shared" si="1"/>
        <v>4.7807263047711129E-6</v>
      </c>
      <c r="M52">
        <v>4.3299999999999998E-2</v>
      </c>
      <c r="N52">
        <f t="shared" si="2"/>
        <v>3.4448418567875838</v>
      </c>
      <c r="O52">
        <f t="shared" si="3"/>
        <v>5.0016416895772953E-4</v>
      </c>
      <c r="P52">
        <f t="shared" si="4"/>
        <v>0.235870627112687</v>
      </c>
      <c r="Q52" s="1">
        <f t="shared" si="5"/>
        <v>4.1206242306071577</v>
      </c>
      <c r="R52">
        <f t="shared" si="11"/>
        <v>4.4153914263544172</v>
      </c>
      <c r="S52">
        <f t="shared" si="12"/>
        <v>13595.654522642433</v>
      </c>
      <c r="T52">
        <f t="shared" si="13"/>
        <v>50</v>
      </c>
      <c r="U52">
        <v>139</v>
      </c>
      <c r="V52">
        <v>0.99909999999999999</v>
      </c>
      <c r="W52" s="4">
        <v>1.9257700000000001E-23</v>
      </c>
      <c r="X52">
        <f t="shared" si="9"/>
        <v>1.3436883663609953E-23</v>
      </c>
      <c r="AH52">
        <f t="shared" si="10"/>
        <v>4.8895936902077731E-3</v>
      </c>
      <c r="AI52">
        <f t="shared" si="8"/>
        <v>1.1533115300355449E-3</v>
      </c>
    </row>
    <row r="53" spans="1:35" x14ac:dyDescent="0.25">
      <c r="A53">
        <v>757.05</v>
      </c>
      <c r="B53">
        <f t="shared" si="0"/>
        <v>4.8687272143454127E-2</v>
      </c>
      <c r="C53">
        <v>1281.0999999999999</v>
      </c>
      <c r="D53">
        <v>48.5</v>
      </c>
      <c r="E53" s="1">
        <v>4.3900000000000002E-2</v>
      </c>
      <c r="F53">
        <v>1.55</v>
      </c>
      <c r="G53" s="2">
        <v>2.0999999999999999E-3</v>
      </c>
      <c r="H53">
        <v>1.04</v>
      </c>
      <c r="I53">
        <v>2804</v>
      </c>
      <c r="J53" t="s">
        <v>65</v>
      </c>
      <c r="K53">
        <f>24*3600*64.4</f>
        <v>5564160.0000000009</v>
      </c>
      <c r="L53">
        <f t="shared" si="1"/>
        <v>1.2457355298193171E-7</v>
      </c>
      <c r="M53">
        <v>0.54</v>
      </c>
      <c r="N53">
        <f t="shared" si="2"/>
        <v>1.6687488422315528</v>
      </c>
      <c r="O53">
        <f t="shared" si="3"/>
        <v>1.2257690858210408E-3</v>
      </c>
      <c r="P53">
        <f t="shared" si="4"/>
        <v>4.6622919124164434E-2</v>
      </c>
      <c r="Q53" s="1">
        <f t="shared" si="5"/>
        <v>1.9961110553009007</v>
      </c>
      <c r="R53">
        <f t="shared" si="11"/>
        <v>1.9997493326392772</v>
      </c>
      <c r="S53">
        <f t="shared" si="12"/>
        <v>2.4653307146916306</v>
      </c>
      <c r="T53">
        <f t="shared" si="13"/>
        <v>51</v>
      </c>
      <c r="U53">
        <v>94</v>
      </c>
      <c r="V53">
        <v>0.17380000000000001</v>
      </c>
      <c r="W53" s="4">
        <v>8.7085100000000005E-24</v>
      </c>
      <c r="X53">
        <f t="shared" si="9"/>
        <v>6.0762830324173667E-24</v>
      </c>
      <c r="AH53">
        <f t="shared" si="10"/>
        <v>2.9251535641929086E-4</v>
      </c>
      <c r="AI53">
        <f t="shared" si="8"/>
        <v>1.3637919804912732E-5</v>
      </c>
    </row>
    <row r="54" spans="1:35" x14ac:dyDescent="0.25">
      <c r="A54">
        <v>766.09</v>
      </c>
      <c r="B54">
        <f t="shared" si="0"/>
        <v>4.8200213623798692E-2</v>
      </c>
      <c r="C54">
        <v>828.3</v>
      </c>
      <c r="D54">
        <v>45.2</v>
      </c>
      <c r="E54" s="1">
        <v>2.8400000000000002E-2</v>
      </c>
      <c r="F54">
        <v>1.83</v>
      </c>
      <c r="G54" s="2">
        <v>2.3999999999999998E-3</v>
      </c>
      <c r="H54">
        <v>1.03</v>
      </c>
      <c r="I54">
        <v>2616</v>
      </c>
      <c r="J54" t="s">
        <v>49</v>
      </c>
      <c r="K54">
        <v>391910.40000000002</v>
      </c>
      <c r="L54">
        <f t="shared" si="1"/>
        <v>1.7686368633237221E-6</v>
      </c>
      <c r="M54">
        <v>1.91E-3</v>
      </c>
      <c r="N54">
        <f t="shared" si="2"/>
        <v>308.12183784670799</v>
      </c>
      <c r="O54">
        <f t="shared" si="3"/>
        <v>9.8562334000458496E-4</v>
      </c>
      <c r="P54">
        <f t="shared" si="4"/>
        <v>10.706034756063318</v>
      </c>
      <c r="Q54" s="1">
        <f t="shared" si="5"/>
        <v>368.5667916826651</v>
      </c>
      <c r="R54">
        <f t="shared" si="11"/>
        <v>378.1807932057896</v>
      </c>
      <c r="S54">
        <f t="shared" si="12"/>
        <v>7383.2863669272238</v>
      </c>
      <c r="T54">
        <f t="shared" si="13"/>
        <v>52</v>
      </c>
      <c r="U54">
        <v>46</v>
      </c>
      <c r="V54">
        <v>4.0000000000000003E-5</v>
      </c>
      <c r="W54" s="4">
        <v>3.6853499999999998E-24</v>
      </c>
      <c r="X54">
        <f t="shared" si="9"/>
        <v>2.5714191834790725E-24</v>
      </c>
      <c r="AH54">
        <f t="shared" si="10"/>
        <v>310.02395349478365</v>
      </c>
      <c r="AI54">
        <f t="shared" si="8"/>
        <v>3319.1272213273114</v>
      </c>
    </row>
    <row r="55" spans="1:35" x14ac:dyDescent="0.25">
      <c r="A55">
        <v>772.81</v>
      </c>
      <c r="B55">
        <f t="shared" si="0"/>
        <v>4.7844976223498398E-2</v>
      </c>
      <c r="C55">
        <v>573.6</v>
      </c>
      <c r="D55">
        <v>39.700000000000003</v>
      </c>
      <c r="E55" s="1">
        <v>1.9599999999999999E-2</v>
      </c>
      <c r="F55">
        <v>1.63</v>
      </c>
      <c r="G55" s="2">
        <v>2.0999999999999999E-3</v>
      </c>
      <c r="H55">
        <v>1.1499999999999999</v>
      </c>
      <c r="I55">
        <v>1750</v>
      </c>
      <c r="L55" t="e">
        <f t="shared" si="1"/>
        <v>#DIV/0!</v>
      </c>
      <c r="N55" t="e">
        <f t="shared" si="2"/>
        <v>#DIV/0!</v>
      </c>
      <c r="O55">
        <f t="shared" si="3"/>
        <v>8.2020369205055915E-4</v>
      </c>
      <c r="P55" t="e">
        <f t="shared" si="4"/>
        <v>#DIV/0!</v>
      </c>
      <c r="Q55" s="1" t="e">
        <f t="shared" si="5"/>
        <v>#DIV/0!</v>
      </c>
      <c r="R55" t="e">
        <f t="shared" si="11"/>
        <v>#DIV/0!</v>
      </c>
      <c r="S55" t="e">
        <f t="shared" si="12"/>
        <v>#DIV/0!</v>
      </c>
      <c r="T55">
        <f t="shared" si="13"/>
        <v>53</v>
      </c>
      <c r="X55">
        <f t="shared" si="9"/>
        <v>0</v>
      </c>
      <c r="AH55" t="e">
        <f t="shared" si="10"/>
        <v>#DIV/0!</v>
      </c>
      <c r="AI55" t="e">
        <f t="shared" si="8"/>
        <v>#DIV/0!</v>
      </c>
    </row>
    <row r="56" spans="1:35" x14ac:dyDescent="0.25">
      <c r="A56">
        <v>778.96</v>
      </c>
      <c r="B56">
        <f t="shared" si="0"/>
        <v>4.7524834162612904E-2</v>
      </c>
      <c r="C56">
        <v>436.5</v>
      </c>
      <c r="D56">
        <v>41.9</v>
      </c>
      <c r="E56" s="1">
        <v>1.4999999999999999E-2</v>
      </c>
      <c r="F56">
        <v>2.0299999999999998</v>
      </c>
      <c r="G56" s="2">
        <v>2.5999999999999999E-3</v>
      </c>
      <c r="H56">
        <v>1.36</v>
      </c>
      <c r="I56">
        <v>1885</v>
      </c>
      <c r="L56" t="e">
        <f t="shared" si="1"/>
        <v>#DIV/0!</v>
      </c>
      <c r="N56" t="e">
        <f t="shared" si="2"/>
        <v>#DIV/0!</v>
      </c>
      <c r="O56">
        <f t="shared" si="3"/>
        <v>7.1549939780055408E-4</v>
      </c>
      <c r="P56" t="e">
        <f t="shared" si="4"/>
        <v>#DIV/0!</v>
      </c>
      <c r="Q56" s="1" t="e">
        <f t="shared" si="5"/>
        <v>#DIV/0!</v>
      </c>
      <c r="R56" t="e">
        <f t="shared" si="11"/>
        <v>#DIV/0!</v>
      </c>
      <c r="S56" t="e">
        <f t="shared" si="12"/>
        <v>#DIV/0!</v>
      </c>
      <c r="T56">
        <f t="shared" si="13"/>
        <v>54</v>
      </c>
      <c r="X56">
        <f t="shared" si="9"/>
        <v>0</v>
      </c>
      <c r="AH56" t="e">
        <f t="shared" si="10"/>
        <v>#DIV/0!</v>
      </c>
      <c r="AI56" t="e">
        <f t="shared" si="8"/>
        <v>#DIV/0!</v>
      </c>
    </row>
    <row r="57" spans="1:35" x14ac:dyDescent="0.25">
      <c r="A57">
        <v>808.11</v>
      </c>
      <c r="B57">
        <f t="shared" si="0"/>
        <v>4.6068752344485833E-2</v>
      </c>
      <c r="C57">
        <v>2491.4</v>
      </c>
      <c r="D57">
        <v>60</v>
      </c>
      <c r="E57" s="1">
        <v>8.5300000000000001E-2</v>
      </c>
      <c r="F57">
        <v>1.6</v>
      </c>
      <c r="G57" s="2">
        <v>2E-3</v>
      </c>
      <c r="H57">
        <v>0.81</v>
      </c>
      <c r="I57">
        <v>4156</v>
      </c>
      <c r="J57" t="s">
        <v>49</v>
      </c>
      <c r="K57">
        <v>391910.40000000002</v>
      </c>
      <c r="L57">
        <f t="shared" si="1"/>
        <v>1.7686368633237221E-6</v>
      </c>
      <c r="M57">
        <v>6.2E-2</v>
      </c>
      <c r="N57">
        <f t="shared" si="2"/>
        <v>29.871873984306305</v>
      </c>
      <c r="O57">
        <f t="shared" si="3"/>
        <v>1.7093810244011862E-3</v>
      </c>
      <c r="P57">
        <f t="shared" si="4"/>
        <v>0.59846773096276729</v>
      </c>
      <c r="Q57" s="1">
        <f t="shared" si="5"/>
        <v>35.731906679792232</v>
      </c>
      <c r="R57">
        <f t="shared" si="11"/>
        <v>36.663967334728937</v>
      </c>
      <c r="S57">
        <f t="shared" si="12"/>
        <v>715.79671692281238</v>
      </c>
      <c r="T57">
        <f t="shared" si="13"/>
        <v>55</v>
      </c>
      <c r="U57">
        <v>46</v>
      </c>
      <c r="V57">
        <v>4.0000000000000003E-5</v>
      </c>
      <c r="W57" s="4">
        <v>3.6853499999999998E-24</v>
      </c>
      <c r="X57">
        <f t="shared" si="9"/>
        <v>2.5714191834790725E-24</v>
      </c>
      <c r="AH57">
        <f t="shared" si="10"/>
        <v>30.056280773970986</v>
      </c>
      <c r="AI57">
        <f t="shared" si="8"/>
        <v>17.987714155978264</v>
      </c>
    </row>
    <row r="58" spans="1:35" x14ac:dyDescent="0.25">
      <c r="A58">
        <v>816.08</v>
      </c>
      <c r="B58">
        <f t="shared" si="0"/>
        <v>4.5687387182235431E-2</v>
      </c>
      <c r="C58">
        <v>1423.9</v>
      </c>
      <c r="D58">
        <v>50.6</v>
      </c>
      <c r="E58" s="1">
        <v>4.8800000000000003E-2</v>
      </c>
      <c r="F58">
        <v>1.65</v>
      </c>
      <c r="G58" s="2">
        <v>2E-3</v>
      </c>
      <c r="H58">
        <v>1.1299999999999999</v>
      </c>
      <c r="I58">
        <v>3129</v>
      </c>
      <c r="J58" t="s">
        <v>64</v>
      </c>
      <c r="K58">
        <f>1.6781*24*3600</f>
        <v>144987.84</v>
      </c>
      <c r="L58">
        <f t="shared" si="1"/>
        <v>4.7807263047711129E-6</v>
      </c>
      <c r="M58">
        <v>0.23280000000000001</v>
      </c>
      <c r="N58">
        <f t="shared" si="2"/>
        <v>4.5847677515962513</v>
      </c>
      <c r="O58">
        <f t="shared" si="3"/>
        <v>1.2922808050552638E-3</v>
      </c>
      <c r="P58">
        <f t="shared" si="4"/>
        <v>0.12150036866486906</v>
      </c>
      <c r="Q58" s="1">
        <f t="shared" si="5"/>
        <v>5.4841719516701577</v>
      </c>
      <c r="R58">
        <f t="shared" si="11"/>
        <v>5.8764799848031366</v>
      </c>
      <c r="S58">
        <f t="shared" si="12"/>
        <v>18094.566023237432</v>
      </c>
      <c r="T58">
        <f t="shared" si="13"/>
        <v>56</v>
      </c>
      <c r="U58">
        <v>139</v>
      </c>
      <c r="V58">
        <v>0.99909999999999999</v>
      </c>
      <c r="W58" s="4">
        <v>1.9257700000000001E-23</v>
      </c>
      <c r="X58">
        <f t="shared" si="9"/>
        <v>1.3436883663609953E-23</v>
      </c>
      <c r="AH58">
        <f t="shared" si="10"/>
        <v>6.5075995941881147E-3</v>
      </c>
      <c r="AI58">
        <f t="shared" si="8"/>
        <v>7.9067574981720823E-4</v>
      </c>
    </row>
    <row r="59" spans="1:35" x14ac:dyDescent="0.25">
      <c r="A59">
        <v>868.06</v>
      </c>
      <c r="B59">
        <f t="shared" si="0"/>
        <v>4.3359305211826807E-2</v>
      </c>
      <c r="C59">
        <v>347.6</v>
      </c>
      <c r="D59">
        <v>40.299999999999997</v>
      </c>
      <c r="E59" s="1">
        <v>1.1900000000000001E-2</v>
      </c>
      <c r="F59">
        <v>1.86</v>
      </c>
      <c r="G59" s="2">
        <v>2.0999999999999999E-3</v>
      </c>
      <c r="H59">
        <v>0.78</v>
      </c>
      <c r="I59">
        <v>2302</v>
      </c>
      <c r="J59" t="s">
        <v>64</v>
      </c>
      <c r="K59">
        <f>1.6781*24*3600</f>
        <v>144987.84</v>
      </c>
      <c r="L59">
        <f t="shared" si="1"/>
        <v>4.7807263047711129E-6</v>
      </c>
      <c r="M59">
        <v>5.5E-2</v>
      </c>
      <c r="N59">
        <f t="shared" si="2"/>
        <v>4.9917394918345517</v>
      </c>
      <c r="O59">
        <f t="shared" si="3"/>
        <v>6.3849431158473531E-4</v>
      </c>
      <c r="P59">
        <f t="shared" si="4"/>
        <v>0.26773924136109828</v>
      </c>
      <c r="Q59" s="1">
        <f t="shared" si="5"/>
        <v>5.9709802533906124</v>
      </c>
      <c r="R59">
        <f t="shared" si="11"/>
        <v>6.3981119224423368</v>
      </c>
      <c r="S59">
        <f t="shared" si="12"/>
        <v>19700.749241737405</v>
      </c>
      <c r="T59">
        <f t="shared" si="13"/>
        <v>57</v>
      </c>
      <c r="U59">
        <v>139</v>
      </c>
      <c r="V59">
        <v>0.99909999999999999</v>
      </c>
      <c r="W59" s="4">
        <v>1.9257700000000001E-23</v>
      </c>
      <c r="X59">
        <f t="shared" si="9"/>
        <v>1.3436883663609953E-23</v>
      </c>
      <c r="AH59">
        <f t="shared" si="10"/>
        <v>7.0852535289373086E-3</v>
      </c>
      <c r="AI59">
        <f t="shared" si="8"/>
        <v>1.8970004046887194E-3</v>
      </c>
    </row>
    <row r="60" spans="1:35" x14ac:dyDescent="0.25">
      <c r="A60">
        <v>879.7</v>
      </c>
      <c r="B60">
        <f t="shared" si="0"/>
        <v>4.2872869169152054E-2</v>
      </c>
      <c r="C60">
        <v>350.1</v>
      </c>
      <c r="D60">
        <v>40.1</v>
      </c>
      <c r="E60" s="1">
        <v>1.2E-2</v>
      </c>
      <c r="F60">
        <v>1.75</v>
      </c>
      <c r="G60" s="2">
        <v>2E-3</v>
      </c>
      <c r="H60">
        <v>0.88</v>
      </c>
      <c r="I60">
        <v>2213</v>
      </c>
      <c r="L60" t="e">
        <f t="shared" si="1"/>
        <v>#DIV/0!</v>
      </c>
      <c r="N60" t="e">
        <f t="shared" si="2"/>
        <v>#DIV/0!</v>
      </c>
      <c r="O60">
        <f t="shared" si="3"/>
        <v>6.4078627929504148E-4</v>
      </c>
      <c r="P60" t="e">
        <f t="shared" si="4"/>
        <v>#DIV/0!</v>
      </c>
      <c r="Q60" s="1" t="e">
        <f t="shared" si="5"/>
        <v>#DIV/0!</v>
      </c>
      <c r="R60" t="e">
        <f t="shared" si="11"/>
        <v>#DIV/0!</v>
      </c>
      <c r="S60" t="e">
        <f t="shared" si="12"/>
        <v>#DIV/0!</v>
      </c>
      <c r="T60">
        <f t="shared" si="13"/>
        <v>58</v>
      </c>
      <c r="X60">
        <f t="shared" si="9"/>
        <v>0</v>
      </c>
      <c r="AH60" t="e">
        <f t="shared" si="10"/>
        <v>#DIV/0!</v>
      </c>
      <c r="AI60" t="e">
        <f t="shared" si="8"/>
        <v>#DIV/0!</v>
      </c>
    </row>
    <row r="61" spans="1:35" x14ac:dyDescent="0.25">
      <c r="A61">
        <v>889.54</v>
      </c>
      <c r="B61">
        <f t="shared" si="0"/>
        <v>4.2470833574092287E-2</v>
      </c>
      <c r="C61">
        <v>7610.2</v>
      </c>
      <c r="D61">
        <v>94.3</v>
      </c>
      <c r="E61" s="1">
        <v>0.26100000000000001</v>
      </c>
      <c r="F61">
        <v>1.64</v>
      </c>
      <c r="G61" s="2">
        <v>1.8E-3</v>
      </c>
      <c r="H61">
        <v>1.39</v>
      </c>
      <c r="I61">
        <v>9596</v>
      </c>
      <c r="J61" t="s">
        <v>66</v>
      </c>
      <c r="K61">
        <f>83.79*24*3600</f>
        <v>7239456</v>
      </c>
      <c r="L61">
        <f t="shared" si="1"/>
        <v>9.5745755006998491E-8</v>
      </c>
      <c r="M61">
        <v>0.99983999999999995</v>
      </c>
      <c r="N61">
        <f t="shared" si="2"/>
        <v>6.1375059572481021</v>
      </c>
      <c r="O61">
        <f t="shared" si="3"/>
        <v>2.9875500091603494E-3</v>
      </c>
      <c r="P61">
        <f t="shared" si="4"/>
        <v>7.0354825705094395E-2</v>
      </c>
      <c r="Q61" s="1">
        <f t="shared" si="5"/>
        <v>7.3415143029283518</v>
      </c>
      <c r="R61">
        <f t="shared" si="11"/>
        <v>7.3517975302628713</v>
      </c>
      <c r="S61">
        <f t="shared" si="12"/>
        <v>8.6349119245507229</v>
      </c>
      <c r="T61">
        <f t="shared" si="13"/>
        <v>59</v>
      </c>
      <c r="U61">
        <v>45</v>
      </c>
      <c r="V61">
        <v>1</v>
      </c>
      <c r="W61" s="4">
        <v>4.9651599999999999E-23</v>
      </c>
      <c r="X61">
        <f t="shared" si="9"/>
        <v>3.4643948805521733E-23</v>
      </c>
      <c r="AH61">
        <f t="shared" si="10"/>
        <v>1.945282852097221E-5</v>
      </c>
      <c r="AI61">
        <f t="shared" si="8"/>
        <v>1.368600360064089E-6</v>
      </c>
    </row>
    <row r="62" spans="1:35" x14ac:dyDescent="0.25">
      <c r="A62">
        <v>925.51</v>
      </c>
      <c r="B62">
        <f t="shared" si="0"/>
        <v>4.1068528587941237E-2</v>
      </c>
      <c r="C62">
        <v>409.9</v>
      </c>
      <c r="D62">
        <v>39.9</v>
      </c>
      <c r="E62" s="1">
        <v>1.4E-2</v>
      </c>
      <c r="F62">
        <v>1.89</v>
      </c>
      <c r="G62" s="2">
        <v>2E-3</v>
      </c>
      <c r="H62">
        <v>0.77</v>
      </c>
      <c r="I62">
        <v>2026</v>
      </c>
      <c r="J62" t="s">
        <v>64</v>
      </c>
      <c r="K62">
        <f>1.6781*24*3600</f>
        <v>144987.84</v>
      </c>
      <c r="L62">
        <f t="shared" si="1"/>
        <v>4.7807263047711129E-6</v>
      </c>
      <c r="M62">
        <v>6.9000000000000006E-2</v>
      </c>
      <c r="N62">
        <f t="shared" si="2"/>
        <v>4.9537813410032445</v>
      </c>
      <c r="O62">
        <f t="shared" si="3"/>
        <v>6.9335572797048152E-4</v>
      </c>
      <c r="P62">
        <f t="shared" si="4"/>
        <v>0.24467966309494626</v>
      </c>
      <c r="Q62" s="1">
        <f t="shared" si="5"/>
        <v>5.9255757667502928</v>
      </c>
      <c r="R62">
        <f t="shared" si="11"/>
        <v>6.3494594441259267</v>
      </c>
      <c r="S62">
        <f t="shared" si="12"/>
        <v>19550.940940957513</v>
      </c>
      <c r="T62">
        <f t="shared" si="13"/>
        <v>60</v>
      </c>
      <c r="U62">
        <v>139</v>
      </c>
      <c r="V62">
        <v>0.99909999999999999</v>
      </c>
      <c r="W62" s="4">
        <v>1.9257700000000001E-23</v>
      </c>
      <c r="X62">
        <f t="shared" si="9"/>
        <v>1.3436883663609953E-23</v>
      </c>
      <c r="AH62">
        <f t="shared" si="10"/>
        <v>7.0313758931813989E-3</v>
      </c>
      <c r="AI62">
        <f t="shared" si="8"/>
        <v>1.7204346846375516E-3</v>
      </c>
    </row>
    <row r="63" spans="1:35" x14ac:dyDescent="0.25">
      <c r="A63">
        <v>964.75</v>
      </c>
      <c r="B63">
        <f t="shared" si="0"/>
        <v>3.9649217734501009E-2</v>
      </c>
      <c r="C63">
        <v>902.7</v>
      </c>
      <c r="D63">
        <v>59.3</v>
      </c>
      <c r="E63" s="1">
        <v>3.09E-2</v>
      </c>
      <c r="F63">
        <v>4.37</v>
      </c>
      <c r="G63" s="2">
        <v>4.4999999999999997E-3</v>
      </c>
      <c r="H63">
        <v>1.0900000000000001</v>
      </c>
      <c r="I63">
        <v>3922</v>
      </c>
      <c r="L63" t="e">
        <f t="shared" si="1"/>
        <v>#DIV/0!</v>
      </c>
      <c r="N63" t="e">
        <f t="shared" si="2"/>
        <v>#DIV/0!</v>
      </c>
      <c r="O63">
        <f t="shared" si="3"/>
        <v>1.0289372020729547E-3</v>
      </c>
      <c r="P63" t="e">
        <f t="shared" si="4"/>
        <v>#DIV/0!</v>
      </c>
      <c r="Q63" s="1" t="e">
        <f t="shared" si="5"/>
        <v>#DIV/0!</v>
      </c>
      <c r="R63" t="e">
        <f t="shared" si="11"/>
        <v>#DIV/0!</v>
      </c>
      <c r="S63" t="e">
        <f t="shared" si="12"/>
        <v>#DIV/0!</v>
      </c>
      <c r="T63">
        <f t="shared" si="13"/>
        <v>61</v>
      </c>
      <c r="X63">
        <f t="shared" si="9"/>
        <v>0</v>
      </c>
      <c r="AH63" t="e">
        <f t="shared" si="10"/>
        <v>#DIV/0!</v>
      </c>
      <c r="AI63" t="e">
        <f t="shared" si="8"/>
        <v>#DIV/0!</v>
      </c>
    </row>
    <row r="64" spans="1:35" x14ac:dyDescent="0.25">
      <c r="A64">
        <v>1086.0999999999999</v>
      </c>
      <c r="B64">
        <f t="shared" si="0"/>
        <v>3.5863462408303473E-2</v>
      </c>
      <c r="C64">
        <v>313.3</v>
      </c>
      <c r="D64">
        <v>36.5</v>
      </c>
      <c r="E64" s="1">
        <v>1.0699999999999999E-2</v>
      </c>
      <c r="F64">
        <v>1.6</v>
      </c>
      <c r="G64" s="2">
        <v>1.5E-3</v>
      </c>
      <c r="H64">
        <v>1.41</v>
      </c>
      <c r="I64">
        <v>1774</v>
      </c>
      <c r="L64" t="e">
        <f t="shared" si="1"/>
        <v>#DIV/0!</v>
      </c>
      <c r="N64" t="e">
        <f t="shared" si="2"/>
        <v>#DIV/0!</v>
      </c>
      <c r="O64">
        <f t="shared" si="3"/>
        <v>6.0617405765827238E-4</v>
      </c>
      <c r="P64" t="e">
        <f t="shared" si="4"/>
        <v>#DIV/0!</v>
      </c>
      <c r="Q64" s="1" t="e">
        <f t="shared" si="5"/>
        <v>#DIV/0!</v>
      </c>
      <c r="R64" t="e">
        <f t="shared" si="11"/>
        <v>#DIV/0!</v>
      </c>
      <c r="S64" t="e">
        <f t="shared" si="12"/>
        <v>#DIV/0!</v>
      </c>
      <c r="T64">
        <f t="shared" si="13"/>
        <v>62</v>
      </c>
      <c r="X64">
        <f t="shared" si="9"/>
        <v>0</v>
      </c>
      <c r="AH64" t="e">
        <f t="shared" si="10"/>
        <v>#DIV/0!</v>
      </c>
      <c r="AI64" t="e">
        <f t="shared" si="8"/>
        <v>#DIV/0!</v>
      </c>
    </row>
    <row r="65" spans="1:35" x14ac:dyDescent="0.25">
      <c r="A65">
        <v>1099.5899999999999</v>
      </c>
      <c r="B65">
        <f t="shared" si="0"/>
        <v>3.5490447551971047E-2</v>
      </c>
      <c r="C65">
        <v>1160.9000000000001</v>
      </c>
      <c r="D65">
        <v>46.2</v>
      </c>
      <c r="E65" s="1">
        <v>3.9800000000000002E-2</v>
      </c>
      <c r="F65">
        <v>1.82</v>
      </c>
      <c r="G65" s="2">
        <v>1.6999999999999999E-3</v>
      </c>
      <c r="H65">
        <v>1.07</v>
      </c>
      <c r="I65">
        <v>2659</v>
      </c>
      <c r="J65" t="s">
        <v>67</v>
      </c>
      <c r="K65">
        <f>45.1*24*3600</f>
        <v>3896640.0000000005</v>
      </c>
      <c r="L65">
        <f t="shared" si="1"/>
        <v>1.7788329960169407E-7</v>
      </c>
      <c r="M65">
        <v>0.56499999999999995</v>
      </c>
      <c r="N65">
        <f t="shared" si="2"/>
        <v>1.9826773071649859</v>
      </c>
      <c r="O65">
        <f t="shared" si="3"/>
        <v>1.1668487200351002E-3</v>
      </c>
      <c r="P65">
        <f t="shared" si="4"/>
        <v>5.8190840520937731E-2</v>
      </c>
      <c r="Q65" s="1">
        <f t="shared" si="5"/>
        <v>2.3716235731638586</v>
      </c>
      <c r="R65">
        <f t="shared" si="11"/>
        <v>2.3777977483703512</v>
      </c>
      <c r="S65">
        <f t="shared" si="12"/>
        <v>3.2060768916754609</v>
      </c>
      <c r="T65">
        <f t="shared" si="13"/>
        <v>63</v>
      </c>
      <c r="U65">
        <v>58</v>
      </c>
      <c r="V65">
        <v>2.8E-3</v>
      </c>
      <c r="W65" s="4">
        <v>4.2795600000000003E-24</v>
      </c>
      <c r="X65">
        <f t="shared" si="9"/>
        <v>2.9860237645948692E-24</v>
      </c>
      <c r="AH65">
        <f t="shared" si="10"/>
        <v>2.0762263975442272E-2</v>
      </c>
      <c r="AI65">
        <f t="shared" si="8"/>
        <v>1.2081735918485718E-3</v>
      </c>
    </row>
    <row r="66" spans="1:35" x14ac:dyDescent="0.25">
      <c r="A66">
        <v>1112.47</v>
      </c>
      <c r="B66">
        <f t="shared" si="0"/>
        <v>3.5142103300094651E-2</v>
      </c>
      <c r="C66">
        <v>241.8</v>
      </c>
      <c r="D66">
        <v>33.200000000000003</v>
      </c>
      <c r="E66" s="1">
        <v>8.2799999999999992E-3</v>
      </c>
      <c r="F66">
        <v>1.37</v>
      </c>
      <c r="G66" s="2">
        <v>1.1999999999999999E-3</v>
      </c>
      <c r="H66">
        <v>0.96</v>
      </c>
      <c r="I66">
        <v>1377</v>
      </c>
      <c r="L66" t="e">
        <f t="shared" si="1"/>
        <v>#DIV/0!</v>
      </c>
      <c r="N66" t="e">
        <f t="shared" si="2"/>
        <v>#DIV/0!</v>
      </c>
      <c r="O66">
        <f t="shared" si="3"/>
        <v>5.3253149362808669E-4</v>
      </c>
      <c r="P66" t="e">
        <f t="shared" si="4"/>
        <v>#DIV/0!</v>
      </c>
      <c r="Q66" s="1" t="e">
        <f t="shared" si="5"/>
        <v>#DIV/0!</v>
      </c>
      <c r="R66" t="e">
        <f t="shared" si="11"/>
        <v>#DIV/0!</v>
      </c>
      <c r="S66" t="e">
        <f t="shared" si="12"/>
        <v>#DIV/0!</v>
      </c>
      <c r="T66">
        <f t="shared" si="13"/>
        <v>64</v>
      </c>
      <c r="X66">
        <f t="shared" si="9"/>
        <v>0</v>
      </c>
      <c r="AH66" t="e">
        <f t="shared" si="10"/>
        <v>#DIV/0!</v>
      </c>
      <c r="AI66" t="e">
        <f t="shared" si="8"/>
        <v>#DIV/0!</v>
      </c>
    </row>
    <row r="67" spans="1:35" x14ac:dyDescent="0.25">
      <c r="A67">
        <v>1120.8599999999999</v>
      </c>
      <c r="B67">
        <f t="shared" si="0"/>
        <v>3.4919171980385598E-2</v>
      </c>
      <c r="C67">
        <v>6397.1</v>
      </c>
      <c r="D67">
        <v>86.2</v>
      </c>
      <c r="E67" s="1">
        <v>0.219</v>
      </c>
      <c r="F67">
        <v>1.8</v>
      </c>
      <c r="G67" s="2">
        <v>1.6000000000000001E-3</v>
      </c>
      <c r="H67">
        <v>0.9</v>
      </c>
      <c r="I67">
        <v>7684</v>
      </c>
      <c r="J67" t="s">
        <v>66</v>
      </c>
      <c r="K67">
        <f>83.79*24*3600</f>
        <v>7239456</v>
      </c>
      <c r="L67">
        <f t="shared" si="1"/>
        <v>9.5745755006998491E-8</v>
      </c>
      <c r="M67">
        <v>0.99987000000000004</v>
      </c>
      <c r="N67">
        <f t="shared" si="2"/>
        <v>6.2746977846153023</v>
      </c>
      <c r="O67">
        <f t="shared" si="3"/>
        <v>2.7391052378873985E-3</v>
      </c>
      <c r="P67">
        <f t="shared" si="4"/>
        <v>7.8451498489253993E-2</v>
      </c>
      <c r="Q67" s="1">
        <f t="shared" si="5"/>
        <v>7.5056193595876826</v>
      </c>
      <c r="R67">
        <f t="shared" si="11"/>
        <v>7.516132448165366</v>
      </c>
      <c r="S67">
        <f t="shared" si="12"/>
        <v>8.8279283312696357</v>
      </c>
      <c r="T67">
        <f t="shared" si="13"/>
        <v>65</v>
      </c>
      <c r="U67">
        <v>45</v>
      </c>
      <c r="V67">
        <v>1</v>
      </c>
      <c r="W67" s="4">
        <v>4.9651599999999999E-23</v>
      </c>
      <c r="X67">
        <f t="shared" si="9"/>
        <v>3.4643948805521733E-23</v>
      </c>
      <c r="AH67">
        <f t="shared" si="10"/>
        <v>1.9887658093577558E-5</v>
      </c>
      <c r="AI67">
        <f t="shared" si="8"/>
        <v>1.5602165788830997E-6</v>
      </c>
    </row>
    <row r="68" spans="1:35" x14ac:dyDescent="0.25">
      <c r="A68">
        <v>1173.5999999999999</v>
      </c>
      <c r="B68">
        <f t="shared" ref="B68:B80" si="14">13.367*A68^-0.847</f>
        <v>3.3585392077900143E-2</v>
      </c>
      <c r="C68">
        <v>530.70000000000005</v>
      </c>
      <c r="D68">
        <v>33.6</v>
      </c>
      <c r="E68" s="1">
        <v>1.8200000000000001E-2</v>
      </c>
      <c r="F68">
        <v>1.8</v>
      </c>
      <c r="G68" s="2">
        <v>1.5E-3</v>
      </c>
      <c r="H68">
        <v>1.26</v>
      </c>
      <c r="I68">
        <v>1318</v>
      </c>
      <c r="L68" t="e">
        <f t="shared" si="1"/>
        <v>#DIV/0!</v>
      </c>
      <c r="N68" t="e">
        <f t="shared" ref="N68:N80" si="15">C68/($Y$3*B68*M68)</f>
        <v>#DIV/0!</v>
      </c>
      <c r="O68">
        <f t="shared" ref="O68:O80" si="16">SQRT(C68)/$Y$3</f>
        <v>7.8893585199944381E-4</v>
      </c>
      <c r="P68" t="e">
        <f t="shared" ref="P68:P80" si="17">(1/(B68*M68))*O68</f>
        <v>#DIV/0!</v>
      </c>
      <c r="Q68" s="1" t="e">
        <f t="shared" ref="Q68:Q80" si="18">N68/$AC$3</f>
        <v>#DIV/0!</v>
      </c>
      <c r="R68" t="e">
        <f t="shared" si="11"/>
        <v>#DIV/0!</v>
      </c>
      <c r="S68" t="e">
        <f t="shared" ref="S68:S80" si="19">R68*EXP(L68*$AF$3)</f>
        <v>#DIV/0!</v>
      </c>
      <c r="T68">
        <f t="shared" si="13"/>
        <v>66</v>
      </c>
      <c r="X68">
        <f t="shared" ref="X68:X80" si="20">(1/1.128)*((293/473)^(1/2))*W68</f>
        <v>0</v>
      </c>
      <c r="AH68" t="e">
        <f t="shared" ref="AH68:AH80" si="21">S68*(U68/(6.022E+23*V68))*(1/L68)*(1/(100000000000*X68*100))</f>
        <v>#DIV/0!</v>
      </c>
      <c r="AI68" t="e">
        <f t="shared" ref="AI68:AI80" si="22">(S68*(U68/(6.022E+23*V68))*(1/L68)*(1/(100000000000*X68*100)))*P68</f>
        <v>#DIV/0!</v>
      </c>
    </row>
    <row r="69" spans="1:35" x14ac:dyDescent="0.25">
      <c r="A69">
        <v>1178.3499999999999</v>
      </c>
      <c r="B69">
        <f t="shared" si="14"/>
        <v>3.3470685783587056E-2</v>
      </c>
      <c r="C69">
        <v>171.6</v>
      </c>
      <c r="D69">
        <v>23.9</v>
      </c>
      <c r="E69" s="1">
        <v>5.8799999999999998E-3</v>
      </c>
      <c r="F69">
        <v>1.39</v>
      </c>
      <c r="G69" s="2">
        <v>1.1999999999999999E-3</v>
      </c>
      <c r="H69">
        <v>0.84</v>
      </c>
      <c r="I69">
        <v>686</v>
      </c>
      <c r="L69" t="e">
        <f t="shared" ref="L69:L80" si="23">LN(2)/K69</f>
        <v>#DIV/0!</v>
      </c>
      <c r="N69" t="e">
        <f t="shared" si="15"/>
        <v>#DIV/0!</v>
      </c>
      <c r="O69">
        <f t="shared" si="16"/>
        <v>4.4861706558391276E-4</v>
      </c>
      <c r="P69" t="e">
        <f t="shared" si="17"/>
        <v>#DIV/0!</v>
      </c>
      <c r="Q69" s="1" t="e">
        <f t="shared" si="18"/>
        <v>#DIV/0!</v>
      </c>
      <c r="R69" t="e">
        <f t="shared" ref="R69:R80" si="24">Q69*((L69*$Z$3)/(1-EXP(-L69*$Z$3)))</f>
        <v>#DIV/0!</v>
      </c>
      <c r="S69" t="e">
        <f t="shared" si="19"/>
        <v>#DIV/0!</v>
      </c>
      <c r="T69">
        <f t="shared" si="13"/>
        <v>67</v>
      </c>
      <c r="X69">
        <f t="shared" si="20"/>
        <v>0</v>
      </c>
      <c r="AH69" t="e">
        <f t="shared" si="21"/>
        <v>#DIV/0!</v>
      </c>
      <c r="AI69" t="e">
        <f t="shared" si="22"/>
        <v>#DIV/0!</v>
      </c>
    </row>
    <row r="70" spans="1:35" x14ac:dyDescent="0.25">
      <c r="A70">
        <v>1291.94</v>
      </c>
      <c r="B70">
        <f t="shared" si="14"/>
        <v>3.0960764934779398E-2</v>
      </c>
      <c r="C70">
        <v>788.8</v>
      </c>
      <c r="D70">
        <v>36.4</v>
      </c>
      <c r="E70" s="1">
        <v>2.7E-2</v>
      </c>
      <c r="F70">
        <v>1.75</v>
      </c>
      <c r="G70" s="2">
        <v>1.4E-3</v>
      </c>
      <c r="H70">
        <v>0.95</v>
      </c>
      <c r="I70">
        <v>1290</v>
      </c>
      <c r="J70" t="s">
        <v>67</v>
      </c>
      <c r="K70">
        <f>45.1*24*3600</f>
        <v>3896640.0000000005</v>
      </c>
      <c r="L70">
        <f t="shared" si="23"/>
        <v>1.7788329960169407E-7</v>
      </c>
      <c r="M70">
        <v>0.56499999999999995</v>
      </c>
      <c r="N70">
        <f t="shared" si="15"/>
        <v>1.5442724391100064</v>
      </c>
      <c r="O70">
        <f t="shared" si="16"/>
        <v>9.6183505104339496E-4</v>
      </c>
      <c r="P70">
        <f t="shared" si="17"/>
        <v>5.4984523986627037E-2</v>
      </c>
      <c r="Q70" s="1">
        <f t="shared" si="18"/>
        <v>1.8472158362559887</v>
      </c>
      <c r="R70">
        <f t="shared" si="24"/>
        <v>1.8520247925955637</v>
      </c>
      <c r="S70">
        <f t="shared" si="19"/>
        <v>2.4971568311140695</v>
      </c>
      <c r="T70">
        <f t="shared" si="13"/>
        <v>68</v>
      </c>
      <c r="U70">
        <v>58</v>
      </c>
      <c r="V70">
        <v>2.8E-3</v>
      </c>
      <c r="W70" s="4">
        <v>4.2795600000000003E-24</v>
      </c>
      <c r="X70">
        <f t="shared" si="20"/>
        <v>2.9860237645948692E-24</v>
      </c>
      <c r="AH70">
        <f t="shared" si="21"/>
        <v>1.6171361781836348E-2</v>
      </c>
      <c r="AI70">
        <f t="shared" si="22"/>
        <v>8.8917462978980446E-4</v>
      </c>
    </row>
    <row r="71" spans="1:35" x14ac:dyDescent="0.25">
      <c r="A71">
        <v>1297.3599999999999</v>
      </c>
      <c r="B71">
        <f t="shared" si="14"/>
        <v>3.0851174443256944E-2</v>
      </c>
      <c r="C71">
        <v>23259.3</v>
      </c>
      <c r="D71">
        <v>155.5</v>
      </c>
      <c r="E71" s="1">
        <v>0.79700000000000004</v>
      </c>
      <c r="F71">
        <v>1.88</v>
      </c>
      <c r="G71" s="2">
        <v>1.5E-3</v>
      </c>
      <c r="H71">
        <v>2</v>
      </c>
      <c r="I71">
        <v>24254</v>
      </c>
      <c r="J71" t="s">
        <v>49</v>
      </c>
      <c r="K71">
        <v>391910.40000000002</v>
      </c>
      <c r="L71">
        <f t="shared" si="23"/>
        <v>1.7686368633237221E-6</v>
      </c>
      <c r="M71">
        <v>0.71</v>
      </c>
      <c r="N71">
        <f t="shared" si="15"/>
        <v>36.365012291466975</v>
      </c>
      <c r="O71">
        <f t="shared" si="16"/>
        <v>5.2229451942518027E-3</v>
      </c>
      <c r="P71">
        <f t="shared" si="17"/>
        <v>0.23844346186899243</v>
      </c>
      <c r="Q71" s="1">
        <f t="shared" si="18"/>
        <v>43.498818530462891</v>
      </c>
      <c r="R71">
        <f t="shared" si="24"/>
        <v>44.633477748393879</v>
      </c>
      <c r="S71">
        <f t="shared" si="19"/>
        <v>871.38679089115931</v>
      </c>
      <c r="T71">
        <f t="shared" si="13"/>
        <v>69</v>
      </c>
      <c r="U71">
        <v>46</v>
      </c>
      <c r="V71">
        <v>4.0000000000000003E-5</v>
      </c>
      <c r="W71" s="4">
        <v>3.6853499999999998E-24</v>
      </c>
      <c r="X71">
        <f t="shared" si="20"/>
        <v>2.5714191834790725E-24</v>
      </c>
      <c r="AH71">
        <f t="shared" si="21"/>
        <v>36.589502900134825</v>
      </c>
      <c r="AI71">
        <f t="shared" si="22"/>
        <v>8.724527739573686</v>
      </c>
    </row>
    <row r="72" spans="1:35" x14ac:dyDescent="0.25">
      <c r="A72">
        <v>1332.84</v>
      </c>
      <c r="B72">
        <f t="shared" si="14"/>
        <v>3.0154141390678697E-2</v>
      </c>
      <c r="C72">
        <v>546.5</v>
      </c>
      <c r="D72">
        <v>28.7</v>
      </c>
      <c r="E72" s="1">
        <v>1.8700000000000001E-2</v>
      </c>
      <c r="F72">
        <v>2.0099999999999998</v>
      </c>
      <c r="G72" s="2">
        <v>1.5E-3</v>
      </c>
      <c r="H72">
        <v>1.19</v>
      </c>
      <c r="I72">
        <v>975</v>
      </c>
      <c r="J72" t="s">
        <v>42</v>
      </c>
      <c r="K72" s="1">
        <v>170000000</v>
      </c>
      <c r="L72">
        <f t="shared" si="23"/>
        <v>4.0773363562349719E-9</v>
      </c>
      <c r="M72" s="1">
        <v>1</v>
      </c>
      <c r="N72">
        <f t="shared" si="15"/>
        <v>0.62066941924080055</v>
      </c>
      <c r="O72">
        <f t="shared" si="16"/>
        <v>8.0059381695623015E-4</v>
      </c>
      <c r="P72">
        <f t="shared" si="17"/>
        <v>2.6550045202205996E-2</v>
      </c>
      <c r="Q72" s="1">
        <f t="shared" si="18"/>
        <v>0.74242753497703418</v>
      </c>
      <c r="R72">
        <f t="shared" si="24"/>
        <v>0.74247180001838919</v>
      </c>
      <c r="S72">
        <f t="shared" si="19"/>
        <v>0.74757563793706439</v>
      </c>
      <c r="T72">
        <f t="shared" si="13"/>
        <v>70</v>
      </c>
      <c r="U72">
        <v>59</v>
      </c>
      <c r="V72">
        <v>1</v>
      </c>
      <c r="W72" s="4">
        <v>4.3258399999999999E-23</v>
      </c>
      <c r="X72">
        <f t="shared" si="20"/>
        <v>3.0183152104036553E-23</v>
      </c>
      <c r="AH72">
        <f t="shared" si="21"/>
        <v>5.9514839758334782E-5</v>
      </c>
      <c r="AI72">
        <f t="shared" si="22"/>
        <v>1.5801216857858351E-6</v>
      </c>
    </row>
    <row r="73" spans="1:35" x14ac:dyDescent="0.25">
      <c r="A73">
        <v>1408.39</v>
      </c>
      <c r="B73">
        <f t="shared" si="14"/>
        <v>2.8778332363104106E-2</v>
      </c>
      <c r="C73">
        <v>410.4</v>
      </c>
      <c r="D73">
        <v>25.1</v>
      </c>
      <c r="E73" s="1">
        <v>1.41E-2</v>
      </c>
      <c r="F73">
        <v>1.77</v>
      </c>
      <c r="G73" s="2">
        <v>1.2999999999999999E-3</v>
      </c>
      <c r="H73">
        <v>1.06</v>
      </c>
      <c r="I73">
        <v>702</v>
      </c>
      <c r="L73" t="e">
        <f t="shared" si="23"/>
        <v>#DIV/0!</v>
      </c>
      <c r="N73" t="e">
        <f t="shared" si="15"/>
        <v>#DIV/0!</v>
      </c>
      <c r="O73">
        <f t="shared" si="16"/>
        <v>6.9377848011510136E-4</v>
      </c>
      <c r="P73" t="e">
        <f t="shared" si="17"/>
        <v>#DIV/0!</v>
      </c>
      <c r="Q73" s="1" t="e">
        <f t="shared" si="18"/>
        <v>#DIV/0!</v>
      </c>
      <c r="R73" t="e">
        <f t="shared" si="24"/>
        <v>#DIV/0!</v>
      </c>
      <c r="S73" t="e">
        <f t="shared" si="19"/>
        <v>#DIV/0!</v>
      </c>
      <c r="T73">
        <f t="shared" si="13"/>
        <v>71</v>
      </c>
      <c r="X73">
        <f t="shared" si="20"/>
        <v>0</v>
      </c>
      <c r="AH73" t="e">
        <f t="shared" si="21"/>
        <v>#DIV/0!</v>
      </c>
      <c r="AI73" t="e">
        <f t="shared" si="22"/>
        <v>#DIV/0!</v>
      </c>
    </row>
    <row r="74" spans="1:35" x14ac:dyDescent="0.25">
      <c r="A74">
        <v>1441.2</v>
      </c>
      <c r="B74">
        <f t="shared" si="14"/>
        <v>2.8222436553398782E-2</v>
      </c>
      <c r="C74">
        <v>92.7</v>
      </c>
      <c r="D74">
        <v>17.399999999999999</v>
      </c>
      <c r="E74" s="1">
        <v>3.1700000000000001E-3</v>
      </c>
      <c r="F74">
        <v>2.99</v>
      </c>
      <c r="G74" s="2">
        <v>2.0999999999999999E-3</v>
      </c>
      <c r="H74">
        <v>1.17</v>
      </c>
      <c r="I74">
        <v>362</v>
      </c>
      <c r="L74" t="e">
        <f t="shared" si="23"/>
        <v>#DIV/0!</v>
      </c>
      <c r="N74" t="e">
        <f t="shared" si="15"/>
        <v>#DIV/0!</v>
      </c>
      <c r="O74">
        <f t="shared" si="16"/>
        <v>3.2972890142221671E-4</v>
      </c>
      <c r="P74" t="e">
        <f t="shared" si="17"/>
        <v>#DIV/0!</v>
      </c>
      <c r="Q74" s="1" t="e">
        <f t="shared" si="18"/>
        <v>#DIV/0!</v>
      </c>
      <c r="R74" t="e">
        <f t="shared" si="24"/>
        <v>#DIV/0!</v>
      </c>
      <c r="S74" t="e">
        <f t="shared" si="19"/>
        <v>#DIV/0!</v>
      </c>
      <c r="T74">
        <f t="shared" si="13"/>
        <v>72</v>
      </c>
      <c r="X74">
        <f t="shared" si="20"/>
        <v>0</v>
      </c>
      <c r="AH74" t="e">
        <f t="shared" si="21"/>
        <v>#DIV/0!</v>
      </c>
      <c r="AI74" t="e">
        <f t="shared" si="22"/>
        <v>#DIV/0!</v>
      </c>
    </row>
    <row r="75" spans="1:35" x14ac:dyDescent="0.25">
      <c r="A75">
        <v>1461.18</v>
      </c>
      <c r="B75">
        <f t="shared" si="14"/>
        <v>2.7895226875593392E-2</v>
      </c>
      <c r="C75">
        <v>263.2</v>
      </c>
      <c r="D75">
        <v>20.9</v>
      </c>
      <c r="E75" s="1">
        <v>9.0200000000000002E-3</v>
      </c>
      <c r="F75">
        <v>2.02</v>
      </c>
      <c r="G75" s="2">
        <v>1.4E-3</v>
      </c>
      <c r="H75">
        <v>0.95</v>
      </c>
      <c r="I75">
        <v>531</v>
      </c>
      <c r="J75" t="s">
        <v>44</v>
      </c>
      <c r="K75" s="1">
        <v>4.0448E+16</v>
      </c>
      <c r="L75">
        <f t="shared" si="23"/>
        <v>1.7136747937103079E-17</v>
      </c>
      <c r="M75" s="1"/>
      <c r="N75" t="e">
        <f t="shared" si="15"/>
        <v>#DIV/0!</v>
      </c>
      <c r="O75">
        <f t="shared" si="16"/>
        <v>5.5559725453899309E-4</v>
      </c>
      <c r="P75" t="e">
        <f t="shared" si="17"/>
        <v>#DIV/0!</v>
      </c>
      <c r="Q75" s="1" t="e">
        <f t="shared" si="18"/>
        <v>#DIV/0!</v>
      </c>
      <c r="R75" t="e">
        <f t="shared" si="24"/>
        <v>#DIV/0!</v>
      </c>
      <c r="S75" t="e">
        <f t="shared" si="19"/>
        <v>#DIV/0!</v>
      </c>
      <c r="T75">
        <f t="shared" si="13"/>
        <v>73</v>
      </c>
      <c r="X75">
        <f t="shared" si="20"/>
        <v>0</v>
      </c>
      <c r="AH75" t="e">
        <f t="shared" si="21"/>
        <v>#DIV/0!</v>
      </c>
      <c r="AI75" t="e">
        <f t="shared" si="22"/>
        <v>#DIV/0!</v>
      </c>
    </row>
    <row r="76" spans="1:35" x14ac:dyDescent="0.25">
      <c r="A76">
        <v>1596.66</v>
      </c>
      <c r="B76">
        <f t="shared" si="14"/>
        <v>2.5876945243232554E-2</v>
      </c>
      <c r="C76">
        <v>2897.6</v>
      </c>
      <c r="D76">
        <v>55.4</v>
      </c>
      <c r="E76" s="1">
        <v>9.9199999999999997E-2</v>
      </c>
      <c r="F76">
        <v>2.0699999999999998</v>
      </c>
      <c r="G76" s="2">
        <v>1.2999999999999999E-3</v>
      </c>
      <c r="H76">
        <v>1.23</v>
      </c>
      <c r="I76">
        <v>3131</v>
      </c>
      <c r="J76" t="s">
        <v>64</v>
      </c>
      <c r="K76">
        <f>1.6781*24*3600</f>
        <v>144987.84</v>
      </c>
      <c r="L76">
        <f t="shared" si="23"/>
        <v>4.7807263047711129E-6</v>
      </c>
      <c r="M76">
        <v>0.95399999999999996</v>
      </c>
      <c r="N76">
        <f t="shared" si="15"/>
        <v>4.0197051659852434</v>
      </c>
      <c r="O76">
        <f t="shared" si="16"/>
        <v>1.8434712335098648E-3</v>
      </c>
      <c r="P76">
        <f t="shared" si="17"/>
        <v>7.4674957395084188E-2</v>
      </c>
      <c r="Q76" s="1">
        <f t="shared" si="18"/>
        <v>4.8082597679249321</v>
      </c>
      <c r="R76">
        <f t="shared" si="24"/>
        <v>5.1522166950545785</v>
      </c>
      <c r="S76">
        <f t="shared" si="19"/>
        <v>15864.450384546721</v>
      </c>
      <c r="T76">
        <f t="shared" si="13"/>
        <v>74</v>
      </c>
      <c r="U76">
        <v>139</v>
      </c>
      <c r="V76">
        <v>0.99909999999999999</v>
      </c>
      <c r="W76" s="4">
        <v>1.9257700000000001E-23</v>
      </c>
      <c r="X76">
        <f t="shared" si="20"/>
        <v>1.3436883663609953E-23</v>
      </c>
      <c r="AH76">
        <f t="shared" si="21"/>
        <v>5.7055521946152979E-3</v>
      </c>
      <c r="AI76">
        <f t="shared" si="22"/>
        <v>4.2606186704832646E-4</v>
      </c>
    </row>
    <row r="77" spans="1:35" x14ac:dyDescent="0.25">
      <c r="A77">
        <v>2010.21</v>
      </c>
      <c r="B77">
        <f t="shared" si="14"/>
        <v>2.1290627303319841E-2</v>
      </c>
      <c r="C77">
        <v>416.3</v>
      </c>
      <c r="D77">
        <v>21.7</v>
      </c>
      <c r="E77" s="1">
        <v>1.43E-2</v>
      </c>
      <c r="F77">
        <v>2.34</v>
      </c>
      <c r="G77" s="2">
        <v>1.1999999999999999E-3</v>
      </c>
      <c r="H77">
        <v>0.73</v>
      </c>
      <c r="I77">
        <v>495</v>
      </c>
      <c r="L77" t="e">
        <f t="shared" si="23"/>
        <v>#DIV/0!</v>
      </c>
      <c r="N77" t="e">
        <f t="shared" si="15"/>
        <v>#DIV/0!</v>
      </c>
      <c r="O77">
        <f t="shared" si="16"/>
        <v>6.9874763986340195E-4</v>
      </c>
      <c r="P77" t="e">
        <f t="shared" si="17"/>
        <v>#DIV/0!</v>
      </c>
      <c r="Q77" s="1" t="e">
        <f t="shared" si="18"/>
        <v>#DIV/0!</v>
      </c>
      <c r="R77" t="e">
        <f t="shared" si="24"/>
        <v>#DIV/0!</v>
      </c>
      <c r="S77" t="e">
        <f t="shared" si="19"/>
        <v>#DIV/0!</v>
      </c>
      <c r="T77">
        <f t="shared" si="13"/>
        <v>75</v>
      </c>
      <c r="X77">
        <f t="shared" si="20"/>
        <v>0</v>
      </c>
      <c r="AH77" t="e">
        <f t="shared" si="21"/>
        <v>#DIV/0!</v>
      </c>
      <c r="AI77" t="e">
        <f t="shared" si="22"/>
        <v>#DIV/0!</v>
      </c>
    </row>
    <row r="78" spans="1:35" x14ac:dyDescent="0.25">
      <c r="A78">
        <v>2083.4899999999998</v>
      </c>
      <c r="B78">
        <f t="shared" si="14"/>
        <v>2.0654639295109304E-2</v>
      </c>
      <c r="C78">
        <v>132.19999999999999</v>
      </c>
      <c r="D78">
        <v>13.2</v>
      </c>
      <c r="E78" s="1">
        <v>4.5300000000000002E-3</v>
      </c>
      <c r="F78">
        <v>2.23</v>
      </c>
      <c r="G78" s="2">
        <v>1.1000000000000001E-3</v>
      </c>
      <c r="H78">
        <v>1.03</v>
      </c>
      <c r="I78">
        <v>196</v>
      </c>
      <c r="L78" t="e">
        <f t="shared" si="23"/>
        <v>#DIV/0!</v>
      </c>
      <c r="N78" t="e">
        <f t="shared" si="15"/>
        <v>#DIV/0!</v>
      </c>
      <c r="O78">
        <f t="shared" si="16"/>
        <v>3.9376116032341948E-4</v>
      </c>
      <c r="P78" t="e">
        <f t="shared" si="17"/>
        <v>#DIV/0!</v>
      </c>
      <c r="Q78" s="1" t="e">
        <f t="shared" si="18"/>
        <v>#DIV/0!</v>
      </c>
      <c r="R78" t="e">
        <f t="shared" si="24"/>
        <v>#DIV/0!</v>
      </c>
      <c r="S78" t="e">
        <f t="shared" si="19"/>
        <v>#DIV/0!</v>
      </c>
      <c r="T78">
        <f t="shared" si="13"/>
        <v>76</v>
      </c>
      <c r="X78">
        <f t="shared" si="20"/>
        <v>0</v>
      </c>
      <c r="AH78" t="e">
        <f t="shared" si="21"/>
        <v>#DIV/0!</v>
      </c>
      <c r="AI78" t="e">
        <f t="shared" si="22"/>
        <v>#DIV/0!</v>
      </c>
    </row>
    <row r="79" spans="1:35" x14ac:dyDescent="0.25">
      <c r="A79">
        <v>2521.92</v>
      </c>
      <c r="B79">
        <f t="shared" si="14"/>
        <v>1.7569828891302673E-2</v>
      </c>
      <c r="C79">
        <v>83.1</v>
      </c>
      <c r="D79">
        <v>10.199999999999999</v>
      </c>
      <c r="E79" s="1">
        <v>2.8500000000000001E-3</v>
      </c>
      <c r="F79">
        <v>2.38</v>
      </c>
      <c r="G79" s="2">
        <v>8.9999999999999998E-4</v>
      </c>
      <c r="H79">
        <v>0.74</v>
      </c>
      <c r="I79">
        <v>116</v>
      </c>
      <c r="J79" t="s">
        <v>64</v>
      </c>
      <c r="K79">
        <f>1.6781*24*3600</f>
        <v>144987.84</v>
      </c>
      <c r="L79">
        <f t="shared" si="23"/>
        <v>4.7807263047711129E-6</v>
      </c>
      <c r="M79">
        <v>3.4599999999999999E-2</v>
      </c>
      <c r="N79">
        <f t="shared" si="15"/>
        <v>4.6813869648727584</v>
      </c>
      <c r="O79">
        <f t="shared" si="16"/>
        <v>3.1218904589255678E-4</v>
      </c>
      <c r="P79">
        <f t="shared" si="17"/>
        <v>0.51353970777990843</v>
      </c>
      <c r="Q79" s="1">
        <f t="shared" si="18"/>
        <v>5.5997451732927734</v>
      </c>
      <c r="R79">
        <f t="shared" si="24"/>
        <v>6.00032069031524</v>
      </c>
      <c r="S79">
        <f t="shared" si="19"/>
        <v>18475.890188051741</v>
      </c>
      <c r="T79">
        <f t="shared" si="13"/>
        <v>77</v>
      </c>
      <c r="U79">
        <v>139</v>
      </c>
      <c r="V79">
        <v>0.99909999999999999</v>
      </c>
      <c r="W79" s="4">
        <v>1.9257700000000001E-23</v>
      </c>
      <c r="X79">
        <f t="shared" si="20"/>
        <v>1.3436883663609953E-23</v>
      </c>
      <c r="AH79">
        <f t="shared" si="21"/>
        <v>6.6447404892509146E-3</v>
      </c>
      <c r="AI79">
        <f t="shared" si="22"/>
        <v>3.4123380891232405E-3</v>
      </c>
    </row>
    <row r="80" spans="1:35" x14ac:dyDescent="0.25">
      <c r="A80">
        <v>2614.71</v>
      </c>
      <c r="B80">
        <f t="shared" si="14"/>
        <v>1.7040260118450716E-2</v>
      </c>
      <c r="C80">
        <v>140.9</v>
      </c>
      <c r="D80">
        <v>12.5</v>
      </c>
      <c r="E80" s="1">
        <v>4.8300000000000001E-3</v>
      </c>
      <c r="F80">
        <v>2.52</v>
      </c>
      <c r="G80" s="2">
        <v>1E-3</v>
      </c>
      <c r="H80">
        <v>0.75</v>
      </c>
      <c r="I80">
        <v>163</v>
      </c>
      <c r="L80" t="e">
        <f t="shared" si="23"/>
        <v>#DIV/0!</v>
      </c>
      <c r="N80" t="e">
        <f t="shared" si="15"/>
        <v>#DIV/0!</v>
      </c>
      <c r="O80">
        <f t="shared" si="16"/>
        <v>4.0651132125271017E-4</v>
      </c>
      <c r="P80" t="e">
        <f t="shared" si="17"/>
        <v>#DIV/0!</v>
      </c>
      <c r="Q80" s="1" t="e">
        <f t="shared" si="18"/>
        <v>#DIV/0!</v>
      </c>
      <c r="R80" t="e">
        <f t="shared" si="24"/>
        <v>#DIV/0!</v>
      </c>
      <c r="S80" t="e">
        <f t="shared" si="19"/>
        <v>#DIV/0!</v>
      </c>
      <c r="T80">
        <f t="shared" si="13"/>
        <v>78</v>
      </c>
      <c r="X80">
        <f t="shared" si="20"/>
        <v>0</v>
      </c>
      <c r="AH80" t="e">
        <f t="shared" si="21"/>
        <v>#DIV/0!</v>
      </c>
      <c r="AI80" t="e">
        <f t="shared" si="22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opLeftCell="W1" workbookViewId="0">
      <selection activeCell="AA20" sqref="AA20"/>
    </sheetView>
  </sheetViews>
  <sheetFormatPr defaultRowHeight="15" x14ac:dyDescent="0.25"/>
  <sheetData>
    <row r="1" spans="1:35" x14ac:dyDescent="0.25">
      <c r="A1" t="s">
        <v>0</v>
      </c>
      <c r="B1" t="s">
        <v>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93</v>
      </c>
      <c r="O1" t="s">
        <v>105</v>
      </c>
      <c r="P1" t="s">
        <v>102</v>
      </c>
      <c r="Q1" t="s">
        <v>12</v>
      </c>
      <c r="R1" t="s">
        <v>106</v>
      </c>
      <c r="S1" t="s">
        <v>13</v>
      </c>
      <c r="T1" t="s">
        <v>14</v>
      </c>
      <c r="U1" t="s">
        <v>74</v>
      </c>
      <c r="V1" t="s">
        <v>75</v>
      </c>
      <c r="W1" t="s">
        <v>91</v>
      </c>
      <c r="X1" t="s">
        <v>108</v>
      </c>
      <c r="Y1" t="s">
        <v>15</v>
      </c>
      <c r="Z1" t="s">
        <v>16</v>
      </c>
      <c r="AA1" t="s">
        <v>68</v>
      </c>
      <c r="AB1" t="s">
        <v>18</v>
      </c>
      <c r="AC1" t="s">
        <v>19</v>
      </c>
      <c r="AD1" t="s">
        <v>81</v>
      </c>
      <c r="AE1" t="s">
        <v>80</v>
      </c>
      <c r="AF1" s="6" t="s">
        <v>84</v>
      </c>
      <c r="AH1" t="s">
        <v>98</v>
      </c>
      <c r="AI1" t="s">
        <v>97</v>
      </c>
    </row>
    <row r="2" spans="1:35" x14ac:dyDescent="0.25">
      <c r="A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21</v>
      </c>
      <c r="K2" t="s">
        <v>27</v>
      </c>
      <c r="L2" t="s">
        <v>28</v>
      </c>
      <c r="Q2" t="s">
        <v>29</v>
      </c>
      <c r="T2" t="s">
        <v>30</v>
      </c>
      <c r="Y2" t="s">
        <v>27</v>
      </c>
      <c r="Z2" t="s">
        <v>27</v>
      </c>
      <c r="AA2" t="s">
        <v>31</v>
      </c>
      <c r="AC2" t="s">
        <v>32</v>
      </c>
      <c r="AF2" t="s">
        <v>27</v>
      </c>
    </row>
    <row r="3" spans="1:35" x14ac:dyDescent="0.25">
      <c r="A3">
        <v>159.31</v>
      </c>
      <c r="B3">
        <f>13.367*A3^-0.847</f>
        <v>0.18227793302896891</v>
      </c>
      <c r="C3">
        <v>181609.2</v>
      </c>
      <c r="D3">
        <v>432.6</v>
      </c>
      <c r="E3" s="1">
        <v>6.22</v>
      </c>
      <c r="F3">
        <v>1.08</v>
      </c>
      <c r="G3" s="2">
        <v>6.7999999999999996E-3</v>
      </c>
      <c r="H3">
        <v>30.9</v>
      </c>
      <c r="I3">
        <v>195577</v>
      </c>
      <c r="J3" t="s">
        <v>48</v>
      </c>
      <c r="K3">
        <v>288576</v>
      </c>
      <c r="L3">
        <f>LN(2)/K3</f>
        <v>2.4019571293522169E-6</v>
      </c>
      <c r="M3">
        <v>0.68300000000000005</v>
      </c>
      <c r="N3">
        <f>C3/($Y$3*B3*M3)</f>
        <v>49.957442250648398</v>
      </c>
      <c r="O3">
        <f>SQRT(C3)/$Y$3</f>
        <v>1.4594394155869616E-2</v>
      </c>
      <c r="P3">
        <f>O3/(M3*B3)</f>
        <v>0.11722797751530022</v>
      </c>
      <c r="Q3" s="1">
        <f>N3/$AC$3</f>
        <v>82.438023515921458</v>
      </c>
      <c r="R3">
        <f>Q3*((L3*$Z$3)/(1-EXP(-L3*$Z$3)))</f>
        <v>85.365433271242509</v>
      </c>
      <c r="S3">
        <f>R3*EXP(L3*$AF$3)</f>
        <v>3602.1340415226446</v>
      </c>
      <c r="T3">
        <v>1</v>
      </c>
      <c r="U3">
        <v>46</v>
      </c>
      <c r="V3">
        <v>4.0000000000000003E-5</v>
      </c>
      <c r="W3" s="4">
        <v>3.6853499999999998E-24</v>
      </c>
      <c r="X3">
        <f>(1/1.128)*((293/473)^(1/2))*W3</f>
        <v>2.5714191834790725E-24</v>
      </c>
      <c r="Y3">
        <v>29200</v>
      </c>
      <c r="Z3">
        <v>29226</v>
      </c>
      <c r="AA3">
        <v>0.09</v>
      </c>
      <c r="AB3" t="s">
        <v>69</v>
      </c>
      <c r="AC3">
        <v>0.60599999999999998</v>
      </c>
      <c r="AD3" s="5" t="s">
        <v>82</v>
      </c>
      <c r="AE3" t="s">
        <v>107</v>
      </c>
      <c r="AF3">
        <v>1558038</v>
      </c>
      <c r="AH3">
        <f>S3*(U3/(6.022E+23*V3))*(1/L3)*(1/(100000000000*X3*100))</f>
        <v>111.37272029778083</v>
      </c>
      <c r="AI3">
        <f>(S3*(U3/(6.022E+23*V3))*(1/L3)*(1/(100000000000*X3*100)))*P3</f>
        <v>13.05599875088607</v>
      </c>
    </row>
    <row r="4" spans="1:35" x14ac:dyDescent="0.25">
      <c r="A4">
        <v>320.10000000000002</v>
      </c>
      <c r="B4">
        <f t="shared" ref="B4:B25" si="0">13.367*A4^-0.847</f>
        <v>0.10093853148214896</v>
      </c>
      <c r="C4">
        <v>2054.6</v>
      </c>
      <c r="D4">
        <v>59.1</v>
      </c>
      <c r="E4" s="1">
        <v>7.0400000000000004E-2</v>
      </c>
      <c r="F4">
        <v>1.1200000000000001</v>
      </c>
      <c r="G4" s="2">
        <v>3.5000000000000001E-3</v>
      </c>
      <c r="H4">
        <v>1.1599999999999999</v>
      </c>
      <c r="I4">
        <v>4299</v>
      </c>
      <c r="J4" t="s">
        <v>70</v>
      </c>
      <c r="K4">
        <f>27.7025*24*3600</f>
        <v>2393496</v>
      </c>
      <c r="L4">
        <f t="shared" ref="L4:L25" si="1">LN(2)/K4</f>
        <v>2.8959613074763664E-7</v>
      </c>
      <c r="M4">
        <v>0.1</v>
      </c>
      <c r="N4">
        <f t="shared" ref="N4:N25" si="2">C4/($Y$3*B4*M4)</f>
        <v>6.9708774900369805</v>
      </c>
      <c r="O4">
        <f t="shared" ref="O4:O25" si="3">SQRT(C4)/$Y$3</f>
        <v>1.552318346845481E-3</v>
      </c>
      <c r="P4">
        <f t="shared" ref="P4:P25" si="4">O4/(M4*B4)</f>
        <v>0.15378848137096282</v>
      </c>
      <c r="Q4" s="1">
        <f t="shared" ref="Q4:Q25" si="5">N4/$AC$3</f>
        <v>11.503098168377855</v>
      </c>
      <c r="R4">
        <f>Q4*((L4*$Z$3)/(1-EXP(-L4*$Z$3)))</f>
        <v>11.551846432856099</v>
      </c>
      <c r="S4">
        <f t="shared" ref="S4:S25" si="6">R4*EXP(L4*$AF$3)</f>
        <v>18.138687077547768</v>
      </c>
      <c r="T4">
        <v>2</v>
      </c>
      <c r="U4">
        <v>50</v>
      </c>
      <c r="V4">
        <v>4.3450000000000003E-2</v>
      </c>
      <c r="W4" s="1">
        <v>1.78634E-23</v>
      </c>
      <c r="X4">
        <f t="shared" ref="X4:X25" si="7">(1/1.128)*((293/473)^(1/2))*W4</f>
        <v>1.246402361842432E-23</v>
      </c>
      <c r="AH4">
        <f t="shared" ref="AH4:AH25" si="8">S4*(U4/(6.022E+23*V4))*(1/L4)*(1/(100000000000*X4*100))</f>
        <v>9.602720816428718E-4</v>
      </c>
      <c r="AI4">
        <f t="shared" ref="AI4:AI25" si="9">(S4*(U4/(6.022E+23*V4))*(1/L4)*(1/(100000000000*X4*100)))*P4</f>
        <v>1.4767878513879048E-4</v>
      </c>
    </row>
    <row r="5" spans="1:35" x14ac:dyDescent="0.25">
      <c r="A5">
        <v>489.28</v>
      </c>
      <c r="B5">
        <f t="shared" si="0"/>
        <v>7.0465863185092334E-2</v>
      </c>
      <c r="C5">
        <v>3355.3</v>
      </c>
      <c r="D5">
        <v>65.900000000000006</v>
      </c>
      <c r="E5" s="1">
        <v>0.115</v>
      </c>
      <c r="F5">
        <v>1.32</v>
      </c>
      <c r="G5" s="2">
        <v>2.7000000000000001E-3</v>
      </c>
      <c r="H5">
        <v>1.67</v>
      </c>
      <c r="I5">
        <v>4833</v>
      </c>
      <c r="J5" t="s">
        <v>49</v>
      </c>
      <c r="K5">
        <v>392256</v>
      </c>
      <c r="L5">
        <f t="shared" si="1"/>
        <v>1.7670785929595603E-6</v>
      </c>
      <c r="M5">
        <v>6.2E-2</v>
      </c>
      <c r="N5">
        <f t="shared" si="2"/>
        <v>26.301349941453054</v>
      </c>
      <c r="O5">
        <f t="shared" si="3"/>
        <v>1.9837312138977665E-3</v>
      </c>
      <c r="P5">
        <f t="shared" si="4"/>
        <v>0.45405907618336699</v>
      </c>
      <c r="Q5" s="1">
        <f t="shared" si="5"/>
        <v>43.401567560153559</v>
      </c>
      <c r="R5">
        <f>Q5*((L5*$Z$3)/(1-EXP(-L5*$Z$3)))</f>
        <v>44.531942883449602</v>
      </c>
      <c r="S5">
        <f t="shared" si="6"/>
        <v>698.81241626822737</v>
      </c>
      <c r="T5">
        <v>3</v>
      </c>
      <c r="U5">
        <v>46</v>
      </c>
      <c r="V5">
        <v>4.0000000000000003E-5</v>
      </c>
      <c r="W5" s="4">
        <v>3.6853499999999998E-24</v>
      </c>
      <c r="X5">
        <f t="shared" si="7"/>
        <v>2.5714191834790725E-24</v>
      </c>
      <c r="AH5">
        <f>S5*(U5/(6.022E+23*V5))*(1/L5)*(1/(100000000000*X5*100))</f>
        <v>29.368986302852349</v>
      </c>
      <c r="AI5">
        <f t="shared" si="9"/>
        <v>13.335254789115096</v>
      </c>
    </row>
    <row r="6" spans="1:35" x14ac:dyDescent="0.25">
      <c r="A6">
        <v>514.14</v>
      </c>
      <c r="B6">
        <f t="shared" si="0"/>
        <v>6.7569080350881564E-2</v>
      </c>
      <c r="C6">
        <v>17478.900000000001</v>
      </c>
      <c r="D6">
        <v>136.80000000000001</v>
      </c>
      <c r="E6" s="1">
        <v>0.59899999999999998</v>
      </c>
      <c r="F6">
        <v>1.35</v>
      </c>
      <c r="G6" s="2">
        <v>2.5999999999999999E-3</v>
      </c>
      <c r="H6">
        <v>5.92</v>
      </c>
      <c r="I6">
        <v>19949</v>
      </c>
      <c r="J6" t="s">
        <v>71</v>
      </c>
      <c r="L6" t="e">
        <f t="shared" si="1"/>
        <v>#DIV/0!</v>
      </c>
      <c r="N6" t="e">
        <f t="shared" si="2"/>
        <v>#DIV/0!</v>
      </c>
      <c r="O6">
        <f t="shared" si="3"/>
        <v>4.5276640752000379E-3</v>
      </c>
      <c r="P6" t="e">
        <f t="shared" si="4"/>
        <v>#DIV/0!</v>
      </c>
      <c r="Q6" s="1" t="e">
        <f t="shared" si="5"/>
        <v>#DIV/0!</v>
      </c>
      <c r="R6" t="e">
        <f t="shared" ref="R6:R25" si="10">Q6*((L6*$Z$3)/(1-EXP(-L6*$Z$3)))</f>
        <v>#DIV/0!</v>
      </c>
      <c r="S6" t="e">
        <f t="shared" si="6"/>
        <v>#DIV/0!</v>
      </c>
      <c r="T6">
        <v>4</v>
      </c>
      <c r="X6">
        <f t="shared" si="7"/>
        <v>0</v>
      </c>
      <c r="AH6" t="e">
        <f t="shared" si="8"/>
        <v>#DIV/0!</v>
      </c>
      <c r="AI6" t="e">
        <f t="shared" si="9"/>
        <v>#DIV/0!</v>
      </c>
    </row>
    <row r="7" spans="1:35" x14ac:dyDescent="0.25">
      <c r="A7">
        <v>554.53</v>
      </c>
      <c r="B7">
        <f t="shared" si="0"/>
        <v>6.3376672544127738E-2</v>
      </c>
      <c r="C7">
        <v>236.6</v>
      </c>
      <c r="D7">
        <v>31.9</v>
      </c>
      <c r="E7" s="1">
        <v>8.0999999999999996E-3</v>
      </c>
      <c r="F7">
        <v>1.53</v>
      </c>
      <c r="G7" s="2">
        <v>2.8E-3</v>
      </c>
      <c r="H7">
        <v>0.91</v>
      </c>
      <c r="I7">
        <v>1468</v>
      </c>
      <c r="J7" t="s">
        <v>37</v>
      </c>
      <c r="K7">
        <v>127080</v>
      </c>
      <c r="L7">
        <f t="shared" si="1"/>
        <v>5.4544159628576115E-6</v>
      </c>
      <c r="M7">
        <v>0.70799999999999996</v>
      </c>
      <c r="N7">
        <f t="shared" si="2"/>
        <v>0.18057981235388049</v>
      </c>
      <c r="O7">
        <f t="shared" si="3"/>
        <v>5.2677422726229452E-4</v>
      </c>
      <c r="P7">
        <f t="shared" si="4"/>
        <v>1.1739830517612248E-2</v>
      </c>
      <c r="Q7" s="1">
        <f t="shared" si="5"/>
        <v>0.29798648903280611</v>
      </c>
      <c r="R7">
        <f t="shared" si="10"/>
        <v>0.32236837927343798</v>
      </c>
      <c r="S7">
        <f t="shared" si="6"/>
        <v>1581.4967466310929</v>
      </c>
      <c r="T7">
        <v>5</v>
      </c>
      <c r="U7">
        <v>81</v>
      </c>
      <c r="V7">
        <v>0.49309999999999998</v>
      </c>
      <c r="W7" s="4">
        <v>8.1571100000000004E-24</v>
      </c>
      <c r="X7">
        <f t="shared" si="7"/>
        <v>5.691548736415532E-24</v>
      </c>
      <c r="AH7">
        <f t="shared" si="8"/>
        <v>1.3896289530025436E-3</v>
      </c>
      <c r="AI7">
        <f t="shared" si="9"/>
        <v>1.6314008390616818E-5</v>
      </c>
    </row>
    <row r="8" spans="1:35" x14ac:dyDescent="0.25">
      <c r="A8">
        <v>583.28</v>
      </c>
      <c r="B8">
        <f t="shared" si="0"/>
        <v>6.0720600356614536E-2</v>
      </c>
      <c r="C8">
        <v>70.599999999999994</v>
      </c>
      <c r="D8">
        <v>20.2</v>
      </c>
      <c r="E8" s="1">
        <v>2.4199999999999998E-3</v>
      </c>
      <c r="F8">
        <v>0.66800000000000004</v>
      </c>
      <c r="G8" s="2">
        <v>1.1000000000000001E-3</v>
      </c>
      <c r="H8">
        <v>1.18</v>
      </c>
      <c r="I8">
        <v>658</v>
      </c>
      <c r="L8" t="e">
        <f t="shared" si="1"/>
        <v>#DIV/0!</v>
      </c>
      <c r="N8" t="e">
        <f t="shared" si="2"/>
        <v>#DIV/0!</v>
      </c>
      <c r="O8">
        <f t="shared" si="3"/>
        <v>2.8775276078904115E-4</v>
      </c>
      <c r="P8" t="e">
        <f t="shared" si="4"/>
        <v>#DIV/0!</v>
      </c>
      <c r="Q8" s="1" t="e">
        <f t="shared" si="5"/>
        <v>#DIV/0!</v>
      </c>
      <c r="R8" t="e">
        <f t="shared" si="10"/>
        <v>#DIV/0!</v>
      </c>
      <c r="S8" t="e">
        <f t="shared" si="6"/>
        <v>#DIV/0!</v>
      </c>
      <c r="T8">
        <v>6</v>
      </c>
      <c r="X8">
        <f t="shared" si="7"/>
        <v>0</v>
      </c>
      <c r="AH8" t="e">
        <f t="shared" si="8"/>
        <v>#DIV/0!</v>
      </c>
      <c r="AI8" t="e">
        <f t="shared" si="9"/>
        <v>#DIV/0!</v>
      </c>
    </row>
    <row r="9" spans="1:35" x14ac:dyDescent="0.25">
      <c r="A9">
        <v>767.02</v>
      </c>
      <c r="B9">
        <f t="shared" si="0"/>
        <v>4.8150708638764264E-2</v>
      </c>
      <c r="C9">
        <v>87.1</v>
      </c>
      <c r="D9">
        <v>25.7</v>
      </c>
      <c r="E9" s="1">
        <v>2.98E-3</v>
      </c>
      <c r="F9">
        <v>1.34</v>
      </c>
      <c r="G9" s="2">
        <v>1.8E-3</v>
      </c>
      <c r="H9">
        <v>1.1499999999999999</v>
      </c>
      <c r="I9">
        <v>971</v>
      </c>
      <c r="J9" t="s">
        <v>49</v>
      </c>
      <c r="K9">
        <v>392256</v>
      </c>
      <c r="L9">
        <f t="shared" si="1"/>
        <v>1.7670785929595603E-6</v>
      </c>
      <c r="M9">
        <v>1.91E-3</v>
      </c>
      <c r="N9">
        <f t="shared" si="2"/>
        <v>32.433905966148032</v>
      </c>
      <c r="O9">
        <f t="shared" si="3"/>
        <v>3.1961431768000266E-4</v>
      </c>
      <c r="P9">
        <f t="shared" si="4"/>
        <v>3.4752829985301821</v>
      </c>
      <c r="Q9" s="1">
        <f t="shared" si="5"/>
        <v>53.521296973841636</v>
      </c>
      <c r="R9">
        <f t="shared" si="10"/>
        <v>54.915236335275516</v>
      </c>
      <c r="S9">
        <f t="shared" si="6"/>
        <v>861.75106021832607</v>
      </c>
      <c r="T9">
        <v>7</v>
      </c>
      <c r="U9">
        <v>46</v>
      </c>
      <c r="V9">
        <v>4.0000000000000003E-5</v>
      </c>
      <c r="W9" s="4">
        <v>3.6853499999999998E-24</v>
      </c>
      <c r="X9">
        <f t="shared" si="7"/>
        <v>2.5714191834790725E-24</v>
      </c>
      <c r="AH9">
        <f t="shared" si="8"/>
        <v>36.216807965681831</v>
      </c>
      <c r="AI9">
        <f t="shared" si="9"/>
        <v>125.86365698416654</v>
      </c>
    </row>
    <row r="10" spans="1:35" x14ac:dyDescent="0.25">
      <c r="A10">
        <v>776.77</v>
      </c>
      <c r="B10">
        <f t="shared" si="0"/>
        <v>4.7638299213710177E-2</v>
      </c>
      <c r="C10">
        <v>158.19999999999999</v>
      </c>
      <c r="D10">
        <v>31.5</v>
      </c>
      <c r="E10" s="1">
        <v>5.4200000000000003E-3</v>
      </c>
      <c r="F10">
        <v>1.82</v>
      </c>
      <c r="G10" s="2">
        <v>2.3999999999999998E-3</v>
      </c>
      <c r="H10">
        <v>0.98</v>
      </c>
      <c r="I10">
        <v>1441</v>
      </c>
      <c r="J10" t="s">
        <v>37</v>
      </c>
      <c r="K10">
        <v>127080</v>
      </c>
      <c r="L10">
        <f t="shared" si="1"/>
        <v>5.4544159628576115E-6</v>
      </c>
      <c r="M10">
        <v>0.83499999999999996</v>
      </c>
      <c r="N10">
        <f t="shared" si="2"/>
        <v>0.1362011907216166</v>
      </c>
      <c r="O10">
        <f t="shared" si="3"/>
        <v>4.3074514201452396E-4</v>
      </c>
      <c r="P10">
        <f t="shared" si="4"/>
        <v>1.0828733477913757E-2</v>
      </c>
      <c r="Q10" s="1">
        <f t="shared" si="5"/>
        <v>0.22475444013468088</v>
      </c>
      <c r="R10">
        <f t="shared" si="10"/>
        <v>0.24314432790524737</v>
      </c>
      <c r="S10">
        <f t="shared" si="6"/>
        <v>1192.8340006877233</v>
      </c>
      <c r="T10">
        <v>8</v>
      </c>
      <c r="U10">
        <v>81</v>
      </c>
      <c r="V10">
        <v>0.49309999999999998</v>
      </c>
      <c r="W10" s="4">
        <v>8.1571100000000004E-24</v>
      </c>
      <c r="X10">
        <f t="shared" si="7"/>
        <v>5.691548736415532E-24</v>
      </c>
      <c r="AH10">
        <f t="shared" si="8"/>
        <v>1.0481189208972649E-3</v>
      </c>
      <c r="AI10">
        <f t="shared" si="9"/>
        <v>1.1349800447555055E-5</v>
      </c>
    </row>
    <row r="11" spans="1:35" x14ac:dyDescent="0.25">
      <c r="A11">
        <v>808.1</v>
      </c>
      <c r="B11">
        <f t="shared" si="0"/>
        <v>4.6069235207947021E-2</v>
      </c>
      <c r="C11">
        <v>2366.1999999999998</v>
      </c>
      <c r="D11">
        <v>55.6</v>
      </c>
      <c r="E11" s="1">
        <v>8.1000000000000003E-2</v>
      </c>
      <c r="F11">
        <v>1.62</v>
      </c>
      <c r="G11" s="2">
        <v>2E-3</v>
      </c>
      <c r="H11">
        <v>0.92</v>
      </c>
      <c r="I11">
        <v>3469</v>
      </c>
      <c r="J11" t="s">
        <v>49</v>
      </c>
      <c r="K11">
        <v>392256</v>
      </c>
      <c r="L11">
        <f t="shared" si="1"/>
        <v>1.7670785929595603E-6</v>
      </c>
      <c r="M11">
        <v>6.2E-2</v>
      </c>
      <c r="N11">
        <f t="shared" si="2"/>
        <v>28.370429227272957</v>
      </c>
      <c r="O11">
        <f t="shared" si="3"/>
        <v>1.6658767753535712E-3</v>
      </c>
      <c r="P11">
        <f t="shared" si="4"/>
        <v>0.58323043841203814</v>
      </c>
      <c r="Q11" s="1">
        <f t="shared" si="5"/>
        <v>46.815889813981777</v>
      </c>
      <c r="R11">
        <f t="shared" si="10"/>
        <v>48.035189704717894</v>
      </c>
      <c r="S11">
        <f t="shared" si="6"/>
        <v>753.78671600542407</v>
      </c>
      <c r="T11">
        <v>9</v>
      </c>
      <c r="U11">
        <v>46</v>
      </c>
      <c r="V11">
        <v>4.0000000000000003E-5</v>
      </c>
      <c r="W11" s="4">
        <v>3.6853499999999998E-24</v>
      </c>
      <c r="X11">
        <f t="shared" si="7"/>
        <v>2.5714191834790725E-24</v>
      </c>
      <c r="AH11">
        <f t="shared" si="8"/>
        <v>31.679390952804809</v>
      </c>
      <c r="AI11">
        <f t="shared" si="9"/>
        <v>18.476385074030702</v>
      </c>
    </row>
    <row r="12" spans="1:35" x14ac:dyDescent="0.25">
      <c r="A12">
        <v>889.49</v>
      </c>
      <c r="B12">
        <f t="shared" si="0"/>
        <v>4.247285566772737E-2</v>
      </c>
      <c r="C12">
        <v>1726.2</v>
      </c>
      <c r="D12">
        <v>50.4</v>
      </c>
      <c r="E12" s="1">
        <v>5.91E-2</v>
      </c>
      <c r="F12">
        <v>1.68</v>
      </c>
      <c r="G12" s="2">
        <v>1.9E-3</v>
      </c>
      <c r="H12">
        <v>0.92</v>
      </c>
      <c r="I12">
        <v>2970</v>
      </c>
      <c r="J12" t="s">
        <v>72</v>
      </c>
      <c r="K12">
        <v>7214400</v>
      </c>
      <c r="L12">
        <f t="shared" si="1"/>
        <v>9.6078285174088667E-8</v>
      </c>
      <c r="M12">
        <v>0.99983999999999995</v>
      </c>
      <c r="N12">
        <f t="shared" si="2"/>
        <v>1.3920867238708103</v>
      </c>
      <c r="O12">
        <f t="shared" si="3"/>
        <v>1.4228617501860874E-3</v>
      </c>
      <c r="P12">
        <f t="shared" si="4"/>
        <v>3.3505857379364512E-2</v>
      </c>
      <c r="Q12" s="1">
        <f t="shared" si="5"/>
        <v>2.2971728116680041</v>
      </c>
      <c r="R12">
        <f t="shared" si="10"/>
        <v>2.3003995332656233</v>
      </c>
      <c r="S12">
        <f t="shared" si="6"/>
        <v>2.6718642165956124</v>
      </c>
      <c r="T12">
        <v>10</v>
      </c>
      <c r="U12">
        <v>45</v>
      </c>
      <c r="V12">
        <v>1</v>
      </c>
      <c r="W12" s="4">
        <v>4.9651599999999999E-23</v>
      </c>
      <c r="X12">
        <f t="shared" si="7"/>
        <v>3.4643948805521733E-23</v>
      </c>
      <c r="AH12">
        <f t="shared" si="8"/>
        <v>5.9983736459718204E-6</v>
      </c>
      <c r="AI12">
        <f t="shared" si="9"/>
        <v>2.0098065189007053E-7</v>
      </c>
    </row>
    <row r="13" spans="1:35" x14ac:dyDescent="0.25">
      <c r="A13">
        <v>1099.53</v>
      </c>
      <c r="B13">
        <f t="shared" si="0"/>
        <v>3.5492087904681315E-2</v>
      </c>
      <c r="C13">
        <v>1254.5999999999999</v>
      </c>
      <c r="D13">
        <v>44.6</v>
      </c>
      <c r="E13" s="1">
        <v>4.2999999999999997E-2</v>
      </c>
      <c r="F13">
        <v>1.82</v>
      </c>
      <c r="G13" s="2">
        <v>1.6999999999999999E-3</v>
      </c>
      <c r="H13">
        <v>1.1200000000000001</v>
      </c>
      <c r="I13">
        <v>2191</v>
      </c>
      <c r="J13" t="s">
        <v>67</v>
      </c>
      <c r="K13">
        <v>3896640</v>
      </c>
      <c r="L13">
        <f t="shared" si="1"/>
        <v>1.7788329960169409E-7</v>
      </c>
      <c r="M13">
        <v>0.56499999999999995</v>
      </c>
      <c r="N13">
        <f t="shared" si="2"/>
        <v>2.1426065856370622</v>
      </c>
      <c r="O13">
        <f t="shared" si="3"/>
        <v>1.2130251076557896E-3</v>
      </c>
      <c r="P13">
        <f t="shared" si="4"/>
        <v>6.0490864864360692E-2</v>
      </c>
      <c r="Q13" s="1">
        <f t="shared" si="5"/>
        <v>3.535654431744327</v>
      </c>
      <c r="R13">
        <f t="shared" si="10"/>
        <v>3.5448530058633967</v>
      </c>
      <c r="S13">
        <f t="shared" si="6"/>
        <v>4.6769474098848205</v>
      </c>
      <c r="T13">
        <v>11</v>
      </c>
      <c r="U13">
        <v>58</v>
      </c>
      <c r="V13">
        <v>2.8E-3</v>
      </c>
      <c r="W13" s="4">
        <v>4.2795600000000003E-24</v>
      </c>
      <c r="X13">
        <f t="shared" si="7"/>
        <v>2.9860237645948692E-24</v>
      </c>
      <c r="AH13">
        <f t="shared" si="8"/>
        <v>3.0287488417828974E-2</v>
      </c>
      <c r="AI13">
        <f t="shared" si="9"/>
        <v>1.832116368963782E-3</v>
      </c>
    </row>
    <row r="14" spans="1:35" x14ac:dyDescent="0.25">
      <c r="A14">
        <v>1120.8800000000001</v>
      </c>
      <c r="B14">
        <f t="shared" si="0"/>
        <v>3.4918644241840158E-2</v>
      </c>
      <c r="C14">
        <v>1503.6</v>
      </c>
      <c r="D14">
        <v>47.2</v>
      </c>
      <c r="E14" s="1">
        <v>5.1499999999999997E-2</v>
      </c>
      <c r="F14">
        <v>1.79</v>
      </c>
      <c r="G14" s="2">
        <v>1.6000000000000001E-3</v>
      </c>
      <c r="H14">
        <v>0.91</v>
      </c>
      <c r="I14">
        <v>2491</v>
      </c>
      <c r="J14" t="s">
        <v>72</v>
      </c>
      <c r="K14">
        <v>7214400</v>
      </c>
      <c r="L14">
        <f t="shared" si="1"/>
        <v>9.6078285174088667E-8</v>
      </c>
      <c r="M14">
        <v>0.99987000000000004</v>
      </c>
      <c r="N14">
        <f t="shared" si="2"/>
        <v>1.4748523828184565</v>
      </c>
      <c r="O14">
        <f t="shared" si="3"/>
        <v>1.3279548428137341E-3</v>
      </c>
      <c r="P14">
        <f t="shared" si="4"/>
        <v>3.803491023850427E-2</v>
      </c>
      <c r="Q14" s="1">
        <f t="shared" si="5"/>
        <v>2.4337498066311163</v>
      </c>
      <c r="R14">
        <f t="shared" si="10"/>
        <v>2.4371683709743692</v>
      </c>
      <c r="S14">
        <f t="shared" si="6"/>
        <v>2.8307182583109722</v>
      </c>
      <c r="T14">
        <v>12</v>
      </c>
      <c r="U14">
        <v>45</v>
      </c>
      <c r="V14">
        <v>1</v>
      </c>
      <c r="W14" s="4">
        <v>4.9651599999999999E-23</v>
      </c>
      <c r="X14">
        <f t="shared" si="7"/>
        <v>3.4643948805521733E-23</v>
      </c>
      <c r="AH14">
        <f t="shared" si="8"/>
        <v>6.3550032574105429E-6</v>
      </c>
      <c r="AI14">
        <f t="shared" si="9"/>
        <v>2.4171197846101223E-7</v>
      </c>
    </row>
    <row r="15" spans="1:35" x14ac:dyDescent="0.25">
      <c r="A15">
        <v>1173.52</v>
      </c>
      <c r="B15">
        <f t="shared" si="0"/>
        <v>3.3587331315662855E-2</v>
      </c>
      <c r="C15">
        <v>757.2</v>
      </c>
      <c r="D15">
        <v>34.700000000000003</v>
      </c>
      <c r="E15" s="1">
        <v>2.5899999999999999E-2</v>
      </c>
      <c r="F15">
        <v>1.97</v>
      </c>
      <c r="G15" s="2">
        <v>1.6999999999999999E-3</v>
      </c>
      <c r="H15">
        <v>1.07</v>
      </c>
      <c r="I15">
        <v>1450</v>
      </c>
      <c r="J15" t="s">
        <v>42</v>
      </c>
      <c r="K15" s="1">
        <v>170000000</v>
      </c>
      <c r="L15">
        <f t="shared" si="1"/>
        <v>4.0773363562349719E-9</v>
      </c>
      <c r="M15" s="1">
        <v>1</v>
      </c>
      <c r="N15">
        <f t="shared" si="2"/>
        <v>0.77206213871544993</v>
      </c>
      <c r="O15">
        <f t="shared" si="3"/>
        <v>9.4237216802001069E-4</v>
      </c>
      <c r="P15">
        <f t="shared" si="4"/>
        <v>2.8057369582695967E-2</v>
      </c>
      <c r="Q15" s="1">
        <f t="shared" si="5"/>
        <v>1.2740299318736799</v>
      </c>
      <c r="R15">
        <f t="shared" si="10"/>
        <v>1.2741058427812104</v>
      </c>
      <c r="S15">
        <f t="shared" si="6"/>
        <v>1.2822255483664828</v>
      </c>
      <c r="T15">
        <v>13</v>
      </c>
      <c r="U15">
        <v>59</v>
      </c>
      <c r="V15">
        <v>1</v>
      </c>
      <c r="W15" s="4">
        <v>4.3258399999999999E-23</v>
      </c>
      <c r="X15">
        <f t="shared" si="7"/>
        <v>3.0183152104036553E-23</v>
      </c>
      <c r="AH15">
        <f t="shared" si="8"/>
        <v>1.0207856459268214E-4</v>
      </c>
      <c r="AI15">
        <f t="shared" si="9"/>
        <v>2.8640560132479857E-6</v>
      </c>
    </row>
    <row r="16" spans="1:35" x14ac:dyDescent="0.25">
      <c r="A16">
        <v>1291.8800000000001</v>
      </c>
      <c r="B16">
        <f t="shared" si="0"/>
        <v>3.09619828656118E-2</v>
      </c>
      <c r="C16">
        <v>814.1</v>
      </c>
      <c r="D16">
        <v>33.200000000000003</v>
      </c>
      <c r="E16" s="1">
        <v>2.7900000000000001E-2</v>
      </c>
      <c r="F16">
        <v>1.94</v>
      </c>
      <c r="G16" s="2">
        <v>1.5E-3</v>
      </c>
      <c r="H16">
        <v>0.82</v>
      </c>
      <c r="I16">
        <v>1111</v>
      </c>
      <c r="J16" t="s">
        <v>67</v>
      </c>
      <c r="K16">
        <v>3896640</v>
      </c>
      <c r="L16">
        <f t="shared" si="1"/>
        <v>1.7788329960169409E-7</v>
      </c>
      <c r="M16">
        <v>0.432</v>
      </c>
      <c r="N16">
        <f t="shared" si="2"/>
        <v>2.0844063642524606</v>
      </c>
      <c r="O16">
        <f t="shared" si="3"/>
        <v>9.7713827673448343E-4</v>
      </c>
      <c r="P16">
        <f t="shared" si="4"/>
        <v>7.3053918055739048E-2</v>
      </c>
      <c r="Q16" s="1">
        <f t="shared" si="5"/>
        <v>3.4396144624628064</v>
      </c>
      <c r="R16">
        <f t="shared" si="10"/>
        <v>3.4485631731427633</v>
      </c>
      <c r="S16">
        <f t="shared" si="6"/>
        <v>4.5499061805316945</v>
      </c>
      <c r="T16">
        <v>14</v>
      </c>
      <c r="U16">
        <v>58</v>
      </c>
      <c r="V16">
        <v>2.8E-3</v>
      </c>
      <c r="W16" s="4">
        <v>4.2795600000000003E-24</v>
      </c>
      <c r="X16">
        <f t="shared" si="7"/>
        <v>2.9860237645948692E-24</v>
      </c>
      <c r="AH16">
        <f t="shared" si="8"/>
        <v>2.9464780906838527E-2</v>
      </c>
      <c r="AI16">
        <f t="shared" si="9"/>
        <v>2.1525176898984861E-3</v>
      </c>
    </row>
    <row r="17" spans="1:35" x14ac:dyDescent="0.25">
      <c r="A17">
        <v>1297.33</v>
      </c>
      <c r="B17">
        <f t="shared" si="0"/>
        <v>3.0851778705052967E-2</v>
      </c>
      <c r="C17">
        <v>22362.3</v>
      </c>
      <c r="D17">
        <v>151.80000000000001</v>
      </c>
      <c r="E17" s="1">
        <v>0.76600000000000001</v>
      </c>
      <c r="F17">
        <v>1.94</v>
      </c>
      <c r="G17" s="2">
        <v>1.4E-3</v>
      </c>
      <c r="H17">
        <v>2.57</v>
      </c>
      <c r="I17">
        <v>23087</v>
      </c>
      <c r="J17" t="s">
        <v>49</v>
      </c>
      <c r="K17">
        <v>392256</v>
      </c>
      <c r="L17">
        <f t="shared" si="1"/>
        <v>1.7670785929595603E-6</v>
      </c>
      <c r="M17">
        <v>0.71</v>
      </c>
      <c r="N17">
        <f t="shared" si="2"/>
        <v>34.961902849882755</v>
      </c>
      <c r="O17">
        <f t="shared" si="3"/>
        <v>5.1212429990684484E-3</v>
      </c>
      <c r="P17">
        <f t="shared" si="4"/>
        <v>0.23379586562915897</v>
      </c>
      <c r="Q17" s="1">
        <f t="shared" si="5"/>
        <v>57.692908993205869</v>
      </c>
      <c r="R17">
        <f t="shared" si="10"/>
        <v>59.195496211160574</v>
      </c>
      <c r="S17">
        <f t="shared" si="6"/>
        <v>928.91854837287576</v>
      </c>
      <c r="T17">
        <v>15</v>
      </c>
      <c r="U17">
        <v>46</v>
      </c>
      <c r="V17">
        <v>4.0000000000000003E-5</v>
      </c>
      <c r="W17" s="4">
        <v>3.6853499999999998E-24</v>
      </c>
      <c r="X17">
        <f t="shared" si="7"/>
        <v>2.5714191834790725E-24</v>
      </c>
      <c r="AH17">
        <f t="shared" si="8"/>
        <v>39.039655690887109</v>
      </c>
      <c r="AI17">
        <f t="shared" si="9"/>
        <v>9.1273100961152736</v>
      </c>
    </row>
    <row r="18" spans="1:35" x14ac:dyDescent="0.25">
      <c r="A18">
        <v>1332.83</v>
      </c>
      <c r="B18">
        <f t="shared" si="0"/>
        <v>3.0154333017090904E-2</v>
      </c>
      <c r="C18">
        <v>732.3</v>
      </c>
      <c r="D18">
        <v>28.7</v>
      </c>
      <c r="E18" s="1">
        <v>2.5100000000000001E-2</v>
      </c>
      <c r="F18">
        <v>1.94</v>
      </c>
      <c r="G18" s="2">
        <v>1.4E-3</v>
      </c>
      <c r="H18">
        <v>1.52</v>
      </c>
      <c r="I18">
        <v>870</v>
      </c>
      <c r="J18" t="s">
        <v>42</v>
      </c>
      <c r="K18" s="1">
        <v>170000000</v>
      </c>
      <c r="L18">
        <f t="shared" si="1"/>
        <v>4.0773363562349719E-9</v>
      </c>
      <c r="M18" s="1">
        <v>1</v>
      </c>
      <c r="N18">
        <f t="shared" si="2"/>
        <v>0.83168037936947581</v>
      </c>
      <c r="O18">
        <f t="shared" si="3"/>
        <v>9.2674801741564263E-4</v>
      </c>
      <c r="P18">
        <f t="shared" si="4"/>
        <v>3.0733494151251147E-2</v>
      </c>
      <c r="Q18" s="1">
        <f t="shared" si="5"/>
        <v>1.3724098669463298</v>
      </c>
      <c r="R18">
        <f t="shared" si="10"/>
        <v>1.3724916396550373</v>
      </c>
      <c r="S18">
        <f t="shared" si="6"/>
        <v>1.3812383447230561</v>
      </c>
      <c r="T18">
        <v>16</v>
      </c>
      <c r="U18">
        <v>59</v>
      </c>
      <c r="V18">
        <v>1</v>
      </c>
      <c r="W18" s="4">
        <v>4.3258399999999999E-23</v>
      </c>
      <c r="X18">
        <f t="shared" si="7"/>
        <v>3.0183152104036553E-23</v>
      </c>
      <c r="AH18">
        <f t="shared" si="8"/>
        <v>1.099610187687533E-4</v>
      </c>
      <c r="AI18">
        <f t="shared" si="9"/>
        <v>3.3794863271950972E-6</v>
      </c>
    </row>
    <row r="19" spans="1:35" x14ac:dyDescent="0.25">
      <c r="A19">
        <v>1408.54</v>
      </c>
      <c r="B19">
        <f t="shared" si="0"/>
        <v>2.8775736542669628E-2</v>
      </c>
      <c r="C19">
        <v>84.2</v>
      </c>
      <c r="D19">
        <v>12.9</v>
      </c>
      <c r="E19" s="1">
        <v>2.8900000000000002E-3</v>
      </c>
      <c r="F19">
        <v>1.94</v>
      </c>
      <c r="G19" s="2">
        <v>1.6000000000000001E-3</v>
      </c>
      <c r="H19">
        <v>0.9</v>
      </c>
      <c r="I19">
        <v>208</v>
      </c>
      <c r="L19" t="e">
        <f t="shared" si="1"/>
        <v>#DIV/0!</v>
      </c>
      <c r="N19" t="e">
        <f t="shared" si="2"/>
        <v>#DIV/0!</v>
      </c>
      <c r="O19">
        <f t="shared" si="3"/>
        <v>3.1424848621793049E-4</v>
      </c>
      <c r="P19" t="e">
        <f t="shared" si="4"/>
        <v>#DIV/0!</v>
      </c>
      <c r="Q19" s="1" t="e">
        <f t="shared" si="5"/>
        <v>#DIV/0!</v>
      </c>
      <c r="R19" t="e">
        <f t="shared" si="10"/>
        <v>#DIV/0!</v>
      </c>
      <c r="S19" t="e">
        <f t="shared" si="6"/>
        <v>#DIV/0!</v>
      </c>
      <c r="T19">
        <v>17</v>
      </c>
      <c r="X19">
        <f t="shared" si="7"/>
        <v>0</v>
      </c>
      <c r="AH19" t="e">
        <f t="shared" si="8"/>
        <v>#DIV/0!</v>
      </c>
      <c r="AI19" t="e">
        <f t="shared" si="9"/>
        <v>#DIV/0!</v>
      </c>
    </row>
    <row r="20" spans="1:35" x14ac:dyDescent="0.25">
      <c r="A20">
        <v>1460.98</v>
      </c>
      <c r="B20">
        <f t="shared" si="0"/>
        <v>2.7898461281230972E-2</v>
      </c>
      <c r="C20">
        <v>246.4</v>
      </c>
      <c r="D20">
        <v>17.8</v>
      </c>
      <c r="E20" s="1">
        <v>8.4399999999999996E-3</v>
      </c>
      <c r="F20">
        <v>1.94</v>
      </c>
      <c r="G20" s="2">
        <v>1.5E-3</v>
      </c>
      <c r="H20">
        <v>1.4</v>
      </c>
      <c r="I20">
        <v>356</v>
      </c>
      <c r="J20" t="s">
        <v>44</v>
      </c>
      <c r="K20" s="1">
        <v>4.0448E+16</v>
      </c>
      <c r="L20">
        <f t="shared" si="1"/>
        <v>1.7136747937103079E-17</v>
      </c>
      <c r="N20" t="e">
        <f t="shared" si="2"/>
        <v>#DIV/0!</v>
      </c>
      <c r="O20">
        <f t="shared" si="3"/>
        <v>5.3757306494105715E-4</v>
      </c>
      <c r="P20" t="e">
        <f t="shared" si="4"/>
        <v>#DIV/0!</v>
      </c>
      <c r="Q20" s="1" t="e">
        <f t="shared" si="5"/>
        <v>#DIV/0!</v>
      </c>
      <c r="R20" t="e">
        <f t="shared" si="10"/>
        <v>#DIV/0!</v>
      </c>
      <c r="S20" t="e">
        <f t="shared" si="6"/>
        <v>#DIV/0!</v>
      </c>
      <c r="T20">
        <v>18</v>
      </c>
      <c r="X20">
        <f t="shared" si="7"/>
        <v>0</v>
      </c>
      <c r="AH20" t="e">
        <f t="shared" si="8"/>
        <v>#DIV/0!</v>
      </c>
      <c r="AI20" t="e">
        <f t="shared" si="9"/>
        <v>#DIV/0!</v>
      </c>
    </row>
    <row r="21" spans="1:35" x14ac:dyDescent="0.25">
      <c r="A21">
        <v>1596.58</v>
      </c>
      <c r="B21">
        <f t="shared" si="0"/>
        <v>2.587804347513363E-2</v>
      </c>
      <c r="C21">
        <v>91.9</v>
      </c>
      <c r="D21">
        <v>13.2</v>
      </c>
      <c r="E21" s="1">
        <v>3.15E-3</v>
      </c>
      <c r="F21">
        <v>1.94</v>
      </c>
      <c r="G21" s="2">
        <v>1.5E-3</v>
      </c>
      <c r="H21">
        <v>0.74</v>
      </c>
      <c r="I21">
        <v>215</v>
      </c>
      <c r="L21" t="e">
        <f t="shared" si="1"/>
        <v>#DIV/0!</v>
      </c>
      <c r="N21" t="e">
        <f t="shared" si="2"/>
        <v>#DIV/0!</v>
      </c>
      <c r="O21">
        <f t="shared" si="3"/>
        <v>3.2830304003306481E-4</v>
      </c>
      <c r="P21" t="e">
        <f t="shared" si="4"/>
        <v>#DIV/0!</v>
      </c>
      <c r="Q21" s="1" t="e">
        <f t="shared" si="5"/>
        <v>#DIV/0!</v>
      </c>
      <c r="R21" t="e">
        <f t="shared" si="10"/>
        <v>#DIV/0!</v>
      </c>
      <c r="S21" t="e">
        <f t="shared" si="6"/>
        <v>#DIV/0!</v>
      </c>
      <c r="T21">
        <v>19</v>
      </c>
      <c r="X21">
        <f t="shared" si="7"/>
        <v>0</v>
      </c>
      <c r="AH21" t="e">
        <f t="shared" si="8"/>
        <v>#DIV/0!</v>
      </c>
      <c r="AI21" t="e">
        <f t="shared" si="9"/>
        <v>#DIV/0!</v>
      </c>
    </row>
    <row r="22" spans="1:35" x14ac:dyDescent="0.25">
      <c r="A22">
        <v>1764.79</v>
      </c>
      <c r="B22">
        <f t="shared" si="0"/>
        <v>2.3773052424295914E-2</v>
      </c>
      <c r="C22">
        <v>37.799999999999997</v>
      </c>
      <c r="D22">
        <v>8.1</v>
      </c>
      <c r="E22" s="1">
        <v>1.2999999999999999E-3</v>
      </c>
      <c r="F22">
        <v>1.94</v>
      </c>
      <c r="G22" s="2">
        <v>6.9999999999999999E-4</v>
      </c>
      <c r="H22">
        <v>2.06</v>
      </c>
      <c r="I22">
        <v>85</v>
      </c>
      <c r="L22" t="e">
        <f t="shared" si="1"/>
        <v>#DIV/0!</v>
      </c>
      <c r="N22" t="e">
        <f t="shared" si="2"/>
        <v>#DIV/0!</v>
      </c>
      <c r="O22">
        <f t="shared" si="3"/>
        <v>2.1055378286218354E-4</v>
      </c>
      <c r="P22" t="e">
        <f t="shared" si="4"/>
        <v>#DIV/0!</v>
      </c>
      <c r="Q22" s="1" t="e">
        <f t="shared" si="5"/>
        <v>#DIV/0!</v>
      </c>
      <c r="R22" t="e">
        <f t="shared" si="10"/>
        <v>#DIV/0!</v>
      </c>
      <c r="S22" t="e">
        <f t="shared" si="6"/>
        <v>#DIV/0!</v>
      </c>
      <c r="T22">
        <v>20</v>
      </c>
      <c r="X22">
        <f t="shared" si="7"/>
        <v>0</v>
      </c>
      <c r="AH22" t="e">
        <f t="shared" si="8"/>
        <v>#DIV/0!</v>
      </c>
      <c r="AI22" t="e">
        <f t="shared" si="9"/>
        <v>#DIV/0!</v>
      </c>
    </row>
    <row r="23" spans="1:35" x14ac:dyDescent="0.25">
      <c r="A23">
        <v>2010</v>
      </c>
      <c r="B23">
        <f t="shared" si="0"/>
        <v>2.1292511349893073E-2</v>
      </c>
      <c r="C23">
        <v>88</v>
      </c>
      <c r="D23">
        <v>11.1</v>
      </c>
      <c r="E23" s="1">
        <v>3.0100000000000001E-3</v>
      </c>
      <c r="F23">
        <v>1.94</v>
      </c>
      <c r="G23" s="2">
        <v>1.5E-3</v>
      </c>
      <c r="H23">
        <v>0.69</v>
      </c>
      <c r="I23">
        <v>142</v>
      </c>
      <c r="J23" t="s">
        <v>73</v>
      </c>
      <c r="L23" t="e">
        <f t="shared" si="1"/>
        <v>#DIV/0!</v>
      </c>
      <c r="N23" t="e">
        <f t="shared" si="2"/>
        <v>#DIV/0!</v>
      </c>
      <c r="O23">
        <f t="shared" si="3"/>
        <v>3.2126135341256369E-4</v>
      </c>
      <c r="P23" t="e">
        <f t="shared" si="4"/>
        <v>#DIV/0!</v>
      </c>
      <c r="Q23" s="1" t="e">
        <f t="shared" si="5"/>
        <v>#DIV/0!</v>
      </c>
      <c r="R23" t="e">
        <f t="shared" si="10"/>
        <v>#DIV/0!</v>
      </c>
      <c r="S23" t="e">
        <f t="shared" si="6"/>
        <v>#DIV/0!</v>
      </c>
      <c r="T23">
        <v>21</v>
      </c>
      <c r="X23">
        <f t="shared" si="7"/>
        <v>0</v>
      </c>
      <c r="AH23" t="e">
        <f t="shared" si="8"/>
        <v>#DIV/0!</v>
      </c>
      <c r="AI23" t="e">
        <f t="shared" si="9"/>
        <v>#DIV/0!</v>
      </c>
    </row>
    <row r="24" spans="1:35" x14ac:dyDescent="0.25">
      <c r="A24">
        <v>2505.9499999999998</v>
      </c>
      <c r="B24">
        <f t="shared" si="0"/>
        <v>1.7664621002180605E-2</v>
      </c>
      <c r="C24">
        <v>46.8</v>
      </c>
      <c r="D24">
        <v>8</v>
      </c>
      <c r="E24" s="1">
        <v>1.6000000000000001E-3</v>
      </c>
      <c r="F24">
        <v>1.94</v>
      </c>
      <c r="G24" s="2">
        <v>1.1000000000000001E-3</v>
      </c>
      <c r="H24">
        <v>1.33</v>
      </c>
      <c r="I24">
        <v>73</v>
      </c>
      <c r="L24" t="e">
        <f t="shared" si="1"/>
        <v>#DIV/0!</v>
      </c>
      <c r="N24" t="e">
        <f t="shared" si="2"/>
        <v>#DIV/0!</v>
      </c>
      <c r="O24">
        <f t="shared" si="3"/>
        <v>2.3428262159571329E-4</v>
      </c>
      <c r="P24" t="e">
        <f t="shared" si="4"/>
        <v>#DIV/0!</v>
      </c>
      <c r="Q24" s="1" t="e">
        <f t="shared" si="5"/>
        <v>#DIV/0!</v>
      </c>
      <c r="R24" t="e">
        <f t="shared" si="10"/>
        <v>#DIV/0!</v>
      </c>
      <c r="S24" t="e">
        <f t="shared" si="6"/>
        <v>#DIV/0!</v>
      </c>
      <c r="T24">
        <v>22</v>
      </c>
      <c r="X24">
        <f t="shared" si="7"/>
        <v>0</v>
      </c>
      <c r="AH24" t="e">
        <f t="shared" si="8"/>
        <v>#DIV/0!</v>
      </c>
      <c r="AI24" t="e">
        <f t="shared" si="9"/>
        <v>#DIV/0!</v>
      </c>
    </row>
    <row r="25" spans="1:35" x14ac:dyDescent="0.25">
      <c r="A25">
        <v>2614.7800000000002</v>
      </c>
      <c r="B25">
        <f t="shared" si="0"/>
        <v>1.7039873730650766E-2</v>
      </c>
      <c r="C25">
        <v>152</v>
      </c>
      <c r="D25">
        <v>12.8</v>
      </c>
      <c r="E25" s="1">
        <v>5.2100000000000002E-3</v>
      </c>
      <c r="F25">
        <v>1.94</v>
      </c>
      <c r="G25" s="2">
        <v>1E-3</v>
      </c>
      <c r="H25">
        <v>0.71</v>
      </c>
      <c r="I25">
        <v>172</v>
      </c>
      <c r="L25" t="e">
        <f t="shared" si="1"/>
        <v>#DIV/0!</v>
      </c>
      <c r="N25" t="e">
        <f t="shared" si="2"/>
        <v>#DIV/0!</v>
      </c>
      <c r="O25">
        <f t="shared" si="3"/>
        <v>4.2222013718965591E-4</v>
      </c>
      <c r="P25" t="e">
        <f t="shared" si="4"/>
        <v>#DIV/0!</v>
      </c>
      <c r="Q25" s="1" t="e">
        <f t="shared" si="5"/>
        <v>#DIV/0!</v>
      </c>
      <c r="R25" t="e">
        <f t="shared" si="10"/>
        <v>#DIV/0!</v>
      </c>
      <c r="S25" t="e">
        <f t="shared" si="6"/>
        <v>#DIV/0!</v>
      </c>
      <c r="T25">
        <v>23</v>
      </c>
      <c r="X25">
        <f t="shared" si="7"/>
        <v>0</v>
      </c>
      <c r="AH25" t="e">
        <f t="shared" si="8"/>
        <v>#DIV/0!</v>
      </c>
      <c r="AI25" t="e">
        <f t="shared" si="9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 1</vt:lpstr>
      <vt:lpstr>Sample 3</vt:lpstr>
      <vt:lpstr>Sample 8</vt:lpstr>
      <vt:lpstr>Sample 10</vt:lpstr>
      <vt:lpstr>Sample 12</vt:lpstr>
      <vt:lpstr>Sample 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peter-admin</dc:creator>
  <cp:lastModifiedBy>peter-admin</cp:lastModifiedBy>
  <dcterms:created xsi:type="dcterms:W3CDTF">2016-04-28T21:26:21Z</dcterms:created>
  <dcterms:modified xsi:type="dcterms:W3CDTF">2016-05-11T22:55:45Z</dcterms:modified>
</cp:coreProperties>
</file>