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shrimal/Library/Mobile Documents/com~apple~CloudDocs/Ashoka University/Academics/Semester 3/Corporate Finance/Valuation/"/>
    </mc:Choice>
  </mc:AlternateContent>
  <xr:revisionPtr revIDLastSave="0" documentId="13_ncr:1_{171C30FA-E1AF-4C42-9B09-B729F7C8C145}" xr6:coauthVersionLast="47" xr6:coauthVersionMax="47" xr10:uidLastSave="{00000000-0000-0000-0000-000000000000}"/>
  <bookViews>
    <workbookView xWindow="0" yWindow="740" windowWidth="29400" windowHeight="16440" activeTab="4" xr2:uid="{9929607B-D9E7-448C-8974-31DF875F5333}"/>
  </bookViews>
  <sheets>
    <sheet name="Cover" sheetId="1" r:id="rId1"/>
    <sheet name="Assump" sheetId="3" r:id="rId2"/>
    <sheet name="Calc" sheetId="2" r:id="rId3"/>
    <sheet name="Debt" sheetId="4" r:id="rId4"/>
    <sheet name="IS" sheetId="5" r:id="rId5"/>
    <sheet name="BS" sheetId="6" r:id="rId6"/>
    <sheet name="CF" sheetId="7" r:id="rId7"/>
    <sheet name="DCF" sheetId="10" r:id="rId8"/>
    <sheet name="Trading comps" sheetId="8" r:id="rId9"/>
  </sheets>
  <definedNames>
    <definedName name="Circ">Cover!$C$8</definedName>
    <definedName name="g">#REF!</definedName>
    <definedName name="growth">#REF!</definedName>
    <definedName name="tgr">DCF!$E$53</definedName>
    <definedName name="wac">#REF!</definedName>
    <definedName name="wacc">DCF!$E$50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0" l="1"/>
  <c r="F5" i="2" l="1"/>
  <c r="F11" i="7" s="1"/>
  <c r="F10" i="10" s="1" a="1"/>
  <c r="F10" i="10" s="1"/>
  <c r="F22" i="10" s="1"/>
  <c r="F4" i="2"/>
  <c r="E40" i="10"/>
  <c r="E39" i="10"/>
  <c r="E35" i="10"/>
  <c r="G3" i="5"/>
  <c r="E10" i="3" l="1"/>
  <c r="E8" i="3"/>
  <c r="E21" i="2" l="1"/>
  <c r="D4" i="5" l="1"/>
  <c r="F8" i="5"/>
  <c r="E5" i="5" l="1"/>
  <c r="E9" i="5" s="1"/>
  <c r="E34" i="6"/>
  <c r="I75" i="10"/>
  <c r="I74" i="10"/>
  <c r="D34" i="6"/>
  <c r="D36" i="6"/>
  <c r="D35" i="6"/>
  <c r="E36" i="6"/>
  <c r="E35" i="6"/>
  <c r="E32" i="6"/>
  <c r="D32" i="6"/>
  <c r="E75" i="10"/>
  <c r="E74" i="10"/>
  <c r="E44" i="10"/>
  <c r="D9" i="10" a="1"/>
  <c r="D9" i="10" s="1"/>
  <c r="J82" i="10"/>
  <c r="H82" i="10"/>
  <c r="B92" i="10"/>
  <c r="B93" i="10" s="1"/>
  <c r="B90" i="10"/>
  <c r="C90" i="10" s="1"/>
  <c r="G90" i="10" s="1"/>
  <c r="G99" i="10" s="1"/>
  <c r="F82" i="10"/>
  <c r="F88" i="10" s="1"/>
  <c r="F97" i="10" s="1"/>
  <c r="D82" i="10"/>
  <c r="D88" i="10" s="1"/>
  <c r="D97" i="10" s="1"/>
  <c r="B100" i="10"/>
  <c r="C100" i="10" s="1"/>
  <c r="C91" i="10"/>
  <c r="G91" i="10" s="1"/>
  <c r="G100" i="10" s="1"/>
  <c r="I88" i="10"/>
  <c r="I97" i="10" s="1"/>
  <c r="E88" i="10"/>
  <c r="E97" i="10" s="1"/>
  <c r="B89" i="10" l="1"/>
  <c r="B98" i="10" s="1"/>
  <c r="C98" i="10" s="1"/>
  <c r="B101" i="10"/>
  <c r="C101" i="10" s="1"/>
  <c r="B99" i="10"/>
  <c r="C99" i="10" s="1"/>
  <c r="C92" i="10"/>
  <c r="G92" i="10" s="1"/>
  <c r="G101" i="10" s="1"/>
  <c r="C89" i="10" l="1"/>
  <c r="G89" i="10" s="1"/>
  <c r="G98" i="10" s="1"/>
  <c r="B102" i="10"/>
  <c r="C102" i="10" s="1"/>
  <c r="C93" i="10"/>
  <c r="G93" i="10" s="1"/>
  <c r="G102" i="10" s="1"/>
  <c r="B75" i="10" l="1"/>
  <c r="B74" i="10"/>
  <c r="G64" i="10"/>
  <c r="H64" i="10" l="1"/>
  <c r="B13" i="10"/>
  <c r="B12" i="10"/>
  <c r="B11" i="10"/>
  <c r="F2" i="10"/>
  <c r="G2" i="10" s="1"/>
  <c r="H2" i="10" s="1"/>
  <c r="I2" i="10" s="1"/>
  <c r="J2" i="10" s="1"/>
  <c r="D2" i="10"/>
  <c r="C2" i="10" s="1"/>
  <c r="I64" i="10" l="1"/>
  <c r="G24" i="4"/>
  <c r="H24" i="4"/>
  <c r="I24" i="4"/>
  <c r="J24" i="4"/>
  <c r="F24" i="4"/>
  <c r="G7" i="7"/>
  <c r="H7" i="7"/>
  <c r="I7" i="7"/>
  <c r="J7" i="7"/>
  <c r="G12" i="7"/>
  <c r="H12" i="7"/>
  <c r="I12" i="7"/>
  <c r="J12" i="7"/>
  <c r="G16" i="7"/>
  <c r="H16" i="7"/>
  <c r="I16" i="7"/>
  <c r="J16" i="7"/>
  <c r="G18" i="7"/>
  <c r="H18" i="7"/>
  <c r="I18" i="7"/>
  <c r="J18" i="7"/>
  <c r="G10" i="6"/>
  <c r="H10" i="6"/>
  <c r="I10" i="6"/>
  <c r="J10" i="6"/>
  <c r="G11" i="6"/>
  <c r="H11" i="6"/>
  <c r="I11" i="6"/>
  <c r="J11" i="6"/>
  <c r="G12" i="6"/>
  <c r="H12" i="6"/>
  <c r="I12" i="6"/>
  <c r="J12" i="6"/>
  <c r="G17" i="6"/>
  <c r="H17" i="6"/>
  <c r="I17" i="6"/>
  <c r="J17" i="6"/>
  <c r="G23" i="6"/>
  <c r="H23" i="6"/>
  <c r="I23" i="6"/>
  <c r="J23" i="6"/>
  <c r="G12" i="5"/>
  <c r="H12" i="5"/>
  <c r="I12" i="5"/>
  <c r="J12" i="5"/>
  <c r="G17" i="5"/>
  <c r="H17" i="5"/>
  <c r="I17" i="5"/>
  <c r="J17" i="5"/>
  <c r="G18" i="5"/>
  <c r="H18" i="5"/>
  <c r="I18" i="5"/>
  <c r="J18" i="5"/>
  <c r="G24" i="5"/>
  <c r="H24" i="5"/>
  <c r="I24" i="5"/>
  <c r="J24" i="5"/>
  <c r="G30" i="5"/>
  <c r="H30" i="5"/>
  <c r="I30" i="5"/>
  <c r="J30" i="5"/>
  <c r="G31" i="5"/>
  <c r="H31" i="5"/>
  <c r="I31" i="5"/>
  <c r="J31" i="5"/>
  <c r="G19" i="4"/>
  <c r="H19" i="4"/>
  <c r="I19" i="4"/>
  <c r="J19" i="4"/>
  <c r="E15" i="4"/>
  <c r="F13" i="4" s="1"/>
  <c r="F7" i="4"/>
  <c r="B4" i="4"/>
  <c r="B3" i="4"/>
  <c r="E7" i="2"/>
  <c r="E23" i="7"/>
  <c r="F12" i="7"/>
  <c r="F7" i="7"/>
  <c r="B7" i="7"/>
  <c r="B9" i="10" s="1"/>
  <c r="B11" i="7"/>
  <c r="B10" i="10" s="1"/>
  <c r="F6" i="7"/>
  <c r="B6" i="7"/>
  <c r="B8" i="10" s="1"/>
  <c r="F18" i="7"/>
  <c r="F16" i="7"/>
  <c r="B15" i="7"/>
  <c r="B5" i="4" s="1"/>
  <c r="B3" i="7"/>
  <c r="E20" i="2"/>
  <c r="E19" i="2"/>
  <c r="E18" i="2"/>
  <c r="E17" i="2"/>
  <c r="E16" i="2"/>
  <c r="B20" i="2"/>
  <c r="B19" i="2"/>
  <c r="B17" i="2"/>
  <c r="B18" i="2"/>
  <c r="B16" i="2"/>
  <c r="F10" i="2"/>
  <c r="E13" i="2"/>
  <c r="F23" i="6"/>
  <c r="F19" i="4"/>
  <c r="E20" i="4"/>
  <c r="F18" i="4" s="1"/>
  <c r="F17" i="6"/>
  <c r="F12" i="6"/>
  <c r="F11" i="6"/>
  <c r="F10" i="6"/>
  <c r="F31" i="5"/>
  <c r="F30" i="5"/>
  <c r="F24" i="5"/>
  <c r="F18" i="5"/>
  <c r="F17" i="5"/>
  <c r="F6" i="2"/>
  <c r="E22" i="3"/>
  <c r="D22" i="3"/>
  <c r="F13" i="6" l="1"/>
  <c r="F19" i="6"/>
  <c r="F20" i="2" s="1"/>
  <c r="F24" i="6"/>
  <c r="F4" i="7" s="1"/>
  <c r="F5" i="6"/>
  <c r="F17" i="2" s="1"/>
  <c r="F6" i="6"/>
  <c r="F18" i="2" s="1"/>
  <c r="J64" i="10"/>
  <c r="F20" i="4"/>
  <c r="E17" i="5"/>
  <c r="E18" i="5"/>
  <c r="D17" i="5"/>
  <c r="J31" i="3"/>
  <c r="G31" i="3"/>
  <c r="H31" i="3"/>
  <c r="I31" i="3"/>
  <c r="F31" i="3"/>
  <c r="F32" i="3"/>
  <c r="G32" i="3" s="1"/>
  <c r="H32" i="3" s="1"/>
  <c r="I32" i="3" s="1"/>
  <c r="J32" i="3" s="1"/>
  <c r="E3" i="6"/>
  <c r="D3" i="6"/>
  <c r="G14" i="3"/>
  <c r="H14" i="3"/>
  <c r="I14" i="3"/>
  <c r="J14" i="3"/>
  <c r="F14" i="3"/>
  <c r="G12" i="3"/>
  <c r="H12" i="3"/>
  <c r="I12" i="3"/>
  <c r="J12" i="3"/>
  <c r="G13" i="3"/>
  <c r="H13" i="3"/>
  <c r="I13" i="3"/>
  <c r="J13" i="3"/>
  <c r="F13" i="3"/>
  <c r="F12" i="3"/>
  <c r="G9" i="3"/>
  <c r="H9" i="3"/>
  <c r="I9" i="3"/>
  <c r="J9" i="3"/>
  <c r="F9" i="3"/>
  <c r="G8" i="3"/>
  <c r="H8" i="3"/>
  <c r="I8" i="3"/>
  <c r="J8" i="3"/>
  <c r="F8" i="3"/>
  <c r="G7" i="3"/>
  <c r="H7" i="3"/>
  <c r="I7" i="3"/>
  <c r="J7" i="3"/>
  <c r="F7" i="3"/>
  <c r="G6" i="3"/>
  <c r="H6" i="3"/>
  <c r="I6" i="3"/>
  <c r="J6" i="3"/>
  <c r="F6" i="3"/>
  <c r="E32" i="3"/>
  <c r="D32" i="3"/>
  <c r="E27" i="3"/>
  <c r="F27" i="3" s="1"/>
  <c r="G27" i="3" s="1"/>
  <c r="H27" i="3" s="1"/>
  <c r="I27" i="3" s="1"/>
  <c r="J27" i="3" s="1"/>
  <c r="D27" i="3"/>
  <c r="E23" i="3"/>
  <c r="F23" i="3" s="1"/>
  <c r="G23" i="3" s="1"/>
  <c r="H23" i="3" s="1"/>
  <c r="I23" i="3" s="1"/>
  <c r="J23" i="3" s="1"/>
  <c r="D23" i="3"/>
  <c r="E15" i="3"/>
  <c r="F15" i="3" s="1"/>
  <c r="G15" i="3" s="1"/>
  <c r="H15" i="3" s="1"/>
  <c r="I15" i="3" s="1"/>
  <c r="J15" i="3" s="1"/>
  <c r="E16" i="3"/>
  <c r="F16" i="3" s="1"/>
  <c r="G16" i="3" s="1"/>
  <c r="H16" i="3" s="1"/>
  <c r="I16" i="3" s="1"/>
  <c r="J16" i="3" s="1"/>
  <c r="D16" i="3"/>
  <c r="D15" i="3"/>
  <c r="E11" i="3"/>
  <c r="E9" i="3"/>
  <c r="D9" i="3"/>
  <c r="E7" i="3"/>
  <c r="E6" i="3"/>
  <c r="E16" i="6"/>
  <c r="D16" i="6"/>
  <c r="D22" i="6"/>
  <c r="E22" i="6"/>
  <c r="E24" i="6"/>
  <c r="D24" i="6"/>
  <c r="E19" i="6"/>
  <c r="D19" i="6"/>
  <c r="E18" i="6"/>
  <c r="E20" i="6" s="1"/>
  <c r="E25" i="6" s="1"/>
  <c r="E28" i="6" s="1"/>
  <c r="D18" i="6"/>
  <c r="D20" i="6" s="1"/>
  <c r="D25" i="6" s="1"/>
  <c r="D28" i="6" s="1"/>
  <c r="E13" i="6"/>
  <c r="D13" i="6"/>
  <c r="E12" i="6"/>
  <c r="E24" i="3" s="1"/>
  <c r="F24" i="3" s="1"/>
  <c r="G24" i="3" s="1"/>
  <c r="H24" i="3" s="1"/>
  <c r="I24" i="3" s="1"/>
  <c r="J24" i="3" s="1"/>
  <c r="D12" i="6"/>
  <c r="D24" i="3" s="1"/>
  <c r="E9" i="6"/>
  <c r="D9" i="6"/>
  <c r="E6" i="6"/>
  <c r="D6" i="6"/>
  <c r="E34" i="5"/>
  <c r="D34" i="5"/>
  <c r="E24" i="5"/>
  <c r="D18" i="5"/>
  <c r="D24" i="5" s="1"/>
  <c r="D15" i="5"/>
  <c r="D18" i="3"/>
  <c r="E18" i="3"/>
  <c r="E19" i="3"/>
  <c r="D6" i="3"/>
  <c r="F2" i="7"/>
  <c r="G2" i="7" s="1"/>
  <c r="H2" i="7" s="1"/>
  <c r="I2" i="7" s="1"/>
  <c r="J2" i="7" s="1"/>
  <c r="D2" i="7"/>
  <c r="C2" i="7" s="1"/>
  <c r="F2" i="6"/>
  <c r="G2" i="6" s="1"/>
  <c r="H2" i="6" s="1"/>
  <c r="I2" i="6" s="1"/>
  <c r="J2" i="6" s="1"/>
  <c r="D2" i="6"/>
  <c r="C2" i="6" s="1"/>
  <c r="F2" i="5"/>
  <c r="G2" i="5" s="1"/>
  <c r="H2" i="5" s="1"/>
  <c r="I2" i="5" s="1"/>
  <c r="J2" i="5" s="1"/>
  <c r="D2" i="5"/>
  <c r="C2" i="5" s="1"/>
  <c r="F2" i="4"/>
  <c r="G2" i="4" s="1"/>
  <c r="H2" i="4" s="1"/>
  <c r="I2" i="4" s="1"/>
  <c r="J2" i="4" s="1"/>
  <c r="D2" i="4"/>
  <c r="C2" i="4" s="1"/>
  <c r="F2" i="3"/>
  <c r="G2" i="3" s="1"/>
  <c r="H2" i="3" s="1"/>
  <c r="I2" i="3" s="1"/>
  <c r="J2" i="3" s="1"/>
  <c r="D2" i="3"/>
  <c r="C2" i="3" s="1"/>
  <c r="F2" i="2"/>
  <c r="G2" i="2" s="1"/>
  <c r="H2" i="2" s="1"/>
  <c r="I2" i="2" s="1"/>
  <c r="J2" i="2" s="1"/>
  <c r="D2" i="2"/>
  <c r="C2" i="2" s="1"/>
  <c r="D2" i="1"/>
  <c r="C2" i="1"/>
  <c r="G2" i="1"/>
  <c r="H2" i="1"/>
  <c r="I2" i="1"/>
  <c r="J2" i="1" s="1"/>
  <c r="F2" i="1"/>
  <c r="G19" i="6" l="1"/>
  <c r="G20" i="2" s="1"/>
  <c r="G7" i="5"/>
  <c r="G13" i="6"/>
  <c r="G8" i="7" s="1"/>
  <c r="G5" i="5"/>
  <c r="G8" i="5"/>
  <c r="G5" i="2"/>
  <c r="G5" i="6"/>
  <c r="G17" i="2" s="1"/>
  <c r="H3" i="5"/>
  <c r="G24" i="6"/>
  <c r="G4" i="7" s="1"/>
  <c r="G4" i="5"/>
  <c r="G6" i="6"/>
  <c r="G18" i="2" s="1"/>
  <c r="F8" i="7"/>
  <c r="F4" i="6"/>
  <c r="F18" i="6"/>
  <c r="F19" i="2" s="1"/>
  <c r="F5" i="5"/>
  <c r="F9" i="5" s="1"/>
  <c r="F13" i="5" s="1"/>
  <c r="F7" i="2"/>
  <c r="F22" i="6"/>
  <c r="F17" i="7" s="1"/>
  <c r="F9" i="4" s="1"/>
  <c r="G18" i="4"/>
  <c r="G20" i="4" s="1"/>
  <c r="D7" i="3"/>
  <c r="D33" i="3"/>
  <c r="E25" i="3"/>
  <c r="D11" i="3"/>
  <c r="D29" i="3"/>
  <c r="D5" i="3"/>
  <c r="E33" i="3"/>
  <c r="E29" i="3"/>
  <c r="D19" i="3"/>
  <c r="E4" i="3"/>
  <c r="E20" i="3"/>
  <c r="D25" i="3"/>
  <c r="E5" i="3"/>
  <c r="D20" i="3"/>
  <c r="D28" i="3"/>
  <c r="E28" i="3"/>
  <c r="D7" i="6"/>
  <c r="D14" i="6" s="1"/>
  <c r="D30" i="6" s="1"/>
  <c r="E30" i="6"/>
  <c r="E7" i="6"/>
  <c r="E14" i="6" s="1"/>
  <c r="D5" i="5"/>
  <c r="D9" i="5" l="1"/>
  <c r="D13" i="5" s="1"/>
  <c r="D19" i="5" s="1"/>
  <c r="G4" i="2"/>
  <c r="G6" i="2"/>
  <c r="F9" i="6"/>
  <c r="G18" i="6"/>
  <c r="G19" i="2" s="1"/>
  <c r="G4" i="6"/>
  <c r="F16" i="2"/>
  <c r="F21" i="2" s="1"/>
  <c r="F32" i="6"/>
  <c r="G11" i="7"/>
  <c r="G13" i="7" s="1"/>
  <c r="G4" i="4" s="1"/>
  <c r="G9" i="5"/>
  <c r="F13" i="7"/>
  <c r="F4" i="4" s="1"/>
  <c r="H5" i="6"/>
  <c r="H17" i="2" s="1"/>
  <c r="I3" i="5"/>
  <c r="H24" i="6"/>
  <c r="H4" i="7" s="1"/>
  <c r="H7" i="5"/>
  <c r="H13" i="6"/>
  <c r="H8" i="5"/>
  <c r="H6" i="6"/>
  <c r="H18" i="2" s="1"/>
  <c r="H5" i="2"/>
  <c r="H11" i="7" s="1"/>
  <c r="H13" i="7" s="1"/>
  <c r="H4" i="4" s="1"/>
  <c r="H19" i="6"/>
  <c r="H20" i="2" s="1"/>
  <c r="H4" i="5"/>
  <c r="H5" i="5" s="1"/>
  <c r="H18" i="4"/>
  <c r="H20" i="4" s="1"/>
  <c r="G22" i="6"/>
  <c r="G17" i="7" s="1"/>
  <c r="G9" i="4" s="1"/>
  <c r="E13" i="5"/>
  <c r="D22" i="5" l="1"/>
  <c r="D25" i="5" s="1"/>
  <c r="D13" i="3"/>
  <c r="G7" i="2"/>
  <c r="H6" i="2"/>
  <c r="G9" i="6"/>
  <c r="H4" i="2"/>
  <c r="F5" i="7"/>
  <c r="G32" i="6"/>
  <c r="G16" i="2"/>
  <c r="G21" i="2" s="1"/>
  <c r="H9" i="5"/>
  <c r="G6" i="7"/>
  <c r="G11" i="5"/>
  <c r="G13" i="5"/>
  <c r="H18" i="6"/>
  <c r="H19" i="2" s="1"/>
  <c r="H4" i="6"/>
  <c r="H8" i="7"/>
  <c r="I6" i="6"/>
  <c r="I18" i="2" s="1"/>
  <c r="I13" i="6"/>
  <c r="I5" i="6"/>
  <c r="I17" i="2" s="1"/>
  <c r="J3" i="5"/>
  <c r="D4" i="10" s="1" a="1"/>
  <c r="D4" i="10" s="1"/>
  <c r="I5" i="2"/>
  <c r="I11" i="7" s="1"/>
  <c r="I13" i="7" s="1"/>
  <c r="I4" i="4" s="1"/>
  <c r="I8" i="5"/>
  <c r="I19" i="6"/>
  <c r="I20" i="2" s="1"/>
  <c r="I24" i="6"/>
  <c r="I4" i="7" s="1"/>
  <c r="I4" i="5"/>
  <c r="I7" i="5"/>
  <c r="I18" i="4"/>
  <c r="I20" i="4" s="1"/>
  <c r="H22" i="6"/>
  <c r="H17" i="7" s="1"/>
  <c r="H9" i="4" s="1"/>
  <c r="E19" i="5"/>
  <c r="H7" i="2" l="1"/>
  <c r="D14" i="3"/>
  <c r="J5" i="2"/>
  <c r="J11" i="7" s="1"/>
  <c r="J13" i="7" s="1"/>
  <c r="J4" i="4" s="1"/>
  <c r="J19" i="6"/>
  <c r="J20" i="2" s="1"/>
  <c r="J24" i="6"/>
  <c r="J4" i="7" s="1"/>
  <c r="F12" i="10" s="1" a="1"/>
  <c r="F12" i="10" s="1"/>
  <c r="J4" i="5"/>
  <c r="J7" i="5"/>
  <c r="J13" i="6"/>
  <c r="J8" i="7" s="1"/>
  <c r="F13" i="10" s="1" a="1"/>
  <c r="F13" i="10" s="1"/>
  <c r="J8" i="5"/>
  <c r="J6" i="6"/>
  <c r="J18" i="2" s="1"/>
  <c r="J5" i="6"/>
  <c r="J17" i="2" s="1"/>
  <c r="I8" i="7"/>
  <c r="H9" i="6"/>
  <c r="I4" i="2"/>
  <c r="I6" i="2"/>
  <c r="I4" i="6"/>
  <c r="I18" i="6"/>
  <c r="I19" i="2" s="1"/>
  <c r="G5" i="7"/>
  <c r="H32" i="6"/>
  <c r="H16" i="2"/>
  <c r="H21" i="2" s="1"/>
  <c r="I5" i="5"/>
  <c r="I9" i="5" s="1"/>
  <c r="H11" i="5"/>
  <c r="H13" i="5" s="1"/>
  <c r="H6" i="7"/>
  <c r="J18" i="4"/>
  <c r="J20" i="4" s="1"/>
  <c r="J22" i="6" s="1"/>
  <c r="J17" i="7" s="1"/>
  <c r="J9" i="4" s="1"/>
  <c r="I22" i="6"/>
  <c r="I17" i="7" s="1"/>
  <c r="I9" i="4" s="1"/>
  <c r="E22" i="5"/>
  <c r="E25" i="5" s="1"/>
  <c r="E13" i="3"/>
  <c r="D33" i="5"/>
  <c r="D32" i="5"/>
  <c r="G22" i="10" l="1"/>
  <c r="I7" i="2"/>
  <c r="I32" i="6"/>
  <c r="J21" i="10" s="1"/>
  <c r="I16" i="2"/>
  <c r="I21" i="2" s="1"/>
  <c r="F21" i="10"/>
  <c r="E21" i="10"/>
  <c r="E22" i="10"/>
  <c r="J17" i="10"/>
  <c r="E23" i="10"/>
  <c r="I17" i="10"/>
  <c r="F17" i="10"/>
  <c r="E17" i="10"/>
  <c r="H17" i="10"/>
  <c r="G17" i="10"/>
  <c r="F23" i="10"/>
  <c r="G21" i="10"/>
  <c r="G23" i="10"/>
  <c r="I9" i="6"/>
  <c r="I23" i="10" s="1"/>
  <c r="J6" i="2"/>
  <c r="J4" i="2"/>
  <c r="J7" i="2" s="1"/>
  <c r="J9" i="6" s="1"/>
  <c r="J23" i="10" s="1"/>
  <c r="H5" i="7"/>
  <c r="J18" i="6"/>
  <c r="J19" i="2" s="1"/>
  <c r="J4" i="6"/>
  <c r="H21" i="10"/>
  <c r="I11" i="5"/>
  <c r="I6" i="7"/>
  <c r="J5" i="5"/>
  <c r="J9" i="5" s="1"/>
  <c r="I21" i="10"/>
  <c r="H23" i="10"/>
  <c r="H88" i="10"/>
  <c r="H97" i="10" s="1"/>
  <c r="J88" i="10"/>
  <c r="J97" i="10" s="1"/>
  <c r="E14" i="3"/>
  <c r="I22" i="10" l="1"/>
  <c r="J22" i="10"/>
  <c r="H22" i="10"/>
  <c r="I5" i="7"/>
  <c r="J11" i="5"/>
  <c r="J13" i="5" s="1"/>
  <c r="J6" i="7"/>
  <c r="I13" i="5"/>
  <c r="J32" i="6"/>
  <c r="J16" i="2"/>
  <c r="J21" i="2" s="1"/>
  <c r="J5" i="7" s="1"/>
  <c r="E32" i="5"/>
  <c r="E33" i="5"/>
  <c r="D8" i="10" l="1" a="1"/>
  <c r="D8" i="10" s="1"/>
  <c r="F11" i="10" a="1"/>
  <c r="F11" i="10" s="1"/>
  <c r="D5" i="10" a="1"/>
  <c r="F16" i="5"/>
  <c r="G16" i="5"/>
  <c r="H16" i="5"/>
  <c r="G15" i="5"/>
  <c r="J15" i="5"/>
  <c r="J16" i="5"/>
  <c r="I15" i="5"/>
  <c r="H15" i="5"/>
  <c r="F15" i="5"/>
  <c r="I16" i="5"/>
  <c r="J19" i="5" l="1"/>
  <c r="J21" i="5" s="1"/>
  <c r="J22" i="5" s="1"/>
  <c r="I19" i="5"/>
  <c r="I21" i="5" s="1"/>
  <c r="I22" i="5" s="1"/>
  <c r="D5" i="10"/>
  <c r="D7" i="10" s="1"/>
  <c r="E7" i="10"/>
  <c r="F7" i="10"/>
  <c r="G7" i="10"/>
  <c r="I7" i="10"/>
  <c r="F20" i="10"/>
  <c r="H7" i="10"/>
  <c r="H54" i="10"/>
  <c r="E59" i="10" s="1"/>
  <c r="J7" i="10"/>
  <c r="H19" i="10"/>
  <c r="I20" i="10"/>
  <c r="J20" i="10"/>
  <c r="G19" i="10"/>
  <c r="I19" i="10"/>
  <c r="G20" i="10"/>
  <c r="J19" i="10"/>
  <c r="E20" i="10"/>
  <c r="F19" i="10"/>
  <c r="H20" i="10"/>
  <c r="E19" i="10"/>
  <c r="G19" i="5"/>
  <c r="G21" i="5" s="1"/>
  <c r="G22" i="5" s="1"/>
  <c r="F19" i="5"/>
  <c r="F21" i="5" s="1"/>
  <c r="F22" i="5" s="1"/>
  <c r="H19" i="5"/>
  <c r="H21" i="5" s="1"/>
  <c r="H22" i="5" s="1"/>
  <c r="H18" i="10" l="1"/>
  <c r="H14" i="10"/>
  <c r="H26" i="10" s="1"/>
  <c r="I72" i="10"/>
  <c r="F14" i="10"/>
  <c r="F18" i="10"/>
  <c r="G18" i="10"/>
  <c r="G14" i="10"/>
  <c r="G26" i="10" s="1"/>
  <c r="E18" i="10"/>
  <c r="I18" i="10"/>
  <c r="I14" i="10"/>
  <c r="I26" i="10" s="1"/>
  <c r="J18" i="10"/>
  <c r="J14" i="10"/>
  <c r="F11" i="2"/>
  <c r="F25" i="5"/>
  <c r="F33" i="5" s="1"/>
  <c r="J25" i="5"/>
  <c r="J11" i="2"/>
  <c r="J3" i="7" s="1"/>
  <c r="J9" i="7" s="1"/>
  <c r="J3" i="4" s="1"/>
  <c r="G11" i="2"/>
  <c r="G3" i="7" s="1"/>
  <c r="G9" i="7" s="1"/>
  <c r="G3" i="4" s="1"/>
  <c r="G25" i="5"/>
  <c r="H11" i="2"/>
  <c r="H3" i="7" s="1"/>
  <c r="H9" i="7" s="1"/>
  <c r="H3" i="4" s="1"/>
  <c r="H25" i="5"/>
  <c r="I11" i="2"/>
  <c r="I3" i="7" s="1"/>
  <c r="I9" i="7" s="1"/>
  <c r="I3" i="4" s="1"/>
  <c r="I25" i="5"/>
  <c r="F3" i="7"/>
  <c r="F9" i="7" s="1"/>
  <c r="F3" i="4" s="1"/>
  <c r="F65" i="10" l="1" a="1"/>
  <c r="F65" i="10" s="1"/>
  <c r="F26" i="10"/>
  <c r="H53" i="10"/>
  <c r="J26" i="10"/>
  <c r="F27" i="5"/>
  <c r="F34" i="5" s="1"/>
  <c r="F32" i="5"/>
  <c r="G27" i="5"/>
  <c r="G33" i="5"/>
  <c r="G32" i="5"/>
  <c r="I33" i="5"/>
  <c r="I27" i="5"/>
  <c r="I32" i="5"/>
  <c r="H32" i="5"/>
  <c r="H27" i="5"/>
  <c r="H33" i="5"/>
  <c r="J27" i="5"/>
  <c r="J32" i="5"/>
  <c r="J33" i="5"/>
  <c r="F12" i="2" l="1"/>
  <c r="I12" i="2"/>
  <c r="I15" i="7" s="1"/>
  <c r="I34" i="5"/>
  <c r="J34" i="5"/>
  <c r="J12" i="2"/>
  <c r="J15" i="7" s="1"/>
  <c r="H34" i="5"/>
  <c r="H12" i="2"/>
  <c r="H15" i="7" s="1"/>
  <c r="F15" i="7"/>
  <c r="F13" i="2"/>
  <c r="G12" i="2"/>
  <c r="G15" i="7" s="1"/>
  <c r="G34" i="5"/>
  <c r="F5" i="4" l="1"/>
  <c r="F6" i="4" s="1"/>
  <c r="F8" i="4" s="1"/>
  <c r="F10" i="4" s="1"/>
  <c r="F14" i="4" s="1"/>
  <c r="F15" i="4" s="1"/>
  <c r="G5" i="4"/>
  <c r="G6" i="4" s="1"/>
  <c r="J5" i="4"/>
  <c r="J6" i="4" s="1"/>
  <c r="G10" i="2"/>
  <c r="G13" i="2" s="1"/>
  <c r="F27" i="6"/>
  <c r="H5" i="4"/>
  <c r="H6" i="4" s="1"/>
  <c r="I5" i="4"/>
  <c r="I6" i="4" s="1"/>
  <c r="H10" i="2" l="1"/>
  <c r="H13" i="2" s="1"/>
  <c r="G27" i="6"/>
  <c r="F23" i="4"/>
  <c r="F25" i="4" s="1"/>
  <c r="G13" i="4"/>
  <c r="F16" i="6"/>
  <c r="F34" i="6" s="1"/>
  <c r="F20" i="6" l="1"/>
  <c r="F25" i="6" s="1"/>
  <c r="F28" i="6" s="1"/>
  <c r="F19" i="7"/>
  <c r="F20" i="7" s="1"/>
  <c r="F22" i="7" s="1"/>
  <c r="F23" i="7" s="1"/>
  <c r="F3" i="6" s="1"/>
  <c r="I10" i="2"/>
  <c r="I13" i="2" s="1"/>
  <c r="H27" i="6"/>
  <c r="I27" i="6" l="1"/>
  <c r="J10" i="2"/>
  <c r="J13" i="2" s="1"/>
  <c r="J27" i="6" s="1"/>
  <c r="F35" i="6"/>
  <c r="F36" i="6" s="1"/>
  <c r="G7" i="4" l="1"/>
  <c r="G8" i="4" s="1"/>
  <c r="G10" i="4" s="1"/>
  <c r="G14" i="4" s="1"/>
  <c r="G15" i="4" s="1"/>
  <c r="F27" i="4"/>
  <c r="F7" i="6"/>
  <c r="F14" i="6" s="1"/>
  <c r="F30" i="6" s="1"/>
  <c r="G16" i="6" l="1"/>
  <c r="G34" i="6" s="1"/>
  <c r="H13" i="4"/>
  <c r="G23" i="4"/>
  <c r="G25" i="4" s="1"/>
  <c r="G20" i="6" l="1"/>
  <c r="G25" i="6" s="1"/>
  <c r="G28" i="6" s="1"/>
  <c r="G19" i="7"/>
  <c r="G20" i="7" s="1"/>
  <c r="G22" i="7" s="1"/>
  <c r="G23" i="7" s="1"/>
  <c r="G3" i="6" l="1"/>
  <c r="G35" i="6" s="1"/>
  <c r="G36" i="6" s="1"/>
  <c r="G7" i="6" l="1"/>
  <c r="G14" i="6" s="1"/>
  <c r="G30" i="6" s="1"/>
  <c r="H7" i="4"/>
  <c r="H8" i="4" s="1"/>
  <c r="H10" i="4" s="1"/>
  <c r="H14" i="4" s="1"/>
  <c r="H15" i="4" s="1"/>
  <c r="G27" i="4"/>
  <c r="H16" i="6" l="1"/>
  <c r="H34" i="6" s="1"/>
  <c r="I13" i="4"/>
  <c r="H23" i="4"/>
  <c r="H25" i="4" s="1"/>
  <c r="H20" i="6" l="1"/>
  <c r="H25" i="6" s="1"/>
  <c r="H28" i="6" s="1"/>
  <c r="H19" i="7"/>
  <c r="H20" i="7" s="1"/>
  <c r="H22" i="7" s="1"/>
  <c r="H23" i="7" s="1"/>
  <c r="H3" i="6" l="1"/>
  <c r="H35" i="6" s="1"/>
  <c r="H36" i="6" s="1"/>
  <c r="I7" i="4" l="1"/>
  <c r="I8" i="4" s="1"/>
  <c r="I10" i="4" s="1"/>
  <c r="I14" i="4" s="1"/>
  <c r="I15" i="4" s="1"/>
  <c r="H7" i="6"/>
  <c r="H14" i="6" s="1"/>
  <c r="H30" i="6" s="1"/>
  <c r="H27" i="4"/>
  <c r="J13" i="4" l="1"/>
  <c r="I16" i="6"/>
  <c r="I34" i="6" s="1"/>
  <c r="I23" i="4"/>
  <c r="I25" i="4" s="1"/>
  <c r="I19" i="7" l="1"/>
  <c r="I20" i="7" s="1"/>
  <c r="I22" i="7" s="1"/>
  <c r="I23" i="7" s="1"/>
  <c r="I20" i="6"/>
  <c r="I25" i="6" s="1"/>
  <c r="I28" i="6" s="1"/>
  <c r="I3" i="6" l="1"/>
  <c r="I35" i="6" s="1"/>
  <c r="I36" i="6" s="1"/>
  <c r="J7" i="4" l="1"/>
  <c r="J8" i="4" s="1"/>
  <c r="J10" i="4" s="1"/>
  <c r="J14" i="4" s="1"/>
  <c r="J15" i="4" s="1"/>
  <c r="I7" i="6"/>
  <c r="I14" i="6" s="1"/>
  <c r="I30" i="6" s="1"/>
  <c r="I27" i="4"/>
  <c r="J16" i="6" l="1"/>
  <c r="J34" i="6" s="1"/>
  <c r="J23" i="4"/>
  <c r="J25" i="4" s="1"/>
  <c r="D45" i="10" l="1" a="1"/>
  <c r="J19" i="7"/>
  <c r="J20" i="7" s="1"/>
  <c r="J22" i="7" s="1"/>
  <c r="J23" i="7" s="1"/>
  <c r="J3" i="6" s="1"/>
  <c r="J35" i="6" s="1"/>
  <c r="J36" i="6" s="1"/>
  <c r="D24" i="10" s="1" a="1"/>
  <c r="J20" i="6"/>
  <c r="J25" i="6" s="1"/>
  <c r="J28" i="6" s="1"/>
  <c r="D24" i="10" l="1"/>
  <c r="E25" i="10" s="1"/>
  <c r="H25" i="10"/>
  <c r="G25" i="10"/>
  <c r="J25" i="10"/>
  <c r="I25" i="10"/>
  <c r="I28" i="10" s="1"/>
  <c r="F25" i="10"/>
  <c r="D45" i="10"/>
  <c r="E76" i="10"/>
  <c r="I76" i="10" s="1"/>
  <c r="C69" i="10"/>
  <c r="E46" i="10"/>
  <c r="E47" i="10" s="1"/>
  <c r="E48" i="10"/>
  <c r="J7" i="6"/>
  <c r="J14" i="6" s="1"/>
  <c r="J30" i="6" s="1"/>
  <c r="J27" i="4"/>
  <c r="E56" i="10" l="1"/>
  <c r="E70" i="10" s="1"/>
  <c r="G28" i="10"/>
  <c r="J28" i="10"/>
  <c r="E49" i="10"/>
  <c r="H28" i="10"/>
  <c r="E60" i="10" l="1"/>
  <c r="G97" i="10" s="1"/>
  <c r="I70" i="10"/>
  <c r="J66" i="10"/>
  <c r="H66" i="10"/>
  <c r="I66" i="10"/>
  <c r="G66" i="10"/>
  <c r="F66" i="10"/>
  <c r="E69" i="10" l="1"/>
  <c r="I69" i="10" s="1"/>
  <c r="E72" i="10"/>
  <c r="C97" i="10" s="1"/>
  <c r="E57" i="10"/>
  <c r="E71" i="10" l="1"/>
  <c r="I71" i="10"/>
  <c r="J69" i="10" s="1"/>
  <c r="E77" i="10" l="1"/>
  <c r="E78" i="10" s="1"/>
  <c r="C88" i="10" s="1"/>
  <c r="F69" i="10"/>
  <c r="F70" i="10"/>
  <c r="I77" i="10"/>
  <c r="I78" i="10" s="1"/>
  <c r="G88" i="10" s="1"/>
  <c r="J71" i="10"/>
  <c r="J70" i="10"/>
  <c r="F71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<sst xmlns="http://schemas.openxmlformats.org/spreadsheetml/2006/main" count="359" uniqueCount="240">
  <si>
    <t>Asian Paints Financial Model</t>
  </si>
  <si>
    <t>All amounts in INR crores</t>
  </si>
  <si>
    <t>Hist.</t>
  </si>
  <si>
    <t>Proj.</t>
  </si>
  <si>
    <t>Employee Benefits Expense</t>
  </si>
  <si>
    <t>Other Expenses</t>
  </si>
  <si>
    <t>Tax expense</t>
  </si>
  <si>
    <t>Revenues</t>
  </si>
  <si>
    <t>Gross Profit</t>
  </si>
  <si>
    <t>EBITDA</t>
  </si>
  <si>
    <t>Depreciation</t>
  </si>
  <si>
    <t>EBIT</t>
  </si>
  <si>
    <t>Interest income</t>
  </si>
  <si>
    <t>Interest expense</t>
  </si>
  <si>
    <t>Other Income/(expense)</t>
  </si>
  <si>
    <t>Non recurring (expense)/income</t>
  </si>
  <si>
    <t>Profit before tax</t>
  </si>
  <si>
    <t>Cost of Goods Sold</t>
  </si>
  <si>
    <t>Profit attributable to the shareholders of the company</t>
  </si>
  <si>
    <t>Post-tax non recurring (income)/expense</t>
  </si>
  <si>
    <t>Recurring Net income</t>
  </si>
  <si>
    <t xml:space="preserve">Dividends </t>
  </si>
  <si>
    <t>Shareholders Information</t>
  </si>
  <si>
    <t>Basic WASO</t>
  </si>
  <si>
    <t>Diluted WASO</t>
  </si>
  <si>
    <t>Basic EPS</t>
  </si>
  <si>
    <t>Diluted EPS</t>
  </si>
  <si>
    <t>Dividends per share</t>
  </si>
  <si>
    <t>Inventories</t>
  </si>
  <si>
    <t>Trade Receivables</t>
  </si>
  <si>
    <t>Other Current Assets</t>
  </si>
  <si>
    <t>Cash and cash equivalents</t>
  </si>
  <si>
    <t>Current Assets</t>
  </si>
  <si>
    <t>Goodwill</t>
  </si>
  <si>
    <t>Other Intangible Assets</t>
  </si>
  <si>
    <t>Net PPE</t>
  </si>
  <si>
    <t>Investments in Associates and other investments</t>
  </si>
  <si>
    <t>Total Assets</t>
  </si>
  <si>
    <t>Lease Liabilities</t>
  </si>
  <si>
    <t>Trade Payables</t>
  </si>
  <si>
    <t>Other Current Liabilities</t>
  </si>
  <si>
    <t>Total Current Liabilities</t>
  </si>
  <si>
    <t>Total Liabilities</t>
  </si>
  <si>
    <t>Total Equity</t>
  </si>
  <si>
    <t>Total Liabilities and Equity</t>
  </si>
  <si>
    <t>Balance check</t>
  </si>
  <si>
    <t>Long term borrowings including current portion</t>
  </si>
  <si>
    <t>Beginning balance</t>
  </si>
  <si>
    <t>Capex</t>
  </si>
  <si>
    <t>Ending</t>
  </si>
  <si>
    <t>Income Statement Assumptions</t>
  </si>
  <si>
    <t>Revenue growth</t>
  </si>
  <si>
    <t>Cost of Goods Sold as a % of sales</t>
  </si>
  <si>
    <t>Employee Benefits Expense as a % of sales</t>
  </si>
  <si>
    <t>Depreciation as a % of previous year's PPE</t>
  </si>
  <si>
    <t>Amortisation (INR amount)</t>
  </si>
  <si>
    <t>Other Income/(expense) growth</t>
  </si>
  <si>
    <t>Non recurring (expense)/income (INR)</t>
  </si>
  <si>
    <t>Other Expenses as a % of sales</t>
  </si>
  <si>
    <t>Marginal tax rate</t>
  </si>
  <si>
    <t>Effective tax rate</t>
  </si>
  <si>
    <t>Dividends payout ratio</t>
  </si>
  <si>
    <t>Current Assets Assumptions</t>
  </si>
  <si>
    <t>Inventories days</t>
  </si>
  <si>
    <t>Trade Receivables days</t>
  </si>
  <si>
    <t>Other Current Assets as % of sale</t>
  </si>
  <si>
    <t>Non Current Assets Assumptions</t>
  </si>
  <si>
    <t>Capex as a % of sales</t>
  </si>
  <si>
    <t>Goodwill (INR amount)</t>
  </si>
  <si>
    <t>Investments in Associates and other investments (INR amount)</t>
  </si>
  <si>
    <t>Other Non-Current Assets as a % sales</t>
  </si>
  <si>
    <t>Current Liabilities Assumptions</t>
  </si>
  <si>
    <t>Lease Liabilities (INR amount)</t>
  </si>
  <si>
    <t>Trade Payables days</t>
  </si>
  <si>
    <t>Other Current Liabilities as a % of sales</t>
  </si>
  <si>
    <t>Non Current Liabilities Assumptions</t>
  </si>
  <si>
    <t>Issue/(repayment) of long term debt</t>
  </si>
  <si>
    <t>Other Long term Liabilities as % of sales</t>
  </si>
  <si>
    <t>Equity</t>
  </si>
  <si>
    <t>Issue/(repurchase) of equity</t>
  </si>
  <si>
    <t>Interest Rate Assumptions</t>
  </si>
  <si>
    <t>Interest rate on short term debt</t>
  </si>
  <si>
    <t>Interest rate on long term debt</t>
  </si>
  <si>
    <t>Interest rate on cash</t>
  </si>
  <si>
    <t>Share price</t>
  </si>
  <si>
    <t>Share price as of 22nd April 2023</t>
  </si>
  <si>
    <t>Basic shares outstanding</t>
  </si>
  <si>
    <t>New shares from options</t>
  </si>
  <si>
    <t>Diluted shares outstanding</t>
  </si>
  <si>
    <t>Diluted market capitalization</t>
  </si>
  <si>
    <t>Dilution from options</t>
  </si>
  <si>
    <t>Grant 1</t>
  </si>
  <si>
    <t>Grant 2</t>
  </si>
  <si>
    <t>Grant 3</t>
  </si>
  <si>
    <t>Exercise price</t>
  </si>
  <si>
    <t>Options outstanding (numbers)</t>
  </si>
  <si>
    <t>Total new shares from options (numbers)</t>
  </si>
  <si>
    <t>Current borrowings</t>
  </si>
  <si>
    <t>Current lease liabilities</t>
  </si>
  <si>
    <t>Long term borrowings</t>
  </si>
  <si>
    <t>Long term lease liabilities</t>
  </si>
  <si>
    <t>Non-controlling interest</t>
  </si>
  <si>
    <t>Add</t>
  </si>
  <si>
    <t>Subtract</t>
  </si>
  <si>
    <t>Cash and Cash Equivalents</t>
  </si>
  <si>
    <t>Other Balances with Banks</t>
  </si>
  <si>
    <t>Current Investments</t>
  </si>
  <si>
    <t>Long term investments</t>
  </si>
  <si>
    <t>Investments in Associates</t>
  </si>
  <si>
    <t>Assets held for sale</t>
  </si>
  <si>
    <t>Enterprise Value</t>
  </si>
  <si>
    <t>Revenue</t>
  </si>
  <si>
    <t>EPS</t>
  </si>
  <si>
    <t>31-Dec-22 (9 mths)</t>
  </si>
  <si>
    <t>31-Dec-21 (9 mths)</t>
  </si>
  <si>
    <t>LTM</t>
  </si>
  <si>
    <t>Profit before share of profit in associates and exceptional items (3-</t>
  </si>
  <si>
    <t>Add Finance cost</t>
  </si>
  <si>
    <t>Less other income</t>
  </si>
  <si>
    <t>Depreciation and Amortization</t>
  </si>
  <si>
    <t>Profit for the period attributable to the owners of the company</t>
  </si>
  <si>
    <t>Add after tax exceptional items</t>
  </si>
  <si>
    <t>Ending balance</t>
  </si>
  <si>
    <t>Equity schedule</t>
  </si>
  <si>
    <t>Net income</t>
  </si>
  <si>
    <t>Dividends</t>
  </si>
  <si>
    <t>OWC schedule</t>
  </si>
  <si>
    <t>Operating working Capital</t>
  </si>
  <si>
    <t>Issue/(repayment) of debt</t>
  </si>
  <si>
    <t>(inc)/dec in OWC</t>
  </si>
  <si>
    <t>Inc/(dec) in long term lease liabilities</t>
  </si>
  <si>
    <t>Inc/(dec) in short term lease liabilities</t>
  </si>
  <si>
    <t>Inc/(dec) in short term borrowings</t>
  </si>
  <si>
    <t>Short term Borrowings</t>
  </si>
  <si>
    <t>Short term Lease Liabilities</t>
  </si>
  <si>
    <t>(Inc)/dec in investment in associates and other investments</t>
  </si>
  <si>
    <t>Cash flow from operations</t>
  </si>
  <si>
    <t>Cash flow from investing</t>
  </si>
  <si>
    <t>Cash flow from financing</t>
  </si>
  <si>
    <t>Net change in cash</t>
  </si>
  <si>
    <t>Ending cash</t>
  </si>
  <si>
    <t>Cash flows generated to repay debt</t>
  </si>
  <si>
    <t>Beginning cash balance</t>
  </si>
  <si>
    <t>Cash generated to repay debt</t>
  </si>
  <si>
    <t>Short term debt</t>
  </si>
  <si>
    <t>Surplus cash/(revolver short term debt) requirement</t>
  </si>
  <si>
    <t>Issue/(repayment)</t>
  </si>
  <si>
    <t>Lont term debt</t>
  </si>
  <si>
    <t>Interest expense and Interest income</t>
  </si>
  <si>
    <t>interest expense on short term debt</t>
  </si>
  <si>
    <t>interest expense on long term debt</t>
  </si>
  <si>
    <t>total interest expense</t>
  </si>
  <si>
    <t>interest income on cash</t>
  </si>
  <si>
    <t>Date of Model</t>
  </si>
  <si>
    <t>Circ switch</t>
  </si>
  <si>
    <t>Currency</t>
  </si>
  <si>
    <t>INR crores</t>
  </si>
  <si>
    <t>Free cash flows</t>
  </si>
  <si>
    <t>Revenue Growth</t>
  </si>
  <si>
    <t>NOPAT Growth</t>
  </si>
  <si>
    <t>EBIT margin</t>
  </si>
  <si>
    <t>EBITDA Margin</t>
  </si>
  <si>
    <t>OWC to sales</t>
  </si>
  <si>
    <t>Capex/Sales</t>
  </si>
  <si>
    <t>Net PPE/Sales</t>
  </si>
  <si>
    <t>Invested capital</t>
  </si>
  <si>
    <t>Return on Invested Capital</t>
  </si>
  <si>
    <t>Reinvestment rate</t>
  </si>
  <si>
    <t>Cash conversion rate</t>
  </si>
  <si>
    <t>implied growth rate</t>
  </si>
  <si>
    <t>Risk free rate</t>
  </si>
  <si>
    <t>Market risk premium</t>
  </si>
  <si>
    <t>Levered beta</t>
  </si>
  <si>
    <t xml:space="preserve"> Cost of equity</t>
  </si>
  <si>
    <t>Credit rating (for long-term capital structure)</t>
  </si>
  <si>
    <t>AAA</t>
  </si>
  <si>
    <t>Credit spread over risk free rate</t>
  </si>
  <si>
    <t>Cost of debt pre-tax</t>
  </si>
  <si>
    <t>After tax cost of debt using marginal tax rate</t>
  </si>
  <si>
    <t>Diluted number of shares (in crores)</t>
  </si>
  <si>
    <t>Market capitalization (INR crores)</t>
  </si>
  <si>
    <t>Total debt</t>
  </si>
  <si>
    <t>Total capital</t>
  </si>
  <si>
    <t>% equity capital</t>
  </si>
  <si>
    <t>% debt capital</t>
  </si>
  <si>
    <t>Weighted average cost of capital</t>
  </si>
  <si>
    <t>Long-term growth rate</t>
  </si>
  <si>
    <t>Terminal EBITDA multiple</t>
  </si>
  <si>
    <t>Terminal value using growing perpetuity (mid year)</t>
  </si>
  <si>
    <t>Implied EBITDA multiple</t>
  </si>
  <si>
    <t>Terminal value using multiple (year end)</t>
  </si>
  <si>
    <t>Implied LT growth rate</t>
  </si>
  <si>
    <t>Year count</t>
  </si>
  <si>
    <t>Present value of free cash flows</t>
  </si>
  <si>
    <t>Perpetuity</t>
  </si>
  <si>
    <t>% EV</t>
  </si>
  <si>
    <t>Multiple</t>
  </si>
  <si>
    <t>Total present value of free cash flows</t>
  </si>
  <si>
    <t>Present value of terminal value</t>
  </si>
  <si>
    <t>Enterprise value</t>
  </si>
  <si>
    <t>Step 1- Free Cash Flows</t>
  </si>
  <si>
    <t>NOPAT (Net operating profit after tax)</t>
  </si>
  <si>
    <t>Other operating Non-Current Assets</t>
  </si>
  <si>
    <t>Other operating Long term Liabilities</t>
  </si>
  <si>
    <t>Inc/(dec) in other operating long term liabilities</t>
  </si>
  <si>
    <t>(Inc)/dec in other operating non current assets</t>
  </si>
  <si>
    <t>Step 2 - Checking the FCFF: Key ratios</t>
  </si>
  <si>
    <t>Step 3 - Weighted average cost of capital (WACC)</t>
  </si>
  <si>
    <t>Implied 2022 EBITDA multiple</t>
  </si>
  <si>
    <t>Step 4 - Terminal value</t>
  </si>
  <si>
    <t>Step 5 - Discounting model</t>
  </si>
  <si>
    <t>Step 6 - Value calculation</t>
  </si>
  <si>
    <t>Total Debt including leases</t>
  </si>
  <si>
    <t>Equity value</t>
  </si>
  <si>
    <t>Step 7 - Sensitivity Analysis</t>
  </si>
  <si>
    <t>Sales</t>
  </si>
  <si>
    <t>LT growth rate</t>
  </si>
  <si>
    <t>Terminal multiple</t>
  </si>
  <si>
    <t>Implied share price</t>
  </si>
  <si>
    <t>Discount rate</t>
  </si>
  <si>
    <t>Implied terminal value multiple</t>
  </si>
  <si>
    <t>DCF Two Stage Model</t>
  </si>
  <si>
    <t>2023-2027</t>
  </si>
  <si>
    <t>Forecast Period</t>
  </si>
  <si>
    <t>2027-2037</t>
  </si>
  <si>
    <t>High Growth Period</t>
  </si>
  <si>
    <t>no</t>
  </si>
  <si>
    <t>o</t>
  </si>
  <si>
    <t>f</t>
  </si>
  <si>
    <t>FCFF proj 27</t>
  </si>
  <si>
    <t>EBITDA proj 27</t>
  </si>
  <si>
    <t>fcff</t>
  </si>
  <si>
    <t>owc</t>
  </si>
  <si>
    <t>debt</t>
  </si>
  <si>
    <t>noa</t>
  </si>
  <si>
    <t>IC</t>
  </si>
  <si>
    <t>Hist</t>
  </si>
  <si>
    <t>Depreciation and Amortisation</t>
  </si>
  <si>
    <t>Siddharth Shrimal</t>
  </si>
  <si>
    <t>Made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</si>
</sst>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 * #,##0.00_ ;_ * \-#,##0.00_ ;_ * &quot;-&quot;??_ ;_ @_ "/>
    <numFmt numFmtId="165" formatCode="#,##0.0_);\(#,##0.0\);0.0_);@_)"/>
    <numFmt numFmtId="166" formatCode="#,##0.0\ \x_);\(#,##0.0\ \x\)"/>
    <numFmt numFmtId="167" formatCode="0.0%_);\(0.0%\)"/>
    <numFmt numFmtId="168" formatCode="#,##0.00_);\(#,##0.00\);0.00_);@_)"/>
    <numFmt numFmtId="169" formatCode="#,##0.00000_);\(#,##0.00000\);0.00000_);@_)"/>
    <numFmt numFmtId="170" formatCode="#,##0.0_);\(#,##0.0\)"/>
    <numFmt numFmtId="171" formatCode="dd/mmm/yy_)"/>
    <numFmt numFmtId="172" formatCode="#,##0.0&quot; x&quot;_);\(#,##0.0\)&quot; x&quot;"/>
    <numFmt numFmtId="173" formatCode="#,##0.00_)\x;\(#,##0.00\)\x"/>
    <numFmt numFmtId="174" formatCode="#,##0.0\x_);\(#,##0.0\)\x"/>
    <numFmt numFmtId="175" formatCode="#,##0.00_ ;[Red]\-#,##0.00\ "/>
    <numFmt numFmtId="176" formatCode="0.00%_);\(0.00%\)"/>
    <numFmt numFmtId="177" formatCode="0.0000%_);\(0.0000%\)"/>
    <numFmt numFmtId="178" formatCode="0.00000%_);\(0.00000%\)"/>
    <numFmt numFmtId="179" formatCode="0.000000%_);\(0.000000%\)"/>
  </numFmts>
  <fonts count="17" x14ac:knownFonts="1"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6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1">
    <xf numFmtId="165" fontId="0" fillId="0" borderId="0"/>
    <xf numFmtId="165" fontId="1" fillId="0" borderId="0" applyNumberFormat="0" applyFill="0" applyBorder="0" applyAlignment="0" applyProtection="0"/>
    <xf numFmtId="15" fontId="2" fillId="0" borderId="0" applyFont="0" applyFill="0" applyBorder="0" applyAlignment="0" applyProtection="0"/>
    <xf numFmtId="165" fontId="1" fillId="3" borderId="1" applyNumberFormat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9" fillId="0" borderId="0" applyFont="0" applyFill="0" applyBorder="0" applyAlignment="0"/>
    <xf numFmtId="165" fontId="9" fillId="0" borderId="0"/>
    <xf numFmtId="171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12" fillId="5" borderId="1" applyNumberFormat="0" applyAlignment="0" applyProtection="0"/>
    <xf numFmtId="165" fontId="12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0" fontId="12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70" fontId="12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1">
    <xf numFmtId="165" fontId="0" fillId="0" borderId="0" xfId="0"/>
    <xf numFmtId="165" fontId="0" fillId="2" borderId="0" xfId="0" applyFill="1"/>
    <xf numFmtId="165" fontId="4" fillId="2" borderId="0" xfId="0" applyFont="1" applyFill="1"/>
    <xf numFmtId="165" fontId="5" fillId="2" borderId="0" xfId="0" applyFont="1" applyFill="1"/>
    <xf numFmtId="15" fontId="3" fillId="2" borderId="0" xfId="2" applyFont="1" applyFill="1"/>
    <xf numFmtId="165" fontId="0" fillId="0" borderId="0" xfId="0" quotePrefix="1"/>
    <xf numFmtId="165" fontId="5" fillId="2" borderId="0" xfId="0" applyFont="1" applyFill="1" applyAlignment="1">
      <alignment horizontal="center"/>
    </xf>
    <xf numFmtId="165" fontId="1" fillId="0" borderId="0" xfId="1"/>
    <xf numFmtId="165" fontId="6" fillId="0" borderId="0" xfId="0" applyFont="1"/>
    <xf numFmtId="165" fontId="7" fillId="0" borderId="0" xfId="0" applyFont="1"/>
    <xf numFmtId="165" fontId="8" fillId="0" borderId="0" xfId="0" applyFont="1"/>
    <xf numFmtId="165" fontId="1" fillId="3" borderId="1" xfId="3"/>
    <xf numFmtId="167" fontId="9" fillId="0" borderId="0" xfId="5" applyFont="1" applyFill="1" applyBorder="1"/>
    <xf numFmtId="165" fontId="9" fillId="0" borderId="0" xfId="0" quotePrefix="1" applyFont="1"/>
    <xf numFmtId="165" fontId="9" fillId="0" borderId="0" xfId="0" applyFont="1"/>
    <xf numFmtId="165" fontId="9" fillId="0" borderId="0" xfId="3" applyFont="1" applyFill="1" applyBorder="1"/>
    <xf numFmtId="167" fontId="9" fillId="0" borderId="0" xfId="5" applyFont="1"/>
    <xf numFmtId="167" fontId="1" fillId="0" borderId="0" xfId="5" applyFont="1"/>
    <xf numFmtId="168" fontId="1" fillId="0" borderId="0" xfId="1" applyNumberFormat="1"/>
    <xf numFmtId="169" fontId="1" fillId="0" borderId="0" xfId="1" applyNumberFormat="1"/>
    <xf numFmtId="165" fontId="0" fillId="0" borderId="0" xfId="0" applyAlignment="1">
      <alignment wrapText="1"/>
    </xf>
    <xf numFmtId="15" fontId="1" fillId="0" borderId="0" xfId="2" applyFont="1"/>
    <xf numFmtId="165" fontId="10" fillId="0" borderId="0" xfId="0" applyFont="1"/>
    <xf numFmtId="167" fontId="1" fillId="3" borderId="1" xfId="3" applyNumberFormat="1"/>
    <xf numFmtId="15" fontId="1" fillId="3" borderId="1" xfId="2" applyFont="1" applyFill="1" applyBorder="1"/>
    <xf numFmtId="165" fontId="11" fillId="4" borderId="0" xfId="7" applyFont="1" applyFill="1"/>
    <xf numFmtId="165" fontId="9" fillId="4" borderId="0" xfId="7" applyFill="1"/>
    <xf numFmtId="167" fontId="0" fillId="0" borderId="0" xfId="9" applyFont="1" applyFill="1"/>
    <xf numFmtId="167" fontId="0" fillId="0" borderId="0" xfId="9" applyFont="1"/>
    <xf numFmtId="167" fontId="0" fillId="0" borderId="0" xfId="10" applyFont="1"/>
    <xf numFmtId="167" fontId="12" fillId="5" borderId="1" xfId="12" applyNumberFormat="1"/>
    <xf numFmtId="172" fontId="12" fillId="5" borderId="1" xfId="15" applyFont="1" applyFill="1" applyBorder="1"/>
    <xf numFmtId="165" fontId="12" fillId="4" borderId="0" xfId="17" applyNumberFormat="1" applyFill="1"/>
    <xf numFmtId="165" fontId="9" fillId="4" borderId="0" xfId="7" applyFill="1" applyAlignment="1">
      <alignment horizontal="right"/>
    </xf>
    <xf numFmtId="165" fontId="11" fillId="4" borderId="0" xfId="0" applyFont="1" applyFill="1"/>
    <xf numFmtId="165" fontId="0" fillId="4" borderId="0" xfId="0" applyFill="1"/>
    <xf numFmtId="165" fontId="0" fillId="4" borderId="0" xfId="0" applyFill="1" applyAlignment="1">
      <alignment vertical="top"/>
    </xf>
    <xf numFmtId="167" fontId="1" fillId="3" borderId="1" xfId="9" applyFont="1" applyFill="1" applyBorder="1"/>
    <xf numFmtId="165" fontId="12" fillId="0" borderId="0" xfId="17" applyNumberFormat="1"/>
    <xf numFmtId="166" fontId="0" fillId="0" borderId="0" xfId="4" applyFont="1"/>
    <xf numFmtId="172" fontId="0" fillId="0" borderId="0" xfId="15" applyFont="1"/>
    <xf numFmtId="165" fontId="13" fillId="0" borderId="0" xfId="7" applyFont="1" applyAlignment="1">
      <alignment horizontal="right"/>
    </xf>
    <xf numFmtId="165" fontId="9" fillId="4" borderId="2" xfId="7" applyFill="1" applyBorder="1" applyAlignment="1">
      <alignment horizontal="centerContinuous"/>
    </xf>
    <xf numFmtId="167" fontId="9" fillId="4" borderId="0" xfId="10" applyFill="1" applyProtection="1"/>
    <xf numFmtId="167" fontId="12" fillId="4" borderId="0" xfId="19" applyNumberFormat="1" applyFill="1" applyProtection="1"/>
    <xf numFmtId="174" fontId="9" fillId="4" borderId="0" xfId="7" applyNumberFormat="1" applyFill="1"/>
    <xf numFmtId="174" fontId="12" fillId="4" borderId="0" xfId="19" applyNumberFormat="1" applyFill="1" applyProtection="1"/>
    <xf numFmtId="176" fontId="9" fillId="4" borderId="0" xfId="10" applyNumberFormat="1" applyFill="1" applyProtection="1"/>
    <xf numFmtId="176" fontId="12" fillId="4" borderId="0" xfId="10" applyNumberFormat="1" applyFont="1" applyFill="1" applyProtection="1"/>
    <xf numFmtId="167" fontId="9" fillId="4" borderId="0" xfId="10" applyFont="1" applyFill="1" applyAlignment="1" applyProtection="1">
      <alignment horizontal="right"/>
    </xf>
    <xf numFmtId="167" fontId="9" fillId="4" borderId="0" xfId="10" applyFont="1" applyFill="1" applyProtection="1"/>
    <xf numFmtId="9" fontId="0" fillId="0" borderId="0" xfId="20" applyFont="1"/>
    <xf numFmtId="2" fontId="0" fillId="0" borderId="0" xfId="9" applyNumberFormat="1" applyFont="1"/>
    <xf numFmtId="175" fontId="9" fillId="4" borderId="0" xfId="7" applyNumberFormat="1" applyFill="1"/>
    <xf numFmtId="176" fontId="9" fillId="4" borderId="0" xfId="10" applyNumberFormat="1" applyFont="1" applyFill="1" applyProtection="1"/>
    <xf numFmtId="2" fontId="9" fillId="4" borderId="0" xfId="7" applyNumberFormat="1" applyFill="1"/>
    <xf numFmtId="10" fontId="0" fillId="0" borderId="0" xfId="0" applyNumberFormat="1"/>
    <xf numFmtId="10" fontId="0" fillId="0" borderId="0" xfId="20" applyNumberFormat="1" applyFont="1"/>
    <xf numFmtId="2" fontId="0" fillId="0" borderId="0" xfId="0" applyNumberFormat="1"/>
    <xf numFmtId="177" fontId="0" fillId="0" borderId="0" xfId="9" applyNumberFormat="1" applyFont="1"/>
    <xf numFmtId="178" fontId="0" fillId="0" borderId="0" xfId="9" applyNumberFormat="1" applyFont="1"/>
    <xf numFmtId="179" fontId="0" fillId="0" borderId="0" xfId="9" applyNumberFormat="1" applyFont="1"/>
    <xf numFmtId="165" fontId="13" fillId="4" borderId="1" xfId="7" applyFont="1" applyFill="1" applyBorder="1" applyAlignment="1">
      <alignment horizontal="right"/>
    </xf>
    <xf numFmtId="165" fontId="13" fillId="4" borderId="1" xfId="7" applyFont="1" applyFill="1" applyBorder="1"/>
    <xf numFmtId="176" fontId="9" fillId="4" borderId="0" xfId="10" applyNumberFormat="1" applyFont="1" applyFill="1" applyAlignment="1" applyProtection="1">
      <alignment horizontal="right"/>
    </xf>
    <xf numFmtId="10" fontId="9" fillId="4" borderId="0" xfId="10" applyNumberFormat="1" applyFont="1" applyFill="1" applyAlignment="1" applyProtection="1">
      <alignment horizontal="right"/>
    </xf>
    <xf numFmtId="172" fontId="0" fillId="6" borderId="0" xfId="15" applyFont="1" applyFill="1"/>
    <xf numFmtId="165" fontId="0" fillId="6" borderId="0" xfId="0" applyFill="1"/>
    <xf numFmtId="165" fontId="14" fillId="0" borderId="0" xfId="0" applyFont="1"/>
    <xf numFmtId="165" fontId="15" fillId="0" borderId="0" xfId="0" applyFont="1"/>
    <xf numFmtId="165" fontId="16" fillId="0" borderId="0" xfId="0" applyFont="1"/>
  </cellXfs>
  <cellStyles count="21">
    <cellStyle name="b" xfId="17" xr:uid="{74B50567-AA71-438D-9D88-D0857DC6B611}"/>
    <cellStyle name="b_Nike 2009 answer (INTERNS) DCF 2" xfId="19" xr:uid="{1B50D4DE-A55E-46B4-8A5F-73EC30638D1C}"/>
    <cellStyle name="Blue" xfId="1" xr:uid="{3BC6BFAC-C29B-40ED-99C7-9588D4C46E98}"/>
    <cellStyle name="Blue 2" xfId="13" xr:uid="{70BE08F3-5EC7-479F-9F44-6B5ACFE97F32}"/>
    <cellStyle name="Comma 2" xfId="14" xr:uid="{D6529896-278E-4AE4-973E-839A4AAE8D7D}"/>
    <cellStyle name="Date" xfId="2" xr:uid="{E1821013-5405-4810-8F49-53BBBA618D5D}"/>
    <cellStyle name="Date 2" xfId="8" xr:uid="{6ADCA2BF-E27E-454F-8E4D-C41AF296AA3A}"/>
    <cellStyle name="Input 2" xfId="12" xr:uid="{45A70B49-CFB0-4792-8168-3BC4F6FA12AD}"/>
    <cellStyle name="Input1" xfId="3" xr:uid="{39A8FD28-E000-426F-9FD8-2106D786D1A1}"/>
    <cellStyle name="m" xfId="15" xr:uid="{EFDDD6FE-0393-4D68-A44D-0042BB490039}"/>
    <cellStyle name="Multiple" xfId="4" xr:uid="{8212D389-5616-4191-A784-B4A11EFCA443}"/>
    <cellStyle name="multiple 2" xfId="16" xr:uid="{1A48F38C-883D-48EC-BD34-96F1910337DE}"/>
    <cellStyle name="Normal" xfId="0" builtinId="0" customBuiltin="1"/>
    <cellStyle name="Normal 2" xfId="7" xr:uid="{FC752371-9F61-4B15-924C-E521CFE04A80}"/>
    <cellStyle name="Normal 3" xfId="6" xr:uid="{EFC429B1-4A70-4B45-B6BF-EE178193A816}"/>
    <cellStyle name="p" xfId="9" xr:uid="{7D35CB0B-340A-413E-8498-CA3ADEEE75FA}"/>
    <cellStyle name="p 2" xfId="10" xr:uid="{1A707F12-0C31-4C9E-BB23-AC686BCEE2D7}"/>
    <cellStyle name="Per cent" xfId="20" builtinId="5"/>
    <cellStyle name="Percent 2" xfId="11" xr:uid="{D0B8E1BE-35FC-4B2F-876B-FF8A48DDDE90}"/>
    <cellStyle name="Percent 3" xfId="18" xr:uid="{5F8DDE40-971A-4F01-BDDD-AF45F8682657}"/>
    <cellStyle name="Percent1" xfId="5" xr:uid="{316EA3CC-7311-47EB-BA2A-00038E027A84}"/>
  </cellStyles>
  <dxfs count="0"/>
  <tableStyles count="0" defaultTableStyle="TableStyleMedium2" defaultPivotStyle="PivotStyleLight16"/>
  <colors>
    <mruColors>
      <color rgb="FFFFFFDF"/>
      <color rgb="FFFFFFF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DB66-A846-49CE-99FB-C6CC994DB5D9}">
  <dimension ref="A1:J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9.1640625" bestFit="1" customWidth="1"/>
    <col min="6" max="6" width="12.33203125" customWidth="1"/>
    <col min="7" max="10" width="9.1640625" bestFit="1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4" spans="1:10" x14ac:dyDescent="0.15">
      <c r="D4" s="5"/>
    </row>
    <row r="5" spans="1:10" x14ac:dyDescent="0.15">
      <c r="B5" t="s">
        <v>153</v>
      </c>
      <c r="C5" s="24">
        <v>45047</v>
      </c>
    </row>
    <row r="6" spans="1:10" x14ac:dyDescent="0.15">
      <c r="B6" t="s">
        <v>239</v>
      </c>
      <c r="C6" t="s">
        <v>238</v>
      </c>
    </row>
    <row r="7" spans="1:10" x14ac:dyDescent="0.15">
      <c r="B7" t="s">
        <v>155</v>
      </c>
      <c r="C7" t="s">
        <v>156</v>
      </c>
    </row>
    <row r="8" spans="1:10" x14ac:dyDescent="0.15">
      <c r="B8" t="s">
        <v>154</v>
      </c>
      <c r="C8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50FF-9519-4D7D-AA43-DAA34F22C5C4}">
  <dimension ref="A1:J71"/>
  <sheetViews>
    <sheetView zoomScale="18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16.6640625" customWidth="1"/>
    <col min="6" max="6" width="12.33203125" customWidth="1"/>
    <col min="7" max="10" width="9.1640625" bestFit="1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0" x14ac:dyDescent="0.15">
      <c r="A3" s="10" t="s">
        <v>50</v>
      </c>
    </row>
    <row r="4" spans="1:10" x14ac:dyDescent="0.15">
      <c r="B4" t="s">
        <v>51</v>
      </c>
      <c r="D4" s="13"/>
      <c r="E4" s="12">
        <f>IS!E3/IS!D3-1</f>
        <v>0.18190854870775341</v>
      </c>
      <c r="F4" s="23">
        <v>0.2</v>
      </c>
      <c r="G4" s="23">
        <v>0.15</v>
      </c>
      <c r="H4" s="23">
        <v>0.1</v>
      </c>
      <c r="I4" s="23">
        <v>0.08</v>
      </c>
      <c r="J4" s="23">
        <v>7.0000000000000007E-2</v>
      </c>
    </row>
    <row r="5" spans="1:10" x14ac:dyDescent="0.15">
      <c r="B5" t="s">
        <v>52</v>
      </c>
      <c r="D5" s="16">
        <f>IS!D4/IS!D3</f>
        <v>-0.53056660039761427</v>
      </c>
      <c r="E5" s="16">
        <f>IS!E4/IS!E3</f>
        <v>-0.57148864592094195</v>
      </c>
      <c r="F5" s="23">
        <v>-0.6</v>
      </c>
      <c r="G5" s="23">
        <v>-0.6</v>
      </c>
      <c r="H5" s="23">
        <v>-0.6</v>
      </c>
      <c r="I5" s="23">
        <v>-0.6</v>
      </c>
      <c r="J5" s="23">
        <v>-0.6</v>
      </c>
    </row>
    <row r="6" spans="1:10" x14ac:dyDescent="0.15">
      <c r="B6" t="s">
        <v>53</v>
      </c>
      <c r="D6" s="16">
        <f>IS!D7/IS!D3</f>
        <v>-7.0825049701789267E-2</v>
      </c>
      <c r="E6" s="16">
        <f>IS!E7/IS!E3</f>
        <v>-6.1606391925988227E-2</v>
      </c>
      <c r="F6" s="23">
        <f>-6.1%</f>
        <v>-6.0999999999999999E-2</v>
      </c>
      <c r="G6" s="23">
        <f t="shared" ref="G6:J6" si="1">-6.1%</f>
        <v>-6.0999999999999999E-2</v>
      </c>
      <c r="H6" s="23">
        <f t="shared" si="1"/>
        <v>-6.0999999999999999E-2</v>
      </c>
      <c r="I6" s="23">
        <f t="shared" si="1"/>
        <v>-6.0999999999999999E-2</v>
      </c>
      <c r="J6" s="23">
        <f t="shared" si="1"/>
        <v>-6.0999999999999999E-2</v>
      </c>
    </row>
    <row r="7" spans="1:10" x14ac:dyDescent="0.15">
      <c r="B7" t="s">
        <v>58</v>
      </c>
      <c r="D7" s="16">
        <f>IS!D8/IS!D3</f>
        <v>-0.20091948310139165</v>
      </c>
      <c r="E7" s="16">
        <f>IS!E8/IS!E3</f>
        <v>-0.19018082422203533</v>
      </c>
      <c r="F7" s="23">
        <f>-14.5%</f>
        <v>-0.14499999999999999</v>
      </c>
      <c r="G7" s="23">
        <f t="shared" ref="G7:J7" si="2">-14.5%</f>
        <v>-0.14499999999999999</v>
      </c>
      <c r="H7" s="23">
        <f t="shared" si="2"/>
        <v>-0.14499999999999999</v>
      </c>
      <c r="I7" s="23">
        <f t="shared" si="2"/>
        <v>-0.14499999999999999</v>
      </c>
      <c r="J7" s="23">
        <f t="shared" si="2"/>
        <v>-0.14499999999999999</v>
      </c>
    </row>
    <row r="8" spans="1:10" x14ac:dyDescent="0.15">
      <c r="B8" t="s">
        <v>54</v>
      </c>
      <c r="D8" s="16"/>
      <c r="E8" s="16">
        <f>IS!E11/BS!D9</f>
        <v>-2.5250323349464476E-2</v>
      </c>
      <c r="F8" s="23">
        <f>-14.3%</f>
        <v>-0.14300000000000002</v>
      </c>
      <c r="G8" s="23">
        <f t="shared" ref="G8:J8" si="3">-14.3%</f>
        <v>-0.14300000000000002</v>
      </c>
      <c r="H8" s="23">
        <f t="shared" si="3"/>
        <v>-0.14300000000000002</v>
      </c>
      <c r="I8" s="23">
        <f t="shared" si="3"/>
        <v>-0.14300000000000002</v>
      </c>
      <c r="J8" s="23">
        <f t="shared" si="3"/>
        <v>-0.14300000000000002</v>
      </c>
    </row>
    <row r="9" spans="1:10" x14ac:dyDescent="0.15">
      <c r="B9" t="s">
        <v>55</v>
      </c>
      <c r="D9" s="14">
        <f>IS!D12</f>
        <v>0</v>
      </c>
      <c r="E9" s="14">
        <f>IS!E12</f>
        <v>0</v>
      </c>
      <c r="F9" s="11">
        <f>-28.8</f>
        <v>-28.8</v>
      </c>
      <c r="G9" s="11">
        <f t="shared" ref="G9:J9" si="4">-28.8</f>
        <v>-28.8</v>
      </c>
      <c r="H9" s="11">
        <f t="shared" si="4"/>
        <v>-28.8</v>
      </c>
      <c r="I9" s="11">
        <f t="shared" si="4"/>
        <v>-28.8</v>
      </c>
      <c r="J9" s="11">
        <f t="shared" si="4"/>
        <v>-28.8</v>
      </c>
    </row>
    <row r="10" spans="1:10" x14ac:dyDescent="0.15">
      <c r="B10" t="s">
        <v>56</v>
      </c>
      <c r="D10" s="14"/>
      <c r="E10" s="16">
        <f>IS!E17/IS!D17-1</f>
        <v>0.56368563685636697</v>
      </c>
      <c r="F10" s="23">
        <v>7.0000000000000007E-2</v>
      </c>
      <c r="G10" s="23">
        <v>7.0000000000000007E-2</v>
      </c>
      <c r="H10" s="23">
        <v>7.0000000000000007E-2</v>
      </c>
      <c r="I10" s="23">
        <v>7.0000000000000007E-2</v>
      </c>
      <c r="J10" s="23">
        <v>7.0000000000000007E-2</v>
      </c>
    </row>
    <row r="11" spans="1:10" x14ac:dyDescent="0.15">
      <c r="B11" t="s">
        <v>57</v>
      </c>
      <c r="D11" s="14">
        <f>IS!D18</f>
        <v>134.13999999999999</v>
      </c>
      <c r="E11" s="14">
        <f>IS!E18</f>
        <v>50.83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15">
      <c r="B12" t="s">
        <v>59</v>
      </c>
      <c r="D12" s="17">
        <v>-0.25168000000000001</v>
      </c>
      <c r="E12" s="17">
        <v>-0.25168000000000001</v>
      </c>
      <c r="F12" s="23">
        <f>-25.2%</f>
        <v>-0.252</v>
      </c>
      <c r="G12" s="23">
        <f t="shared" ref="G12:J12" si="5">-25.2%</f>
        <v>-0.252</v>
      </c>
      <c r="H12" s="23">
        <f t="shared" si="5"/>
        <v>-0.252</v>
      </c>
      <c r="I12" s="23">
        <f t="shared" si="5"/>
        <v>-0.252</v>
      </c>
      <c r="J12" s="23">
        <f t="shared" si="5"/>
        <v>-0.252</v>
      </c>
    </row>
    <row r="13" spans="1:10" x14ac:dyDescent="0.15">
      <c r="B13" t="s">
        <v>60</v>
      </c>
      <c r="D13" s="16">
        <f>IS!D21/IS!D19</f>
        <v>-0.67562909341606336</v>
      </c>
      <c r="E13" s="16">
        <f>IS!E21/IS!E19</f>
        <v>-0.65329368628682116</v>
      </c>
      <c r="F13" s="23">
        <f>-26.3%</f>
        <v>-0.26300000000000001</v>
      </c>
      <c r="G13" s="23">
        <f t="shared" ref="G13:J13" si="6">-26.3%</f>
        <v>-0.26300000000000001</v>
      </c>
      <c r="H13" s="23">
        <f t="shared" si="6"/>
        <v>-0.26300000000000001</v>
      </c>
      <c r="I13" s="23">
        <f t="shared" si="6"/>
        <v>-0.26300000000000001</v>
      </c>
      <c r="J13" s="23">
        <f t="shared" si="6"/>
        <v>-0.26300000000000001</v>
      </c>
    </row>
    <row r="14" spans="1:10" x14ac:dyDescent="0.15">
      <c r="B14" t="s">
        <v>61</v>
      </c>
      <c r="D14" s="16">
        <f>IS!D27/IS!D22</f>
        <v>-0.94760513131926516</v>
      </c>
      <c r="E14" s="16">
        <f>IS!E27/IS!E22</f>
        <v>-3.0116859153967064</v>
      </c>
      <c r="F14" s="23">
        <f>-50%</f>
        <v>-0.5</v>
      </c>
      <c r="G14" s="23">
        <f t="shared" ref="G14:J14" si="7">-50%</f>
        <v>-0.5</v>
      </c>
      <c r="H14" s="23">
        <f t="shared" si="7"/>
        <v>-0.5</v>
      </c>
      <c r="I14" s="23">
        <f t="shared" si="7"/>
        <v>-0.5</v>
      </c>
      <c r="J14" s="23">
        <f t="shared" si="7"/>
        <v>-0.5</v>
      </c>
    </row>
    <row r="15" spans="1:10" x14ac:dyDescent="0.15">
      <c r="B15" t="s">
        <v>23</v>
      </c>
      <c r="D15" s="14">
        <f>IS!D30</f>
        <v>95.919779000000005</v>
      </c>
      <c r="E15" s="14">
        <f>IS!E30</f>
        <v>95.907730200000003</v>
      </c>
      <c r="F15" s="11">
        <f>E15</f>
        <v>95.907730200000003</v>
      </c>
      <c r="G15" s="11">
        <f t="shared" ref="G15:J15" si="8">F15</f>
        <v>95.907730200000003</v>
      </c>
      <c r="H15" s="11">
        <f t="shared" si="8"/>
        <v>95.907730200000003</v>
      </c>
      <c r="I15" s="11">
        <f t="shared" si="8"/>
        <v>95.907730200000003</v>
      </c>
      <c r="J15" s="11">
        <f t="shared" si="8"/>
        <v>95.907730200000003</v>
      </c>
    </row>
    <row r="16" spans="1:10" x14ac:dyDescent="0.15">
      <c r="B16" t="s">
        <v>24</v>
      </c>
      <c r="D16" s="14">
        <f>IS!D31</f>
        <v>95.919779000000005</v>
      </c>
      <c r="E16" s="14">
        <f>IS!E31</f>
        <v>95.910101800000007</v>
      </c>
      <c r="F16" s="11">
        <f>E16</f>
        <v>95.910101800000007</v>
      </c>
      <c r="G16" s="11">
        <f t="shared" ref="G16:J16" si="9">F16</f>
        <v>95.910101800000007</v>
      </c>
      <c r="H16" s="11">
        <f t="shared" si="9"/>
        <v>95.910101800000007</v>
      </c>
      <c r="I16" s="11">
        <f t="shared" si="9"/>
        <v>95.910101800000007</v>
      </c>
      <c r="J16" s="11">
        <f t="shared" si="9"/>
        <v>95.910101800000007</v>
      </c>
    </row>
    <row r="17" spans="1:10" x14ac:dyDescent="0.15">
      <c r="A17" s="10" t="s">
        <v>62</v>
      </c>
      <c r="D17" s="14"/>
      <c r="E17" s="14"/>
    </row>
    <row r="18" spans="1:10" x14ac:dyDescent="0.15">
      <c r="B18" t="s">
        <v>63</v>
      </c>
      <c r="D18" s="14">
        <f>-BS!D4*365/IS!D4</f>
        <v>324.7046838407494</v>
      </c>
      <c r="E18" s="14">
        <f>-BS!E4*365/IS!E4</f>
        <v>413.1415930831493</v>
      </c>
      <c r="F18" s="11">
        <v>123</v>
      </c>
      <c r="G18" s="11">
        <v>123</v>
      </c>
      <c r="H18" s="11">
        <v>123</v>
      </c>
      <c r="I18" s="11">
        <v>123</v>
      </c>
      <c r="J18" s="11">
        <v>123</v>
      </c>
    </row>
    <row r="19" spans="1:10" x14ac:dyDescent="0.15">
      <c r="B19" t="s">
        <v>64</v>
      </c>
      <c r="D19" s="14">
        <f>BS!D5*365/IS!D3</f>
        <v>118.01591078528827</v>
      </c>
      <c r="E19" s="14">
        <f>BS!E5*365/IS!E3</f>
        <v>148.55714886459211</v>
      </c>
      <c r="F19" s="11">
        <v>44</v>
      </c>
      <c r="G19" s="11">
        <v>44</v>
      </c>
      <c r="H19" s="11">
        <v>44</v>
      </c>
      <c r="I19" s="11">
        <v>44</v>
      </c>
      <c r="J19" s="11">
        <v>44</v>
      </c>
    </row>
    <row r="20" spans="1:10" x14ac:dyDescent="0.15">
      <c r="B20" t="s">
        <v>65</v>
      </c>
      <c r="D20" s="16">
        <f>BS!D6/IS!D3</f>
        <v>0.2155156560636183</v>
      </c>
      <c r="E20" s="16">
        <f>BS!E6/IS!E3</f>
        <v>0.21811921783010935</v>
      </c>
      <c r="F20" s="23">
        <v>7.0000000000000007E-2</v>
      </c>
      <c r="G20" s="23">
        <v>7.0000000000000007E-2</v>
      </c>
      <c r="H20" s="23">
        <v>7.0000000000000007E-2</v>
      </c>
      <c r="I20" s="23">
        <v>7.0000000000000007E-2</v>
      </c>
      <c r="J20" s="23">
        <v>7.0000000000000007E-2</v>
      </c>
    </row>
    <row r="21" spans="1:10" x14ac:dyDescent="0.15">
      <c r="A21" s="10" t="s">
        <v>66</v>
      </c>
      <c r="B21" s="8"/>
      <c r="D21" s="14"/>
      <c r="E21" s="14"/>
    </row>
    <row r="22" spans="1:10" x14ac:dyDescent="0.15">
      <c r="B22" t="s">
        <v>67</v>
      </c>
      <c r="D22" s="16">
        <f>Calc!D5/IS!D3</f>
        <v>3.5023608349900599E-2</v>
      </c>
      <c r="E22" s="16">
        <f>Calc!E5/IS!E3</f>
        <v>5.6585365853658538E-2</v>
      </c>
      <c r="F22" s="23">
        <v>2.5000000000000001E-2</v>
      </c>
      <c r="G22" s="23">
        <v>2.5000000000000001E-2</v>
      </c>
      <c r="H22" s="23">
        <v>2.5000000000000001E-2</v>
      </c>
      <c r="I22" s="23">
        <v>2.5000000000000001E-2</v>
      </c>
      <c r="J22" s="23">
        <v>2.758E-2</v>
      </c>
    </row>
    <row r="23" spans="1:10" x14ac:dyDescent="0.15">
      <c r="B23" t="s">
        <v>68</v>
      </c>
      <c r="D23" s="14">
        <f>BS!D10</f>
        <v>302.63</v>
      </c>
      <c r="E23" s="14">
        <f>BS!E10</f>
        <v>242.86</v>
      </c>
      <c r="F23" s="11">
        <f>E23</f>
        <v>242.86</v>
      </c>
      <c r="G23" s="11">
        <f t="shared" ref="G23:J23" si="10">F23</f>
        <v>242.86</v>
      </c>
      <c r="H23" s="11">
        <f t="shared" si="10"/>
        <v>242.86</v>
      </c>
      <c r="I23" s="11">
        <f t="shared" si="10"/>
        <v>242.86</v>
      </c>
      <c r="J23" s="11">
        <f t="shared" si="10"/>
        <v>242.86</v>
      </c>
    </row>
    <row r="24" spans="1:10" x14ac:dyDescent="0.15">
      <c r="B24" t="s">
        <v>69</v>
      </c>
      <c r="D24" s="14">
        <f>BS!D12</f>
        <v>1469.6799999999998</v>
      </c>
      <c r="E24" s="14">
        <f>BS!E12</f>
        <v>1066.83</v>
      </c>
      <c r="F24" s="11">
        <f>E24</f>
        <v>1066.83</v>
      </c>
      <c r="G24" s="11">
        <f t="shared" ref="G24:J24" si="11">F24</f>
        <v>1066.83</v>
      </c>
      <c r="H24" s="11">
        <f t="shared" si="11"/>
        <v>1066.83</v>
      </c>
      <c r="I24" s="11">
        <f t="shared" si="11"/>
        <v>1066.83</v>
      </c>
      <c r="J24" s="11">
        <f t="shared" si="11"/>
        <v>1066.83</v>
      </c>
    </row>
    <row r="25" spans="1:10" x14ac:dyDescent="0.15">
      <c r="B25" t="s">
        <v>70</v>
      </c>
      <c r="D25" s="16">
        <f>BS!D13/IS!D3</f>
        <v>0.10335984095427435</v>
      </c>
      <c r="E25" s="16">
        <f>BS!E13/IS!E3</f>
        <v>8.6185870479394452E-2</v>
      </c>
      <c r="F25" s="23">
        <v>0.03</v>
      </c>
      <c r="G25" s="23">
        <v>0.03</v>
      </c>
      <c r="H25" s="23">
        <v>0.03</v>
      </c>
      <c r="I25" s="23">
        <v>0.03</v>
      </c>
      <c r="J25" s="23">
        <v>0.03</v>
      </c>
    </row>
    <row r="26" spans="1:10" x14ac:dyDescent="0.15">
      <c r="A26" s="10" t="s">
        <v>71</v>
      </c>
      <c r="B26" s="8"/>
      <c r="D26" s="14"/>
      <c r="E26" s="14"/>
    </row>
    <row r="27" spans="1:10" x14ac:dyDescent="0.15">
      <c r="B27" t="s">
        <v>72</v>
      </c>
      <c r="D27" s="14">
        <f>BS!D17</f>
        <v>183.18</v>
      </c>
      <c r="E27" s="14">
        <f>BS!E17</f>
        <v>212.85</v>
      </c>
      <c r="F27" s="11">
        <f>E27</f>
        <v>212.85</v>
      </c>
      <c r="G27" s="11">
        <f t="shared" ref="G27:J27" si="12">F27</f>
        <v>212.85</v>
      </c>
      <c r="H27" s="11">
        <f t="shared" si="12"/>
        <v>212.85</v>
      </c>
      <c r="I27" s="11">
        <f t="shared" si="12"/>
        <v>212.85</v>
      </c>
      <c r="J27" s="11">
        <f t="shared" si="12"/>
        <v>212.85</v>
      </c>
    </row>
    <row r="28" spans="1:10" x14ac:dyDescent="0.15">
      <c r="B28" t="s">
        <v>73</v>
      </c>
      <c r="D28" s="14">
        <f>-BS!D18*365/IS!D4</f>
        <v>288.81330210772836</v>
      </c>
      <c r="E28" s="14">
        <f>-BS!E18*365/IS!E4</f>
        <v>279.61175496688742</v>
      </c>
      <c r="F28" s="11">
        <v>85</v>
      </c>
      <c r="G28" s="11">
        <v>85</v>
      </c>
      <c r="H28" s="11">
        <v>85</v>
      </c>
      <c r="I28" s="11">
        <v>85</v>
      </c>
      <c r="J28" s="11">
        <v>85</v>
      </c>
    </row>
    <row r="29" spans="1:10" x14ac:dyDescent="0.15">
      <c r="B29" t="s">
        <v>74</v>
      </c>
      <c r="D29" s="16">
        <f>BS!D19/IS!D3</f>
        <v>0.25222539761431412</v>
      </c>
      <c r="E29" s="16">
        <f>BS!E19/IS!E3</f>
        <v>0.25890664423885618</v>
      </c>
      <c r="F29" s="23">
        <v>0.09</v>
      </c>
      <c r="G29" s="23">
        <v>0.09</v>
      </c>
      <c r="H29" s="23">
        <v>0.09</v>
      </c>
      <c r="I29" s="23">
        <v>0.09</v>
      </c>
      <c r="J29" s="23">
        <v>0.09</v>
      </c>
    </row>
    <row r="30" spans="1:10" x14ac:dyDescent="0.15">
      <c r="A30" s="10" t="s">
        <v>75</v>
      </c>
      <c r="B30" s="8"/>
      <c r="D30" s="14"/>
      <c r="E30" s="14"/>
    </row>
    <row r="31" spans="1:10" x14ac:dyDescent="0.15">
      <c r="B31" t="s">
        <v>76</v>
      </c>
      <c r="D31" s="14"/>
      <c r="E31" s="15"/>
      <c r="F31" s="11">
        <f>-10</f>
        <v>-10</v>
      </c>
      <c r="G31" s="11">
        <f t="shared" ref="G31:I31" si="13">-10</f>
        <v>-10</v>
      </c>
      <c r="H31" s="11">
        <f t="shared" si="13"/>
        <v>-10</v>
      </c>
      <c r="I31" s="11">
        <f t="shared" si="13"/>
        <v>-10</v>
      </c>
      <c r="J31" s="11">
        <f>-4.5</f>
        <v>-4.5</v>
      </c>
    </row>
    <row r="32" spans="1:10" x14ac:dyDescent="0.15">
      <c r="B32" t="s">
        <v>72</v>
      </c>
      <c r="D32" s="14">
        <f>BS!D23</f>
        <v>561.36</v>
      </c>
      <c r="E32" s="14">
        <f>BS!E23</f>
        <v>598.37</v>
      </c>
      <c r="F32" s="11">
        <f>E32</f>
        <v>598.37</v>
      </c>
      <c r="G32" s="11">
        <f t="shared" ref="G32:J32" si="14">F32</f>
        <v>598.37</v>
      </c>
      <c r="H32" s="11">
        <f t="shared" si="14"/>
        <v>598.37</v>
      </c>
      <c r="I32" s="11">
        <f t="shared" si="14"/>
        <v>598.37</v>
      </c>
      <c r="J32" s="11">
        <f t="shared" si="14"/>
        <v>598.37</v>
      </c>
    </row>
    <row r="33" spans="1:10" x14ac:dyDescent="0.15">
      <c r="B33" t="s">
        <v>77</v>
      </c>
      <c r="D33" s="16">
        <f>BS!D24/IS!D3</f>
        <v>7.9363817097415496E-2</v>
      </c>
      <c r="E33" s="16">
        <f>BS!E24/IS!E3</f>
        <v>6.0077796467619855E-2</v>
      </c>
      <c r="F33" s="23">
        <v>0.02</v>
      </c>
      <c r="G33" s="23">
        <v>0.02</v>
      </c>
      <c r="H33" s="23">
        <v>0.02</v>
      </c>
      <c r="I33" s="23">
        <v>0.02</v>
      </c>
      <c r="J33" s="23">
        <v>0.02</v>
      </c>
    </row>
    <row r="34" spans="1:10" x14ac:dyDescent="0.15">
      <c r="A34" s="8" t="s">
        <v>78</v>
      </c>
      <c r="B34" s="8"/>
      <c r="D34" s="14"/>
      <c r="E34" s="14"/>
    </row>
    <row r="35" spans="1:10" x14ac:dyDescent="0.15">
      <c r="B35" t="s">
        <v>79</v>
      </c>
      <c r="D35" s="14"/>
      <c r="E35" s="15"/>
      <c r="F35" s="11">
        <v>0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15">
      <c r="A36" s="10" t="s">
        <v>80</v>
      </c>
      <c r="D36" s="14"/>
      <c r="E36" s="14"/>
    </row>
    <row r="37" spans="1:10" x14ac:dyDescent="0.15">
      <c r="B37" t="s">
        <v>81</v>
      </c>
      <c r="D37" s="14"/>
      <c r="E37" s="15"/>
      <c r="F37" s="23">
        <v>7.0000000000000007E-2</v>
      </c>
      <c r="G37" s="23">
        <v>7.0000000000000007E-2</v>
      </c>
      <c r="H37" s="23">
        <v>7.0000000000000007E-2</v>
      </c>
      <c r="I37" s="23">
        <v>7.0000000000000007E-2</v>
      </c>
      <c r="J37" s="23">
        <v>7.0000000000000007E-2</v>
      </c>
    </row>
    <row r="38" spans="1:10" x14ac:dyDescent="0.15">
      <c r="B38" t="s">
        <v>82</v>
      </c>
      <c r="D38" s="14"/>
      <c r="E38" s="15"/>
      <c r="F38" s="23">
        <v>0.09</v>
      </c>
      <c r="G38" s="23">
        <v>0.09</v>
      </c>
      <c r="H38" s="23">
        <v>0.09</v>
      </c>
      <c r="I38" s="23">
        <v>0.09</v>
      </c>
      <c r="J38" s="23">
        <v>0.09</v>
      </c>
    </row>
    <row r="39" spans="1:10" x14ac:dyDescent="0.15">
      <c r="B39" t="s">
        <v>83</v>
      </c>
      <c r="D39" s="14"/>
      <c r="E39" s="15"/>
      <c r="F39" s="23">
        <v>0.06</v>
      </c>
      <c r="G39" s="23">
        <v>0.06</v>
      </c>
      <c r="H39" s="23">
        <v>0.06</v>
      </c>
      <c r="I39" s="23">
        <v>0.06</v>
      </c>
      <c r="J39" s="23">
        <v>0.06</v>
      </c>
    </row>
    <row r="40" spans="1:10" x14ac:dyDescent="0.15">
      <c r="D40" s="14"/>
      <c r="E40" s="14"/>
    </row>
    <row r="41" spans="1:10" x14ac:dyDescent="0.15">
      <c r="D41" s="14"/>
      <c r="E41" s="14"/>
    </row>
    <row r="42" spans="1:10" x14ac:dyDescent="0.15">
      <c r="D42" s="14"/>
      <c r="E42" s="14"/>
    </row>
    <row r="43" spans="1:10" x14ac:dyDescent="0.15">
      <c r="D43" s="14"/>
      <c r="E43" s="14"/>
    </row>
    <row r="44" spans="1:10" x14ac:dyDescent="0.15">
      <c r="D44" s="14"/>
      <c r="E44" s="14"/>
    </row>
    <row r="45" spans="1:10" x14ac:dyDescent="0.15">
      <c r="D45" s="14"/>
      <c r="E45" s="14"/>
    </row>
    <row r="46" spans="1:10" x14ac:dyDescent="0.15">
      <c r="D46" s="14"/>
      <c r="E46" s="14"/>
    </row>
    <row r="47" spans="1:10" x14ac:dyDescent="0.15">
      <c r="D47" s="14"/>
      <c r="E47" s="14"/>
    </row>
    <row r="48" spans="1:10" x14ac:dyDescent="0.15">
      <c r="D48" s="14"/>
      <c r="E48" s="14"/>
    </row>
    <row r="49" spans="4:5" x14ac:dyDescent="0.15">
      <c r="D49" s="14"/>
      <c r="E49" s="14"/>
    </row>
    <row r="50" spans="4:5" x14ac:dyDescent="0.15">
      <c r="D50" s="14"/>
      <c r="E50" s="14"/>
    </row>
    <row r="51" spans="4:5" x14ac:dyDescent="0.15">
      <c r="D51" s="14"/>
      <c r="E51" s="14"/>
    </row>
    <row r="52" spans="4:5" x14ac:dyDescent="0.15">
      <c r="D52" s="14"/>
      <c r="E52" s="14"/>
    </row>
    <row r="53" spans="4:5" x14ac:dyDescent="0.15">
      <c r="D53" s="14"/>
      <c r="E53" s="14"/>
    </row>
    <row r="54" spans="4:5" x14ac:dyDescent="0.15">
      <c r="D54" s="14"/>
      <c r="E54" s="14"/>
    </row>
    <row r="55" spans="4:5" x14ac:dyDescent="0.15">
      <c r="D55" s="14"/>
      <c r="E55" s="14"/>
    </row>
    <row r="56" spans="4:5" x14ac:dyDescent="0.15">
      <c r="D56" s="14"/>
      <c r="E56" s="14"/>
    </row>
    <row r="57" spans="4:5" x14ac:dyDescent="0.15">
      <c r="D57" s="14"/>
      <c r="E57" s="14"/>
    </row>
    <row r="58" spans="4:5" x14ac:dyDescent="0.15">
      <c r="D58" s="14"/>
      <c r="E58" s="14"/>
    </row>
    <row r="59" spans="4:5" x14ac:dyDescent="0.15">
      <c r="D59" s="14"/>
      <c r="E59" s="14"/>
    </row>
    <row r="60" spans="4:5" x14ac:dyDescent="0.15">
      <c r="D60" s="14"/>
      <c r="E60" s="14"/>
    </row>
    <row r="61" spans="4:5" x14ac:dyDescent="0.15">
      <c r="D61" s="14"/>
      <c r="E61" s="14"/>
    </row>
    <row r="62" spans="4:5" x14ac:dyDescent="0.15">
      <c r="D62" s="14"/>
      <c r="E62" s="14"/>
    </row>
    <row r="63" spans="4:5" x14ac:dyDescent="0.15">
      <c r="D63" s="14"/>
      <c r="E63" s="14"/>
    </row>
    <row r="64" spans="4:5" x14ac:dyDescent="0.15">
      <c r="D64" s="14"/>
      <c r="E64" s="14"/>
    </row>
    <row r="65" spans="4:5" x14ac:dyDescent="0.15">
      <c r="D65" s="14"/>
      <c r="E65" s="14"/>
    </row>
    <row r="66" spans="4:5" x14ac:dyDescent="0.15">
      <c r="D66" s="14"/>
      <c r="E66" s="14"/>
    </row>
    <row r="67" spans="4:5" x14ac:dyDescent="0.15">
      <c r="D67" s="14"/>
      <c r="E67" s="14"/>
    </row>
    <row r="68" spans="4:5" x14ac:dyDescent="0.15">
      <c r="D68" s="14"/>
      <c r="E68" s="14"/>
    </row>
    <row r="69" spans="4:5" x14ac:dyDescent="0.15">
      <c r="D69" s="14"/>
      <c r="E69" s="14"/>
    </row>
    <row r="70" spans="4:5" x14ac:dyDescent="0.15">
      <c r="D70" s="14"/>
      <c r="E70" s="14"/>
    </row>
    <row r="71" spans="4:5" x14ac:dyDescent="0.15">
      <c r="D71" s="14"/>
      <c r="E7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9589-E58D-4179-AC8A-59C0581B252B}">
  <dimension ref="A1:J21"/>
  <sheetViews>
    <sheetView zoomScale="172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9.1640625" bestFit="1" customWidth="1"/>
    <col min="6" max="6" width="12.33203125" customWidth="1"/>
    <col min="7" max="10" width="9.1640625" bestFit="1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0" x14ac:dyDescent="0.15">
      <c r="A3" s="22" t="s">
        <v>35</v>
      </c>
    </row>
    <row r="4" spans="1:10" x14ac:dyDescent="0.15">
      <c r="B4" t="s">
        <v>47</v>
      </c>
      <c r="D4" s="5"/>
      <c r="F4">
        <f>E7</f>
        <v>5516.64</v>
      </c>
      <c r="G4">
        <f t="shared" ref="G4:J4" si="1">F7</f>
        <v>4971.8604800000003</v>
      </c>
      <c r="H4">
        <f t="shared" si="1"/>
        <v>4541.5994313600004</v>
      </c>
      <c r="I4">
        <f t="shared" si="1"/>
        <v>4200.9372126755206</v>
      </c>
      <c r="J4">
        <f t="shared" si="1"/>
        <v>3933.6926112629208</v>
      </c>
    </row>
    <row r="5" spans="1:10" x14ac:dyDescent="0.15">
      <c r="B5" t="s">
        <v>48</v>
      </c>
      <c r="D5" s="7">
        <v>281.87</v>
      </c>
      <c r="E5" s="7">
        <v>538.24</v>
      </c>
      <c r="F5">
        <f>Assump!F22*IS!F3</f>
        <v>244.10000000000002</v>
      </c>
      <c r="G5">
        <f>Assump!G22*IS!G3</f>
        <v>280.71499999999997</v>
      </c>
      <c r="H5">
        <f>Assump!H22*IS!H3</f>
        <v>308.78649999999999</v>
      </c>
      <c r="I5">
        <f>Assump!I22*IS!I3</f>
        <v>333.48942000000005</v>
      </c>
      <c r="J5">
        <f>Assump!J22*IS!J3</f>
        <v>393.65891511408006</v>
      </c>
    </row>
    <row r="6" spans="1:10" x14ac:dyDescent="0.15">
      <c r="B6" t="s">
        <v>10</v>
      </c>
      <c r="F6">
        <f>Assump!F8*Calc!E7</f>
        <v>-788.87952000000018</v>
      </c>
      <c r="G6">
        <f>Assump!G8*Calc!F7</f>
        <v>-710.97604864000016</v>
      </c>
      <c r="H6">
        <f>Assump!H8*Calc!G7</f>
        <v>-649.44871868448013</v>
      </c>
      <c r="I6">
        <f>Assump!I8*Calc!H7</f>
        <v>-600.73402141259953</v>
      </c>
      <c r="J6">
        <f>Assump!J8*Calc!I7</f>
        <v>-562.51804341059778</v>
      </c>
    </row>
    <row r="7" spans="1:10" x14ac:dyDescent="0.15">
      <c r="B7" t="s">
        <v>49</v>
      </c>
      <c r="E7">
        <f>BS!E9</f>
        <v>5516.64</v>
      </c>
      <c r="F7">
        <f>SUM(F4:F6)</f>
        <v>4971.8604800000003</v>
      </c>
      <c r="G7">
        <f t="shared" ref="G7:J7" si="2">SUM(G4:G6)</f>
        <v>4541.5994313600004</v>
      </c>
      <c r="H7">
        <f t="shared" si="2"/>
        <v>4200.9372126755206</v>
      </c>
      <c r="I7">
        <f t="shared" si="2"/>
        <v>3933.6926112629208</v>
      </c>
      <c r="J7">
        <f t="shared" si="2"/>
        <v>3764.8334829664027</v>
      </c>
    </row>
    <row r="9" spans="1:10" x14ac:dyDescent="0.15">
      <c r="A9" s="22" t="s">
        <v>123</v>
      </c>
    </row>
    <row r="10" spans="1:10" x14ac:dyDescent="0.15">
      <c r="B10" t="s">
        <v>47</v>
      </c>
      <c r="F10">
        <f>E13</f>
        <v>14199.09</v>
      </c>
      <c r="G10">
        <f t="shared" ref="G10:J10" si="3">F13</f>
        <v>14847.63389655</v>
      </c>
      <c r="H10">
        <f t="shared" si="3"/>
        <v>15419.13155233466</v>
      </c>
      <c r="I10">
        <f t="shared" si="3"/>
        <v>16096.471029849525</v>
      </c>
      <c r="J10">
        <f t="shared" si="3"/>
        <v>16865.500997672985</v>
      </c>
    </row>
    <row r="11" spans="1:10" x14ac:dyDescent="0.15">
      <c r="B11" t="s">
        <v>124</v>
      </c>
      <c r="F11">
        <f>IS!F22</f>
        <v>1297.0877930999998</v>
      </c>
      <c r="G11">
        <f>IS!G22</f>
        <v>1142.9953115693197</v>
      </c>
      <c r="H11">
        <f>IS!H22</f>
        <v>1354.6789550297283</v>
      </c>
      <c r="I11">
        <f>IS!I22</f>
        <v>1538.0599356469179</v>
      </c>
      <c r="J11">
        <f>IS!J22</f>
        <v>1706.3669670943532</v>
      </c>
    </row>
    <row r="12" spans="1:10" x14ac:dyDescent="0.15">
      <c r="B12" t="s">
        <v>125</v>
      </c>
      <c r="F12">
        <f>IS!F27</f>
        <v>-648.54389654999989</v>
      </c>
      <c r="G12">
        <f>IS!G27</f>
        <v>-571.49765578465986</v>
      </c>
      <c r="H12">
        <f>IS!H27</f>
        <v>-677.33947751486414</v>
      </c>
      <c r="I12">
        <f>IS!I27</f>
        <v>-769.02996782345895</v>
      </c>
      <c r="J12">
        <f>IS!J27</f>
        <v>-853.18348354717659</v>
      </c>
    </row>
    <row r="13" spans="1:10" x14ac:dyDescent="0.15">
      <c r="B13" t="s">
        <v>122</v>
      </c>
      <c r="E13">
        <f>BS!E27</f>
        <v>14199.09</v>
      </c>
      <c r="F13">
        <f>SUM(F10:F12)</f>
        <v>14847.63389655</v>
      </c>
      <c r="G13">
        <f t="shared" ref="G13:J13" si="4">SUM(G10:G12)</f>
        <v>15419.13155233466</v>
      </c>
      <c r="H13">
        <f t="shared" si="4"/>
        <v>16096.471029849525</v>
      </c>
      <c r="I13">
        <f t="shared" si="4"/>
        <v>16865.500997672985</v>
      </c>
      <c r="J13">
        <f t="shared" si="4"/>
        <v>17718.68448122016</v>
      </c>
    </row>
    <row r="15" spans="1:10" x14ac:dyDescent="0.15">
      <c r="A15" s="22" t="s">
        <v>126</v>
      </c>
    </row>
    <row r="16" spans="1:10" x14ac:dyDescent="0.15">
      <c r="B16" t="str">
        <f>BS!B4</f>
        <v>Inventories</v>
      </c>
      <c r="E16">
        <f>BS!E4</f>
        <v>6152.98</v>
      </c>
      <c r="F16">
        <f>BS!F4</f>
        <v>1803.2136986301371</v>
      </c>
      <c r="G16">
        <f>BS!G4</f>
        <v>2270.3306301369857</v>
      </c>
      <c r="H16">
        <f>BS!H4</f>
        <v>2497.3636931506844</v>
      </c>
      <c r="I16">
        <f>BS!I4</f>
        <v>2697.1527886027397</v>
      </c>
      <c r="J16">
        <f>BS!J4</f>
        <v>2885.9534838049317</v>
      </c>
    </row>
    <row r="17" spans="2:10" x14ac:dyDescent="0.15">
      <c r="B17" t="str">
        <f>BS!B5</f>
        <v>Trade Receivables</v>
      </c>
      <c r="E17">
        <f>BS!E5</f>
        <v>3871.44</v>
      </c>
      <c r="F17">
        <f>BS!F5</f>
        <v>1177.0301369863014</v>
      </c>
      <c r="G17">
        <f>BS!G5</f>
        <v>1353.5846575342464</v>
      </c>
      <c r="H17">
        <f>BS!H5</f>
        <v>1488.9431232876709</v>
      </c>
      <c r="I17">
        <f>BS!I5</f>
        <v>1608.0585731506849</v>
      </c>
      <c r="J17">
        <f>BS!J5</f>
        <v>1720.622673271233</v>
      </c>
    </row>
    <row r="18" spans="2:10" x14ac:dyDescent="0.15">
      <c r="B18" t="str">
        <f>BS!B6</f>
        <v>Other Current Assets</v>
      </c>
      <c r="E18">
        <f>BS!E6</f>
        <v>2074.75</v>
      </c>
      <c r="F18">
        <f>BS!F6</f>
        <v>683.48</v>
      </c>
      <c r="G18">
        <f>BS!G6</f>
        <v>786.00199999999995</v>
      </c>
      <c r="H18">
        <f>BS!H6</f>
        <v>864.60220000000004</v>
      </c>
      <c r="I18">
        <f>BS!I6</f>
        <v>933.77037600000017</v>
      </c>
      <c r="J18">
        <f>BS!J6</f>
        <v>999.13430232000019</v>
      </c>
    </row>
    <row r="19" spans="2:10" x14ac:dyDescent="0.15">
      <c r="B19" t="str">
        <f>BS!B18</f>
        <v>Trade Payables</v>
      </c>
      <c r="E19">
        <f>BS!E18</f>
        <v>4164.3</v>
      </c>
      <c r="F19">
        <f>BS!F18</f>
        <v>1246.1232876712329</v>
      </c>
      <c r="G19">
        <f>BS!G18</f>
        <v>1568.9276712328765</v>
      </c>
      <c r="H19">
        <f>BS!H18</f>
        <v>1725.820438356164</v>
      </c>
      <c r="I19">
        <f>BS!I18</f>
        <v>1863.8860734246575</v>
      </c>
      <c r="J19">
        <f>BS!J18</f>
        <v>1994.3580985643837</v>
      </c>
    </row>
    <row r="20" spans="2:10" x14ac:dyDescent="0.15">
      <c r="B20" t="str">
        <f>BS!B19</f>
        <v>Other Current Liabilities</v>
      </c>
      <c r="E20">
        <f>BS!E19</f>
        <v>2462.7199999999998</v>
      </c>
      <c r="F20">
        <f>BS!F19</f>
        <v>878.76</v>
      </c>
      <c r="G20">
        <f>BS!G19</f>
        <v>1010.5739999999998</v>
      </c>
      <c r="H20">
        <f>BS!H19</f>
        <v>1111.6314</v>
      </c>
      <c r="I20">
        <f>BS!I19</f>
        <v>1200.5619120000001</v>
      </c>
      <c r="J20">
        <f>BS!J19</f>
        <v>1284.60124584</v>
      </c>
    </row>
    <row r="21" spans="2:10" x14ac:dyDescent="0.15">
      <c r="B21" s="8" t="s">
        <v>127</v>
      </c>
      <c r="E21" s="8">
        <f>SUM(E16:E18)-E19-E20</f>
        <v>5472.15</v>
      </c>
      <c r="F21" s="8">
        <f>SUM(F16:F18)-F19-F20</f>
        <v>1538.8405479452056</v>
      </c>
      <c r="G21" s="8">
        <f t="shared" ref="G21:J21" si="5">SUM(G16:G18)-G19-G20</f>
        <v>1830.4156164383564</v>
      </c>
      <c r="H21" s="8">
        <f t="shared" si="5"/>
        <v>2013.4571780821909</v>
      </c>
      <c r="I21" s="8">
        <f t="shared" si="5"/>
        <v>2174.5337523287681</v>
      </c>
      <c r="J21" s="8">
        <f t="shared" si="5"/>
        <v>2326.7511149917809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6E59-44F3-4B51-925C-420B31076BD6}">
  <dimension ref="A1:J27"/>
  <sheetViews>
    <sheetView zoomScale="159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9.1640625" bestFit="1" customWidth="1"/>
    <col min="6" max="6" width="12.33203125" customWidth="1"/>
    <col min="7" max="10" width="9.1640625" bestFit="1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0" x14ac:dyDescent="0.15">
      <c r="B3" t="str">
        <f>CF!B9</f>
        <v>Cash flow from operations</v>
      </c>
      <c r="F3">
        <f>CF!F9</f>
        <v>6169.9767651547945</v>
      </c>
      <c r="G3">
        <f>CF!G9</f>
        <v>1576.5502917161689</v>
      </c>
      <c r="H3">
        <f>CF!H9</f>
        <v>1838.657512070374</v>
      </c>
      <c r="I3">
        <f>CF!I9</f>
        <v>1996.6362148129401</v>
      </c>
      <c r="J3">
        <f>CF!J9</f>
        <v>2136.1299440819384</v>
      </c>
    </row>
    <row r="4" spans="1:10" x14ac:dyDescent="0.15">
      <c r="B4" t="str">
        <f>CF!B13</f>
        <v>Cash flow from investing</v>
      </c>
      <c r="D4" s="5"/>
      <c r="F4">
        <f>CF!F13</f>
        <v>-244.10000000000002</v>
      </c>
      <c r="G4">
        <f>CF!G13</f>
        <v>-280.71499999999997</v>
      </c>
      <c r="H4">
        <f>CF!H13</f>
        <v>-308.78649999999999</v>
      </c>
      <c r="I4">
        <f>CF!I13</f>
        <v>-333.48942000000005</v>
      </c>
      <c r="J4">
        <f>CF!J13</f>
        <v>-393.65891511408006</v>
      </c>
    </row>
    <row r="5" spans="1:10" x14ac:dyDescent="0.15">
      <c r="B5" t="str">
        <f>CF!B15</f>
        <v>Dividends</v>
      </c>
      <c r="F5">
        <f>CF!F15</f>
        <v>-648.54389654999989</v>
      </c>
      <c r="G5">
        <f>CF!G15</f>
        <v>-571.49765578465986</v>
      </c>
      <c r="H5">
        <f>CF!H15</f>
        <v>-677.33947751486414</v>
      </c>
      <c r="I5">
        <f>CF!I15</f>
        <v>-769.02996782345895</v>
      </c>
      <c r="J5">
        <f>CF!J15</f>
        <v>-853.18348354717659</v>
      </c>
    </row>
    <row r="6" spans="1:10" x14ac:dyDescent="0.15">
      <c r="B6" s="8" t="s">
        <v>141</v>
      </c>
      <c r="F6" s="8">
        <f>SUM(F3:F5)</f>
        <v>5277.3328686047944</v>
      </c>
      <c r="G6" s="8">
        <f t="shared" ref="G6:J6" si="1">SUM(G3:G5)</f>
        <v>724.33763593150911</v>
      </c>
      <c r="H6" s="8">
        <f t="shared" si="1"/>
        <v>852.53153455550989</v>
      </c>
      <c r="I6" s="8">
        <f t="shared" si="1"/>
        <v>894.11682698948107</v>
      </c>
      <c r="J6" s="8">
        <f t="shared" si="1"/>
        <v>889.28754542068168</v>
      </c>
    </row>
    <row r="7" spans="1:10" x14ac:dyDescent="0.15">
      <c r="B7" t="s">
        <v>142</v>
      </c>
      <c r="F7">
        <f>BS!E3</f>
        <v>3053.1600000000003</v>
      </c>
      <c r="G7">
        <f>BS!F3</f>
        <v>7589.3728686047943</v>
      </c>
      <c r="H7">
        <f>BS!G3</f>
        <v>8303.7105045363041</v>
      </c>
      <c r="I7">
        <f>BS!H3</f>
        <v>9146.2420390918141</v>
      </c>
      <c r="J7">
        <f>BS!I3</f>
        <v>10030.358866081295</v>
      </c>
    </row>
    <row r="8" spans="1:10" x14ac:dyDescent="0.15">
      <c r="B8" s="8" t="s">
        <v>143</v>
      </c>
      <c r="F8" s="8">
        <f>F6+F7</f>
        <v>8330.4928686047951</v>
      </c>
      <c r="G8" s="8">
        <f t="shared" ref="G8:J8" si="2">G6+G7</f>
        <v>8313.7105045363041</v>
      </c>
      <c r="H8" s="8">
        <f t="shared" si="2"/>
        <v>9156.2420390918141</v>
      </c>
      <c r="I8" s="8">
        <f t="shared" si="2"/>
        <v>10040.358866081295</v>
      </c>
      <c r="J8" s="8">
        <f t="shared" si="2"/>
        <v>10919.646411501977</v>
      </c>
    </row>
    <row r="9" spans="1:10" x14ac:dyDescent="0.15">
      <c r="B9" t="s">
        <v>76</v>
      </c>
      <c r="F9">
        <f>CF!F17</f>
        <v>-10</v>
      </c>
      <c r="G9">
        <f>CF!G17</f>
        <v>-10</v>
      </c>
      <c r="H9">
        <f>CF!H17</f>
        <v>-10</v>
      </c>
      <c r="I9">
        <f>CF!I17</f>
        <v>-10</v>
      </c>
      <c r="J9">
        <f>CF!J17</f>
        <v>-4.5</v>
      </c>
    </row>
    <row r="10" spans="1:10" x14ac:dyDescent="0.15">
      <c r="B10" s="8" t="s">
        <v>145</v>
      </c>
      <c r="F10" s="8">
        <f>F8+F9</f>
        <v>8320.4928686047951</v>
      </c>
      <c r="G10" s="8">
        <f t="shared" ref="G10:J10" si="3">G8+G9</f>
        <v>8303.7105045363041</v>
      </c>
      <c r="H10" s="8">
        <f t="shared" si="3"/>
        <v>9146.2420390918141</v>
      </c>
      <c r="I10" s="8">
        <f t="shared" si="3"/>
        <v>10030.358866081295</v>
      </c>
      <c r="J10" s="8">
        <f t="shared" si="3"/>
        <v>10915.146411501977</v>
      </c>
    </row>
    <row r="12" spans="1:10" x14ac:dyDescent="0.15">
      <c r="A12" s="8" t="s">
        <v>144</v>
      </c>
    </row>
    <row r="13" spans="1:10" x14ac:dyDescent="0.15">
      <c r="B13" t="s">
        <v>47</v>
      </c>
      <c r="F13">
        <f>E15</f>
        <v>731.12</v>
      </c>
      <c r="G13">
        <f t="shared" ref="G13:J13" si="4">F15</f>
        <v>0</v>
      </c>
      <c r="H13">
        <f t="shared" si="4"/>
        <v>0</v>
      </c>
      <c r="I13">
        <f t="shared" si="4"/>
        <v>0</v>
      </c>
      <c r="J13">
        <f t="shared" si="4"/>
        <v>0</v>
      </c>
    </row>
    <row r="14" spans="1:10" x14ac:dyDescent="0.15">
      <c r="B14" t="s">
        <v>146</v>
      </c>
      <c r="F14">
        <f>-MIN(F13,F10)</f>
        <v>-731.12</v>
      </c>
      <c r="G14">
        <f t="shared" ref="G14:J14" si="5">-MIN(G13,G10)</f>
        <v>0</v>
      </c>
      <c r="H14">
        <f t="shared" si="5"/>
        <v>0</v>
      </c>
      <c r="I14">
        <f t="shared" si="5"/>
        <v>0</v>
      </c>
      <c r="J14">
        <f t="shared" si="5"/>
        <v>0</v>
      </c>
    </row>
    <row r="15" spans="1:10" x14ac:dyDescent="0.15">
      <c r="B15" t="s">
        <v>122</v>
      </c>
      <c r="E15">
        <f>BS!E16</f>
        <v>731.12</v>
      </c>
      <c r="F15">
        <f>SUM(F13:F14)</f>
        <v>0</v>
      </c>
      <c r="G15">
        <f t="shared" ref="G15:J15" si="6">SUM(G13:G14)</f>
        <v>0</v>
      </c>
      <c r="H15">
        <f t="shared" si="6"/>
        <v>0</v>
      </c>
      <c r="I15">
        <f t="shared" si="6"/>
        <v>0</v>
      </c>
      <c r="J15">
        <f t="shared" si="6"/>
        <v>0</v>
      </c>
    </row>
    <row r="17" spans="1:10" x14ac:dyDescent="0.15">
      <c r="A17" s="10" t="s">
        <v>147</v>
      </c>
    </row>
    <row r="18" spans="1:10" x14ac:dyDescent="0.15">
      <c r="B18" t="s">
        <v>47</v>
      </c>
      <c r="F18">
        <f>E20</f>
        <v>44.54</v>
      </c>
      <c r="G18">
        <f t="shared" ref="G18:J18" si="7">F20</f>
        <v>34.54</v>
      </c>
      <c r="H18">
        <f t="shared" si="7"/>
        <v>24.54</v>
      </c>
      <c r="I18">
        <f t="shared" si="7"/>
        <v>14.54</v>
      </c>
      <c r="J18">
        <f t="shared" si="7"/>
        <v>4.5399999999999991</v>
      </c>
    </row>
    <row r="19" spans="1:10" x14ac:dyDescent="0.15">
      <c r="B19" t="s">
        <v>76</v>
      </c>
      <c r="F19">
        <f>Assump!F31</f>
        <v>-10</v>
      </c>
      <c r="G19">
        <f>Assump!G31</f>
        <v>-10</v>
      </c>
      <c r="H19">
        <f>Assump!H31</f>
        <v>-10</v>
      </c>
      <c r="I19">
        <f>Assump!I31</f>
        <v>-10</v>
      </c>
      <c r="J19">
        <f>Assump!J31</f>
        <v>-4.5</v>
      </c>
    </row>
    <row r="20" spans="1:10" x14ac:dyDescent="0.15">
      <c r="B20" t="s">
        <v>122</v>
      </c>
      <c r="E20">
        <f>BS!E22</f>
        <v>44.54</v>
      </c>
      <c r="F20">
        <f>SUM(F18:F19)</f>
        <v>34.54</v>
      </c>
      <c r="G20">
        <f t="shared" ref="G20:J20" si="8">SUM(G18:G19)</f>
        <v>24.54</v>
      </c>
      <c r="H20">
        <f t="shared" si="8"/>
        <v>14.54</v>
      </c>
      <c r="I20">
        <f t="shared" si="8"/>
        <v>4.5399999999999991</v>
      </c>
      <c r="J20">
        <f t="shared" si="8"/>
        <v>3.9999999999999147E-2</v>
      </c>
    </row>
    <row r="22" spans="1:10" x14ac:dyDescent="0.15">
      <c r="A22" s="8" t="s">
        <v>148</v>
      </c>
    </row>
    <row r="23" spans="1:10" x14ac:dyDescent="0.15">
      <c r="B23" t="s">
        <v>149</v>
      </c>
      <c r="F23">
        <f>AVERAGE(E15:F15)*Assump!F37</f>
        <v>25.589200000000002</v>
      </c>
      <c r="G23">
        <f>AVERAGE(F15:G15)*Assump!G37</f>
        <v>0</v>
      </c>
      <c r="H23">
        <f>AVERAGE(G15:H15)*Assump!H37</f>
        <v>0</v>
      </c>
      <c r="I23">
        <f>AVERAGE(H15:I15)*Assump!I37</f>
        <v>0</v>
      </c>
      <c r="J23">
        <f>AVERAGE(I15:J15)*Assump!J37</f>
        <v>0</v>
      </c>
    </row>
    <row r="24" spans="1:10" x14ac:dyDescent="0.15">
      <c r="B24" t="s">
        <v>150</v>
      </c>
      <c r="F24">
        <f>AVERAGE(BS!E22:F22)*Assump!F38</f>
        <v>3.5585999999999998</v>
      </c>
      <c r="G24">
        <f>AVERAGE(BS!F22:G22)*Assump!G38</f>
        <v>2.6585999999999999</v>
      </c>
      <c r="H24">
        <f>AVERAGE(BS!G22:H22)*Assump!H38</f>
        <v>1.7585999999999999</v>
      </c>
      <c r="I24">
        <f>AVERAGE(BS!H22:I22)*Assump!I38</f>
        <v>0.85859999999999992</v>
      </c>
      <c r="J24">
        <f>AVERAGE(BS!I22:J22)*Assump!J38</f>
        <v>0.20609999999999992</v>
      </c>
    </row>
    <row r="25" spans="1:10" x14ac:dyDescent="0.15">
      <c r="B25" s="8" t="s">
        <v>151</v>
      </c>
      <c r="F25" s="8">
        <f>F23+F24</f>
        <v>29.1478</v>
      </c>
      <c r="G25" s="8">
        <f t="shared" ref="G25:J25" si="9">G23+G24</f>
        <v>2.6585999999999999</v>
      </c>
      <c r="H25" s="8">
        <f t="shared" si="9"/>
        <v>1.7585999999999999</v>
      </c>
      <c r="I25" s="8">
        <f t="shared" si="9"/>
        <v>0.85859999999999992</v>
      </c>
      <c r="J25" s="8">
        <f t="shared" si="9"/>
        <v>0.20609999999999992</v>
      </c>
    </row>
    <row r="27" spans="1:10" x14ac:dyDescent="0.15">
      <c r="B27" t="s">
        <v>152</v>
      </c>
      <c r="F27">
        <f>AVERAGE(BS!E3:F3)*Assump!F39</f>
        <v>319.27598605814381</v>
      </c>
      <c r="G27">
        <f>AVERAGE(BS!F3:G3)*Assump!G39</f>
        <v>476.79250119423295</v>
      </c>
      <c r="H27">
        <f>AVERAGE(BS!G3:H3)*Assump!H39</f>
        <v>523.49857630884355</v>
      </c>
      <c r="I27">
        <f>AVERAGE(BS!H3:I3)*Assump!I39</f>
        <v>575.29802715519327</v>
      </c>
      <c r="J27">
        <f>AVERAGE(BS!I3:J3)*Assump!J39</f>
        <v>628.36515832749819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7F17-9D62-4B5A-B578-01A6C8961DB6}">
  <dimension ref="A1:M34"/>
  <sheetViews>
    <sheetView tabSelected="1" zoomScale="17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baseColWidth="10" defaultColWidth="8.83203125" defaultRowHeight="13" x14ac:dyDescent="0.15"/>
  <cols>
    <col min="1" max="1" width="2.5" customWidth="1"/>
    <col min="2" max="2" width="29.33203125" customWidth="1"/>
    <col min="3" max="3" width="16.1640625" customWidth="1"/>
    <col min="4" max="4" width="11.1640625" customWidth="1"/>
    <col min="5" max="5" width="9.1640625" bestFit="1" customWidth="1"/>
    <col min="6" max="6" width="12.33203125" customWidth="1"/>
    <col min="7" max="7" width="12.5" bestFit="1" customWidth="1"/>
    <col min="8" max="10" width="9.1640625" bestFit="1" customWidth="1"/>
  </cols>
  <sheetData>
    <row r="1" spans="1:13" s="1" customFormat="1" ht="11.5" customHeight="1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236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3" s="1" customFormat="1" ht="21" customHeigh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3" x14ac:dyDescent="0.15">
      <c r="B3" t="s">
        <v>7</v>
      </c>
      <c r="D3" s="7">
        <v>8048</v>
      </c>
      <c r="E3" s="7">
        <v>9512</v>
      </c>
      <c r="F3">
        <v>9764</v>
      </c>
      <c r="G3">
        <f>(1+Assump!G4)*IS!F3</f>
        <v>11228.599999999999</v>
      </c>
      <c r="H3">
        <f>(1+Assump!H4)*IS!G3</f>
        <v>12351.46</v>
      </c>
      <c r="I3">
        <f>(1+Assump!I4)*IS!H3</f>
        <v>13339.576800000001</v>
      </c>
      <c r="J3">
        <f>(1+Assump!J4)*IS!I3</f>
        <v>14273.347176000001</v>
      </c>
    </row>
    <row r="4" spans="1:13" x14ac:dyDescent="0.15">
      <c r="B4" t="s">
        <v>17</v>
      </c>
      <c r="D4" s="7">
        <f>-3884-339-47</f>
        <v>-4270</v>
      </c>
      <c r="E4" s="7">
        <v>-5436</v>
      </c>
      <c r="F4">
        <v>-5351</v>
      </c>
      <c r="G4">
        <f>Assump!G5*IS!G3</f>
        <v>-6737.1599999999989</v>
      </c>
      <c r="H4">
        <f>Assump!H5*IS!H3</f>
        <v>-7410.8759999999993</v>
      </c>
      <c r="I4">
        <f>Assump!I5*IS!I3</f>
        <v>-8003.7460799999999</v>
      </c>
      <c r="J4">
        <f>Assump!J5*IS!J3</f>
        <v>-8564.0083056000003</v>
      </c>
    </row>
    <row r="5" spans="1:13" ht="14" x14ac:dyDescent="0.15">
      <c r="B5" s="8" t="s">
        <v>8</v>
      </c>
      <c r="D5" s="8">
        <f>D3+D4</f>
        <v>3778</v>
      </c>
      <c r="E5" s="8">
        <f>E3+E4</f>
        <v>4076</v>
      </c>
      <c r="F5" s="8">
        <f>F3+F4</f>
        <v>4413</v>
      </c>
      <c r="G5" s="8">
        <f t="shared" ref="G5:J5" si="1">G3+G4</f>
        <v>4491.4399999999996</v>
      </c>
      <c r="H5" s="8">
        <f t="shared" si="1"/>
        <v>4940.5839999999998</v>
      </c>
      <c r="I5" s="8">
        <f t="shared" si="1"/>
        <v>5335.8307200000008</v>
      </c>
      <c r="J5" s="8">
        <f t="shared" si="1"/>
        <v>5709.3388704000008</v>
      </c>
      <c r="M5" s="68"/>
    </row>
    <row r="6" spans="1:13" ht="14" x14ac:dyDescent="0.15">
      <c r="M6" s="69"/>
    </row>
    <row r="7" spans="1:13" ht="14" x14ac:dyDescent="0.15">
      <c r="B7" t="s">
        <v>4</v>
      </c>
      <c r="D7" s="7">
        <v>-570</v>
      </c>
      <c r="E7" s="7">
        <v>-586</v>
      </c>
      <c r="F7">
        <v>-653</v>
      </c>
      <c r="G7">
        <f>Assump!G6*IS!G3</f>
        <v>-684.94459999999992</v>
      </c>
      <c r="H7">
        <f>Assump!H6*IS!H3</f>
        <v>-753.43905999999993</v>
      </c>
      <c r="I7">
        <f>Assump!I6*IS!I3</f>
        <v>-813.7141848</v>
      </c>
      <c r="J7">
        <f>Assump!J6*IS!J3</f>
        <v>-870.67417773600005</v>
      </c>
      <c r="M7" s="68"/>
    </row>
    <row r="8" spans="1:13" ht="14" x14ac:dyDescent="0.15">
      <c r="B8" t="s">
        <v>5</v>
      </c>
      <c r="D8" s="7">
        <v>-1617</v>
      </c>
      <c r="E8" s="7">
        <v>-1809</v>
      </c>
      <c r="F8">
        <f>-842-1108</f>
        <v>-1950</v>
      </c>
      <c r="G8">
        <f>Assump!G7*IS!G3</f>
        <v>-1628.1469999999997</v>
      </c>
      <c r="H8">
        <f>Assump!H7*IS!H3</f>
        <v>-1790.9616999999998</v>
      </c>
      <c r="I8">
        <f>Assump!I7*IS!I3</f>
        <v>-1934.238636</v>
      </c>
      <c r="J8">
        <f>Assump!J7*IS!J3</f>
        <v>-2069.6353405200002</v>
      </c>
      <c r="M8" s="70"/>
    </row>
    <row r="9" spans="1:13" ht="14" x14ac:dyDescent="0.15">
      <c r="B9" s="8" t="s">
        <v>9</v>
      </c>
      <c r="D9" s="8">
        <f>D5+D7+D8</f>
        <v>1591</v>
      </c>
      <c r="E9" s="8">
        <f>E5+E7+E8</f>
        <v>1681</v>
      </c>
      <c r="F9" s="8">
        <f>F5+F7+F8</f>
        <v>1810</v>
      </c>
      <c r="G9" s="8">
        <f t="shared" ref="G9:J9" si="2">G5+G7+G8</f>
        <v>2178.3483999999999</v>
      </c>
      <c r="H9" s="8">
        <f t="shared" si="2"/>
        <v>2396.1832400000003</v>
      </c>
      <c r="I9" s="8">
        <f t="shared" si="2"/>
        <v>2587.8778992000007</v>
      </c>
      <c r="J9" s="8">
        <f t="shared" si="2"/>
        <v>2769.0293521440003</v>
      </c>
      <c r="M9" s="69"/>
    </row>
    <row r="10" spans="1:13" ht="14" x14ac:dyDescent="0.15">
      <c r="M10" s="69"/>
    </row>
    <row r="11" spans="1:13" ht="14" x14ac:dyDescent="0.15">
      <c r="B11" t="s">
        <v>237</v>
      </c>
      <c r="D11" s="7">
        <v>-139</v>
      </c>
      <c r="E11" s="7">
        <v>-139</v>
      </c>
      <c r="F11">
        <v>-155</v>
      </c>
      <c r="G11">
        <f>Calc!G6</f>
        <v>-710.97604864000016</v>
      </c>
      <c r="H11">
        <f>Calc!H6</f>
        <v>-649.44871868448013</v>
      </c>
      <c r="I11">
        <f>Calc!I6</f>
        <v>-600.73402141259953</v>
      </c>
      <c r="J11">
        <f>Calc!J6</f>
        <v>-562.51804341059778</v>
      </c>
      <c r="M11" s="68"/>
    </row>
    <row r="12" spans="1:13" ht="14" x14ac:dyDescent="0.15">
      <c r="D12" s="7"/>
      <c r="E12" s="7"/>
      <c r="G12">
        <f>Assump!G9</f>
        <v>-28.8</v>
      </c>
      <c r="H12">
        <f>Assump!H9</f>
        <v>-28.8</v>
      </c>
      <c r="I12">
        <f>Assump!I9</f>
        <v>-28.8</v>
      </c>
      <c r="J12">
        <f>Assump!J9</f>
        <v>-28.8</v>
      </c>
      <c r="M12" s="68"/>
    </row>
    <row r="13" spans="1:13" ht="14" x14ac:dyDescent="0.15">
      <c r="B13" s="8" t="s">
        <v>11</v>
      </c>
      <c r="D13" s="8">
        <f>D9+D11+D12</f>
        <v>1452</v>
      </c>
      <c r="E13" s="8">
        <f>E9+E11+E12</f>
        <v>1542</v>
      </c>
      <c r="F13" s="8">
        <f>F9+F11+F12</f>
        <v>1655</v>
      </c>
      <c r="G13" s="8">
        <f t="shared" ref="G13:J13" si="3">G9+G11+G12</f>
        <v>1438.5723513599999</v>
      </c>
      <c r="H13" s="8">
        <f t="shared" si="3"/>
        <v>1717.9345213155202</v>
      </c>
      <c r="I13" s="8">
        <f t="shared" si="3"/>
        <v>1958.3438777874012</v>
      </c>
      <c r="J13" s="8">
        <f t="shared" si="3"/>
        <v>2177.7113087334023</v>
      </c>
      <c r="M13" s="68"/>
    </row>
    <row r="15" spans="1:13" x14ac:dyDescent="0.15">
      <c r="B15" t="s">
        <v>12</v>
      </c>
      <c r="D15" s="7">
        <f>67.32</f>
        <v>67.319999999999993</v>
      </c>
      <c r="E15" s="7">
        <v>92.72</v>
      </c>
      <c r="F15">
        <f>IF(Circ=1,Debt!F27,0)</f>
        <v>0</v>
      </c>
      <c r="G15">
        <f>IF(Circ=1,Debt!G27,0)</f>
        <v>0</v>
      </c>
      <c r="H15">
        <f>IF(Circ=1,Debt!H27,0)</f>
        <v>0</v>
      </c>
      <c r="I15">
        <f>IF(Circ=1,Debt!I27,0)</f>
        <v>0</v>
      </c>
      <c r="J15">
        <f>IF(Circ=1,Debt!J27,0)</f>
        <v>0</v>
      </c>
    </row>
    <row r="16" spans="1:13" x14ac:dyDescent="0.15">
      <c r="B16" t="s">
        <v>13</v>
      </c>
      <c r="D16" s="7">
        <v>-91.63</v>
      </c>
      <c r="E16" s="7">
        <v>-95.41</v>
      </c>
      <c r="F16">
        <f>-IF(Circ=1,Debt!F25,0)</f>
        <v>0</v>
      </c>
      <c r="G16">
        <f>-IF(Circ=1,Debt!G25,0)</f>
        <v>0</v>
      </c>
      <c r="H16">
        <f>-IF(Circ=1,Debt!H25,0)</f>
        <v>0</v>
      </c>
      <c r="I16">
        <f>-IF(Circ=1,Debt!I25,0)</f>
        <v>0</v>
      </c>
      <c r="J16">
        <f>-IF(Circ=1,Debt!J25,0)</f>
        <v>0</v>
      </c>
    </row>
    <row r="17" spans="1:10" x14ac:dyDescent="0.15">
      <c r="B17" t="s">
        <v>14</v>
      </c>
      <c r="D17" s="7">
        <f>303.05-67.32-(9.18+93.61+31.35)+28.6-67.46</f>
        <v>62.730000000000032</v>
      </c>
      <c r="E17" s="7">
        <f>380.01-92.72-(3.03+76.89+86.61)-54.24+31.57</f>
        <v>98.089999999999947</v>
      </c>
      <c r="F17">
        <f>(1+Assump!F10)*IS!E17</f>
        <v>104.95629999999994</v>
      </c>
      <c r="G17">
        <f>(1+Assump!G10)*IS!F17</f>
        <v>112.30324099999994</v>
      </c>
      <c r="H17">
        <f>(1+Assump!H10)*IS!G17</f>
        <v>120.16446786999995</v>
      </c>
      <c r="I17">
        <f>(1+Assump!I10)*IS!H17</f>
        <v>128.57598062089997</v>
      </c>
      <c r="J17">
        <f>(1+Assump!J10)*IS!I17</f>
        <v>137.57629926436297</v>
      </c>
    </row>
    <row r="18" spans="1:10" x14ac:dyDescent="0.15">
      <c r="B18" t="s">
        <v>15</v>
      </c>
      <c r="D18" s="7">
        <f>(9.18+93.61+31.35)</f>
        <v>134.13999999999999</v>
      </c>
      <c r="E18" s="7">
        <f>-115.7+(3.03+76.89+86.61)</f>
        <v>50.83</v>
      </c>
      <c r="F18">
        <f>Assump!F11</f>
        <v>0</v>
      </c>
      <c r="G18">
        <f>Assump!G11</f>
        <v>0</v>
      </c>
      <c r="H18">
        <f>Assump!H11</f>
        <v>0</v>
      </c>
      <c r="I18">
        <f>Assump!I11</f>
        <v>0</v>
      </c>
      <c r="J18">
        <f>Assump!J11</f>
        <v>0</v>
      </c>
    </row>
    <row r="19" spans="1:10" x14ac:dyDescent="0.15">
      <c r="B19" s="8" t="s">
        <v>16</v>
      </c>
      <c r="D19" s="8">
        <f>D13+SUM(D15:D18)</f>
        <v>1624.56</v>
      </c>
      <c r="E19" s="8">
        <f>E13+SUM(E15:E18)</f>
        <v>1688.23</v>
      </c>
      <c r="F19" s="8">
        <f>F13+SUM(F15:F18)</f>
        <v>1759.9562999999998</v>
      </c>
      <c r="G19" s="8">
        <f t="shared" ref="G19:J19" si="4">G13+SUM(G15:G18)</f>
        <v>1550.8755923599997</v>
      </c>
      <c r="H19" s="8">
        <f t="shared" si="4"/>
        <v>1838.0989891855202</v>
      </c>
      <c r="I19" s="8">
        <f t="shared" si="4"/>
        <v>2086.919858408301</v>
      </c>
      <c r="J19" s="8">
        <f t="shared" si="4"/>
        <v>2315.2876079977655</v>
      </c>
    </row>
    <row r="21" spans="1:10" x14ac:dyDescent="0.15">
      <c r="B21" t="s">
        <v>6</v>
      </c>
      <c r="D21" s="7">
        <v>-1097.5999999999999</v>
      </c>
      <c r="E21" s="7">
        <v>-1102.9100000000001</v>
      </c>
      <c r="F21">
        <f>Assump!F13*IS!F19</f>
        <v>-462.8685069</v>
      </c>
      <c r="G21">
        <f>Assump!G13*IS!G19</f>
        <v>-407.88028079067993</v>
      </c>
      <c r="H21">
        <f>Assump!H13*IS!H19</f>
        <v>-483.42003415579183</v>
      </c>
      <c r="I21">
        <f>Assump!I13*IS!I19</f>
        <v>-548.85992276138325</v>
      </c>
      <c r="J21">
        <f>Assump!J13*IS!J19</f>
        <v>-608.92064090341239</v>
      </c>
    </row>
    <row r="22" spans="1:10" x14ac:dyDescent="0.15">
      <c r="B22" s="8" t="s">
        <v>18</v>
      </c>
      <c r="D22" s="8">
        <f>D19+D21</f>
        <v>526.96</v>
      </c>
      <c r="E22" s="8">
        <f>E19+E21</f>
        <v>585.31999999999994</v>
      </c>
      <c r="F22" s="8">
        <f>F19+F21</f>
        <v>1297.0877930999998</v>
      </c>
      <c r="G22" s="8">
        <f t="shared" ref="G22:J22" si="5">G19+G21</f>
        <v>1142.9953115693197</v>
      </c>
      <c r="H22" s="8">
        <f t="shared" si="5"/>
        <v>1354.6789550297283</v>
      </c>
      <c r="I22" s="8">
        <f t="shared" si="5"/>
        <v>1538.0599356469179</v>
      </c>
      <c r="J22" s="8">
        <f t="shared" si="5"/>
        <v>1706.3669670943532</v>
      </c>
    </row>
    <row r="24" spans="1:10" x14ac:dyDescent="0.15">
      <c r="B24" t="s">
        <v>19</v>
      </c>
      <c r="D24">
        <f>-D18*(1-25.168%)</f>
        <v>-100.37964479999999</v>
      </c>
      <c r="E24">
        <f>-E18*(1-25.168%)</f>
        <v>-38.037105599999997</v>
      </c>
      <c r="F24">
        <f>-F18*(1+Assump!F12)</f>
        <v>0</v>
      </c>
      <c r="G24">
        <f>-G18*(1+Assump!G12)</f>
        <v>0</v>
      </c>
      <c r="H24">
        <f>-H18*(1+Assump!H12)</f>
        <v>0</v>
      </c>
      <c r="I24">
        <f>-I18*(1+Assump!I12)</f>
        <v>0</v>
      </c>
      <c r="J24">
        <f>-J18*(1+Assump!J12)</f>
        <v>0</v>
      </c>
    </row>
    <row r="25" spans="1:10" x14ac:dyDescent="0.15">
      <c r="B25" s="8" t="s">
        <v>20</v>
      </c>
      <c r="D25" s="8">
        <f>D22+D24</f>
        <v>426.58035520000004</v>
      </c>
      <c r="E25" s="8">
        <f>E22+E24</f>
        <v>547.28289439999992</v>
      </c>
      <c r="F25">
        <f>F22+F24</f>
        <v>1297.0877930999998</v>
      </c>
      <c r="G25">
        <f t="shared" ref="G25:J25" si="6">G22+G24</f>
        <v>1142.9953115693197</v>
      </c>
      <c r="H25">
        <f t="shared" si="6"/>
        <v>1354.6789550297283</v>
      </c>
      <c r="I25">
        <f t="shared" si="6"/>
        <v>1538.0599356469179</v>
      </c>
      <c r="J25">
        <f t="shared" si="6"/>
        <v>1706.3669670943532</v>
      </c>
    </row>
    <row r="27" spans="1:10" x14ac:dyDescent="0.15">
      <c r="B27" t="s">
        <v>21</v>
      </c>
      <c r="D27" s="7">
        <v>-499.35</v>
      </c>
      <c r="E27" s="7">
        <v>-1762.8</v>
      </c>
      <c r="F27">
        <f>Assump!F14*IS!F25</f>
        <v>-648.54389654999989</v>
      </c>
      <c r="G27">
        <f>Assump!G14*IS!G25</f>
        <v>-571.49765578465986</v>
      </c>
      <c r="H27">
        <f>Assump!H14*IS!H25</f>
        <v>-677.33947751486414</v>
      </c>
      <c r="I27">
        <f>Assump!I14*IS!I25</f>
        <v>-769.02996782345895</v>
      </c>
      <c r="J27">
        <f>Assump!J14*IS!J25</f>
        <v>-853.18348354717659</v>
      </c>
    </row>
    <row r="29" spans="1:10" x14ac:dyDescent="0.15">
      <c r="A29" s="9" t="s">
        <v>22</v>
      </c>
    </row>
    <row r="30" spans="1:10" x14ac:dyDescent="0.15">
      <c r="B30" t="s">
        <v>23</v>
      </c>
      <c r="D30" s="7">
        <v>95.919779000000005</v>
      </c>
      <c r="E30" s="7">
        <v>95.907730200000003</v>
      </c>
      <c r="F30">
        <f>Assump!F15</f>
        <v>95.907730200000003</v>
      </c>
      <c r="G30">
        <f>Assump!G15</f>
        <v>95.907730200000003</v>
      </c>
      <c r="H30">
        <f>Assump!H15</f>
        <v>95.907730200000003</v>
      </c>
      <c r="I30">
        <f>Assump!I15</f>
        <v>95.907730200000003</v>
      </c>
      <c r="J30">
        <f>Assump!J15</f>
        <v>95.907730200000003</v>
      </c>
    </row>
    <row r="31" spans="1:10" x14ac:dyDescent="0.15">
      <c r="B31" t="s">
        <v>24</v>
      </c>
      <c r="D31" s="7">
        <v>95.919779000000005</v>
      </c>
      <c r="E31" s="7">
        <v>95.910101800000007</v>
      </c>
      <c r="F31">
        <f>Assump!F16</f>
        <v>95.910101800000007</v>
      </c>
      <c r="G31">
        <f>Assump!G16</f>
        <v>95.910101800000007</v>
      </c>
      <c r="H31">
        <f>Assump!H16</f>
        <v>95.910101800000007</v>
      </c>
      <c r="I31">
        <f>Assump!I16</f>
        <v>95.910101800000007</v>
      </c>
      <c r="J31">
        <f>Assump!J16</f>
        <v>95.910101800000007</v>
      </c>
    </row>
    <row r="32" spans="1:10" x14ac:dyDescent="0.15">
      <c r="B32" t="s">
        <v>25</v>
      </c>
      <c r="D32">
        <f>D25/D30</f>
        <v>4.4472616560136151</v>
      </c>
      <c r="E32">
        <f>E25/E30</f>
        <v>5.706348104148959</v>
      </c>
      <c r="F32">
        <f>F25/F30</f>
        <v>13.524330003380683</v>
      </c>
      <c r="G32">
        <f t="shared" ref="G32:J32" si="7">G25/G30</f>
        <v>11.917655742511981</v>
      </c>
      <c r="H32">
        <f t="shared" si="7"/>
        <v>14.124815092639198</v>
      </c>
      <c r="I32">
        <f t="shared" si="7"/>
        <v>16.03687140170603</v>
      </c>
      <c r="J32">
        <f t="shared" si="7"/>
        <v>17.791756342643101</v>
      </c>
    </row>
    <row r="33" spans="2:10" x14ac:dyDescent="0.15">
      <c r="B33" t="s">
        <v>26</v>
      </c>
      <c r="D33">
        <f>D25/D31</f>
        <v>4.4472616560136151</v>
      </c>
      <c r="E33">
        <f>E25/E31</f>
        <v>5.7062070014401742</v>
      </c>
      <c r="F33">
        <f>F25/F31</f>
        <v>13.523995582913662</v>
      </c>
      <c r="G33">
        <f t="shared" ref="G33:J33" si="8">G25/G31</f>
        <v>11.917361050797254</v>
      </c>
      <c r="H33">
        <f t="shared" si="8"/>
        <v>14.124465823783831</v>
      </c>
      <c r="I33">
        <f t="shared" si="8"/>
        <v>16.036474852818035</v>
      </c>
      <c r="J33">
        <f t="shared" si="8"/>
        <v>17.791316400149551</v>
      </c>
    </row>
    <row r="34" spans="2:10" x14ac:dyDescent="0.15">
      <c r="B34" t="s">
        <v>27</v>
      </c>
      <c r="D34">
        <f>-D27/D30</f>
        <v>5.2059127450658531</v>
      </c>
      <c r="E34">
        <f>-E27/E30</f>
        <v>18.380165981657232</v>
      </c>
      <c r="F34">
        <f>-F27/F30</f>
        <v>6.7621650016903416</v>
      </c>
      <c r="G34">
        <f t="shared" ref="G34:J34" si="9">-G27/G30</f>
        <v>5.9588278712559903</v>
      </c>
      <c r="H34">
        <f t="shared" si="9"/>
        <v>7.0624075463195988</v>
      </c>
      <c r="I34">
        <f t="shared" si="9"/>
        <v>8.0184357008530149</v>
      </c>
      <c r="J34">
        <f t="shared" si="9"/>
        <v>8.8958781713215505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DBEE-E499-41C4-B3E1-465ACA54BBAB}">
  <dimension ref="A1:J36"/>
  <sheetViews>
    <sheetView zoomScale="150" zoomScaleNormal="1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12.6640625" customWidth="1"/>
    <col min="6" max="6" width="12.33203125" customWidth="1"/>
    <col min="7" max="10" width="9.1640625" bestFit="1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0" x14ac:dyDescent="0.15">
      <c r="A3" t="s">
        <v>226</v>
      </c>
      <c r="B3" t="s">
        <v>31</v>
      </c>
      <c r="D3" s="7">
        <f>3267.12+346.39+264.36+13.49</f>
        <v>3891.3599999999997</v>
      </c>
      <c r="E3" s="7">
        <f>2180.7+621.72+242.61+8.13</f>
        <v>3053.1600000000003</v>
      </c>
      <c r="F3">
        <f>CF!F23</f>
        <v>7589.3728686047943</v>
      </c>
      <c r="G3">
        <f>CF!G23</f>
        <v>8303.7105045363041</v>
      </c>
      <c r="H3">
        <f>CF!H23</f>
        <v>9146.2420390918141</v>
      </c>
      <c r="I3">
        <f>CF!I23</f>
        <v>10030.358866081295</v>
      </c>
      <c r="J3">
        <f>CF!J23</f>
        <v>10915.146411501977</v>
      </c>
    </row>
    <row r="4" spans="1:10" x14ac:dyDescent="0.15">
      <c r="A4" t="s">
        <v>227</v>
      </c>
      <c r="B4" t="s">
        <v>28</v>
      </c>
      <c r="D4" s="7">
        <v>3798.6</v>
      </c>
      <c r="E4" s="7">
        <v>6152.98</v>
      </c>
      <c r="F4">
        <f>-IS!F4/365*Assump!F18</f>
        <v>1803.2136986301371</v>
      </c>
      <c r="G4">
        <f>-IS!G4/365*Assump!G18</f>
        <v>2270.3306301369857</v>
      </c>
      <c r="H4">
        <f>-IS!H4/365*Assump!H18</f>
        <v>2497.3636931506844</v>
      </c>
      <c r="I4">
        <f>-IS!I4/365*Assump!I18</f>
        <v>2697.1527886027397</v>
      </c>
      <c r="J4">
        <f>-IS!J4/365*Assump!J18</f>
        <v>2885.9534838049317</v>
      </c>
    </row>
    <row r="5" spans="1:10" x14ac:dyDescent="0.15">
      <c r="A5" t="s">
        <v>227</v>
      </c>
      <c r="B5" t="s">
        <v>29</v>
      </c>
      <c r="D5" s="7">
        <v>2602.17</v>
      </c>
      <c r="E5" s="7">
        <v>3871.44</v>
      </c>
      <c r="F5">
        <f>IS!F3/365*Assump!F19</f>
        <v>1177.0301369863014</v>
      </c>
      <c r="G5">
        <f>IS!G3/365*Assump!G19</f>
        <v>1353.5846575342464</v>
      </c>
      <c r="H5">
        <f>IS!H3/365*Assump!H19</f>
        <v>1488.9431232876709</v>
      </c>
      <c r="I5">
        <f>IS!I3/365*Assump!I19</f>
        <v>1608.0585731506849</v>
      </c>
      <c r="J5">
        <f>IS!J3/365*Assump!J19</f>
        <v>1720.622673271233</v>
      </c>
    </row>
    <row r="6" spans="1:10" x14ac:dyDescent="0.15">
      <c r="A6" t="s">
        <v>227</v>
      </c>
      <c r="B6" t="s">
        <v>30</v>
      </c>
      <c r="D6" s="7">
        <f>537.23+1197.24</f>
        <v>1734.47</v>
      </c>
      <c r="E6" s="7">
        <f>541.25+1533.5</f>
        <v>2074.75</v>
      </c>
      <c r="F6">
        <f>Assump!F20*IS!F3</f>
        <v>683.48</v>
      </c>
      <c r="G6">
        <f>Assump!G20*IS!G3</f>
        <v>786.00199999999995</v>
      </c>
      <c r="H6">
        <f>Assump!H20*IS!H3</f>
        <v>864.60220000000004</v>
      </c>
      <c r="I6">
        <f>Assump!I20*IS!I3</f>
        <v>933.77037600000017</v>
      </c>
      <c r="J6">
        <f>Assump!J20*IS!J3</f>
        <v>999.13430232000019</v>
      </c>
    </row>
    <row r="7" spans="1:10" x14ac:dyDescent="0.15">
      <c r="B7" s="8" t="s">
        <v>32</v>
      </c>
      <c r="D7" s="8">
        <f>SUM(D3:D6)</f>
        <v>12026.599999999999</v>
      </c>
      <c r="E7" s="8">
        <f>SUM(E3:E6)</f>
        <v>15152.33</v>
      </c>
      <c r="F7" s="8">
        <f>SUM(F3:F6)</f>
        <v>11253.096704221232</v>
      </c>
      <c r="G7" s="8">
        <f t="shared" ref="G7:J7" si="1">SUM(G3:G6)</f>
        <v>12713.627792207537</v>
      </c>
      <c r="H7" s="8">
        <f t="shared" si="1"/>
        <v>13997.151055530168</v>
      </c>
      <c r="I7" s="8">
        <f t="shared" si="1"/>
        <v>15269.34060383472</v>
      </c>
      <c r="J7" s="8">
        <f t="shared" si="1"/>
        <v>16520.85687089814</v>
      </c>
    </row>
    <row r="9" spans="1:10" x14ac:dyDescent="0.15">
      <c r="A9" t="s">
        <v>227</v>
      </c>
      <c r="B9" t="s">
        <v>35</v>
      </c>
      <c r="D9" s="7">
        <f>4476.35+845.55+182.98</f>
        <v>5504.88</v>
      </c>
      <c r="E9" s="7">
        <f>4184.46+905.75+426.43</f>
        <v>5516.64</v>
      </c>
      <c r="F9">
        <f>Calc!F7</f>
        <v>4971.8604800000003</v>
      </c>
      <c r="G9">
        <f>Calc!G7</f>
        <v>4541.5994313600004</v>
      </c>
      <c r="H9">
        <f>Calc!H7</f>
        <v>4200.9372126755206</v>
      </c>
      <c r="I9">
        <f>Calc!I7</f>
        <v>3933.6926112629208</v>
      </c>
      <c r="J9">
        <f>Calc!J7</f>
        <v>3764.8334829664027</v>
      </c>
    </row>
    <row r="10" spans="1:10" x14ac:dyDescent="0.15">
      <c r="A10" t="s">
        <v>227</v>
      </c>
      <c r="B10" t="s">
        <v>33</v>
      </c>
      <c r="D10" s="7">
        <v>302.63</v>
      </c>
      <c r="E10" s="7">
        <v>242.86</v>
      </c>
      <c r="F10">
        <f>Assump!F23</f>
        <v>242.86</v>
      </c>
      <c r="G10">
        <f>Assump!G23</f>
        <v>242.86</v>
      </c>
      <c r="H10">
        <f>Assump!H23</f>
        <v>242.86</v>
      </c>
      <c r="I10">
        <f>Assump!I23</f>
        <v>242.86</v>
      </c>
      <c r="J10">
        <f>Assump!J23</f>
        <v>242.86</v>
      </c>
    </row>
    <row r="11" spans="1:10" x14ac:dyDescent="0.15">
      <c r="A11" t="s">
        <v>227</v>
      </c>
      <c r="B11" t="s">
        <v>34</v>
      </c>
      <c r="D11" s="7">
        <v>233.99</v>
      </c>
      <c r="E11" s="7">
        <v>185.99</v>
      </c>
      <c r="F11">
        <f>E11+Assump!F9</f>
        <v>157.19</v>
      </c>
      <c r="G11">
        <f>F11+Assump!G9</f>
        <v>128.38999999999999</v>
      </c>
      <c r="H11">
        <f>G11+Assump!H9</f>
        <v>99.589999999999989</v>
      </c>
      <c r="I11">
        <f>H11+Assump!I9</f>
        <v>70.789999999999992</v>
      </c>
      <c r="J11">
        <f>I11+Assump!J9</f>
        <v>41.989999999999995</v>
      </c>
    </row>
    <row r="12" spans="1:10" x14ac:dyDescent="0.15">
      <c r="A12" t="s">
        <v>226</v>
      </c>
      <c r="B12" t="s">
        <v>36</v>
      </c>
      <c r="D12" s="7">
        <f>483.9+985.78</f>
        <v>1469.6799999999998</v>
      </c>
      <c r="E12" s="7">
        <f>515.47+551.36</f>
        <v>1066.83</v>
      </c>
      <c r="F12">
        <f>Assump!F24</f>
        <v>1066.83</v>
      </c>
      <c r="G12">
        <f>Assump!G24</f>
        <v>1066.83</v>
      </c>
      <c r="H12">
        <f>Assump!H24</f>
        <v>1066.83</v>
      </c>
      <c r="I12">
        <f>Assump!I24</f>
        <v>1066.83</v>
      </c>
      <c r="J12">
        <f>Assump!J24</f>
        <v>1066.83</v>
      </c>
    </row>
    <row r="13" spans="1:10" x14ac:dyDescent="0.15">
      <c r="A13" t="s">
        <v>227</v>
      </c>
      <c r="B13" t="s">
        <v>202</v>
      </c>
      <c r="D13" s="7">
        <f>2.89+594.06+14.28+152.23+68.38</f>
        <v>831.83999999999992</v>
      </c>
      <c r="E13" s="7">
        <f>2.4+486.05+26.02+172.46+132.87</f>
        <v>819.80000000000007</v>
      </c>
      <c r="F13">
        <f>Assump!F25*IS!F3</f>
        <v>292.92</v>
      </c>
      <c r="G13">
        <f>Assump!G25*IS!G3</f>
        <v>336.85799999999995</v>
      </c>
      <c r="H13">
        <f>Assump!H25*IS!H3</f>
        <v>370.54379999999998</v>
      </c>
      <c r="I13">
        <f>Assump!I25*IS!I3</f>
        <v>400.18730399999998</v>
      </c>
      <c r="J13">
        <f>Assump!J25*IS!J3</f>
        <v>428.20041528000002</v>
      </c>
    </row>
    <row r="14" spans="1:10" x14ac:dyDescent="0.15">
      <c r="B14" s="8" t="s">
        <v>37</v>
      </c>
      <c r="D14" s="8">
        <f>D7+SUM(D9:D13)</f>
        <v>20369.62</v>
      </c>
      <c r="E14" s="8">
        <f>E7+SUM(E9:E13)</f>
        <v>22984.45</v>
      </c>
      <c r="F14" s="8">
        <f>F7+SUM(F9:F13)</f>
        <v>17984.757184221231</v>
      </c>
      <c r="G14" s="8">
        <f t="shared" ref="G14:J14" si="2">G7+SUM(G9:G13)</f>
        <v>19030.165223567536</v>
      </c>
      <c r="H14" s="8">
        <f t="shared" si="2"/>
        <v>19977.912068205689</v>
      </c>
      <c r="I14" s="8">
        <f t="shared" si="2"/>
        <v>20983.700519097642</v>
      </c>
      <c r="J14" s="8">
        <f t="shared" si="2"/>
        <v>22065.570769144542</v>
      </c>
    </row>
    <row r="16" spans="1:10" x14ac:dyDescent="0.15">
      <c r="A16" t="s">
        <v>228</v>
      </c>
      <c r="B16" t="s">
        <v>133</v>
      </c>
      <c r="D16" s="7">
        <f>334.05</f>
        <v>334.05</v>
      </c>
      <c r="E16" s="7">
        <f>731.12</f>
        <v>731.12</v>
      </c>
      <c r="F16">
        <f>Debt!F15</f>
        <v>0</v>
      </c>
      <c r="G16">
        <f>Debt!G15</f>
        <v>0</v>
      </c>
      <c r="H16">
        <f>Debt!H15</f>
        <v>0</v>
      </c>
      <c r="I16">
        <f>Debt!I15</f>
        <v>0</v>
      </c>
      <c r="J16">
        <f>Debt!J15</f>
        <v>0</v>
      </c>
    </row>
    <row r="17" spans="1:10" x14ac:dyDescent="0.15">
      <c r="A17" t="s">
        <v>226</v>
      </c>
      <c r="B17" t="s">
        <v>134</v>
      </c>
      <c r="D17" s="7">
        <v>183.18</v>
      </c>
      <c r="E17" s="7">
        <v>212.85</v>
      </c>
      <c r="F17">
        <f>Assump!F27</f>
        <v>212.85</v>
      </c>
      <c r="G17">
        <f>Assump!G27</f>
        <v>212.85</v>
      </c>
      <c r="H17">
        <f>Assump!H27</f>
        <v>212.85</v>
      </c>
      <c r="I17">
        <f>Assump!I27</f>
        <v>212.85</v>
      </c>
      <c r="J17">
        <f>Assump!J27</f>
        <v>212.85</v>
      </c>
    </row>
    <row r="18" spans="1:10" x14ac:dyDescent="0.15">
      <c r="A18" t="s">
        <v>227</v>
      </c>
      <c r="B18" t="s">
        <v>39</v>
      </c>
      <c r="D18" s="7">
        <f>91.53+3287.19</f>
        <v>3378.7200000000003</v>
      </c>
      <c r="E18" s="7">
        <f>83.58+4080.72</f>
        <v>4164.3</v>
      </c>
      <c r="F18">
        <f>-IS!F4/365*Assump!F28</f>
        <v>1246.1232876712329</v>
      </c>
      <c r="G18">
        <f>-IS!G4/365*Assump!G28</f>
        <v>1568.9276712328765</v>
      </c>
      <c r="H18">
        <f>-IS!H4/365*Assump!H28</f>
        <v>1725.820438356164</v>
      </c>
      <c r="I18">
        <f>-IS!I4/365*Assump!I28</f>
        <v>1863.8860734246575</v>
      </c>
      <c r="J18">
        <f>-IS!J4/365*Assump!J28</f>
        <v>1994.3580985643837</v>
      </c>
    </row>
    <row r="19" spans="1:10" x14ac:dyDescent="0.15">
      <c r="A19" t="s">
        <v>227</v>
      </c>
      <c r="B19" t="s">
        <v>40</v>
      </c>
      <c r="D19" s="7">
        <f>1594.67+229.58+84.43+121.23</f>
        <v>2029.91</v>
      </c>
      <c r="E19" s="7">
        <f>1886.81+376.09+69.7+130.12</f>
        <v>2462.7199999999998</v>
      </c>
      <c r="F19">
        <f>Assump!F29*IS!F3</f>
        <v>878.76</v>
      </c>
      <c r="G19">
        <f>Assump!G29*IS!G3</f>
        <v>1010.5739999999998</v>
      </c>
      <c r="H19">
        <f>Assump!H29*IS!H3</f>
        <v>1111.6314</v>
      </c>
      <c r="I19">
        <f>Assump!I29*IS!I3</f>
        <v>1200.5619120000001</v>
      </c>
      <c r="J19">
        <f>Assump!J29*IS!J3</f>
        <v>1284.60124584</v>
      </c>
    </row>
    <row r="20" spans="1:10" x14ac:dyDescent="0.15">
      <c r="B20" s="8" t="s">
        <v>41</v>
      </c>
      <c r="D20" s="8">
        <f>SUM(D16:D19)</f>
        <v>5925.8600000000006</v>
      </c>
      <c r="E20" s="8">
        <f>SUM(E16:E19)</f>
        <v>7570.99</v>
      </c>
      <c r="F20" s="8">
        <f>SUM(F16:F19)</f>
        <v>2337.7332876712326</v>
      </c>
      <c r="G20" s="8">
        <f t="shared" ref="G20:J20" si="3">SUM(G16:G19)</f>
        <v>2792.3516712328765</v>
      </c>
      <c r="H20" s="8">
        <f t="shared" si="3"/>
        <v>3050.3018383561639</v>
      </c>
      <c r="I20" s="8">
        <f t="shared" si="3"/>
        <v>3277.2979854246578</v>
      </c>
      <c r="J20" s="8">
        <f t="shared" si="3"/>
        <v>3491.8093444043839</v>
      </c>
    </row>
    <row r="22" spans="1:10" x14ac:dyDescent="0.15">
      <c r="A22" t="s">
        <v>228</v>
      </c>
      <c r="B22" t="s">
        <v>46</v>
      </c>
      <c r="D22" s="7">
        <f>14.53</f>
        <v>14.53</v>
      </c>
      <c r="E22" s="7">
        <f>44.54</f>
        <v>44.54</v>
      </c>
      <c r="F22">
        <f>Debt!F20</f>
        <v>34.54</v>
      </c>
      <c r="G22">
        <f>Debt!G20</f>
        <v>24.54</v>
      </c>
      <c r="H22">
        <f>Debt!H20</f>
        <v>14.54</v>
      </c>
      <c r="I22">
        <f>Debt!I20</f>
        <v>4.5399999999999991</v>
      </c>
      <c r="J22">
        <f>Debt!J20</f>
        <v>3.9999999999999147E-2</v>
      </c>
    </row>
    <row r="23" spans="1:10" x14ac:dyDescent="0.15">
      <c r="A23" t="s">
        <v>226</v>
      </c>
      <c r="B23" t="s">
        <v>38</v>
      </c>
      <c r="D23" s="7">
        <v>561.36</v>
      </c>
      <c r="E23" s="7">
        <v>598.37</v>
      </c>
      <c r="F23">
        <f>Assump!F32</f>
        <v>598.37</v>
      </c>
      <c r="G23">
        <f>Assump!G32</f>
        <v>598.37</v>
      </c>
      <c r="H23">
        <f>Assump!H32</f>
        <v>598.37</v>
      </c>
      <c r="I23">
        <f>Assump!I32</f>
        <v>598.37</v>
      </c>
      <c r="J23">
        <f>Assump!J32</f>
        <v>598.37</v>
      </c>
    </row>
    <row r="24" spans="1:10" x14ac:dyDescent="0.15">
      <c r="A24" t="s">
        <v>227</v>
      </c>
      <c r="B24" t="s">
        <v>203</v>
      </c>
      <c r="D24" s="7">
        <f>3.38+215.21+415.59+4.54</f>
        <v>638.71999999999991</v>
      </c>
      <c r="E24" s="7">
        <f>2.18+218.32+348.85+2.11</f>
        <v>571.46</v>
      </c>
      <c r="F24">
        <f>Assump!F33*IS!F3</f>
        <v>195.28</v>
      </c>
      <c r="G24">
        <f>Assump!G33*IS!G3</f>
        <v>224.57199999999997</v>
      </c>
      <c r="H24">
        <f>Assump!H33*IS!H3</f>
        <v>247.02919999999997</v>
      </c>
      <c r="I24">
        <f>Assump!I33*IS!I3</f>
        <v>266.79153600000001</v>
      </c>
      <c r="J24">
        <f>Assump!J33*IS!J3</f>
        <v>285.46694352000003</v>
      </c>
    </row>
    <row r="25" spans="1:10" x14ac:dyDescent="0.15">
      <c r="B25" s="8" t="s">
        <v>42</v>
      </c>
      <c r="D25" s="8">
        <f>D20+D22+D23+D24</f>
        <v>7140.47</v>
      </c>
      <c r="E25" s="8">
        <f>E20+E22+E23+E24</f>
        <v>8785.36</v>
      </c>
      <c r="F25" s="8">
        <f>F20+F22+F23+F24</f>
        <v>3165.9232876712326</v>
      </c>
      <c r="G25" s="8">
        <f t="shared" ref="G25:J25" si="4">G20+G22+G23+G24</f>
        <v>3639.8336712328764</v>
      </c>
      <c r="H25" s="8">
        <f t="shared" si="4"/>
        <v>3910.2410383561637</v>
      </c>
      <c r="I25" s="8">
        <f t="shared" si="4"/>
        <v>4146.9995214246574</v>
      </c>
      <c r="J25" s="8">
        <f t="shared" si="4"/>
        <v>4375.6862879243836</v>
      </c>
    </row>
    <row r="27" spans="1:10" x14ac:dyDescent="0.15">
      <c r="B27" t="s">
        <v>43</v>
      </c>
      <c r="D27" s="7">
        <v>13229.15</v>
      </c>
      <c r="E27" s="7">
        <v>14199.09</v>
      </c>
      <c r="F27">
        <f>Calc!F13</f>
        <v>14847.63389655</v>
      </c>
      <c r="G27">
        <f>Calc!G13</f>
        <v>15419.13155233466</v>
      </c>
      <c r="H27">
        <f>Calc!H13</f>
        <v>16096.471029849525</v>
      </c>
      <c r="I27">
        <f>Calc!I13</f>
        <v>16865.500997672985</v>
      </c>
      <c r="J27">
        <f>Calc!J13</f>
        <v>17718.68448122016</v>
      </c>
    </row>
    <row r="28" spans="1:10" x14ac:dyDescent="0.15">
      <c r="B28" s="8" t="s">
        <v>44</v>
      </c>
      <c r="D28" s="8">
        <f>D25+D27</f>
        <v>20369.62</v>
      </c>
      <c r="E28" s="8">
        <f>E25+E27</f>
        <v>22984.45</v>
      </c>
      <c r="F28" s="8">
        <f>F25+F27</f>
        <v>18013.557184221234</v>
      </c>
      <c r="G28" s="8">
        <f t="shared" ref="G28:J28" si="5">G25+G27</f>
        <v>19058.965223567538</v>
      </c>
      <c r="H28" s="8">
        <f t="shared" si="5"/>
        <v>20006.712068205688</v>
      </c>
      <c r="I28" s="8">
        <f t="shared" si="5"/>
        <v>21012.500519097644</v>
      </c>
      <c r="J28" s="8">
        <f t="shared" si="5"/>
        <v>22094.370769144545</v>
      </c>
    </row>
    <row r="30" spans="1:10" x14ac:dyDescent="0.15">
      <c r="B30" t="s">
        <v>45</v>
      </c>
      <c r="D30">
        <f>D14-D28</f>
        <v>0</v>
      </c>
      <c r="E30">
        <f>E14-E28</f>
        <v>0</v>
      </c>
      <c r="F30">
        <f>F14-F28</f>
        <v>-28.80000000000291</v>
      </c>
      <c r="G30">
        <f t="shared" ref="G30:J30" si="6">G14-G28</f>
        <v>-28.80000000000291</v>
      </c>
      <c r="H30">
        <f t="shared" si="6"/>
        <v>-28.799999999999272</v>
      </c>
      <c r="I30">
        <f t="shared" si="6"/>
        <v>-28.80000000000291</v>
      </c>
      <c r="J30">
        <f t="shared" si="6"/>
        <v>-28.80000000000291</v>
      </c>
    </row>
    <row r="32" spans="1:10" x14ac:dyDescent="0.15">
      <c r="B32" t="s">
        <v>232</v>
      </c>
      <c r="D32">
        <f>D4+D5+D6-(D18+D19)</f>
        <v>2726.6100000000006</v>
      </c>
      <c r="E32">
        <f t="shared" ref="E32:J32" si="7">E4+E5+E6-(E18+E19)</f>
        <v>5472.15</v>
      </c>
      <c r="F32">
        <f t="shared" si="7"/>
        <v>1538.8405479452053</v>
      </c>
      <c r="G32">
        <f t="shared" si="7"/>
        <v>1830.4156164383567</v>
      </c>
      <c r="H32">
        <f t="shared" si="7"/>
        <v>2013.4571780821911</v>
      </c>
      <c r="I32">
        <f t="shared" si="7"/>
        <v>2174.5337523287681</v>
      </c>
      <c r="J32">
        <f t="shared" si="7"/>
        <v>2326.7511149917809</v>
      </c>
    </row>
    <row r="34" spans="2:10" x14ac:dyDescent="0.15">
      <c r="B34" t="s">
        <v>233</v>
      </c>
      <c r="D34">
        <f>D16+D17+D23+D22</f>
        <v>1093.1200000000001</v>
      </c>
      <c r="E34">
        <f>E16+E17+E23+E22</f>
        <v>1586.88</v>
      </c>
      <c r="F34">
        <f t="shared" ref="F34:J34" si="8">F16+F17+F23+F22</f>
        <v>845.76</v>
      </c>
      <c r="G34">
        <f t="shared" si="8"/>
        <v>835.76</v>
      </c>
      <c r="H34">
        <f t="shared" si="8"/>
        <v>825.76</v>
      </c>
      <c r="I34">
        <f t="shared" si="8"/>
        <v>815.76</v>
      </c>
      <c r="J34">
        <f t="shared" si="8"/>
        <v>811.26</v>
      </c>
    </row>
    <row r="35" spans="2:10" x14ac:dyDescent="0.15">
      <c r="B35" t="s">
        <v>234</v>
      </c>
      <c r="D35">
        <f>D3+D12</f>
        <v>5361.0399999999991</v>
      </c>
      <c r="E35">
        <f t="shared" ref="E35:J35" si="9">E3+E12</f>
        <v>4119.99</v>
      </c>
      <c r="F35">
        <f t="shared" si="9"/>
        <v>8656.2028686047943</v>
      </c>
      <c r="G35">
        <f t="shared" si="9"/>
        <v>9370.5405045363041</v>
      </c>
      <c r="H35">
        <f t="shared" si="9"/>
        <v>10213.072039091814</v>
      </c>
      <c r="I35">
        <f t="shared" si="9"/>
        <v>11097.188866081295</v>
      </c>
      <c r="J35">
        <f t="shared" si="9"/>
        <v>11981.976411501977</v>
      </c>
    </row>
    <row r="36" spans="2:10" x14ac:dyDescent="0.15">
      <c r="B36" t="s">
        <v>235</v>
      </c>
      <c r="D36">
        <f>D34+D27-D35</f>
        <v>8961.2300000000014</v>
      </c>
      <c r="E36">
        <f t="shared" ref="E36:J36" si="10">E34+E27-E35</f>
        <v>11665.980000000001</v>
      </c>
      <c r="F36">
        <f t="shared" si="10"/>
        <v>7037.1910279452059</v>
      </c>
      <c r="G36">
        <f t="shared" si="10"/>
        <v>6884.3510477983564</v>
      </c>
      <c r="H36">
        <f t="shared" si="10"/>
        <v>6709.1589907577109</v>
      </c>
      <c r="I36">
        <f t="shared" si="10"/>
        <v>6584.072131591689</v>
      </c>
      <c r="J36">
        <f t="shared" si="10"/>
        <v>6547.9680697181811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004-3ED5-45F6-873B-FB0709A75E4B}">
  <dimension ref="A1:J23"/>
  <sheetViews>
    <sheetView zoomScale="15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9.1640625" bestFit="1" customWidth="1"/>
    <col min="6" max="6" width="12.33203125" customWidth="1"/>
    <col min="7" max="10" width="9.1640625" bestFit="1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0" x14ac:dyDescent="0.15">
      <c r="B3" t="str">
        <f>Calc!B11</f>
        <v>Net income</v>
      </c>
      <c r="F3">
        <f>Calc!F11</f>
        <v>1297.0877930999998</v>
      </c>
      <c r="G3">
        <f>Calc!G11</f>
        <v>1142.9953115693197</v>
      </c>
      <c r="H3">
        <f>Calc!H11</f>
        <v>1354.6789550297283</v>
      </c>
      <c r="I3">
        <f>Calc!I11</f>
        <v>1538.0599356469179</v>
      </c>
      <c r="J3">
        <f>Calc!J11</f>
        <v>1706.3669670943532</v>
      </c>
    </row>
    <row r="4" spans="1:10" x14ac:dyDescent="0.15">
      <c r="B4" t="s">
        <v>204</v>
      </c>
      <c r="F4">
        <f>BS!F24-BS!E24</f>
        <v>-376.18000000000006</v>
      </c>
      <c r="G4">
        <f>BS!G24-BS!F24</f>
        <v>29.291999999999973</v>
      </c>
      <c r="H4">
        <f>BS!H24-BS!G24</f>
        <v>22.4572</v>
      </c>
      <c r="I4">
        <f>BS!I24-BS!H24</f>
        <v>19.762336000000033</v>
      </c>
      <c r="J4">
        <f>BS!J24-BS!I24</f>
        <v>18.675407520000022</v>
      </c>
    </row>
    <row r="5" spans="1:10" x14ac:dyDescent="0.15">
      <c r="B5" t="s">
        <v>129</v>
      </c>
      <c r="F5">
        <f>Calc!E21-Calc!F21</f>
        <v>3933.3094520547938</v>
      </c>
      <c r="G5">
        <f>Calc!F21-Calc!G21</f>
        <v>-291.57506849315087</v>
      </c>
      <c r="H5">
        <f>Calc!G21-Calc!H21</f>
        <v>-183.04156164383448</v>
      </c>
      <c r="I5">
        <f>Calc!H21-Calc!I21</f>
        <v>-161.07657424657714</v>
      </c>
      <c r="J5">
        <f>Calc!I21-Calc!J21</f>
        <v>-152.21736266301286</v>
      </c>
    </row>
    <row r="6" spans="1:10" x14ac:dyDescent="0.15">
      <c r="B6" t="str">
        <f>Calc!B6</f>
        <v>Depreciation</v>
      </c>
      <c r="F6">
        <f>-Calc!F6</f>
        <v>788.87952000000018</v>
      </c>
      <c r="G6">
        <f>-Calc!G6</f>
        <v>710.97604864000016</v>
      </c>
      <c r="H6">
        <f>-Calc!H6</f>
        <v>649.44871868448013</v>
      </c>
      <c r="I6">
        <f>-Calc!I6</f>
        <v>600.73402141259953</v>
      </c>
      <c r="J6">
        <f>-Calc!J6</f>
        <v>562.51804341059778</v>
      </c>
    </row>
    <row r="7" spans="1:10" x14ac:dyDescent="0.15">
      <c r="B7">
        <f>IS!B12</f>
        <v>0</v>
      </c>
      <c r="F7">
        <f>-IS!F12</f>
        <v>0</v>
      </c>
      <c r="G7">
        <f>-IS!G12</f>
        <v>28.8</v>
      </c>
      <c r="H7">
        <f>-IS!H12</f>
        <v>28.8</v>
      </c>
      <c r="I7">
        <f>-IS!I12</f>
        <v>28.8</v>
      </c>
      <c r="J7">
        <f>-IS!J12</f>
        <v>28.8</v>
      </c>
    </row>
    <row r="8" spans="1:10" x14ac:dyDescent="0.15">
      <c r="B8" t="s">
        <v>205</v>
      </c>
      <c r="F8">
        <f>BS!E13-BS!F13</f>
        <v>526.88000000000011</v>
      </c>
      <c r="G8">
        <f>BS!F13-BS!G13</f>
        <v>-43.937999999999931</v>
      </c>
      <c r="H8">
        <f>BS!G13-BS!H13</f>
        <v>-33.685800000000029</v>
      </c>
      <c r="I8">
        <f>BS!H13-BS!I13</f>
        <v>-29.643504000000007</v>
      </c>
      <c r="J8">
        <f>BS!I13-BS!J13</f>
        <v>-28.013111280000032</v>
      </c>
    </row>
    <row r="9" spans="1:10" x14ac:dyDescent="0.15">
      <c r="B9" s="8" t="s">
        <v>136</v>
      </c>
      <c r="F9" s="8">
        <f>SUM(F3:F8)</f>
        <v>6169.9767651547945</v>
      </c>
      <c r="G9" s="8">
        <f t="shared" ref="G9:J9" si="1">SUM(G3:G8)</f>
        <v>1576.5502917161689</v>
      </c>
      <c r="H9" s="8">
        <f t="shared" si="1"/>
        <v>1838.657512070374</v>
      </c>
      <c r="I9" s="8">
        <f t="shared" si="1"/>
        <v>1996.6362148129401</v>
      </c>
      <c r="J9" s="8">
        <f t="shared" si="1"/>
        <v>2136.1299440819384</v>
      </c>
    </row>
    <row r="11" spans="1:10" x14ac:dyDescent="0.15">
      <c r="B11" t="str">
        <f>Calc!B5</f>
        <v>Capex</v>
      </c>
      <c r="F11">
        <f>-Calc!F5</f>
        <v>-244.10000000000002</v>
      </c>
      <c r="G11">
        <f>-Calc!G5</f>
        <v>-280.71499999999997</v>
      </c>
      <c r="H11">
        <f>-Calc!H5</f>
        <v>-308.78649999999999</v>
      </c>
      <c r="I11">
        <f>-Calc!I5</f>
        <v>-333.48942000000005</v>
      </c>
      <c r="J11">
        <f>-Calc!J5</f>
        <v>-393.65891511408006</v>
      </c>
    </row>
    <row r="12" spans="1:10" x14ac:dyDescent="0.15">
      <c r="B12" t="s">
        <v>135</v>
      </c>
      <c r="F12">
        <f>BS!E12-BS!F12</f>
        <v>0</v>
      </c>
      <c r="G12">
        <f>BS!F12-BS!G12</f>
        <v>0</v>
      </c>
      <c r="H12">
        <f>BS!G12-BS!H12</f>
        <v>0</v>
      </c>
      <c r="I12">
        <f>BS!H12-BS!I12</f>
        <v>0</v>
      </c>
      <c r="J12">
        <f>BS!I12-BS!J12</f>
        <v>0</v>
      </c>
    </row>
    <row r="13" spans="1:10" x14ac:dyDescent="0.15">
      <c r="B13" s="8" t="s">
        <v>137</v>
      </c>
      <c r="F13" s="8">
        <f>SUM(F11:F12)</f>
        <v>-244.10000000000002</v>
      </c>
      <c r="G13" s="8">
        <f t="shared" ref="G13:J13" si="2">SUM(G11:G12)</f>
        <v>-280.71499999999997</v>
      </c>
      <c r="H13" s="8">
        <f t="shared" si="2"/>
        <v>-308.78649999999999</v>
      </c>
      <c r="I13" s="8">
        <f t="shared" si="2"/>
        <v>-333.48942000000005</v>
      </c>
      <c r="J13" s="8">
        <f t="shared" si="2"/>
        <v>-393.65891511408006</v>
      </c>
    </row>
    <row r="15" spans="1:10" x14ac:dyDescent="0.15">
      <c r="B15" t="str">
        <f>Calc!B12</f>
        <v>Dividends</v>
      </c>
      <c r="D15" s="5"/>
      <c r="F15">
        <f>Calc!F12</f>
        <v>-648.54389654999989</v>
      </c>
      <c r="G15">
        <f>Calc!G12</f>
        <v>-571.49765578465986</v>
      </c>
      <c r="H15">
        <f>Calc!H12</f>
        <v>-677.33947751486414</v>
      </c>
      <c r="I15">
        <f>Calc!I12</f>
        <v>-769.02996782345895</v>
      </c>
      <c r="J15">
        <f>Calc!J12</f>
        <v>-853.18348354717659</v>
      </c>
    </row>
    <row r="16" spans="1:10" x14ac:dyDescent="0.15">
      <c r="B16" t="s">
        <v>130</v>
      </c>
      <c r="F16">
        <f>BS!F23-BS!E23</f>
        <v>0</v>
      </c>
      <c r="G16">
        <f>BS!G23-BS!F23</f>
        <v>0</v>
      </c>
      <c r="H16">
        <f>BS!H23-BS!G23</f>
        <v>0</v>
      </c>
      <c r="I16">
        <f>BS!I23-BS!H23</f>
        <v>0</v>
      </c>
      <c r="J16">
        <f>BS!J23-BS!I23</f>
        <v>0</v>
      </c>
    </row>
    <row r="17" spans="2:10" x14ac:dyDescent="0.15">
      <c r="B17" t="s">
        <v>128</v>
      </c>
      <c r="F17">
        <f>BS!F22-BS!E22</f>
        <v>-10</v>
      </c>
      <c r="G17">
        <f>BS!G22-BS!F22</f>
        <v>-10</v>
      </c>
      <c r="H17">
        <f>BS!H22-BS!G22</f>
        <v>-10</v>
      </c>
      <c r="I17">
        <f>BS!I22-BS!H22</f>
        <v>-10</v>
      </c>
      <c r="J17">
        <f>BS!J22-BS!I22</f>
        <v>-4.5</v>
      </c>
    </row>
    <row r="18" spans="2:10" x14ac:dyDescent="0.15">
      <c r="B18" t="s">
        <v>131</v>
      </c>
      <c r="F18">
        <f>BS!F17-BS!E17</f>
        <v>0</v>
      </c>
      <c r="G18">
        <f>BS!G17-BS!F17</f>
        <v>0</v>
      </c>
      <c r="H18">
        <f>BS!H17-BS!G17</f>
        <v>0</v>
      </c>
      <c r="I18">
        <f>BS!I17-BS!H17</f>
        <v>0</v>
      </c>
      <c r="J18">
        <f>BS!J17-BS!I17</f>
        <v>0</v>
      </c>
    </row>
    <row r="19" spans="2:10" x14ac:dyDescent="0.15">
      <c r="B19" t="s">
        <v>132</v>
      </c>
      <c r="F19">
        <f>BS!F16-BS!E16</f>
        <v>-731.12</v>
      </c>
      <c r="G19">
        <f>BS!G16-BS!F16</f>
        <v>0</v>
      </c>
      <c r="H19">
        <f>BS!H16-BS!G16</f>
        <v>0</v>
      </c>
      <c r="I19">
        <f>BS!I16-BS!H16</f>
        <v>0</v>
      </c>
      <c r="J19">
        <f>BS!J16-BS!I16</f>
        <v>0</v>
      </c>
    </row>
    <row r="20" spans="2:10" x14ac:dyDescent="0.15">
      <c r="B20" s="8" t="s">
        <v>138</v>
      </c>
      <c r="F20" s="8">
        <f>SUM(F15:F19)</f>
        <v>-1389.6638965499999</v>
      </c>
      <c r="G20" s="8">
        <f t="shared" ref="G20:J20" si="3">SUM(G15:G19)</f>
        <v>-581.49765578465986</v>
      </c>
      <c r="H20" s="8">
        <f t="shared" si="3"/>
        <v>-687.33947751486414</v>
      </c>
      <c r="I20" s="8">
        <f t="shared" si="3"/>
        <v>-779.02996782345895</v>
      </c>
      <c r="J20" s="8">
        <f t="shared" si="3"/>
        <v>-857.68348354717659</v>
      </c>
    </row>
    <row r="22" spans="2:10" x14ac:dyDescent="0.15">
      <c r="B22" t="s">
        <v>139</v>
      </c>
      <c r="F22">
        <f>SUM(F20,F13,F9)</f>
        <v>4536.2128686047945</v>
      </c>
      <c r="G22">
        <f t="shared" ref="G22:J22" si="4">SUM(G20,G13,G9)</f>
        <v>714.33763593150911</v>
      </c>
      <c r="H22">
        <f t="shared" si="4"/>
        <v>842.53153455550978</v>
      </c>
      <c r="I22">
        <f t="shared" si="4"/>
        <v>884.11682698948107</v>
      </c>
      <c r="J22">
        <f t="shared" si="4"/>
        <v>884.78754542068191</v>
      </c>
    </row>
    <row r="23" spans="2:10" x14ac:dyDescent="0.15">
      <c r="B23" t="s">
        <v>140</v>
      </c>
      <c r="E23">
        <f>BS!E3</f>
        <v>3053.1600000000003</v>
      </c>
      <c r="F23">
        <f>E23+F22</f>
        <v>7589.3728686047943</v>
      </c>
      <c r="G23">
        <f t="shared" ref="G23:J23" si="5">F23+G22</f>
        <v>8303.7105045363041</v>
      </c>
      <c r="H23">
        <f t="shared" si="5"/>
        <v>9146.2420390918141</v>
      </c>
      <c r="I23">
        <f t="shared" si="5"/>
        <v>10030.358866081295</v>
      </c>
      <c r="J23">
        <f t="shared" si="5"/>
        <v>10915.146411501977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FEAA-66AF-4974-A66E-39CA789591DB}">
  <dimension ref="A1:K108"/>
  <sheetViews>
    <sheetView zoomScale="150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11.1640625" customWidth="1"/>
    <col min="5" max="5" width="11.6640625" bestFit="1" customWidth="1"/>
    <col min="6" max="6" width="12.33203125" customWidth="1"/>
    <col min="7" max="7" width="9.6640625" bestFit="1" customWidth="1"/>
    <col min="8" max="8" width="12" customWidth="1"/>
    <col min="9" max="9" width="10" bestFit="1" customWidth="1"/>
    <col min="10" max="10" width="12.6640625" customWidth="1"/>
  </cols>
  <sheetData>
    <row r="1" spans="1:10" s="1" customFormat="1" ht="20" x14ac:dyDescent="0.2">
      <c r="A1" s="2" t="s">
        <v>0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</row>
    <row r="2" spans="1:10" s="1" customFormat="1" x14ac:dyDescent="0.15">
      <c r="A2" s="3" t="s">
        <v>1</v>
      </c>
      <c r="C2" s="4">
        <f>EOMONTH(D2,-12)</f>
        <v>43921</v>
      </c>
      <c r="D2" s="4">
        <f>EOMONTH(E2,-12)</f>
        <v>44286</v>
      </c>
      <c r="E2" s="4">
        <v>44651</v>
      </c>
      <c r="F2" s="4">
        <f>EOMONTH(E2,12)</f>
        <v>45016</v>
      </c>
      <c r="G2" s="4">
        <f t="shared" ref="G2:J2" si="0">EOMONTH(F2,12)</f>
        <v>45382</v>
      </c>
      <c r="H2" s="4">
        <f t="shared" si="0"/>
        <v>45747</v>
      </c>
      <c r="I2" s="4">
        <f t="shared" si="0"/>
        <v>46112</v>
      </c>
      <c r="J2" s="4">
        <f t="shared" si="0"/>
        <v>46477</v>
      </c>
    </row>
    <row r="3" spans="1:10" x14ac:dyDescent="0.15">
      <c r="A3" s="10" t="s">
        <v>200</v>
      </c>
    </row>
    <row r="4" spans="1:10" x14ac:dyDescent="0.15">
      <c r="A4" s="10"/>
      <c r="B4" t="s">
        <v>215</v>
      </c>
      <c r="D4" cm="1">
        <f t="array" ref="D4:J4">IS!D3:J3</f>
        <v>8048</v>
      </c>
      <c r="E4">
        <v>9512</v>
      </c>
      <c r="F4">
        <v>9764</v>
      </c>
      <c r="G4">
        <v>11228.599999999999</v>
      </c>
      <c r="H4">
        <v>12351.46</v>
      </c>
      <c r="I4">
        <v>13339.576800000001</v>
      </c>
      <c r="J4">
        <v>14273.347176000001</v>
      </c>
    </row>
    <row r="5" spans="1:10" x14ac:dyDescent="0.15">
      <c r="A5" s="10"/>
      <c r="B5" t="s">
        <v>11</v>
      </c>
      <c r="D5" cm="1">
        <f t="array" ref="D5:J5">IS!D13:J13</f>
        <v>1452</v>
      </c>
      <c r="E5">
        <v>1542</v>
      </c>
      <c r="F5">
        <v>1655</v>
      </c>
      <c r="G5">
        <v>1438.5723513599999</v>
      </c>
      <c r="H5">
        <v>1717.9345213155202</v>
      </c>
      <c r="I5">
        <v>1958.3438777874012</v>
      </c>
      <c r="J5">
        <v>2177.7113087334023</v>
      </c>
    </row>
    <row r="6" spans="1:10" x14ac:dyDescent="0.15">
      <c r="A6" s="10"/>
    </row>
    <row r="7" spans="1:10" x14ac:dyDescent="0.15">
      <c r="B7" t="s">
        <v>201</v>
      </c>
      <c r="D7">
        <f>D5*(1+Assump!D13)</f>
        <v>470.98655635987598</v>
      </c>
      <c r="E7">
        <f>E5*(1+Assump!E13)</f>
        <v>534.62113574572174</v>
      </c>
      <c r="F7">
        <f>F5*(1+Assump!F13)</f>
        <v>1219.7349999999999</v>
      </c>
      <c r="G7">
        <f>G5*(1+Assump!G13)</f>
        <v>1060.2278229523199</v>
      </c>
      <c r="H7">
        <f>H5*(1+Assump!H13)</f>
        <v>1266.1177422095384</v>
      </c>
      <c r="I7">
        <f>I5*(1+Assump!I13)</f>
        <v>1443.2994379293148</v>
      </c>
      <c r="J7">
        <f>J5*(1+Assump!J13)</f>
        <v>1604.9732345365176</v>
      </c>
    </row>
    <row r="8" spans="1:10" x14ac:dyDescent="0.15">
      <c r="B8" t="str">
        <f>CF!B6</f>
        <v>Depreciation</v>
      </c>
      <c r="D8" cm="1">
        <f t="array" ref="D8:J8">-IS!D11:J11</f>
        <v>139</v>
      </c>
      <c r="E8">
        <v>139</v>
      </c>
      <c r="F8">
        <v>155</v>
      </c>
      <c r="G8">
        <v>710.97604864000016</v>
      </c>
      <c r="H8">
        <v>649.44871868448013</v>
      </c>
      <c r="I8">
        <v>600.73402141259953</v>
      </c>
      <c r="J8">
        <v>562.51804341059778</v>
      </c>
    </row>
    <row r="9" spans="1:10" x14ac:dyDescent="0.15">
      <c r="B9">
        <f>CF!B7</f>
        <v>0</v>
      </c>
      <c r="D9" cm="1">
        <f t="array" ref="D9:J9">-IS!D12:J12</f>
        <v>0</v>
      </c>
      <c r="E9">
        <v>0</v>
      </c>
      <c r="F9">
        <v>0</v>
      </c>
      <c r="G9">
        <v>28.8</v>
      </c>
      <c r="H9">
        <v>28.8</v>
      </c>
      <c r="I9">
        <v>28.8</v>
      </c>
      <c r="J9">
        <v>28.8</v>
      </c>
    </row>
    <row r="10" spans="1:10" x14ac:dyDescent="0.15">
      <c r="B10" t="str">
        <f>CF!B11</f>
        <v>Capex</v>
      </c>
      <c r="F10" cm="1">
        <f t="array" ref="F10:J10">CF!F11:J11</f>
        <v>-244.10000000000002</v>
      </c>
      <c r="G10">
        <v>-280.71499999999997</v>
      </c>
      <c r="H10">
        <v>-308.78649999999999</v>
      </c>
      <c r="I10">
        <v>-333.48942000000005</v>
      </c>
      <c r="J10">
        <v>-393.65891511408006</v>
      </c>
    </row>
    <row r="11" spans="1:10" x14ac:dyDescent="0.15">
      <c r="B11" t="str">
        <f>CF!B5</f>
        <v>(inc)/dec in OWC</v>
      </c>
      <c r="F11" cm="1">
        <f t="array" ref="F11:J11">CF!F5:J5</f>
        <v>3933.3094520547938</v>
      </c>
      <c r="G11">
        <v>-291.57506849315087</v>
      </c>
      <c r="H11">
        <v>-183.04156164383448</v>
      </c>
      <c r="I11">
        <v>-161.07657424657714</v>
      </c>
      <c r="J11">
        <v>-152.21736266301286</v>
      </c>
    </row>
    <row r="12" spans="1:10" x14ac:dyDescent="0.15">
      <c r="B12" t="str">
        <f>CF!B4</f>
        <v>Inc/(dec) in other operating long term liabilities</v>
      </c>
      <c r="F12" cm="1">
        <f t="array" ref="F12:J12">CF!F4:J4</f>
        <v>-376.18000000000006</v>
      </c>
      <c r="G12">
        <v>29.291999999999973</v>
      </c>
      <c r="H12">
        <v>22.4572</v>
      </c>
      <c r="I12">
        <v>19.762336000000033</v>
      </c>
      <c r="J12">
        <v>18.675407520000022</v>
      </c>
    </row>
    <row r="13" spans="1:10" x14ac:dyDescent="0.15">
      <c r="B13" t="str">
        <f>CF!B8</f>
        <v>(Inc)/dec in other operating non current assets</v>
      </c>
      <c r="F13" cm="1">
        <f t="array" ref="F13:J13">CF!F8:J8</f>
        <v>526.88000000000011</v>
      </c>
      <c r="G13">
        <v>-43.937999999999931</v>
      </c>
      <c r="H13">
        <v>-33.685800000000029</v>
      </c>
      <c r="I13">
        <v>-29.643504000000007</v>
      </c>
      <c r="J13">
        <v>-28.013111280000032</v>
      </c>
    </row>
    <row r="14" spans="1:10" x14ac:dyDescent="0.15">
      <c r="B14" s="8" t="s">
        <v>157</v>
      </c>
      <c r="F14" s="8">
        <f>SUM(F7:F13)</f>
        <v>5214.644452054793</v>
      </c>
      <c r="G14" s="8">
        <f t="shared" ref="G14:J14" si="1">SUM(G7:G13)</f>
        <v>1213.0678030991692</v>
      </c>
      <c r="H14" s="8">
        <f t="shared" si="1"/>
        <v>1441.3097992501841</v>
      </c>
      <c r="I14" s="8">
        <f t="shared" si="1"/>
        <v>1568.3862970953373</v>
      </c>
      <c r="J14" s="8">
        <f t="shared" si="1"/>
        <v>1641.0772964100224</v>
      </c>
    </row>
    <row r="16" spans="1:10" x14ac:dyDescent="0.15">
      <c r="A16" s="34" t="s">
        <v>206</v>
      </c>
      <c r="B16" s="35"/>
      <c r="F16" s="8"/>
      <c r="G16" s="8"/>
      <c r="H16" s="8"/>
      <c r="I16" s="8"/>
      <c r="J16" s="8"/>
    </row>
    <row r="17" spans="1:11" x14ac:dyDescent="0.15">
      <c r="A17" s="35"/>
      <c r="B17" s="35" t="s">
        <v>158</v>
      </c>
      <c r="E17" s="51">
        <f>(E4-D4)/D4</f>
        <v>0.18190854870775347</v>
      </c>
      <c r="F17" s="51">
        <f t="shared" ref="F17:J17" si="2">(F4-E4)/E4</f>
        <v>2.6492851135407905E-2</v>
      </c>
      <c r="G17" s="51">
        <f t="shared" si="2"/>
        <v>0.14999999999999986</v>
      </c>
      <c r="H17" s="51">
        <f t="shared" si="2"/>
        <v>0.10000000000000006</v>
      </c>
      <c r="I17" s="51">
        <f t="shared" si="2"/>
        <v>8.000000000000014E-2</v>
      </c>
      <c r="J17" s="51">
        <f t="shared" si="2"/>
        <v>7.0000000000000021E-2</v>
      </c>
    </row>
    <row r="18" spans="1:11" x14ac:dyDescent="0.15">
      <c r="A18" s="35"/>
      <c r="B18" s="35" t="s">
        <v>159</v>
      </c>
      <c r="D18" s="5"/>
      <c r="E18" s="51">
        <f>(E7-D7)/D7</f>
        <v>0.13510912047609114</v>
      </c>
      <c r="F18" s="51">
        <f t="shared" ref="F18:J18" si="3">(F7-E7)/E7</f>
        <v>1.2814941618397486</v>
      </c>
      <c r="G18" s="51">
        <f t="shared" si="3"/>
        <v>-0.13077199313595167</v>
      </c>
      <c r="H18" s="51">
        <f t="shared" si="3"/>
        <v>0.19419403528186571</v>
      </c>
      <c r="I18" s="51">
        <f t="shared" si="3"/>
        <v>0.13994093109426894</v>
      </c>
      <c r="J18" s="51">
        <f t="shared" si="3"/>
        <v>0.11201680840335831</v>
      </c>
    </row>
    <row r="19" spans="1:11" x14ac:dyDescent="0.15">
      <c r="A19" s="35"/>
      <c r="B19" s="35" t="s">
        <v>160</v>
      </c>
      <c r="E19" s="56">
        <f>E5/E4</f>
        <v>0.16211101766190075</v>
      </c>
      <c r="F19" s="56">
        <f t="shared" ref="F19:J19" si="4">F5/F4</f>
        <v>0.1695002048340844</v>
      </c>
      <c r="G19" s="56">
        <f t="shared" si="4"/>
        <v>0.12811680453128618</v>
      </c>
      <c r="H19" s="56">
        <f t="shared" si="4"/>
        <v>0.13908756708239514</v>
      </c>
      <c r="I19" s="56">
        <f t="shared" si="4"/>
        <v>0.14680704696624267</v>
      </c>
      <c r="J19" s="56">
        <f t="shared" si="4"/>
        <v>0.15257187272759168</v>
      </c>
    </row>
    <row r="20" spans="1:11" x14ac:dyDescent="0.15">
      <c r="A20" s="35"/>
      <c r="B20" s="35" t="s">
        <v>161</v>
      </c>
      <c r="E20" s="56">
        <f>(E5+E8+E9)/E4</f>
        <v>0.17672413793103448</v>
      </c>
      <c r="F20" s="56">
        <f t="shared" ref="F20:J20" si="5">(F5+F8+F9)/F4</f>
        <v>0.18537484637443671</v>
      </c>
      <c r="G20" s="56">
        <f t="shared" si="5"/>
        <v>0.19400000000000006</v>
      </c>
      <c r="H20" s="56">
        <f t="shared" si="5"/>
        <v>0.19400000000000003</v>
      </c>
      <c r="I20" s="56">
        <f t="shared" si="5"/>
        <v>0.19400000000000003</v>
      </c>
      <c r="J20" s="56">
        <f t="shared" si="5"/>
        <v>0.19400000000000001</v>
      </c>
    </row>
    <row r="21" spans="1:11" x14ac:dyDescent="0.15">
      <c r="A21" s="35"/>
      <c r="B21" s="35" t="s">
        <v>162</v>
      </c>
      <c r="E21" s="51">
        <f>BS!E32/DCF!E4</f>
        <v>0.57528910849453319</v>
      </c>
      <c r="F21" s="51">
        <f>BS!E32/DCF!F4</f>
        <v>0.56044141745186393</v>
      </c>
      <c r="G21" s="51">
        <f>BS!F32/DCF!G4</f>
        <v>0.1370465194187348</v>
      </c>
      <c r="H21" s="51">
        <f>BS!G32/DCF!H4</f>
        <v>0.14819427148194275</v>
      </c>
      <c r="I21" s="51">
        <f>BS!H32/DCF!I4</f>
        <v>0.15093860984271937</v>
      </c>
      <c r="J21" s="51">
        <f>BS!I32/DCF!J4</f>
        <v>0.15234925105620284</v>
      </c>
    </row>
    <row r="22" spans="1:11" x14ac:dyDescent="0.15">
      <c r="A22" s="35"/>
      <c r="B22" s="35" t="s">
        <v>163</v>
      </c>
      <c r="E22" s="56">
        <f>E10/E4</f>
        <v>0</v>
      </c>
      <c r="F22" s="56">
        <f>F10/F4</f>
        <v>-2.5000000000000001E-2</v>
      </c>
      <c r="G22" s="56">
        <f t="shared" ref="G22:J22" si="6">G10/G4</f>
        <v>-2.5000000000000001E-2</v>
      </c>
      <c r="H22" s="56">
        <f t="shared" si="6"/>
        <v>-2.5000000000000001E-2</v>
      </c>
      <c r="I22" s="56">
        <f t="shared" si="6"/>
        <v>-2.5000000000000001E-2</v>
      </c>
      <c r="J22" s="56">
        <f t="shared" si="6"/>
        <v>-2.758E-2</v>
      </c>
    </row>
    <row r="23" spans="1:11" x14ac:dyDescent="0.15">
      <c r="A23" s="35"/>
      <c r="B23" s="35" t="s">
        <v>164</v>
      </c>
      <c r="E23" s="56">
        <f>BS!E9/DCF!E4</f>
        <v>0.57996635828427257</v>
      </c>
      <c r="F23" s="56">
        <f>BS!F9/DCF!F4</f>
        <v>0.50920324457189681</v>
      </c>
      <c r="G23" s="56">
        <f>BS!G9/DCF!G4</f>
        <v>0.40446711356357878</v>
      </c>
      <c r="H23" s="56">
        <f>BS!H9/DCF!H4</f>
        <v>0.34011665120362461</v>
      </c>
      <c r="I23" s="56">
        <f>BS!I9/DCF!I4</f>
        <v>0.29488886118657981</v>
      </c>
      <c r="J23" s="56">
        <f>BS!J9/DCF!J4</f>
        <v>0.26376668601579334</v>
      </c>
    </row>
    <row r="24" spans="1:11" x14ac:dyDescent="0.15">
      <c r="A24" s="35"/>
      <c r="B24" s="35" t="s">
        <v>165</v>
      </c>
      <c r="D24" cm="1">
        <f t="array" ref="D24:J24">BS!D36:J36</f>
        <v>8961.2300000000014</v>
      </c>
      <c r="E24">
        <v>11665.980000000001</v>
      </c>
      <c r="F24">
        <v>7037.1910279452059</v>
      </c>
      <c r="G24">
        <v>6884.3510477983564</v>
      </c>
      <c r="H24">
        <v>6709.1589907577109</v>
      </c>
      <c r="I24">
        <v>6584.072131591689</v>
      </c>
      <c r="J24">
        <v>6547.9680697181811</v>
      </c>
    </row>
    <row r="25" spans="1:11" x14ac:dyDescent="0.15">
      <c r="A25" s="35"/>
      <c r="B25" s="35" t="s">
        <v>166</v>
      </c>
      <c r="E25" s="56">
        <f>E7/D24</f>
        <v>5.965934762814052E-2</v>
      </c>
      <c r="F25" s="56">
        <f t="shared" ref="F25:J25" si="7">F7/E24</f>
        <v>0.10455486808652165</v>
      </c>
      <c r="G25" s="56">
        <f t="shared" si="7"/>
        <v>0.15066065689308089</v>
      </c>
      <c r="H25" s="56">
        <f t="shared" si="7"/>
        <v>0.18391243174829791</v>
      </c>
      <c r="I25" s="56">
        <f t="shared" si="7"/>
        <v>0.21512374947702845</v>
      </c>
      <c r="J25" s="56">
        <f t="shared" si="7"/>
        <v>0.24376604667429697</v>
      </c>
      <c r="K25" s="27"/>
    </row>
    <row r="26" spans="1:11" x14ac:dyDescent="0.15">
      <c r="A26" s="35"/>
      <c r="B26" s="35" t="s">
        <v>167</v>
      </c>
      <c r="F26" s="27">
        <f>1-F14/F7</f>
        <v>-3.2752273666450442</v>
      </c>
      <c r="G26" s="27">
        <f t="shared" ref="G26:J26" si="8">1-G14/G7</f>
        <v>-0.14415767709363614</v>
      </c>
      <c r="H26" s="27">
        <f t="shared" si="8"/>
        <v>-0.1383694827109152</v>
      </c>
      <c r="I26" s="27">
        <f t="shared" si="8"/>
        <v>-8.6667295696784441E-2</v>
      </c>
      <c r="J26" s="27">
        <f t="shared" si="8"/>
        <v>-2.2495117735674253E-2</v>
      </c>
    </row>
    <row r="27" spans="1:11" x14ac:dyDescent="0.15">
      <c r="A27" s="35"/>
      <c r="B27" s="35" t="s">
        <v>168</v>
      </c>
      <c r="F27" s="28"/>
      <c r="G27" s="28"/>
      <c r="H27" s="28"/>
      <c r="I27" s="28"/>
      <c r="J27" s="28"/>
    </row>
    <row r="28" spans="1:11" x14ac:dyDescent="0.15">
      <c r="A28" s="35"/>
      <c r="B28" s="35" t="s">
        <v>169</v>
      </c>
      <c r="F28" s="56"/>
      <c r="G28" s="56">
        <f>(G25-F25)/F25+G25*F26</f>
        <v>-5.2475719868175341E-2</v>
      </c>
      <c r="H28" s="56">
        <f t="shared" ref="H28:J28" si="9">(H25-G25)/G25+H25*G26</f>
        <v>0.1941940352818658</v>
      </c>
      <c r="I28" s="56">
        <f t="shared" si="9"/>
        <v>0.13994093109426892</v>
      </c>
      <c r="J28" s="56">
        <f t="shared" si="9"/>
        <v>0.11201680840335813</v>
      </c>
      <c r="K28" s="29"/>
    </row>
    <row r="29" spans="1:11" x14ac:dyDescent="0.15">
      <c r="A29" s="35"/>
      <c r="B29" s="35"/>
    </row>
    <row r="30" spans="1:11" x14ac:dyDescent="0.15">
      <c r="A30" s="34" t="s">
        <v>207</v>
      </c>
      <c r="B30" s="35"/>
    </row>
    <row r="31" spans="1:11" x14ac:dyDescent="0.15">
      <c r="A31" s="35"/>
      <c r="B31" s="35" t="s">
        <v>59</v>
      </c>
      <c r="E31" s="37">
        <v>0.25168000000000001</v>
      </c>
    </row>
    <row r="32" spans="1:11" x14ac:dyDescent="0.15">
      <c r="A32" s="35"/>
      <c r="B32" s="35" t="s">
        <v>170</v>
      </c>
      <c r="E32" s="37">
        <v>7.0000000000000007E-2</v>
      </c>
    </row>
    <row r="33" spans="1:10" x14ac:dyDescent="0.15">
      <c r="A33" s="35"/>
      <c r="B33" s="35" t="s">
        <v>171</v>
      </c>
      <c r="E33" s="37">
        <v>0.08</v>
      </c>
    </row>
    <row r="34" spans="1:10" x14ac:dyDescent="0.15">
      <c r="A34" s="35"/>
      <c r="B34" s="35" t="s">
        <v>172</v>
      </c>
      <c r="E34" s="11">
        <v>0.5</v>
      </c>
    </row>
    <row r="35" spans="1:10" x14ac:dyDescent="0.15">
      <c r="A35" s="35"/>
      <c r="B35" s="35" t="s">
        <v>173</v>
      </c>
      <c r="E35" s="60">
        <f>E32+E34*(E33)</f>
        <v>0.11000000000000001</v>
      </c>
    </row>
    <row r="36" spans="1:10" x14ac:dyDescent="0.15">
      <c r="A36" s="35"/>
      <c r="B36" s="35"/>
    </row>
    <row r="37" spans="1:10" x14ac:dyDescent="0.15">
      <c r="A37" s="35"/>
      <c r="B37" s="35" t="s">
        <v>174</v>
      </c>
      <c r="E37" t="s">
        <v>175</v>
      </c>
    </row>
    <row r="38" spans="1:10" x14ac:dyDescent="0.15">
      <c r="A38" s="35"/>
      <c r="B38" s="35" t="s">
        <v>176</v>
      </c>
      <c r="E38" s="37">
        <v>0.02</v>
      </c>
    </row>
    <row r="39" spans="1:10" x14ac:dyDescent="0.15">
      <c r="A39" s="35"/>
      <c r="B39" s="35" t="s">
        <v>177</v>
      </c>
      <c r="E39" s="28">
        <f>E32+E38</f>
        <v>9.0000000000000011E-2</v>
      </c>
    </row>
    <row r="40" spans="1:10" x14ac:dyDescent="0.15">
      <c r="A40" s="35"/>
      <c r="B40" s="35" t="s">
        <v>178</v>
      </c>
      <c r="E40" s="59">
        <f>E39*(1-E31)</f>
        <v>6.73488E-2</v>
      </c>
    </row>
    <row r="41" spans="1:10" x14ac:dyDescent="0.15">
      <c r="A41" s="35"/>
      <c r="B41" s="35"/>
    </row>
    <row r="42" spans="1:10" x14ac:dyDescent="0.15">
      <c r="A42" s="35"/>
      <c r="B42" s="35" t="s">
        <v>84</v>
      </c>
      <c r="E42" s="18">
        <v>2877.85</v>
      </c>
    </row>
    <row r="43" spans="1:10" x14ac:dyDescent="0.15">
      <c r="A43" s="35"/>
      <c r="B43" s="35" t="s">
        <v>179</v>
      </c>
      <c r="E43" s="38">
        <v>95.930438937512378</v>
      </c>
    </row>
    <row r="44" spans="1:10" x14ac:dyDescent="0.15">
      <c r="A44" s="35"/>
      <c r="B44" s="35" t="s">
        <v>180</v>
      </c>
      <c r="E44">
        <f>E42*E43</f>
        <v>276073.41369631997</v>
      </c>
    </row>
    <row r="45" spans="1:10" x14ac:dyDescent="0.15">
      <c r="A45" s="35"/>
      <c r="B45" s="35" t="s">
        <v>181</v>
      </c>
      <c r="D45" cm="1">
        <f t="array" ref="D45:J45">BS!D34:J34</f>
        <v>1093.1200000000001</v>
      </c>
      <c r="E45">
        <v>1586.88</v>
      </c>
      <c r="F45">
        <v>845.76</v>
      </c>
      <c r="G45">
        <v>835.76</v>
      </c>
      <c r="H45">
        <v>825.76</v>
      </c>
      <c r="I45">
        <v>815.76</v>
      </c>
      <c r="J45">
        <v>811.26</v>
      </c>
    </row>
    <row r="46" spans="1:10" x14ac:dyDescent="0.15">
      <c r="A46" s="35"/>
      <c r="B46" s="35" t="s">
        <v>182</v>
      </c>
      <c r="E46">
        <f>E44+E45</f>
        <v>277660.29369631998</v>
      </c>
    </row>
    <row r="47" spans="1:10" x14ac:dyDescent="0.15">
      <c r="A47" s="35"/>
      <c r="B47" s="35" t="s">
        <v>183</v>
      </c>
      <c r="E47" s="59">
        <f>E44/E46</f>
        <v>0.99428481480418085</v>
      </c>
    </row>
    <row r="48" spans="1:10" x14ac:dyDescent="0.15">
      <c r="A48" s="35"/>
      <c r="B48" s="35" t="s">
        <v>184</v>
      </c>
      <c r="E48" s="28">
        <f>E45/E44</f>
        <v>5.7480362877157156E-3</v>
      </c>
    </row>
    <row r="49" spans="1:10" x14ac:dyDescent="0.15">
      <c r="A49" s="35"/>
      <c r="B49" s="35"/>
      <c r="E49">
        <f>E35*E47+E40*E48</f>
        <v>0.10975845297479402</v>
      </c>
    </row>
    <row r="50" spans="1:10" x14ac:dyDescent="0.15">
      <c r="A50" s="35"/>
      <c r="B50" s="35" t="s">
        <v>185</v>
      </c>
      <c r="E50" s="61">
        <f>E35*E47+E40*E48</f>
        <v>0.10975845297479402</v>
      </c>
    </row>
    <row r="51" spans="1:10" x14ac:dyDescent="0.15">
      <c r="A51" s="35"/>
      <c r="B51" s="35"/>
    </row>
    <row r="52" spans="1:10" x14ac:dyDescent="0.15">
      <c r="A52" s="25" t="s">
        <v>209</v>
      </c>
      <c r="B52" s="26"/>
    </row>
    <row r="53" spans="1:10" x14ac:dyDescent="0.15">
      <c r="A53" s="26"/>
      <c r="B53" s="26" t="s">
        <v>186</v>
      </c>
      <c r="E53" s="30">
        <v>7.0000000000000007E-2</v>
      </c>
      <c r="G53" t="s">
        <v>229</v>
      </c>
      <c r="H53">
        <f>J14</f>
        <v>1641.0772964100224</v>
      </c>
    </row>
    <row r="54" spans="1:10" x14ac:dyDescent="0.15">
      <c r="A54" s="26"/>
      <c r="B54" s="26" t="s">
        <v>187</v>
      </c>
      <c r="E54" s="31">
        <v>40</v>
      </c>
      <c r="G54" t="s">
        <v>230</v>
      </c>
      <c r="H54">
        <f>J5+J8+J9</f>
        <v>2769.0293521440003</v>
      </c>
    </row>
    <row r="55" spans="1:10" x14ac:dyDescent="0.15">
      <c r="A55" s="26"/>
      <c r="B55" s="26"/>
    </row>
    <row r="56" spans="1:10" x14ac:dyDescent="0.15">
      <c r="A56" s="26"/>
      <c r="B56" s="26" t="s">
        <v>188</v>
      </c>
      <c r="E56">
        <f>H53*(1+tgr)/(wacc-tgr)</f>
        <v>44165.518921773939</v>
      </c>
    </row>
    <row r="57" spans="1:10" x14ac:dyDescent="0.15">
      <c r="A57" s="26"/>
      <c r="B57" s="26" t="s">
        <v>189</v>
      </c>
      <c r="E57">
        <f>E56/H54</f>
        <v>15.949819703997548</v>
      </c>
      <c r="J57" s="39"/>
    </row>
    <row r="58" spans="1:10" x14ac:dyDescent="0.15">
      <c r="A58" s="26"/>
      <c r="B58" s="26"/>
    </row>
    <row r="59" spans="1:10" x14ac:dyDescent="0.15">
      <c r="A59" s="26"/>
      <c r="B59" s="26" t="s">
        <v>190</v>
      </c>
      <c r="E59">
        <f>E54*H54</f>
        <v>110761.17408576001</v>
      </c>
    </row>
    <row r="60" spans="1:10" x14ac:dyDescent="0.15">
      <c r="A60" s="26"/>
      <c r="B60" s="36" t="s">
        <v>191</v>
      </c>
      <c r="E60" s="57">
        <f>(wacc*E59-H53)/(E59+H53)</f>
        <v>9.3555935860755723E-2</v>
      </c>
      <c r="J60" s="28"/>
    </row>
    <row r="61" spans="1:10" x14ac:dyDescent="0.15">
      <c r="A61" s="35"/>
      <c r="B61" s="35"/>
    </row>
    <row r="62" spans="1:10" x14ac:dyDescent="0.15">
      <c r="A62" s="35"/>
      <c r="B62" s="35"/>
    </row>
    <row r="63" spans="1:10" x14ac:dyDescent="0.15">
      <c r="A63" s="34" t="s">
        <v>210</v>
      </c>
      <c r="B63" s="35"/>
    </row>
    <row r="64" spans="1:10" x14ac:dyDescent="0.15">
      <c r="A64" s="35"/>
      <c r="B64" s="35" t="s">
        <v>192</v>
      </c>
      <c r="F64" s="32">
        <v>1</v>
      </c>
      <c r="G64" s="32">
        <f t="shared" ref="G64:J64" si="10">F64+1</f>
        <v>2</v>
      </c>
      <c r="H64" s="32">
        <f t="shared" si="10"/>
        <v>3</v>
      </c>
      <c r="I64" s="32">
        <f t="shared" si="10"/>
        <v>4</v>
      </c>
      <c r="J64" s="32">
        <f t="shared" si="10"/>
        <v>5</v>
      </c>
    </row>
    <row r="65" spans="1:10" x14ac:dyDescent="0.15">
      <c r="A65" s="35"/>
      <c r="B65" s="35" t="s">
        <v>231</v>
      </c>
      <c r="F65" s="52" cm="1">
        <f t="array" ref="F65:J65">F14:J14</f>
        <v>5214.644452054793</v>
      </c>
      <c r="G65" s="52">
        <v>1213.0678030991692</v>
      </c>
      <c r="H65" s="52">
        <v>1441.3097992501841</v>
      </c>
      <c r="I65" s="52">
        <v>1568.3862970953373</v>
      </c>
      <c r="J65" s="52">
        <v>1641.0772964100224</v>
      </c>
    </row>
    <row r="66" spans="1:10" x14ac:dyDescent="0.15">
      <c r="A66" s="35"/>
      <c r="B66" s="35" t="s">
        <v>193</v>
      </c>
      <c r="F66">
        <f>F65/(1+wacc)^F64</f>
        <v>4698.9004121361122</v>
      </c>
      <c r="G66">
        <f>G65/(1+wacc)^G64</f>
        <v>984.98167899205475</v>
      </c>
      <c r="H66">
        <f>H65/(1+wacc)^H64</f>
        <v>1054.5616024315525</v>
      </c>
      <c r="I66">
        <f>I65/(1+wacc)^I64</f>
        <v>1034.04441290662</v>
      </c>
      <c r="J66">
        <f>J65/(1+wacc)^J64</f>
        <v>974.95984414839381</v>
      </c>
    </row>
    <row r="67" spans="1:10" x14ac:dyDescent="0.15">
      <c r="A67" s="35"/>
      <c r="B67" s="35"/>
    </row>
    <row r="68" spans="1:10" x14ac:dyDescent="0.15">
      <c r="A68" s="34" t="s">
        <v>211</v>
      </c>
      <c r="B68" s="35"/>
      <c r="E68" s="62" t="s">
        <v>194</v>
      </c>
      <c r="F68" s="62" t="s">
        <v>195</v>
      </c>
      <c r="G68" s="63"/>
      <c r="H68" s="63"/>
      <c r="I68" s="62" t="s">
        <v>196</v>
      </c>
      <c r="J68" s="62" t="s">
        <v>195</v>
      </c>
    </row>
    <row r="69" spans="1:10" x14ac:dyDescent="0.15">
      <c r="A69" s="35"/>
      <c r="B69" s="35" t="s">
        <v>197</v>
      </c>
      <c r="C69">
        <f>E45</f>
        <v>1586.88</v>
      </c>
      <c r="E69">
        <f>SUM(F66:J66)</f>
        <v>8747.4479506147327</v>
      </c>
      <c r="F69" s="51">
        <f>E69/E71</f>
        <v>0.2500265926654896</v>
      </c>
      <c r="I69">
        <f>E69</f>
        <v>8747.4479506147327</v>
      </c>
      <c r="J69" s="51">
        <f>I69/I71</f>
        <v>0.11733606197246431</v>
      </c>
    </row>
    <row r="70" spans="1:10" x14ac:dyDescent="0.15">
      <c r="A70" s="35"/>
      <c r="B70" s="35" t="s">
        <v>198</v>
      </c>
      <c r="E70">
        <f>E56/(1+wacc)^5</f>
        <v>26238.6223603859</v>
      </c>
      <c r="F70" s="51">
        <f>E70/E71</f>
        <v>0.74997340733451057</v>
      </c>
      <c r="I70">
        <f>E59/(1+wacc)^5</f>
        <v>65802.93156244178</v>
      </c>
      <c r="J70" s="51">
        <f>I70/I71</f>
        <v>0.88266393802753573</v>
      </c>
    </row>
    <row r="71" spans="1:10" x14ac:dyDescent="0.15">
      <c r="A71" s="35"/>
      <c r="B71" s="35" t="s">
        <v>199</v>
      </c>
      <c r="E71">
        <f>SUM(E69:E70)</f>
        <v>34986.070311000629</v>
      </c>
      <c r="F71" s="51">
        <f>SUM(F69:F70)</f>
        <v>1.0000000000000002</v>
      </c>
      <c r="I71">
        <f>SUM(I69:I70)</f>
        <v>74550.379513056512</v>
      </c>
      <c r="J71" s="51">
        <f>I71/I71</f>
        <v>1</v>
      </c>
    </row>
    <row r="72" spans="1:10" x14ac:dyDescent="0.15">
      <c r="A72" s="35"/>
      <c r="B72" s="35" t="s">
        <v>208</v>
      </c>
      <c r="E72" s="66">
        <f>E56/(E5+E8+E9)</f>
        <v>26.273360453167125</v>
      </c>
      <c r="F72" s="40"/>
      <c r="I72" s="67">
        <f>E59/(E5+E8+E9)</f>
        <v>65.890050021273055</v>
      </c>
      <c r="J72" s="58"/>
    </row>
    <row r="74" spans="1:10" x14ac:dyDescent="0.15">
      <c r="B74" t="str">
        <f>BS!B3</f>
        <v>Cash and cash equivalents</v>
      </c>
      <c r="E74">
        <f>BS!E3</f>
        <v>3053.1600000000003</v>
      </c>
      <c r="I74">
        <f>E74</f>
        <v>3053.1600000000003</v>
      </c>
    </row>
    <row r="75" spans="1:10" x14ac:dyDescent="0.15">
      <c r="B75" t="str">
        <f>BS!B12</f>
        <v>Investments in Associates and other investments</v>
      </c>
      <c r="E75">
        <f>BS!E12</f>
        <v>1066.83</v>
      </c>
      <c r="I75">
        <f>E75</f>
        <v>1066.83</v>
      </c>
    </row>
    <row r="76" spans="1:10" x14ac:dyDescent="0.15">
      <c r="B76" t="s">
        <v>212</v>
      </c>
      <c r="E76">
        <f>E45</f>
        <v>1586.88</v>
      </c>
      <c r="I76">
        <f>E76</f>
        <v>1586.88</v>
      </c>
    </row>
    <row r="77" spans="1:10" x14ac:dyDescent="0.15">
      <c r="B77" t="s">
        <v>213</v>
      </c>
      <c r="E77">
        <f>E71+E74+E75-E76</f>
        <v>37519.180311000637</v>
      </c>
      <c r="I77">
        <f>I71+I74+I75-I76</f>
        <v>77083.489513056513</v>
      </c>
    </row>
    <row r="78" spans="1:10" x14ac:dyDescent="0.15">
      <c r="B78" t="s">
        <v>84</v>
      </c>
      <c r="E78" s="67">
        <f>E77/E43</f>
        <v>391.10818971067209</v>
      </c>
      <c r="I78" s="67">
        <f>I77/E43</f>
        <v>803.53525290619712</v>
      </c>
    </row>
    <row r="80" spans="1:10" x14ac:dyDescent="0.15">
      <c r="A80" s="10" t="s">
        <v>214</v>
      </c>
    </row>
    <row r="81" spans="2:10" ht="14" thickBot="1" x14ac:dyDescent="0.2">
      <c r="B81" s="41" t="s">
        <v>84</v>
      </c>
      <c r="C81" s="26"/>
      <c r="D81" s="42" t="s">
        <v>216</v>
      </c>
      <c r="E81" s="42"/>
      <c r="F81" s="42"/>
      <c r="G81" s="26"/>
      <c r="H81" s="42" t="s">
        <v>217</v>
      </c>
      <c r="I81" s="42"/>
      <c r="J81" s="42"/>
    </row>
    <row r="82" spans="2:10" x14ac:dyDescent="0.15">
      <c r="B82" s="26"/>
      <c r="C82" s="26"/>
      <c r="D82" s="43">
        <f>E82-0.5%</f>
        <v>6.5000000000000002E-2</v>
      </c>
      <c r="E82" s="44">
        <v>7.0000000000000007E-2</v>
      </c>
      <c r="F82" s="43">
        <f>E82+0.5%</f>
        <v>7.5000000000000011E-2</v>
      </c>
      <c r="G82" s="26"/>
      <c r="H82" s="45">
        <f>I82-5</f>
        <v>35</v>
      </c>
      <c r="I82" s="46">
        <v>40</v>
      </c>
      <c r="J82" s="45">
        <f>I82+5</f>
        <v>45</v>
      </c>
    </row>
    <row r="83" spans="2:10" x14ac:dyDescent="0.15">
      <c r="B83" s="26"/>
      <c r="C83" s="26"/>
      <c r="D83" s="43"/>
      <c r="E83" s="44"/>
      <c r="F83" s="43"/>
      <c r="G83" s="26"/>
      <c r="H83" s="45"/>
      <c r="I83" s="46"/>
      <c r="J83" s="45"/>
    </row>
    <row r="84" spans="2:10" x14ac:dyDescent="0.15">
      <c r="B84" s="26"/>
      <c r="C84" s="26"/>
      <c r="D84" s="43"/>
      <c r="E84" s="44"/>
      <c r="F84" s="43"/>
      <c r="G84" s="26"/>
      <c r="H84" s="45"/>
      <c r="I84" s="46"/>
      <c r="J84" s="45"/>
    </row>
    <row r="85" spans="2:10" x14ac:dyDescent="0.15">
      <c r="B85" s="26"/>
      <c r="C85" s="26"/>
      <c r="D85" s="43"/>
      <c r="E85" s="44"/>
      <c r="F85" s="43"/>
      <c r="G85" s="26"/>
      <c r="H85" s="45"/>
      <c r="I85" s="46"/>
      <c r="J85" s="45"/>
    </row>
    <row r="86" spans="2:10" x14ac:dyDescent="0.15">
      <c r="B86" s="26"/>
      <c r="C86" s="26"/>
      <c r="D86" s="35"/>
      <c r="E86" s="35"/>
      <c r="F86" s="35"/>
      <c r="G86" s="35"/>
      <c r="H86" s="35"/>
      <c r="I86" s="35"/>
      <c r="J86" s="35"/>
    </row>
    <row r="87" spans="2:10" ht="14" thickBot="1" x14ac:dyDescent="0.2">
      <c r="B87" s="26"/>
      <c r="C87" s="26"/>
      <c r="D87" s="42" t="s">
        <v>218</v>
      </c>
      <c r="E87" s="42"/>
      <c r="F87" s="42"/>
      <c r="G87" s="26"/>
      <c r="H87" s="42" t="s">
        <v>218</v>
      </c>
      <c r="I87" s="42"/>
      <c r="J87" s="42"/>
    </row>
    <row r="88" spans="2:10" x14ac:dyDescent="0.15">
      <c r="B88" s="33" t="s">
        <v>219</v>
      </c>
      <c r="C88" s="53">
        <f>E78</f>
        <v>391.10818971067209</v>
      </c>
      <c r="D88" s="50">
        <f>D82</f>
        <v>6.5000000000000002E-2</v>
      </c>
      <c r="E88" s="50">
        <f t="shared" ref="E88:F88" si="11">E82</f>
        <v>7.0000000000000007E-2</v>
      </c>
      <c r="F88" s="50">
        <f t="shared" si="11"/>
        <v>7.5000000000000011E-2</v>
      </c>
      <c r="G88" s="53">
        <f>I78</f>
        <v>803.53525290619712</v>
      </c>
      <c r="H88" s="45">
        <f>H82</f>
        <v>35</v>
      </c>
      <c r="I88" s="45">
        <f t="shared" ref="I88:J88" si="12">I82</f>
        <v>40</v>
      </c>
      <c r="J88" s="45">
        <f t="shared" si="12"/>
        <v>45</v>
      </c>
    </row>
    <row r="89" spans="2:10" x14ac:dyDescent="0.15">
      <c r="B89" s="47">
        <f>B90-0.5%</f>
        <v>9.9999999999999992E-2</v>
      </c>
      <c r="C89" s="54">
        <f>B89</f>
        <v>9.9999999999999992E-2</v>
      </c>
      <c r="D89" s="55">
        <f t="dataTable" ref="D89:F93" dt2D="1" dtr="1" r1="E53" r2="E50" ca="1"/>
        <v>442.56463511127629</v>
      </c>
      <c r="E89" s="55">
        <v>498.20405205093238</v>
      </c>
      <c r="F89" s="55">
        <v>576.09923576645099</v>
      </c>
      <c r="G89" s="64">
        <f>C89</f>
        <v>9.9999999999999992E-2</v>
      </c>
      <c r="H89" s="53">
        <f t="dataTable" ref="H89:J93" dt2D="1" dtr="1" r1="E54" r2="E50"/>
        <v>746.6508666143045</v>
      </c>
      <c r="I89" s="53">
        <v>836.2652469906335</v>
      </c>
      <c r="J89" s="53">
        <v>925.87962736696261</v>
      </c>
    </row>
    <row r="90" spans="2:10" x14ac:dyDescent="0.15">
      <c r="B90" s="47">
        <f>B91-0.5%</f>
        <v>0.105</v>
      </c>
      <c r="C90" s="54">
        <f t="shared" ref="C90:C93" si="13">B90</f>
        <v>0.105</v>
      </c>
      <c r="D90" s="55">
        <v>394.91259199494806</v>
      </c>
      <c r="E90" s="55">
        <v>435.891979427141</v>
      </c>
      <c r="F90" s="55">
        <v>490.53116267006493</v>
      </c>
      <c r="G90" s="64">
        <f t="shared" ref="G90:G93" si="14">C90</f>
        <v>0.105</v>
      </c>
      <c r="H90" s="53">
        <v>731.67699455597824</v>
      </c>
      <c r="I90" s="53">
        <v>819.28216561440581</v>
      </c>
      <c r="J90" s="53">
        <v>906.88733667283327</v>
      </c>
    </row>
    <row r="91" spans="2:10" x14ac:dyDescent="0.15">
      <c r="B91" s="48">
        <v>0.11</v>
      </c>
      <c r="C91" s="54">
        <f t="shared" si="13"/>
        <v>0.11</v>
      </c>
      <c r="D91" s="55">
        <v>357.81565894307624</v>
      </c>
      <c r="E91" s="55">
        <v>389.11809879441432</v>
      </c>
      <c r="F91" s="55">
        <v>429.36409288899188</v>
      </c>
      <c r="G91" s="64">
        <f t="shared" si="14"/>
        <v>0.11</v>
      </c>
      <c r="H91" s="53">
        <v>717.09672396170868</v>
      </c>
      <c r="I91" s="53">
        <v>802.74650127240136</v>
      </c>
      <c r="J91" s="53">
        <v>888.39627858309404</v>
      </c>
    </row>
    <row r="92" spans="2:10" x14ac:dyDescent="0.15">
      <c r="B92" s="47">
        <f>B91+0.5%</f>
        <v>0.115</v>
      </c>
      <c r="C92" s="54">
        <f t="shared" si="13"/>
        <v>0.115</v>
      </c>
      <c r="D92" s="55">
        <v>328.10771448050002</v>
      </c>
      <c r="E92" s="55">
        <v>352.7034957559672</v>
      </c>
      <c r="F92" s="55">
        <v>383.44822235030091</v>
      </c>
      <c r="G92" s="64">
        <f t="shared" si="14"/>
        <v>0.115</v>
      </c>
      <c r="H92" s="53">
        <v>702.89790622178532</v>
      </c>
      <c r="I92" s="53">
        <v>786.64443118230861</v>
      </c>
      <c r="J92" s="53">
        <v>870.3909561428319</v>
      </c>
    </row>
    <row r="93" spans="2:10" x14ac:dyDescent="0.15">
      <c r="B93" s="47">
        <f>B92+0.5%</f>
        <v>0.12000000000000001</v>
      </c>
      <c r="C93" s="54">
        <f t="shared" si="13"/>
        <v>0.12000000000000001</v>
      </c>
      <c r="D93" s="55">
        <v>303.77394726627995</v>
      </c>
      <c r="E93" s="55">
        <v>323.54081359680066</v>
      </c>
      <c r="F93" s="55">
        <v>347.70031688965946</v>
      </c>
      <c r="G93" s="64">
        <f t="shared" si="14"/>
        <v>0.12000000000000001</v>
      </c>
      <c r="H93" s="53">
        <v>689.06882091003251</v>
      </c>
      <c r="I93" s="53">
        <v>770.96262000455397</v>
      </c>
      <c r="J93" s="53">
        <v>852.85641909907554</v>
      </c>
    </row>
    <row r="94" spans="2:10" x14ac:dyDescent="0.15">
      <c r="B94" s="26"/>
      <c r="C94" s="26"/>
      <c r="D94" s="26"/>
      <c r="E94" s="26"/>
      <c r="F94" s="26"/>
      <c r="G94" s="26"/>
      <c r="H94" s="26"/>
      <c r="I94" s="26"/>
      <c r="J94" s="26"/>
    </row>
    <row r="95" spans="2:10" x14ac:dyDescent="0.15">
      <c r="B95" s="26"/>
      <c r="C95" s="26"/>
      <c r="D95" s="26"/>
      <c r="E95" s="26"/>
      <c r="F95" s="26"/>
      <c r="G95" s="26"/>
      <c r="H95" s="26"/>
      <c r="I95" s="26"/>
      <c r="J95" s="26"/>
    </row>
    <row r="96" spans="2:10" ht="14" thickBot="1" x14ac:dyDescent="0.2">
      <c r="B96" s="26"/>
      <c r="C96" s="26"/>
      <c r="D96" s="42" t="s">
        <v>220</v>
      </c>
      <c r="E96" s="42"/>
      <c r="F96" s="42"/>
      <c r="G96" s="26"/>
      <c r="H96" s="42" t="s">
        <v>191</v>
      </c>
      <c r="I96" s="42"/>
      <c r="J96" s="42"/>
    </row>
    <row r="97" spans="2:10" x14ac:dyDescent="0.15">
      <c r="B97" s="33" t="s">
        <v>219</v>
      </c>
      <c r="C97" s="45">
        <f>E72</f>
        <v>26.273360453167125</v>
      </c>
      <c r="D97" s="50">
        <f>D88</f>
        <v>6.5000000000000002E-2</v>
      </c>
      <c r="E97" s="50">
        <f t="shared" ref="E97:F97" si="15">E88</f>
        <v>7.0000000000000007E-2</v>
      </c>
      <c r="F97" s="50">
        <f t="shared" si="15"/>
        <v>7.5000000000000011E-2</v>
      </c>
      <c r="G97" s="65">
        <f>E60</f>
        <v>9.3555935860755723E-2</v>
      </c>
      <c r="H97" s="45">
        <f>H88</f>
        <v>35</v>
      </c>
      <c r="I97" s="45">
        <f t="shared" ref="I97:J97" si="16">I88</f>
        <v>40</v>
      </c>
      <c r="J97" s="45">
        <f t="shared" si="16"/>
        <v>45</v>
      </c>
    </row>
    <row r="98" spans="2:10" x14ac:dyDescent="0.15">
      <c r="B98" s="47">
        <f>B89</f>
        <v>9.9999999999999992E-2</v>
      </c>
      <c r="C98" s="54">
        <f>B98</f>
        <v>9.9999999999999992E-2</v>
      </c>
      <c r="D98" s="45">
        <f t="dataTable" ref="D98:F102" dt2D="1" dtr="1" r1="E53" r2="E50" ca="1"/>
        <v>29.705911798702719</v>
      </c>
      <c r="E98" s="45">
        <v>34.819605535568606</v>
      </c>
      <c r="F98" s="45">
        <v>41.978776767180854</v>
      </c>
      <c r="G98" s="64">
        <f>G89</f>
        <v>9.9999999999999992E-2</v>
      </c>
      <c r="H98" s="49">
        <f t="dataTable" ref="H98:J102" dt2D="1" dtr="1" r1="E54" r2="E50" ca="1"/>
        <v>8.168386710441021E-2</v>
      </c>
      <c r="I98" s="49">
        <v>8.3939956683666786E-2</v>
      </c>
      <c r="J98" s="49">
        <v>8.5701210063688818E-2</v>
      </c>
    </row>
    <row r="99" spans="2:10" x14ac:dyDescent="0.15">
      <c r="B99" s="47">
        <f>B90</f>
        <v>0.105</v>
      </c>
      <c r="C99" s="54">
        <f t="shared" ref="C99:C102" si="17">B99</f>
        <v>0.105</v>
      </c>
      <c r="D99" s="45">
        <v>25.992672823864876</v>
      </c>
      <c r="E99" s="45">
        <v>29.845376173344516</v>
      </c>
      <c r="F99" s="45">
        <v>34.982313972650701</v>
      </c>
      <c r="G99" s="64">
        <f t="shared" ref="G99:G102" si="18">G90</f>
        <v>0.105</v>
      </c>
      <c r="H99" s="50">
        <v>8.6600611954884804E-2</v>
      </c>
      <c r="I99" s="50">
        <v>8.8866956486774382E-2</v>
      </c>
      <c r="J99" s="50">
        <v>9.0636215563978328E-2</v>
      </c>
    </row>
    <row r="100" spans="2:10" x14ac:dyDescent="0.15">
      <c r="B100" s="47">
        <f>B91</f>
        <v>0.11</v>
      </c>
      <c r="C100" s="54">
        <f t="shared" si="17"/>
        <v>0.11</v>
      </c>
      <c r="D100" s="45">
        <v>23.104598065657662</v>
      </c>
      <c r="E100" s="45">
        <v>26.114704151676449</v>
      </c>
      <c r="F100" s="45">
        <v>29.984840547986312</v>
      </c>
      <c r="G100" s="64">
        <f t="shared" si="18"/>
        <v>0.11</v>
      </c>
      <c r="H100" s="50">
        <v>9.1517356805359412E-2</v>
      </c>
      <c r="I100" s="50">
        <v>9.3793956289881936E-2</v>
      </c>
      <c r="J100" s="50">
        <v>9.5571221064267825E-2</v>
      </c>
    </row>
    <row r="101" spans="2:10" x14ac:dyDescent="0.15">
      <c r="B101" s="47">
        <f>B92</f>
        <v>0.115</v>
      </c>
      <c r="C101" s="54">
        <f t="shared" si="17"/>
        <v>0.115</v>
      </c>
      <c r="D101" s="45">
        <v>20.794138259091891</v>
      </c>
      <c r="E101" s="45">
        <v>23.213070357045726</v>
      </c>
      <c r="F101" s="45">
        <v>26.236735479488019</v>
      </c>
      <c r="G101" s="64">
        <f t="shared" si="18"/>
        <v>0.115</v>
      </c>
      <c r="H101" s="50">
        <v>9.6434101655833993E-2</v>
      </c>
      <c r="I101" s="50">
        <v>9.8720956092989531E-2</v>
      </c>
      <c r="J101" s="50">
        <v>0.10050622656455734</v>
      </c>
    </row>
    <row r="102" spans="2:10" x14ac:dyDescent="0.15">
      <c r="B102" s="47">
        <f>B93</f>
        <v>0.12000000000000001</v>
      </c>
      <c r="C102" s="54">
        <f t="shared" si="17"/>
        <v>0.12000000000000001</v>
      </c>
      <c r="D102" s="45">
        <v>18.903762053719902</v>
      </c>
      <c r="E102" s="45">
        <v>20.891763321341152</v>
      </c>
      <c r="F102" s="45">
        <v>23.321542648433788</v>
      </c>
      <c r="G102" s="64">
        <f t="shared" si="18"/>
        <v>0.12000000000000001</v>
      </c>
      <c r="H102" s="50">
        <v>0.1013508465063086</v>
      </c>
      <c r="I102" s="50">
        <v>0.10364795589609711</v>
      </c>
      <c r="J102" s="50">
        <v>0.10544123206484683</v>
      </c>
    </row>
    <row r="106" spans="2:10" x14ac:dyDescent="0.15">
      <c r="B106" s="10" t="s">
        <v>221</v>
      </c>
    </row>
    <row r="107" spans="2:10" x14ac:dyDescent="0.15">
      <c r="B107" t="s">
        <v>222</v>
      </c>
      <c r="C107" t="s">
        <v>223</v>
      </c>
    </row>
    <row r="108" spans="2:10" x14ac:dyDescent="0.15">
      <c r="B108" t="s">
        <v>224</v>
      </c>
      <c r="C108" t="s">
        <v>225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456-BB42-4D35-9257-2309110DE89E}">
  <dimension ref="A1:K41"/>
  <sheetViews>
    <sheetView zoomScale="118" zoomScaleNormal="140" workbookViewId="0">
      <pane xSplit="2" ySplit="2" topLeftCell="C29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baseColWidth="10" defaultColWidth="8.83203125" defaultRowHeight="13" x14ac:dyDescent="0.15"/>
  <cols>
    <col min="1" max="1" width="2.5" customWidth="1"/>
    <col min="2" max="2" width="51.1640625" customWidth="1"/>
    <col min="3" max="3" width="16.1640625" customWidth="1"/>
    <col min="4" max="4" width="24.6640625" customWidth="1"/>
    <col min="5" max="5" width="16.6640625" customWidth="1"/>
    <col min="6" max="6" width="12.33203125" customWidth="1"/>
    <col min="7" max="7" width="9.1640625" bestFit="1" customWidth="1"/>
    <col min="8" max="8" width="15.83203125" customWidth="1"/>
    <col min="9" max="9" width="17.33203125" customWidth="1"/>
    <col min="10" max="10" width="19.1640625" customWidth="1"/>
  </cols>
  <sheetData>
    <row r="1" spans="1:11" s="1" customFormat="1" ht="20" x14ac:dyDescent="0.2">
      <c r="A1" s="2" t="s">
        <v>0</v>
      </c>
      <c r="C1" s="6"/>
      <c r="D1" s="6"/>
      <c r="E1" s="6"/>
      <c r="F1" s="6"/>
      <c r="G1" s="6"/>
      <c r="H1" s="6"/>
      <c r="I1" s="6"/>
      <c r="J1" s="6"/>
    </row>
    <row r="2" spans="1:11" s="1" customFormat="1" x14ac:dyDescent="0.15">
      <c r="A2" s="3" t="s">
        <v>1</v>
      </c>
      <c r="C2" s="4"/>
      <c r="D2" s="4"/>
      <c r="E2" s="4"/>
      <c r="F2" s="4"/>
      <c r="G2" s="4"/>
      <c r="H2" s="4"/>
      <c r="I2" s="4"/>
      <c r="J2" s="4"/>
    </row>
    <row r="4" spans="1:11" x14ac:dyDescent="0.15">
      <c r="B4" t="s">
        <v>84</v>
      </c>
      <c r="C4" s="18">
        <v>2877.85</v>
      </c>
      <c r="D4" s="5" t="s">
        <v>85</v>
      </c>
      <c r="H4" t="s">
        <v>90</v>
      </c>
    </row>
    <row r="5" spans="1:11" ht="42" x14ac:dyDescent="0.15">
      <c r="B5" t="s">
        <v>86</v>
      </c>
      <c r="C5" s="19"/>
      <c r="H5" s="20" t="s">
        <v>95</v>
      </c>
      <c r="I5" s="20" t="s">
        <v>94</v>
      </c>
      <c r="J5" s="20" t="s">
        <v>87</v>
      </c>
      <c r="K5" s="20"/>
    </row>
    <row r="6" spans="1:11" x14ac:dyDescent="0.15">
      <c r="B6" t="s">
        <v>87</v>
      </c>
      <c r="G6" t="s">
        <v>91</v>
      </c>
      <c r="H6" s="7"/>
      <c r="I6" s="7"/>
    </row>
    <row r="7" spans="1:11" x14ac:dyDescent="0.15">
      <c r="B7" t="s">
        <v>88</v>
      </c>
      <c r="G7" t="s">
        <v>92</v>
      </c>
      <c r="H7" s="7"/>
      <c r="I7" s="7"/>
    </row>
    <row r="8" spans="1:11" x14ac:dyDescent="0.15">
      <c r="B8" t="s">
        <v>89</v>
      </c>
      <c r="C8" s="8"/>
      <c r="G8" t="s">
        <v>93</v>
      </c>
      <c r="H8" s="7"/>
      <c r="I8" s="7"/>
    </row>
    <row r="9" spans="1:11" x14ac:dyDescent="0.15">
      <c r="A9" s="10" t="s">
        <v>102</v>
      </c>
      <c r="G9" t="s">
        <v>96</v>
      </c>
      <c r="J9" s="8"/>
    </row>
    <row r="10" spans="1:11" x14ac:dyDescent="0.15">
      <c r="B10" t="s">
        <v>97</v>
      </c>
      <c r="C10" s="7"/>
    </row>
    <row r="11" spans="1:11" x14ac:dyDescent="0.15">
      <c r="B11" t="s">
        <v>98</v>
      </c>
      <c r="C11" s="7"/>
    </row>
    <row r="12" spans="1:11" x14ac:dyDescent="0.15">
      <c r="B12" t="s">
        <v>99</v>
      </c>
      <c r="C12" s="7"/>
    </row>
    <row r="13" spans="1:11" x14ac:dyDescent="0.15">
      <c r="B13" t="s">
        <v>100</v>
      </c>
      <c r="C13" s="7"/>
    </row>
    <row r="14" spans="1:11" x14ac:dyDescent="0.15">
      <c r="B14" t="s">
        <v>101</v>
      </c>
      <c r="C14" s="7"/>
    </row>
    <row r="15" spans="1:11" x14ac:dyDescent="0.15">
      <c r="A15" s="10" t="s">
        <v>103</v>
      </c>
      <c r="C15" s="7"/>
    </row>
    <row r="16" spans="1:11" x14ac:dyDescent="0.15">
      <c r="B16" t="s">
        <v>104</v>
      </c>
      <c r="C16" s="7"/>
    </row>
    <row r="17" spans="2:6" x14ac:dyDescent="0.15">
      <c r="B17" t="s">
        <v>105</v>
      </c>
      <c r="C17" s="7"/>
    </row>
    <row r="18" spans="2:6" x14ac:dyDescent="0.15">
      <c r="B18" t="s">
        <v>106</v>
      </c>
      <c r="C18" s="7"/>
    </row>
    <row r="19" spans="2:6" x14ac:dyDescent="0.15">
      <c r="B19" t="s">
        <v>107</v>
      </c>
      <c r="C19" s="7"/>
    </row>
    <row r="20" spans="2:6" x14ac:dyDescent="0.15">
      <c r="B20" t="s">
        <v>108</v>
      </c>
      <c r="C20" s="7"/>
    </row>
    <row r="21" spans="2:6" x14ac:dyDescent="0.15">
      <c r="B21" t="s">
        <v>109</v>
      </c>
      <c r="C21" s="7"/>
    </row>
    <row r="22" spans="2:6" x14ac:dyDescent="0.15">
      <c r="B22" s="8" t="s">
        <v>110</v>
      </c>
      <c r="C22" s="8"/>
    </row>
    <row r="24" spans="2:6" x14ac:dyDescent="0.15">
      <c r="C24" s="21">
        <v>44651</v>
      </c>
      <c r="D24" s="5" t="s">
        <v>113</v>
      </c>
      <c r="E24" s="5" t="s">
        <v>114</v>
      </c>
      <c r="F24" s="8" t="s">
        <v>115</v>
      </c>
    </row>
    <row r="25" spans="2:6" x14ac:dyDescent="0.15">
      <c r="B25" t="s">
        <v>111</v>
      </c>
    </row>
    <row r="26" spans="2:6" x14ac:dyDescent="0.15">
      <c r="B26" t="s">
        <v>9</v>
      </c>
    </row>
    <row r="27" spans="2:6" x14ac:dyDescent="0.15">
      <c r="B27" t="s">
        <v>11</v>
      </c>
    </row>
    <row r="28" spans="2:6" x14ac:dyDescent="0.15">
      <c r="B28" t="s">
        <v>112</v>
      </c>
    </row>
    <row r="31" spans="2:6" x14ac:dyDescent="0.15">
      <c r="B31" t="s">
        <v>116</v>
      </c>
      <c r="C31" s="21">
        <v>44651</v>
      </c>
      <c r="D31" s="5" t="s">
        <v>113</v>
      </c>
      <c r="E31" s="5" t="s">
        <v>114</v>
      </c>
    </row>
    <row r="32" spans="2:6" x14ac:dyDescent="0.15">
      <c r="B32" t="s">
        <v>117</v>
      </c>
    </row>
    <row r="33" spans="2:2" x14ac:dyDescent="0.15">
      <c r="B33" t="s">
        <v>118</v>
      </c>
    </row>
    <row r="34" spans="2:2" x14ac:dyDescent="0.15">
      <c r="B34" s="8" t="s">
        <v>11</v>
      </c>
    </row>
    <row r="35" spans="2:2" x14ac:dyDescent="0.15">
      <c r="B35" t="s">
        <v>119</v>
      </c>
    </row>
    <row r="36" spans="2:2" x14ac:dyDescent="0.15">
      <c r="B36" s="8" t="s">
        <v>9</v>
      </c>
    </row>
    <row r="38" spans="2:2" x14ac:dyDescent="0.15">
      <c r="B38" s="8" t="s">
        <v>120</v>
      </c>
    </row>
    <row r="39" spans="2:2" x14ac:dyDescent="0.15">
      <c r="B39" t="s">
        <v>121</v>
      </c>
    </row>
    <row r="40" spans="2:2" x14ac:dyDescent="0.15">
      <c r="B40" s="8" t="s">
        <v>20</v>
      </c>
    </row>
    <row r="41" spans="2:2" x14ac:dyDescent="0.15">
      <c r="B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Cover</vt:lpstr>
      <vt:lpstr>Assump</vt:lpstr>
      <vt:lpstr>Calc</vt:lpstr>
      <vt:lpstr>Debt</vt:lpstr>
      <vt:lpstr>IS</vt:lpstr>
      <vt:lpstr>BS</vt:lpstr>
      <vt:lpstr>CF</vt:lpstr>
      <vt:lpstr>DCF</vt:lpstr>
      <vt:lpstr>Trading comps</vt:lpstr>
      <vt:lpstr>Circ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Singh</dc:creator>
  <cp:lastModifiedBy>Siddharth Shrimal</cp:lastModifiedBy>
  <dcterms:created xsi:type="dcterms:W3CDTF">2023-04-20T07:15:30Z</dcterms:created>
  <dcterms:modified xsi:type="dcterms:W3CDTF">2024-05-18T19:02:23Z</dcterms:modified>
</cp:coreProperties>
</file>