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shrimal/Library/Mobile Documents/com~apple~CloudDocs/Ashoka University/Academics/Semester 4/Fundamentals of Investing/Regeneron Pharma/"/>
    </mc:Choice>
  </mc:AlternateContent>
  <xr:revisionPtr revIDLastSave="0" documentId="13_ncr:1_{6E6E1D90-062D-5243-9058-CF83A9B19CAE}" xr6:coauthVersionLast="47" xr6:coauthVersionMax="47" xr10:uidLastSave="{00000000-0000-0000-0000-000000000000}"/>
  <bookViews>
    <workbookView xWindow="0" yWindow="740" windowWidth="29400" windowHeight="16440" activeTab="6" xr2:uid="{F950587A-6F3D-4041-83E0-E6D5F832C41A}"/>
  </bookViews>
  <sheets>
    <sheet name="Cover" sheetId="1" r:id="rId1"/>
    <sheet name="Assump" sheetId="4" r:id="rId2"/>
    <sheet name="Calcs" sheetId="5" r:id="rId3"/>
    <sheet name="IS" sheetId="7" r:id="rId4"/>
    <sheet name="BS" sheetId="8" r:id="rId5"/>
    <sheet name="CF" sheetId="9" r:id="rId6"/>
    <sheet name="DCF" sheetId="10" r:id="rId7"/>
    <sheet name="random" sheetId="11" r:id="rId8"/>
  </sheets>
  <definedNames>
    <definedName name="circ">Cover!$C$8</definedName>
    <definedName name="wacc" localSheetId="6">DCF!$D$44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0" l="1"/>
  <c r="C80" i="10" l="1"/>
  <c r="C79" i="10"/>
  <c r="C76" i="10"/>
  <c r="C77" i="10"/>
  <c r="E66" i="10"/>
  <c r="E65" i="10"/>
  <c r="E64" i="10"/>
  <c r="D30" i="10"/>
  <c r="D43" i="10"/>
  <c r="D42" i="10"/>
  <c r="D41" i="10"/>
  <c r="D39" i="10"/>
  <c r="D35" i="10"/>
  <c r="D33" i="10"/>
  <c r="F20" i="10"/>
  <c r="F23" i="7"/>
  <c r="F13" i="10"/>
  <c r="E22" i="10"/>
  <c r="F22" i="10"/>
  <c r="E18" i="4"/>
  <c r="C17" i="4"/>
  <c r="F12" i="10"/>
  <c r="F11" i="10"/>
  <c r="F10" i="10"/>
  <c r="D21" i="10"/>
  <c r="E21" i="10"/>
  <c r="F7" i="10"/>
  <c r="D7" i="10"/>
  <c r="E7" i="10"/>
  <c r="F18" i="10"/>
  <c r="F17" i="10"/>
  <c r="C27" i="11"/>
  <c r="G26" i="11"/>
  <c r="G27" i="11" s="1"/>
  <c r="F26" i="11"/>
  <c r="F27" i="11" s="1"/>
  <c r="E26" i="11"/>
  <c r="E27" i="11" s="1"/>
  <c r="D26" i="11"/>
  <c r="C26" i="11"/>
  <c r="G25" i="11"/>
  <c r="F25" i="11"/>
  <c r="E25" i="11"/>
  <c r="D25" i="11"/>
  <c r="D27" i="11" s="1"/>
  <c r="C25" i="11"/>
  <c r="D18" i="11"/>
  <c r="C18" i="11"/>
  <c r="B18" i="11"/>
  <c r="C25" i="7"/>
  <c r="D25" i="7"/>
  <c r="E25" i="7"/>
  <c r="H55" i="10"/>
  <c r="I55" i="10" s="1"/>
  <c r="G7" i="10"/>
  <c r="G20" i="10" s="1"/>
  <c r="H7" i="10"/>
  <c r="I7" i="10"/>
  <c r="J7" i="10"/>
  <c r="C7" i="10"/>
  <c r="G25" i="8"/>
  <c r="H25" i="8"/>
  <c r="I25" i="8"/>
  <c r="J25" i="8"/>
  <c r="F25" i="8"/>
  <c r="G24" i="8"/>
  <c r="H24" i="8" s="1"/>
  <c r="I24" i="8" s="1"/>
  <c r="J24" i="8" s="1"/>
  <c r="F24" i="8"/>
  <c r="G23" i="8"/>
  <c r="H23" i="8"/>
  <c r="I23" i="8"/>
  <c r="J23" i="8"/>
  <c r="F23" i="8"/>
  <c r="F21" i="8"/>
  <c r="G19" i="8"/>
  <c r="H19" i="8"/>
  <c r="I19" i="8"/>
  <c r="J19" i="8"/>
  <c r="F19" i="8"/>
  <c r="G18" i="8"/>
  <c r="H18" i="8"/>
  <c r="I18" i="8"/>
  <c r="J18" i="8"/>
  <c r="F18" i="8"/>
  <c r="G15" i="8"/>
  <c r="H15" i="8"/>
  <c r="I15" i="8"/>
  <c r="J15" i="8"/>
  <c r="F15" i="8"/>
  <c r="G8" i="8"/>
  <c r="H8" i="8"/>
  <c r="I8" i="8"/>
  <c r="J8" i="8"/>
  <c r="F8" i="8"/>
  <c r="F6" i="8"/>
  <c r="G6" i="8"/>
  <c r="H6" i="8"/>
  <c r="I6" i="8"/>
  <c r="J6" i="8"/>
  <c r="F30" i="7"/>
  <c r="F29" i="7"/>
  <c r="F25" i="7"/>
  <c r="F22" i="7"/>
  <c r="F19" i="7"/>
  <c r="G9" i="7"/>
  <c r="H9" i="7"/>
  <c r="I9" i="7"/>
  <c r="J9" i="7"/>
  <c r="F9" i="7"/>
  <c r="G8" i="7"/>
  <c r="H8" i="7"/>
  <c r="I8" i="7"/>
  <c r="J8" i="7"/>
  <c r="F8" i="7"/>
  <c r="G7" i="7"/>
  <c r="H7" i="7"/>
  <c r="I7" i="7"/>
  <c r="J7" i="7"/>
  <c r="F7" i="7"/>
  <c r="G4" i="7"/>
  <c r="H4" i="7"/>
  <c r="I4" i="7"/>
  <c r="J4" i="7"/>
  <c r="F4" i="7"/>
  <c r="F3" i="7"/>
  <c r="G3" i="7" s="1"/>
  <c r="H3" i="7" s="1"/>
  <c r="I3" i="7" s="1"/>
  <c r="J3" i="7" s="1"/>
  <c r="J17" i="4"/>
  <c r="J19" i="4"/>
  <c r="J21" i="4"/>
  <c r="J22" i="4"/>
  <c r="J23" i="4"/>
  <c r="J26" i="4"/>
  <c r="J27" i="4"/>
  <c r="J28" i="4"/>
  <c r="J30" i="4"/>
  <c r="J32" i="4"/>
  <c r="J6" i="4"/>
  <c r="J8" i="4"/>
  <c r="J9" i="4"/>
  <c r="J10" i="4"/>
  <c r="J11" i="4"/>
  <c r="J14" i="4"/>
  <c r="J15" i="4"/>
  <c r="J5" i="4"/>
  <c r="J2" i="4"/>
  <c r="E13" i="4" l="1"/>
  <c r="D28" i="5" l="1"/>
  <c r="D5" i="4"/>
  <c r="E5" i="4"/>
  <c r="D6" i="4"/>
  <c r="E6" i="4"/>
  <c r="D7" i="4"/>
  <c r="D9" i="4"/>
  <c r="E9" i="4"/>
  <c r="D10" i="4"/>
  <c r="E10" i="4"/>
  <c r="D11" i="4"/>
  <c r="E11" i="4"/>
  <c r="D13" i="4"/>
  <c r="D14" i="4"/>
  <c r="E14" i="4"/>
  <c r="D15" i="4"/>
  <c r="E15" i="4"/>
  <c r="D17" i="4"/>
  <c r="E17" i="4"/>
  <c r="D18" i="4"/>
  <c r="D19" i="4"/>
  <c r="E19" i="4"/>
  <c r="D20" i="4"/>
  <c r="E20" i="4"/>
  <c r="D21" i="4"/>
  <c r="E21" i="4"/>
  <c r="D22" i="4"/>
  <c r="E22" i="4"/>
  <c r="D23" i="4"/>
  <c r="E23" i="4"/>
  <c r="D24" i="4"/>
  <c r="E24" i="4"/>
  <c r="D26" i="4"/>
  <c r="E26" i="4"/>
  <c r="D27" i="4"/>
  <c r="E27" i="4"/>
  <c r="D28" i="4"/>
  <c r="E28" i="4"/>
  <c r="D30" i="4"/>
  <c r="E30" i="4"/>
  <c r="C30" i="4"/>
  <c r="C28" i="4"/>
  <c r="C27" i="4"/>
  <c r="C26" i="4"/>
  <c r="C24" i="4"/>
  <c r="C23" i="4"/>
  <c r="C22" i="4"/>
  <c r="C21" i="4"/>
  <c r="C20" i="4"/>
  <c r="C19" i="4"/>
  <c r="C18" i="4"/>
  <c r="C15" i="4"/>
  <c r="C14" i="4"/>
  <c r="C13" i="4"/>
  <c r="C11" i="4"/>
  <c r="C10" i="4"/>
  <c r="C9" i="4"/>
  <c r="C6" i="4"/>
  <c r="E4" i="4"/>
  <c r="D4" i="4"/>
  <c r="C5" i="4"/>
  <c r="E14" i="7"/>
  <c r="E13" i="5"/>
  <c r="D31" i="8"/>
  <c r="E31" i="8"/>
  <c r="C31" i="8"/>
  <c r="D16" i="8"/>
  <c r="C16" i="8"/>
  <c r="C8" i="8"/>
  <c r="D7" i="8"/>
  <c r="C7" i="8"/>
  <c r="C6" i="8"/>
  <c r="C5" i="8"/>
  <c r="D4" i="8"/>
  <c r="D9" i="8" s="1"/>
  <c r="C4" i="8"/>
  <c r="E26" i="7"/>
  <c r="E23" i="7"/>
  <c r="E20" i="7"/>
  <c r="E19" i="7"/>
  <c r="E15" i="7"/>
  <c r="E9" i="7"/>
  <c r="E8" i="7"/>
  <c r="E7" i="7"/>
  <c r="E5" i="7"/>
  <c r="E10" i="7" s="1"/>
  <c r="D14" i="7"/>
  <c r="C14" i="7"/>
  <c r="D13" i="7"/>
  <c r="D8" i="7"/>
  <c r="C8" i="7"/>
  <c r="D7" i="7"/>
  <c r="C7" i="7"/>
  <c r="D5" i="7"/>
  <c r="D10" i="7" s="1"/>
  <c r="C5" i="7"/>
  <c r="F2" i="7"/>
  <c r="D2" i="7"/>
  <c r="E32" i="7" l="1"/>
  <c r="E31" i="7"/>
  <c r="C9" i="8"/>
  <c r="C10" i="7"/>
  <c r="C15" i="7" s="1"/>
  <c r="D20" i="7"/>
  <c r="D23" i="7" s="1"/>
  <c r="D26" i="7" s="1"/>
  <c r="D15" i="7"/>
  <c r="C20" i="7" l="1"/>
  <c r="C23" i="7" s="1"/>
  <c r="C26" i="7" s="1"/>
  <c r="C32" i="7" s="1"/>
  <c r="D32" i="7"/>
  <c r="D31" i="7"/>
  <c r="C31" i="7" l="1"/>
  <c r="C4" i="10"/>
  <c r="D4" i="10"/>
  <c r="E4" i="10"/>
  <c r="F12" i="5"/>
  <c r="F13" i="7" s="1"/>
  <c r="D37" i="10" l="1"/>
  <c r="G13" i="10"/>
  <c r="H13" i="10"/>
  <c r="I13" i="10"/>
  <c r="J13" i="10"/>
  <c r="F22" i="4" l="1"/>
  <c r="G22" i="4"/>
  <c r="H22" i="4"/>
  <c r="I22" i="4"/>
  <c r="I12" i="9"/>
  <c r="J12" i="9"/>
  <c r="F2" i="10" l="1"/>
  <c r="G21" i="8"/>
  <c r="H21" i="8" s="1"/>
  <c r="I21" i="8" s="1"/>
  <c r="J21" i="8" s="1"/>
  <c r="E19" i="5"/>
  <c r="E7" i="5"/>
  <c r="D32" i="5"/>
  <c r="E31" i="5"/>
  <c r="E32" i="5"/>
  <c r="D31" i="5"/>
  <c r="C7" i="4"/>
  <c r="C22" i="5"/>
  <c r="E20" i="9" l="1"/>
  <c r="D36" i="5" l="1"/>
  <c r="J55" i="10" l="1"/>
  <c r="B13" i="10" l="1"/>
  <c r="B9" i="10"/>
  <c r="B10" i="10"/>
  <c r="B11" i="10"/>
  <c r="G2" i="10"/>
  <c r="H2" i="10" s="1"/>
  <c r="I2" i="10" s="1"/>
  <c r="J2" i="10" s="1"/>
  <c r="D2" i="10"/>
  <c r="C2" i="10" s="1"/>
  <c r="B11" i="9"/>
  <c r="B12" i="10" s="1"/>
  <c r="B4" i="9"/>
  <c r="B8" i="10" s="1"/>
  <c r="B15" i="9"/>
  <c r="B3" i="9"/>
  <c r="C25" i="5"/>
  <c r="C23" i="5"/>
  <c r="B26" i="5"/>
  <c r="B27" i="5"/>
  <c r="B25" i="5"/>
  <c r="B23" i="5"/>
  <c r="B24" i="5"/>
  <c r="B22" i="5"/>
  <c r="F32" i="4"/>
  <c r="G32" i="4"/>
  <c r="H32" i="4"/>
  <c r="I32" i="4"/>
  <c r="E32" i="4"/>
  <c r="C27" i="5"/>
  <c r="D27" i="5" l="1"/>
  <c r="C24" i="5"/>
  <c r="D26" i="5"/>
  <c r="D22" i="5"/>
  <c r="D24" i="5"/>
  <c r="C26" i="5" l="1"/>
  <c r="C28" i="5" s="1"/>
  <c r="E22" i="5"/>
  <c r="E27" i="5"/>
  <c r="F27" i="5" s="1"/>
  <c r="G27" i="5" s="1"/>
  <c r="H27" i="5" s="1"/>
  <c r="I27" i="5" s="1"/>
  <c r="J27" i="5" s="1"/>
  <c r="E26" i="5"/>
  <c r="E24" i="5"/>
  <c r="E23" i="5"/>
  <c r="E25" i="5"/>
  <c r="D25" i="5"/>
  <c r="D23" i="5"/>
  <c r="E28" i="5" l="1"/>
  <c r="F12" i="9"/>
  <c r="G12" i="9" l="1"/>
  <c r="F13" i="9"/>
  <c r="D2" i="9"/>
  <c r="E2" i="9" s="1"/>
  <c r="F2" i="9" s="1"/>
  <c r="G2" i="9" s="1"/>
  <c r="H2" i="9" s="1"/>
  <c r="I2" i="9" s="1"/>
  <c r="J2" i="9" s="1"/>
  <c r="D2" i="8"/>
  <c r="E2" i="8" s="1"/>
  <c r="F2" i="8" s="1"/>
  <c r="G2" i="8" s="1"/>
  <c r="H2" i="8" s="1"/>
  <c r="I2" i="8" s="1"/>
  <c r="J2" i="8" s="1"/>
  <c r="G2" i="7"/>
  <c r="H2" i="7" s="1"/>
  <c r="I2" i="7" s="1"/>
  <c r="J2" i="7" s="1"/>
  <c r="C2" i="7"/>
  <c r="D2" i="5"/>
  <c r="E2" i="5" s="1"/>
  <c r="F2" i="5" s="1"/>
  <c r="G2" i="5" s="1"/>
  <c r="H2" i="5" s="1"/>
  <c r="I2" i="5" s="1"/>
  <c r="J2" i="5" s="1"/>
  <c r="E2" i="4"/>
  <c r="F2" i="4" s="1"/>
  <c r="G2" i="4" s="1"/>
  <c r="H2" i="4" s="1"/>
  <c r="I2" i="4" s="1"/>
  <c r="C2" i="4"/>
  <c r="C5" i="10" l="1"/>
  <c r="D5" i="10"/>
  <c r="E5" i="10"/>
  <c r="F10" i="5"/>
  <c r="F13" i="5" s="1"/>
  <c r="F4" i="5"/>
  <c r="F31" i="5"/>
  <c r="F16" i="9"/>
  <c r="G13" i="9"/>
  <c r="H12" i="9"/>
  <c r="F13" i="8" l="1"/>
  <c r="G31" i="5"/>
  <c r="G16" i="9"/>
  <c r="E17" i="5"/>
  <c r="C17" i="5"/>
  <c r="D17" i="5"/>
  <c r="H16" i="9" l="1"/>
  <c r="H31" i="5"/>
  <c r="F8" i="4" l="1"/>
  <c r="G8" i="4" s="1"/>
  <c r="H8" i="4" s="1"/>
  <c r="I8" i="4" s="1"/>
  <c r="G12" i="5"/>
  <c r="G13" i="7" s="1"/>
  <c r="J16" i="9"/>
  <c r="I16" i="9"/>
  <c r="F17" i="7" l="1"/>
  <c r="E9" i="8"/>
  <c r="E16" i="8" s="1"/>
  <c r="E36" i="5"/>
  <c r="G17" i="7" s="1"/>
  <c r="D33" i="5" l="1"/>
  <c r="F18" i="7" l="1"/>
  <c r="F16" i="5" l="1"/>
  <c r="E33" i="5" l="1"/>
  <c r="G18" i="7" s="1"/>
  <c r="F14" i="8" l="1"/>
  <c r="G10" i="5"/>
  <c r="G13" i="5" s="1"/>
  <c r="H10" i="5" l="1"/>
  <c r="H12" i="5"/>
  <c r="H13" i="7" s="1"/>
  <c r="G14" i="8"/>
  <c r="G13" i="8"/>
  <c r="H13" i="5" l="1"/>
  <c r="I12" i="5" l="1"/>
  <c r="I13" i="7" s="1"/>
  <c r="H13" i="8"/>
  <c r="I10" i="5"/>
  <c r="H14" i="8"/>
  <c r="I13" i="5" l="1"/>
  <c r="I13" i="8" s="1"/>
  <c r="J12" i="5"/>
  <c r="J13" i="7" s="1"/>
  <c r="J10" i="5" l="1"/>
  <c r="J13" i="5" s="1"/>
  <c r="J13" i="8" s="1"/>
  <c r="I14" i="8"/>
  <c r="F36" i="5"/>
  <c r="H17" i="7" s="1"/>
  <c r="I17" i="7"/>
  <c r="J14" i="8" l="1"/>
  <c r="J17" i="7" l="1"/>
  <c r="J4" i="10"/>
  <c r="J7" i="9" l="1"/>
  <c r="J11" i="10" s="1"/>
  <c r="I4" i="10"/>
  <c r="I7" i="9"/>
  <c r="I11" i="10" s="1"/>
  <c r="H4" i="10"/>
  <c r="G4" i="10"/>
  <c r="H7" i="9"/>
  <c r="H11" i="10" s="1"/>
  <c r="F4" i="10"/>
  <c r="G17" i="10" l="1"/>
  <c r="H17" i="10"/>
  <c r="I17" i="10"/>
  <c r="J17" i="10"/>
  <c r="F10" i="4"/>
  <c r="G10" i="4" s="1"/>
  <c r="F14" i="4"/>
  <c r="G14" i="4" s="1"/>
  <c r="G29" i="7"/>
  <c r="F21" i="4"/>
  <c r="G21" i="4" s="1"/>
  <c r="G5" i="5"/>
  <c r="G11" i="9"/>
  <c r="G12" i="10"/>
  <c r="F18" i="4"/>
  <c r="F26" i="4"/>
  <c r="G26" i="4" s="1"/>
  <c r="H26" i="4" s="1"/>
  <c r="I26" i="4" s="1"/>
  <c r="F6" i="4"/>
  <c r="G6" i="4"/>
  <c r="H6" i="4"/>
  <c r="I6" i="4"/>
  <c r="F23" i="4"/>
  <c r="F15" i="4"/>
  <c r="G15" i="4" s="1"/>
  <c r="G30" i="7"/>
  <c r="F7" i="9"/>
  <c r="G7" i="9"/>
  <c r="G11" i="10"/>
  <c r="F9" i="4"/>
  <c r="G9" i="4"/>
  <c r="H9" i="4"/>
  <c r="I9" i="4"/>
  <c r="F26" i="5"/>
  <c r="F27" i="4"/>
  <c r="G26" i="5" s="1"/>
  <c r="G27" i="4"/>
  <c r="H26" i="5" s="1"/>
  <c r="H27" i="4"/>
  <c r="I26" i="5" s="1"/>
  <c r="I27" i="4"/>
  <c r="J26" i="5" s="1"/>
  <c r="F11" i="4"/>
  <c r="G19" i="7" s="1"/>
  <c r="G25" i="7" s="1"/>
  <c r="G11" i="4"/>
  <c r="H19" i="7" s="1"/>
  <c r="H25" i="7" s="1"/>
  <c r="H11" i="4"/>
  <c r="I11" i="4" s="1"/>
  <c r="J19" i="7" s="1"/>
  <c r="J25" i="7" s="1"/>
  <c r="I19" i="7"/>
  <c r="I25" i="7"/>
  <c r="F5" i="5"/>
  <c r="F11" i="9" s="1"/>
  <c r="F28" i="4"/>
  <c r="F30" i="4"/>
  <c r="G18" i="5" s="1"/>
  <c r="G15" i="9" s="1"/>
  <c r="G17" i="9" s="1"/>
  <c r="G30" i="4"/>
  <c r="H18" i="5" s="1"/>
  <c r="H15" i="9" s="1"/>
  <c r="H17" i="9" s="1"/>
  <c r="H30" i="4"/>
  <c r="I30" i="4" s="1"/>
  <c r="J18" i="5" s="1"/>
  <c r="J15" i="9" s="1"/>
  <c r="J17" i="9" s="1"/>
  <c r="I18" i="5"/>
  <c r="I15" i="9" s="1"/>
  <c r="I17" i="9" s="1"/>
  <c r="F24" i="5"/>
  <c r="F19" i="4"/>
  <c r="G24" i="5" s="1"/>
  <c r="G19" i="4"/>
  <c r="H19" i="4" s="1"/>
  <c r="H24" i="5"/>
  <c r="F18" i="5"/>
  <c r="F15" i="9"/>
  <c r="F17" i="9"/>
  <c r="F17" i="4"/>
  <c r="G17" i="4"/>
  <c r="H17" i="4"/>
  <c r="I17" i="4"/>
  <c r="F5" i="4"/>
  <c r="G5" i="4"/>
  <c r="H5" i="4"/>
  <c r="I5" i="4"/>
  <c r="J25" i="5"/>
  <c r="F5" i="7"/>
  <c r="G18" i="4" l="1"/>
  <c r="F7" i="8"/>
  <c r="F10" i="7"/>
  <c r="F20" i="7" s="1"/>
  <c r="F26" i="7" s="1"/>
  <c r="F23" i="5"/>
  <c r="F25" i="5"/>
  <c r="J5" i="7"/>
  <c r="I25" i="5"/>
  <c r="I5" i="7"/>
  <c r="H5" i="7"/>
  <c r="H25" i="5"/>
  <c r="G25" i="5"/>
  <c r="G5" i="7"/>
  <c r="G10" i="7" s="1"/>
  <c r="J22" i="5"/>
  <c r="I22" i="5"/>
  <c r="H22" i="5"/>
  <c r="G22" i="5"/>
  <c r="F22" i="5"/>
  <c r="I19" i="4"/>
  <c r="G32" i="5"/>
  <c r="G33" i="5" s="1"/>
  <c r="I18" i="7" s="1"/>
  <c r="G28" i="4"/>
  <c r="F6" i="9"/>
  <c r="F32" i="5"/>
  <c r="F33" i="5" s="1"/>
  <c r="H18" i="7" s="1"/>
  <c r="H15" i="4"/>
  <c r="H30" i="7"/>
  <c r="G23" i="4"/>
  <c r="H21" i="4"/>
  <c r="H5" i="5"/>
  <c r="H11" i="9" s="1"/>
  <c r="H14" i="4"/>
  <c r="H29" i="7"/>
  <c r="H10" i="4"/>
  <c r="H18" i="4" l="1"/>
  <c r="G7" i="8"/>
  <c r="G23" i="5" s="1"/>
  <c r="F5" i="10"/>
  <c r="G9" i="8"/>
  <c r="G28" i="5"/>
  <c r="F17" i="5"/>
  <c r="F19" i="5" s="1"/>
  <c r="F31" i="7"/>
  <c r="F32" i="7"/>
  <c r="F28" i="5"/>
  <c r="F5" i="9" s="1"/>
  <c r="F9" i="10" s="1"/>
  <c r="F9" i="8"/>
  <c r="I10" i="4"/>
  <c r="J10" i="7" s="1"/>
  <c r="I10" i="7"/>
  <c r="I14" i="4"/>
  <c r="J29" i="7" s="1"/>
  <c r="I29" i="7"/>
  <c r="H13" i="9"/>
  <c r="H12" i="10"/>
  <c r="I21" i="4"/>
  <c r="J5" i="5" s="1"/>
  <c r="J11" i="9" s="1"/>
  <c r="I5" i="5"/>
  <c r="I11" i="9" s="1"/>
  <c r="H23" i="4"/>
  <c r="I15" i="4"/>
  <c r="J30" i="7" s="1"/>
  <c r="I30" i="7"/>
  <c r="H6" i="9"/>
  <c r="H10" i="10" s="1"/>
  <c r="H28" i="4"/>
  <c r="G6" i="9"/>
  <c r="G10" i="10" s="1"/>
  <c r="J24" i="5"/>
  <c r="I24" i="5"/>
  <c r="G20" i="7"/>
  <c r="G5" i="10"/>
  <c r="H10" i="7"/>
  <c r="I18" i="4" l="1"/>
  <c r="H7" i="8"/>
  <c r="F3" i="9"/>
  <c r="H32" i="5"/>
  <c r="H33" i="5" s="1"/>
  <c r="J18" i="7" s="1"/>
  <c r="J20" i="7" s="1"/>
  <c r="G5" i="9"/>
  <c r="G9" i="10" s="1"/>
  <c r="G16" i="5"/>
  <c r="F28" i="8"/>
  <c r="J5" i="10"/>
  <c r="I20" i="7"/>
  <c r="I5" i="10"/>
  <c r="H20" i="7"/>
  <c r="H5" i="10"/>
  <c r="G18" i="10"/>
  <c r="G22" i="7"/>
  <c r="G23" i="7" s="1"/>
  <c r="I6" i="9"/>
  <c r="I10" i="10" s="1"/>
  <c r="I28" i="4"/>
  <c r="I23" i="4"/>
  <c r="I13" i="9"/>
  <c r="I12" i="10"/>
  <c r="J13" i="9"/>
  <c r="J12" i="10"/>
  <c r="H23" i="5" l="1"/>
  <c r="H28" i="5" s="1"/>
  <c r="H9" i="8"/>
  <c r="J18" i="4"/>
  <c r="J7" i="8" s="1"/>
  <c r="I7" i="8"/>
  <c r="J6" i="9"/>
  <c r="J10" i="10" s="1"/>
  <c r="G26" i="7"/>
  <c r="G17" i="5"/>
  <c r="H18" i="10"/>
  <c r="H22" i="7"/>
  <c r="H23" i="7" s="1"/>
  <c r="I18" i="10"/>
  <c r="I22" i="7"/>
  <c r="I23" i="7" s="1"/>
  <c r="J22" i="7"/>
  <c r="J23" i="7" s="1"/>
  <c r="J18" i="10"/>
  <c r="I23" i="5" l="1"/>
  <c r="I28" i="5" s="1"/>
  <c r="I9" i="8"/>
  <c r="J23" i="5"/>
  <c r="J28" i="5" s="1"/>
  <c r="J5" i="9" s="1"/>
  <c r="J9" i="10" s="1"/>
  <c r="J9" i="8"/>
  <c r="I5" i="9"/>
  <c r="I9" i="10" s="1"/>
  <c r="H5" i="9"/>
  <c r="H9" i="10" s="1"/>
  <c r="J20" i="10"/>
  <c r="J26" i="7"/>
  <c r="J17" i="5"/>
  <c r="J3" i="9" s="1"/>
  <c r="I26" i="7"/>
  <c r="I17" i="5"/>
  <c r="I3" i="9" s="1"/>
  <c r="I20" i="10"/>
  <c r="H17" i="5"/>
  <c r="H3" i="9" s="1"/>
  <c r="H26" i="7"/>
  <c r="H20" i="10"/>
  <c r="G3" i="9"/>
  <c r="G19" i="5"/>
  <c r="G31" i="7"/>
  <c r="G32" i="7"/>
  <c r="H16" i="5" l="1"/>
  <c r="H19" i="5" s="1"/>
  <c r="G28" i="8"/>
  <c r="H31" i="7"/>
  <c r="H32" i="7"/>
  <c r="I31" i="7"/>
  <c r="I32" i="7"/>
  <c r="J32" i="7"/>
  <c r="J31" i="7"/>
  <c r="I16" i="5" l="1"/>
  <c r="I19" i="5" s="1"/>
  <c r="H28" i="8"/>
  <c r="J16" i="5" l="1"/>
  <c r="J19" i="5" s="1"/>
  <c r="J28" i="8" s="1"/>
  <c r="I28" i="8"/>
  <c r="I16" i="8" l="1"/>
  <c r="I15" i="7"/>
  <c r="J19" i="9"/>
  <c r="J8" i="9"/>
  <c r="J4" i="9"/>
  <c r="G57" i="10"/>
  <c r="G56" i="10"/>
  <c r="J19" i="10"/>
  <c r="J15" i="7"/>
  <c r="H24" i="10"/>
  <c r="H22" i="10"/>
  <c r="G21" i="10"/>
  <c r="G31" i="8"/>
  <c r="J16" i="8"/>
  <c r="J7" i="4"/>
  <c r="I7" i="4"/>
  <c r="H7" i="4"/>
  <c r="F7" i="4"/>
  <c r="G7" i="4"/>
  <c r="G24" i="10"/>
  <c r="F31" i="8"/>
  <c r="F21" i="10"/>
  <c r="G22" i="10"/>
  <c r="F15" i="7"/>
  <c r="J4" i="5"/>
  <c r="J7" i="5"/>
  <c r="J12" i="8"/>
  <c r="J31" i="8"/>
  <c r="J21" i="10"/>
  <c r="H15" i="7"/>
  <c r="G4" i="9"/>
  <c r="G8" i="9"/>
  <c r="G19" i="9"/>
  <c r="I57" i="10"/>
  <c r="I56" i="10"/>
  <c r="I4" i="9"/>
  <c r="I8" i="9"/>
  <c r="I19" i="9"/>
  <c r="G14" i="10"/>
  <c r="G23" i="10"/>
  <c r="I12" i="8"/>
  <c r="I31" i="8"/>
  <c r="I21" i="10"/>
  <c r="J22" i="10"/>
  <c r="J24" i="10"/>
  <c r="H23" i="10"/>
  <c r="J57" i="10"/>
  <c r="J56" i="10"/>
  <c r="I24" i="10"/>
  <c r="I22" i="10"/>
  <c r="H21" i="10"/>
  <c r="H31" i="8"/>
  <c r="F4" i="9"/>
  <c r="F8" i="9"/>
  <c r="F19" i="9"/>
  <c r="F20" i="9"/>
  <c r="G20" i="9"/>
  <c r="H20" i="9"/>
  <c r="I20" i="9"/>
  <c r="J20" i="9"/>
  <c r="H12" i="8"/>
  <c r="H16" i="8"/>
  <c r="F19" i="10"/>
  <c r="H4" i="9"/>
  <c r="H8" i="9"/>
  <c r="H19" i="9"/>
  <c r="I14" i="10"/>
  <c r="I23" i="10"/>
  <c r="G12" i="8"/>
  <c r="G16" i="8"/>
  <c r="F12" i="8"/>
  <c r="F16" i="8"/>
  <c r="F56" i="10"/>
  <c r="F57" i="10"/>
  <c r="E60" i="10"/>
  <c r="E62" i="10"/>
  <c r="E67" i="10"/>
  <c r="E69" i="10"/>
  <c r="C75" i="10"/>
  <c r="G8" i="10"/>
  <c r="G19" i="10"/>
  <c r="F8" i="10"/>
  <c r="F14" i="10"/>
  <c r="F23" i="10"/>
  <c r="H19" i="10"/>
  <c r="I6" i="5"/>
  <c r="I12" i="7"/>
  <c r="I14" i="7"/>
  <c r="I8" i="10"/>
  <c r="I19" i="10"/>
  <c r="E61" i="10"/>
  <c r="D50" i="10"/>
  <c r="D51" i="10"/>
  <c r="H4" i="5"/>
  <c r="H7" i="5"/>
  <c r="I4" i="5"/>
  <c r="I7" i="5"/>
  <c r="J6" i="5"/>
  <c r="J12" i="7"/>
  <c r="J14" i="7"/>
  <c r="J8" i="10"/>
  <c r="J14" i="10"/>
  <c r="J23" i="10"/>
  <c r="G6" i="5"/>
  <c r="G12" i="7"/>
  <c r="G14" i="7"/>
  <c r="G15" i="7"/>
  <c r="F12" i="7"/>
  <c r="F14" i="7"/>
  <c r="E7" i="4"/>
  <c r="F6" i="5"/>
  <c r="F7" i="5"/>
  <c r="G4" i="5"/>
  <c r="G7" i="5"/>
  <c r="H6" i="5"/>
  <c r="H12" i="7"/>
  <c r="H14" i="7"/>
  <c r="H8" i="10"/>
  <c r="H14" i="10"/>
  <c r="H56" i="10"/>
  <c r="H57" i="10"/>
</calcChain>
</file>

<file path=xl/sharedStrings.xml><?xml version="1.0" encoding="utf-8"?>
<sst xmlns="http://schemas.openxmlformats.org/spreadsheetml/2006/main" count="303" uniqueCount="193">
  <si>
    <t>Regeneron Pharma</t>
  </si>
  <si>
    <t>(USD Millions)</t>
  </si>
  <si>
    <t>Analyst name</t>
  </si>
  <si>
    <t>Siddharth and Arya</t>
  </si>
  <si>
    <t>Financial Year End</t>
  </si>
  <si>
    <t>Circularity Switch</t>
  </si>
  <si>
    <t>Hist.</t>
  </si>
  <si>
    <t>Hist</t>
  </si>
  <si>
    <t>Proj.</t>
  </si>
  <si>
    <t>Income Statement Assumptions</t>
  </si>
  <si>
    <t>Sales growth</t>
  </si>
  <si>
    <t>Cost Of Sales as a % of Sales</t>
  </si>
  <si>
    <t>Operating Expenses as a % of Sales</t>
  </si>
  <si>
    <t>Depreciation as a % of previous year's PPE</t>
  </si>
  <si>
    <t>Ammortisation as a % intangibles</t>
  </si>
  <si>
    <t>R&amp;D expenditure as a % of sales</t>
  </si>
  <si>
    <t>Other net operating income as a % of sales</t>
  </si>
  <si>
    <t>Non recurring income/(expense) (USD amount)</t>
  </si>
  <si>
    <t>Marginal tax rate</t>
  </si>
  <si>
    <t>Effecitve tax rate</t>
  </si>
  <si>
    <t>Basic WASO</t>
  </si>
  <si>
    <t>Diluted WASO</t>
  </si>
  <si>
    <t>Balance Sheet Assumptions (Assets)</t>
  </si>
  <si>
    <t>Receivable days</t>
  </si>
  <si>
    <t>Inventory days</t>
  </si>
  <si>
    <t>Prepaid expenses and other current assets as a % of sales</t>
  </si>
  <si>
    <t>Investments (USD amount)</t>
  </si>
  <si>
    <t>Capex/Sales</t>
  </si>
  <si>
    <t>Intangible assets</t>
  </si>
  <si>
    <t>Deferred revenue as % of sales</t>
  </si>
  <si>
    <t>Other long term operating assets as a % of sales</t>
  </si>
  <si>
    <t>Balance Sheet Assumptions (Liabilities)</t>
  </si>
  <si>
    <t>Payable days</t>
  </si>
  <si>
    <t>Accrued liabilities and other current liabilities as a % of sales</t>
  </si>
  <si>
    <t>Long term liabilities as a % of sales</t>
  </si>
  <si>
    <t>Equity Assumptions</t>
  </si>
  <si>
    <t>Issue/(Repurchase) of shares (USD amount)</t>
  </si>
  <si>
    <t>Debt and interest assumptions</t>
  </si>
  <si>
    <t>Issue/(repayment) of debt</t>
  </si>
  <si>
    <t>Interest rate on short term debt</t>
  </si>
  <si>
    <t>Interest rate on long term debt</t>
  </si>
  <si>
    <t>Interest rate on cash</t>
  </si>
  <si>
    <t>Net PPE schedule</t>
  </si>
  <si>
    <t>Beginning balance</t>
  </si>
  <si>
    <t>Capex</t>
  </si>
  <si>
    <t>Depreciation</t>
  </si>
  <si>
    <t>Ending balance</t>
  </si>
  <si>
    <t>Intangible assets schedule</t>
  </si>
  <si>
    <t>Purchase of intangibles</t>
  </si>
  <si>
    <t>Amortisation</t>
  </si>
  <si>
    <t>Equity schedule</t>
  </si>
  <si>
    <t>Net income</t>
  </si>
  <si>
    <t>Share issue/(buybacks)</t>
  </si>
  <si>
    <t>OWC schedule</t>
  </si>
  <si>
    <t>OWC</t>
  </si>
  <si>
    <t>Interest expense calculation</t>
  </si>
  <si>
    <t>Interest expense on financing lease liabilities</t>
  </si>
  <si>
    <t>interest expense on long term debt</t>
  </si>
  <si>
    <t>Total interest expense</t>
  </si>
  <si>
    <t>Interest income</t>
  </si>
  <si>
    <t>Net Sales</t>
  </si>
  <si>
    <t>Cost Of Sales</t>
  </si>
  <si>
    <t>Gross Profit</t>
  </si>
  <si>
    <t>R&amp;D Expense(including acquired)</t>
  </si>
  <si>
    <t>Operating Expenses</t>
  </si>
  <si>
    <t>Other net operating expenses/income</t>
  </si>
  <si>
    <t>EBIT</t>
  </si>
  <si>
    <t>Ammortisation</t>
  </si>
  <si>
    <t>Depreciation and Amortisation</t>
  </si>
  <si>
    <t>EBITDA</t>
  </si>
  <si>
    <t>Interest expense</t>
  </si>
  <si>
    <t>Non recurring income/(expense)</t>
  </si>
  <si>
    <t>Income Before Provision For Income Taxes</t>
  </si>
  <si>
    <t>Income tax</t>
  </si>
  <si>
    <t>Net Income</t>
  </si>
  <si>
    <t>Post tax non-recurring expenses/(income)</t>
  </si>
  <si>
    <t>Recurring Net income</t>
  </si>
  <si>
    <t>Shareholder's Information</t>
  </si>
  <si>
    <t>Basic EPS (USD)</t>
  </si>
  <si>
    <t>Diluted EPS (USD)</t>
  </si>
  <si>
    <t>Assets</t>
  </si>
  <si>
    <t>NO</t>
  </si>
  <si>
    <t>Cash and cash equivalents</t>
  </si>
  <si>
    <t>Not required for DCF</t>
  </si>
  <si>
    <t>Marketable Securities</t>
  </si>
  <si>
    <t>O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</si>
  <si>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</si>
  <si>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</si>
  <si>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</si>
  <si>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</si>
  <si>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</si>
  <si>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Deferred tax asset</t>
  </si>
  <si>
    <t>Other long term assets</t>
  </si>
  <si>
    <t>Total Assets</t>
  </si>
  <si>
    <t>Liabilities and Equity</t>
  </si>
  <si>
    <t>Accounts payable</t>
  </si>
  <si>
    <t>Accrued expense and other current liabilities</t>
  </si>
  <si>
    <t>Finance Lease Liabilities</t>
  </si>
  <si>
    <t>Deferred revenue</t>
  </si>
  <si>
    <t>Long term debt</t>
  </si>
  <si>
    <t>Financing</t>
  </si>
  <si>
    <t>Financing Lease Liabilities</t>
  </si>
  <si>
    <t>Deferred revenue long term</t>
  </si>
  <si>
    <t>Other non current liabilities</t>
  </si>
  <si>
    <t>Total Equity</t>
  </si>
  <si>
    <t>Invested Cap</t>
  </si>
  <si>
    <t>(Inc)/dec in OWC</t>
  </si>
  <si>
    <t>Inc/(dec) in long term operating liabilities</t>
  </si>
  <si>
    <t>(Inc)/dec in long term assets</t>
  </si>
  <si>
    <t>Cash flow from operations</t>
  </si>
  <si>
    <t>(Inc)/dec in long term investments</t>
  </si>
  <si>
    <t>Purchase of new intangibles</t>
  </si>
  <si>
    <t>Cash flow from investing</t>
  </si>
  <si>
    <t>Inc/(dec) in long term debt</t>
  </si>
  <si>
    <t>Cash flow from financing</t>
  </si>
  <si>
    <t>Net change in cash</t>
  </si>
  <si>
    <t>Cash/(Short term debt) balance</t>
  </si>
  <si>
    <t>DCF Valuation(USD Millions)</t>
  </si>
  <si>
    <t>1. Calculating and checking FCFF</t>
  </si>
  <si>
    <t>Sales</t>
  </si>
  <si>
    <t>NOPAT</t>
  </si>
  <si>
    <t>FCFF</t>
  </si>
  <si>
    <t>Key Ratios</t>
  </si>
  <si>
    <t>EBIT margin</t>
  </si>
  <si>
    <t>EBITDA margin</t>
  </si>
  <si>
    <t>NOPAT growth</t>
  </si>
  <si>
    <t>Invested Capital</t>
  </si>
  <si>
    <t>ROIC</t>
  </si>
  <si>
    <t>Reinvestment rate</t>
  </si>
  <si>
    <t>Implied growth rate</t>
  </si>
  <si>
    <t>2. WACC calculation</t>
  </si>
  <si>
    <t>Risk free rate</t>
  </si>
  <si>
    <t xml:space="preserve">Equity Risk Premium </t>
  </si>
  <si>
    <t>Beta</t>
  </si>
  <si>
    <t>Cost of equity (Ke)</t>
  </si>
  <si>
    <t>Spread over risk free rate</t>
  </si>
  <si>
    <t>Kd</t>
  </si>
  <si>
    <t>Marginal Tax Rate</t>
  </si>
  <si>
    <t>Post tax cost of debt</t>
  </si>
  <si>
    <t>Total Debt</t>
  </si>
  <si>
    <t>Share Price (USD)</t>
  </si>
  <si>
    <t>Diluted number of shares</t>
  </si>
  <si>
    <t>Market Capitalization</t>
  </si>
  <si>
    <t>Total Capital</t>
  </si>
  <si>
    <t>% of Debt</t>
  </si>
  <si>
    <t>% of Equity</t>
  </si>
  <si>
    <t>WACC</t>
  </si>
  <si>
    <t>3. Terminal Value</t>
  </si>
  <si>
    <t>Terminal year growth rate</t>
  </si>
  <si>
    <t>Terminal year EBITDA multiple</t>
  </si>
  <si>
    <t>Terminal value using growing perpetuity formula</t>
  </si>
  <si>
    <t>Implied TV multiple</t>
  </si>
  <si>
    <t>4. Discounting</t>
  </si>
  <si>
    <t>Year Count</t>
  </si>
  <si>
    <t>PV of cash flows</t>
  </si>
  <si>
    <t>5. Calculating EV and Equity Value</t>
  </si>
  <si>
    <t>Growing Perpetuity Method</t>
  </si>
  <si>
    <t>Sum of PV of forecasted cash flows</t>
  </si>
  <si>
    <t>PV of terminal value</t>
  </si>
  <si>
    <t>Enterprise Value</t>
  </si>
  <si>
    <t>Add cash</t>
  </si>
  <si>
    <t>Add Investments</t>
  </si>
  <si>
    <t>Less Debt</t>
  </si>
  <si>
    <t>Equity value</t>
  </si>
  <si>
    <t>Share price USD</t>
  </si>
  <si>
    <t>Perpetuity Growth Method</t>
  </si>
  <si>
    <t>6. Sensitivity Analysis</t>
  </si>
  <si>
    <t>1. Share Price Sensitivity</t>
  </si>
  <si>
    <t>LT growth rate</t>
  </si>
  <si>
    <t>wacc</t>
  </si>
  <si>
    <t>Particulars</t>
  </si>
  <si>
    <t>31-Dec-21</t>
  </si>
  <si>
    <t>31-Dec-22</t>
  </si>
  <si>
    <t>31-Dec-23</t>
  </si>
  <si>
    <t>31-Dec-24</t>
  </si>
  <si>
    <t>31-Dec-25</t>
  </si>
  <si>
    <t>31-Dec-26</t>
  </si>
  <si>
    <t>31-Dec-27</t>
  </si>
  <si>
    <t>31-Dec-28</t>
  </si>
  <si>
    <t>Calculating EV and Equity Value</t>
  </si>
  <si>
    <t>2021</t>
  </si>
  <si>
    <t>2022</t>
  </si>
  <si>
    <t>2023</t>
  </si>
  <si>
    <t>Cash Cycle</t>
  </si>
  <si>
    <t>FY 2018</t>
  </si>
  <si>
    <t>FY 2019</t>
  </si>
  <si>
    <t>FY 2020</t>
  </si>
  <si>
    <t>FY 2021</t>
  </si>
  <si>
    <t>FY 2022</t>
  </si>
  <si>
    <t>FY 2023</t>
  </si>
  <si>
    <t>Delta Sales</t>
  </si>
  <si>
    <t>Delta Net Income</t>
  </si>
  <si>
    <t>Operating Leverage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</si>
</sst>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#,##0.0_);\(#,##0.0\);0.0_);@_)"/>
    <numFmt numFmtId="165" formatCode="0.0%_);\(0.0%\)"/>
    <numFmt numFmtId="166" formatCode="#,##0.0\ \x_);\(#,##0.0\ \x\)"/>
    <numFmt numFmtId="167" formatCode="#,##0.00_);\(#,##0.00\);0.00_);@_)"/>
    <numFmt numFmtId="168" formatCode="0.0%"/>
    <numFmt numFmtId="169" formatCode="#,##0.0_);\(#,##0.0\)"/>
    <numFmt numFmtId="170" formatCode="0.00%;\(0.00%\)"/>
    <numFmt numFmtId="171" formatCode="0.000%"/>
    <numFmt numFmtId="172" formatCode="#,##0.000_);\(#,##0.000\);0.000_);@_)"/>
    <numFmt numFmtId="173" formatCode="0.000%_);\(0.000%\)"/>
    <numFmt numFmtId="174" formatCode="0.0000%_);\(0.0000%\)"/>
  </numFmts>
  <fonts count="2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6"/>
      <color theme="0"/>
      <name val="Arial"/>
      <family val="2"/>
    </font>
    <font>
      <sz val="16"/>
      <color rgb="FF000000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u/>
      <sz val="10"/>
      <color theme="1"/>
      <name val="Arial"/>
      <family val="2"/>
    </font>
    <font>
      <sz val="6"/>
      <color rgb="FF232323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0"/>
      <name val="Calibri Light"/>
      <family val="2"/>
      <scheme val="major"/>
    </font>
    <font>
      <b/>
      <sz val="10"/>
      <color rgb="FF00B05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164" fontId="0" fillId="0" borderId="0"/>
    <xf numFmtId="9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5" fillId="3" borderId="1" applyNumberFormat="0" applyAlignment="0" applyProtection="0"/>
    <xf numFmtId="164" fontId="5" fillId="0" borderId="0" applyNumberFormat="0" applyFill="0" applyBorder="0" applyAlignment="0" applyProtection="0"/>
    <xf numFmtId="1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13" fillId="0" borderId="0" applyFont="0" applyFill="0" applyBorder="0" applyAlignment="0"/>
    <xf numFmtId="164" fontId="13" fillId="0" borderId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6" fillId="0" borderId="0" applyNumberFormat="0" applyFill="0" applyBorder="0" applyAlignment="0" applyProtection="0"/>
    <xf numFmtId="164" fontId="16" fillId="4" borderId="1" applyNumberFormat="0" applyAlignment="0" applyProtection="0"/>
    <xf numFmtId="15" fontId="13" fillId="0" borderId="0" applyFont="0" applyFill="0" applyBorder="0" applyAlignment="0" applyProtection="0"/>
    <xf numFmtId="170" fontId="16" fillId="0" borderId="0" applyNumberFormat="0" applyFill="0" applyBorder="0" applyAlignment="0" applyProtection="0"/>
    <xf numFmtId="169" fontId="13" fillId="0" borderId="0" applyFont="0" applyFill="0" applyBorder="0" applyAlignment="0"/>
    <xf numFmtId="165" fontId="13" fillId="0" borderId="0" applyFont="0" applyFill="0" applyBorder="0" applyAlignment="0" applyProtection="0"/>
    <xf numFmtId="169" fontId="16" fillId="0" borderId="0" applyNumberFormat="0" applyFill="0" applyBorder="0" applyAlignment="0" applyProtection="0"/>
  </cellStyleXfs>
  <cellXfs count="140">
    <xf numFmtId="164" fontId="0" fillId="0" borderId="0" xfId="0"/>
    <xf numFmtId="164" fontId="0" fillId="2" borderId="0" xfId="0" applyFill="1"/>
    <xf numFmtId="164" fontId="2" fillId="2" borderId="0" xfId="0" applyFont="1" applyFill="1"/>
    <xf numFmtId="165" fontId="0" fillId="0" borderId="0" xfId="2" applyFont="1"/>
    <xf numFmtId="164" fontId="5" fillId="3" borderId="1" xfId="3"/>
    <xf numFmtId="164" fontId="5" fillId="0" borderId="0" xfId="4"/>
    <xf numFmtId="15" fontId="0" fillId="0" borderId="0" xfId="5" applyFont="1"/>
    <xf numFmtId="164" fontId="5" fillId="0" borderId="0" xfId="4" applyFill="1"/>
    <xf numFmtId="164" fontId="5" fillId="0" borderId="0" xfId="3" applyFill="1" applyBorder="1"/>
    <xf numFmtId="15" fontId="0" fillId="0" borderId="0" xfId="5" applyFont="1" applyFill="1" applyBorder="1"/>
    <xf numFmtId="164" fontId="3" fillId="0" borderId="0" xfId="0" applyFont="1"/>
    <xf numFmtId="164" fontId="5" fillId="0" borderId="0" xfId="4" applyFill="1" applyBorder="1"/>
    <xf numFmtId="165" fontId="0" fillId="0" borderId="0" xfId="2" applyFont="1" applyFill="1" applyBorder="1"/>
    <xf numFmtId="166" fontId="0" fillId="0" borderId="0" xfId="6" applyFont="1" applyFill="1" applyBorder="1"/>
    <xf numFmtId="165" fontId="5" fillId="0" borderId="0" xfId="3" applyNumberFormat="1" applyFill="1" applyBorder="1"/>
    <xf numFmtId="15" fontId="6" fillId="2" borderId="0" xfId="5" applyFont="1" applyFill="1"/>
    <xf numFmtId="164" fontId="0" fillId="0" borderId="0" xfId="0" quotePrefix="1"/>
    <xf numFmtId="164" fontId="7" fillId="2" borderId="0" xfId="0" applyFont="1" applyFill="1"/>
    <xf numFmtId="164" fontId="6" fillId="2" borderId="0" xfId="0" applyFont="1" applyFill="1"/>
    <xf numFmtId="164" fontId="8" fillId="0" borderId="0" xfId="0" applyFont="1"/>
    <xf numFmtId="9" fontId="0" fillId="0" borderId="0" xfId="1" applyFont="1"/>
    <xf numFmtId="164" fontId="9" fillId="0" borderId="0" xfId="0" applyFont="1"/>
    <xf numFmtId="167" fontId="0" fillId="0" borderId="0" xfId="0" applyNumberFormat="1"/>
    <xf numFmtId="164" fontId="10" fillId="0" borderId="0" xfId="0" applyFont="1"/>
    <xf numFmtId="164" fontId="11" fillId="0" borderId="0" xfId="0" applyFont="1"/>
    <xf numFmtId="165" fontId="0" fillId="0" borderId="0" xfId="2" applyFont="1" applyFill="1"/>
    <xf numFmtId="165" fontId="5" fillId="3" borderId="1" xfId="2" applyFont="1" applyFill="1" applyBorder="1"/>
    <xf numFmtId="164" fontId="4" fillId="0" borderId="0" xfId="0" applyFont="1"/>
    <xf numFmtId="169" fontId="13" fillId="0" borderId="0" xfId="7" applyFill="1"/>
    <xf numFmtId="169" fontId="14" fillId="0" borderId="0" xfId="7" applyFont="1" applyFill="1"/>
    <xf numFmtId="164" fontId="13" fillId="0" borderId="0" xfId="8"/>
    <xf numFmtId="164" fontId="14" fillId="0" borderId="0" xfId="8" applyFont="1"/>
    <xf numFmtId="169" fontId="13" fillId="0" borderId="0" xfId="7" applyFont="1" applyFill="1" applyBorder="1"/>
    <xf numFmtId="164" fontId="15" fillId="0" borderId="0" xfId="8" applyFont="1"/>
    <xf numFmtId="165" fontId="13" fillId="0" borderId="0" xfId="9" applyFill="1"/>
    <xf numFmtId="169" fontId="14" fillId="0" borderId="0" xfId="7" applyFont="1" applyFill="1" applyBorder="1"/>
    <xf numFmtId="169" fontId="13" fillId="0" borderId="0" xfId="7" applyFill="1" applyBorder="1"/>
    <xf numFmtId="165" fontId="14" fillId="0" borderId="0" xfId="10" applyFont="1" applyFill="1"/>
    <xf numFmtId="169" fontId="13" fillId="0" borderId="0" xfId="7" applyFont="1" applyFill="1"/>
    <xf numFmtId="168" fontId="13" fillId="0" borderId="0" xfId="7" applyNumberFormat="1" applyFont="1" applyFill="1" applyBorder="1"/>
    <xf numFmtId="165" fontId="13" fillId="0" borderId="0" xfId="10" applyFont="1" applyFill="1"/>
    <xf numFmtId="165" fontId="13" fillId="0" borderId="0" xfId="10" applyFill="1" applyBorder="1"/>
    <xf numFmtId="164" fontId="12" fillId="0" borderId="0" xfId="0" applyFont="1"/>
    <xf numFmtId="165" fontId="14" fillId="0" borderId="0" xfId="9" applyFont="1" applyFill="1"/>
    <xf numFmtId="169" fontId="16" fillId="0" borderId="0" xfId="14" applyNumberFormat="1" applyFill="1" applyProtection="1"/>
    <xf numFmtId="165" fontId="5" fillId="3" borderId="1" xfId="3" applyNumberFormat="1" applyProtection="1"/>
    <xf numFmtId="165" fontId="5" fillId="3" borderId="1" xfId="3" applyNumberFormat="1"/>
    <xf numFmtId="167" fontId="5" fillId="0" borderId="0" xfId="4" applyNumberFormat="1"/>
    <xf numFmtId="169" fontId="16" fillId="0" borderId="0" xfId="15" applyFont="1" applyFill="1" applyBorder="1"/>
    <xf numFmtId="166" fontId="5" fillId="3" borderId="1" xfId="6" applyFont="1" applyFill="1" applyBorder="1"/>
    <xf numFmtId="166" fontId="13" fillId="0" borderId="0" xfId="6" applyFont="1" applyFill="1"/>
    <xf numFmtId="164" fontId="13" fillId="0" borderId="0" xfId="8" quotePrefix="1"/>
    <xf numFmtId="165" fontId="0" fillId="0" borderId="0" xfId="16" applyFont="1" applyFill="1"/>
    <xf numFmtId="165" fontId="5" fillId="0" borderId="0" xfId="9" applyFont="1" applyFill="1"/>
    <xf numFmtId="165" fontId="13" fillId="0" borderId="0" xfId="16" applyFill="1" applyProtection="1"/>
    <xf numFmtId="165" fontId="16" fillId="0" borderId="0" xfId="17" applyNumberFormat="1" applyFill="1" applyProtection="1"/>
    <xf numFmtId="165" fontId="0" fillId="0" borderId="0" xfId="9" applyFont="1"/>
    <xf numFmtId="164" fontId="0" fillId="0" borderId="3" xfId="0" applyBorder="1" applyAlignment="1">
      <alignment horizontal="centerContinuous"/>
    </xf>
    <xf numFmtId="164" fontId="17" fillId="0" borderId="0" xfId="0" applyFont="1"/>
    <xf numFmtId="164" fontId="13" fillId="0" borderId="4" xfId="8" applyBorder="1"/>
    <xf numFmtId="164" fontId="0" fillId="0" borderId="5" xfId="0" applyBorder="1"/>
    <xf numFmtId="164" fontId="0" fillId="0" borderId="6" xfId="0" applyBorder="1"/>
    <xf numFmtId="164" fontId="13" fillId="0" borderId="7" xfId="8" applyBorder="1"/>
    <xf numFmtId="164" fontId="0" fillId="0" borderId="2" xfId="0" applyBorder="1"/>
    <xf numFmtId="164" fontId="0" fillId="0" borderId="8" xfId="0" applyBorder="1"/>
    <xf numFmtId="164" fontId="0" fillId="0" borderId="9" xfId="0" applyBorder="1"/>
    <xf numFmtId="164" fontId="0" fillId="0" borderId="10" xfId="0" applyBorder="1"/>
    <xf numFmtId="166" fontId="13" fillId="0" borderId="4" xfId="6" applyFont="1" applyFill="1" applyBorder="1"/>
    <xf numFmtId="166" fontId="0" fillId="0" borderId="5" xfId="6" applyFont="1" applyFill="1" applyBorder="1"/>
    <xf numFmtId="166" fontId="0" fillId="0" borderId="6" xfId="6" applyFont="1" applyFill="1" applyBorder="1"/>
    <xf numFmtId="166" fontId="13" fillId="0" borderId="7" xfId="6" applyFont="1" applyFill="1" applyBorder="1"/>
    <xf numFmtId="166" fontId="0" fillId="0" borderId="2" xfId="6" applyFont="1" applyFill="1" applyBorder="1"/>
    <xf numFmtId="166" fontId="0" fillId="0" borderId="8" xfId="6" applyFont="1" applyBorder="1"/>
    <xf numFmtId="166" fontId="0" fillId="0" borderId="9" xfId="6" applyFont="1" applyBorder="1"/>
    <xf numFmtId="166" fontId="0" fillId="0" borderId="10" xfId="6" applyFont="1" applyBorder="1"/>
    <xf numFmtId="164" fontId="18" fillId="0" borderId="0" xfId="8" applyFont="1"/>
    <xf numFmtId="165" fontId="0" fillId="0" borderId="0" xfId="9" applyFont="1" applyFill="1" applyBorder="1"/>
    <xf numFmtId="164" fontId="0" fillId="5" borderId="0" xfId="0" applyFill="1"/>
    <xf numFmtId="165" fontId="19" fillId="3" borderId="1" xfId="3" applyNumberFormat="1" applyFont="1"/>
    <xf numFmtId="165" fontId="0" fillId="0" borderId="0" xfId="16" applyFont="1"/>
    <xf numFmtId="165" fontId="0" fillId="0" borderId="0" xfId="10" applyFont="1"/>
    <xf numFmtId="165" fontId="13" fillId="6" borderId="0" xfId="9" applyFill="1"/>
    <xf numFmtId="165" fontId="13" fillId="7" borderId="0" xfId="9" applyFill="1"/>
    <xf numFmtId="165" fontId="19" fillId="3" borderId="1" xfId="3" applyNumberFormat="1" applyFont="1" applyProtection="1"/>
    <xf numFmtId="10" fontId="0" fillId="0" borderId="0" xfId="1" applyNumberFormat="1" applyFont="1"/>
    <xf numFmtId="164" fontId="13" fillId="0" borderId="0" xfId="0" applyFont="1"/>
    <xf numFmtId="171" fontId="13" fillId="0" borderId="0" xfId="1" applyNumberFormat="1" applyFont="1" applyFill="1"/>
    <xf numFmtId="168" fontId="0" fillId="0" borderId="0" xfId="1" applyNumberFormat="1" applyFont="1"/>
    <xf numFmtId="164" fontId="5" fillId="0" borderId="0" xfId="0" applyFont="1"/>
    <xf numFmtId="10" fontId="0" fillId="0" borderId="0" xfId="0" applyNumberFormat="1"/>
    <xf numFmtId="10" fontId="13" fillId="0" borderId="0" xfId="1" applyNumberFormat="1" applyFont="1"/>
    <xf numFmtId="169" fontId="16" fillId="0" borderId="0" xfId="14" applyNumberFormat="1" applyFill="1" applyBorder="1" applyProtection="1"/>
    <xf numFmtId="164" fontId="0" fillId="0" borderId="0" xfId="0" applyAlignment="1">
      <alignment horizontal="centerContinuous"/>
    </xf>
    <xf numFmtId="166" fontId="13" fillId="0" borderId="0" xfId="6" applyFont="1" applyFill="1" applyBorder="1" applyProtection="1"/>
    <xf numFmtId="166" fontId="16" fillId="0" borderId="0" xfId="6" applyFont="1" applyFill="1" applyBorder="1" applyProtection="1"/>
    <xf numFmtId="165" fontId="13" fillId="0" borderId="0" xfId="9" applyFill="1" applyBorder="1"/>
    <xf numFmtId="165" fontId="5" fillId="0" borderId="0" xfId="9" applyFont="1" applyFill="1" applyBorder="1"/>
    <xf numFmtId="165" fontId="0" fillId="0" borderId="0" xfId="9" applyFont="1" applyBorder="1"/>
    <xf numFmtId="165" fontId="13" fillId="0" borderId="0" xfId="9" applyFont="1" applyFill="1" applyBorder="1"/>
    <xf numFmtId="165" fontId="13" fillId="0" borderId="0" xfId="2" applyFont="1" applyFill="1"/>
    <xf numFmtId="10" fontId="5" fillId="3" borderId="1" xfId="1" applyNumberFormat="1" applyFont="1" applyFill="1" applyBorder="1"/>
    <xf numFmtId="2" fontId="5" fillId="3" borderId="1" xfId="3" applyNumberFormat="1"/>
    <xf numFmtId="168" fontId="13" fillId="0" borderId="1" xfId="1" applyNumberFormat="1" applyFont="1" applyFill="1" applyBorder="1"/>
    <xf numFmtId="168" fontId="13" fillId="0" borderId="0" xfId="1" applyNumberFormat="1" applyFont="1" applyFill="1"/>
    <xf numFmtId="165" fontId="20" fillId="0" borderId="0" xfId="2" applyFont="1" applyFill="1"/>
    <xf numFmtId="164" fontId="20" fillId="0" borderId="0" xfId="0" applyFont="1"/>
    <xf numFmtId="10" fontId="14" fillId="0" borderId="0" xfId="1" applyNumberFormat="1" applyFont="1" applyFill="1"/>
    <xf numFmtId="165" fontId="5" fillId="0" borderId="12" xfId="2" applyFont="1" applyFill="1" applyBorder="1"/>
    <xf numFmtId="164" fontId="5" fillId="0" borderId="12" xfId="3" applyFill="1" applyBorder="1"/>
    <xf numFmtId="164" fontId="0" fillId="0" borderId="11" xfId="0" applyBorder="1"/>
    <xf numFmtId="165" fontId="5" fillId="3" borderId="13" xfId="2" applyFont="1" applyFill="1" applyBorder="1"/>
    <xf numFmtId="164" fontId="5" fillId="3" borderId="13" xfId="3" applyBorder="1"/>
    <xf numFmtId="10" fontId="5" fillId="3" borderId="13" xfId="1" applyNumberFormat="1" applyFont="1" applyFill="1" applyBorder="1"/>
    <xf numFmtId="165" fontId="5" fillId="3" borderId="14" xfId="2" applyFont="1" applyFill="1" applyBorder="1"/>
    <xf numFmtId="164" fontId="5" fillId="3" borderId="14" xfId="3" applyBorder="1"/>
    <xf numFmtId="164" fontId="0" fillId="0" borderId="14" xfId="0" applyBorder="1"/>
    <xf numFmtId="10" fontId="5" fillId="3" borderId="14" xfId="1" applyNumberFormat="1" applyFont="1" applyFill="1" applyBorder="1"/>
    <xf numFmtId="10" fontId="13" fillId="0" borderId="0" xfId="9" applyNumberFormat="1" applyFill="1"/>
    <xf numFmtId="165" fontId="5" fillId="3" borderId="0" xfId="2" applyFont="1" applyFill="1" applyBorder="1"/>
    <xf numFmtId="172" fontId="8" fillId="0" borderId="0" xfId="0" applyNumberFormat="1" applyFont="1"/>
    <xf numFmtId="2" fontId="8" fillId="0" borderId="0" xfId="0" applyNumberFormat="1" applyFont="1"/>
    <xf numFmtId="15" fontId="6" fillId="8" borderId="0" xfId="5" applyFont="1" applyFill="1"/>
    <xf numFmtId="164" fontId="21" fillId="0" borderId="0" xfId="0" applyFont="1"/>
    <xf numFmtId="43" fontId="0" fillId="0" borderId="0" xfId="0" applyNumberFormat="1"/>
    <xf numFmtId="43" fontId="22" fillId="0" borderId="0" xfId="0" applyNumberFormat="1" applyFont="1"/>
    <xf numFmtId="164" fontId="23" fillId="0" borderId="0" xfId="0" applyFont="1"/>
    <xf numFmtId="0" fontId="23" fillId="0" borderId="0" xfId="0" applyNumberFormat="1" applyFont="1"/>
    <xf numFmtId="4" fontId="23" fillId="0" borderId="0" xfId="0" applyNumberFormat="1" applyFont="1"/>
    <xf numFmtId="10" fontId="23" fillId="0" borderId="0" xfId="1" applyNumberFormat="1" applyFont="1"/>
    <xf numFmtId="164" fontId="24" fillId="0" borderId="0" xfId="8" applyFont="1"/>
    <xf numFmtId="9" fontId="24" fillId="0" borderId="0" xfId="1" applyFont="1"/>
    <xf numFmtId="2" fontId="0" fillId="0" borderId="0" xfId="0" applyNumberFormat="1"/>
    <xf numFmtId="173" fontId="13" fillId="0" borderId="0" xfId="16" applyNumberFormat="1" applyFill="1"/>
    <xf numFmtId="171" fontId="13" fillId="0" borderId="0" xfId="9" applyNumberFormat="1" applyFill="1"/>
    <xf numFmtId="164" fontId="25" fillId="0" borderId="0" xfId="0" applyFont="1"/>
    <xf numFmtId="174" fontId="13" fillId="0" borderId="0" xfId="16" applyNumberFormat="1" applyFill="1"/>
    <xf numFmtId="164" fontId="0" fillId="0" borderId="0" xfId="0" applyAlignment="1">
      <alignment horizontal="center" vertical="center"/>
    </xf>
    <xf numFmtId="164" fontId="0" fillId="0" borderId="0" xfId="0" applyAlignment="1">
      <alignment horizontal="center"/>
    </xf>
    <xf numFmtId="164" fontId="13" fillId="0" borderId="0" xfId="8" applyAlignment="1">
      <alignment horizontal="center" vertical="center"/>
    </xf>
    <xf numFmtId="164" fontId="0" fillId="0" borderId="7" xfId="0" applyBorder="1" applyAlignment="1">
      <alignment horizontal="center" vertical="center"/>
    </xf>
  </cellXfs>
  <cellStyles count="18">
    <cellStyle name="b 2" xfId="11" xr:uid="{5209A60A-0501-4850-BC2F-8E2090F817CF}"/>
    <cellStyle name="b_Nike 2009 answer (INTERNS) DCF 2" xfId="17" xr:uid="{553F46DC-B41B-4ACC-8204-D00CA1773768}"/>
    <cellStyle name="Blue" xfId="4" xr:uid="{8376AC32-0856-41BF-AF70-FE771CDA8346}"/>
    <cellStyle name="Blue 2" xfId="14" xr:uid="{6EFA01EA-F3A6-4085-B08B-44535D9B41A5}"/>
    <cellStyle name="d" xfId="13" xr:uid="{47518B5A-88A9-4105-B9A7-BC7A7D337976}"/>
    <cellStyle name="Date" xfId="5" xr:uid="{F85A7275-0179-4133-804A-ED49A9BF340F}"/>
    <cellStyle name="Input 2" xfId="12" xr:uid="{385CED4D-8E47-4E7F-9595-E51DB9679349}"/>
    <cellStyle name="Input1" xfId="3" xr:uid="{5FA6D509-9200-4CE5-A20A-1324E52ECE0A}"/>
    <cellStyle name="Multiple" xfId="6" xr:uid="{CDD90B7F-8F10-4364-91B0-95FF903A2D28}"/>
    <cellStyle name="Normal" xfId="0" builtinId="0" customBuiltin="1"/>
    <cellStyle name="Normal 2" xfId="8" xr:uid="{C19F22E3-DE1B-4B13-AE97-3786FF08B101}"/>
    <cellStyle name="Normal 2 2" xfId="7" xr:uid="{6C8CF703-73B7-4CA8-8A8C-9C15E0143701}"/>
    <cellStyle name="Normal 3" xfId="15" xr:uid="{A32A5568-07CA-4B0E-9219-8BC176719DD7}"/>
    <cellStyle name="p" xfId="9" xr:uid="{2DD407C7-4516-4C1A-B53C-3F1FACD337A6}"/>
    <cellStyle name="p 2" xfId="16" xr:uid="{DFAD4E09-132E-4EA4-8026-AE2C8E32A1D4}"/>
    <cellStyle name="Per cent" xfId="1" builtinId="5"/>
    <cellStyle name="Percent 2" xfId="10" xr:uid="{62C9A2BE-F341-412D-A126-420492CA6D77}"/>
    <cellStyle name="Percent1" xfId="2" xr:uid="{FD25F4B8-21BD-4DA3-81EA-672B73BE9617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CB855B-4A7D-F845-B39B-823C1EF3AE1C}" name="Table1" displayName="Table1" ref="A1:I11" totalsRowShown="0">
  <autoFilter ref="A1:I11" xr:uid="{E2CB855B-4A7D-F845-B39B-823C1EF3AE1C}"/>
  <tableColumns count="9">
    <tableColumn id="1" xr3:uid="{5D0A78A2-9612-574C-B580-2919D8BF5B8D}" name="Particulars"/>
    <tableColumn id="2" xr3:uid="{66CF3784-E2E2-0A40-9399-0663194A41BC}" name="31-Dec-21" dataDxfId="10"/>
    <tableColumn id="3" xr3:uid="{B1572301-A535-AD4B-946F-DD8E05C12CAD}" name="31-Dec-22" dataDxfId="9"/>
    <tableColumn id="4" xr3:uid="{7E1F9FE2-BFD1-314D-A081-E163A0C1987D}" name="31-Dec-23" dataDxfId="8"/>
    <tableColumn id="5" xr3:uid="{DEE6C125-4788-C84C-9C3A-323C994E0705}" name="31-Dec-24" dataDxfId="7"/>
    <tableColumn id="6" xr3:uid="{6D2EF8C4-700D-374C-B835-A568928E4580}" name="31-Dec-25" dataDxfId="6"/>
    <tableColumn id="7" xr3:uid="{C7105DBA-AE16-F447-8A98-562747378935}" name="31-Dec-26" dataDxfId="5"/>
    <tableColumn id="8" xr3:uid="{8230F5D7-FE1F-B248-B6F4-087FDEDD6445}" name="31-Dec-27" dataDxfId="4"/>
    <tableColumn id="9" xr3:uid="{F0D6A02B-F305-FA43-BB40-C9DE1E179678}" name="31-Dec-28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17D205-C4EE-A34D-A7ED-9C9B4A8C409F}" name="Table2" displayName="Table2" ref="K1:L11" totalsRowShown="0" headerRowDxfId="2">
  <autoFilter ref="K1:L11" xr:uid="{BE17D205-C4EE-A34D-A7ED-9C9B4A8C409F}"/>
  <tableColumns count="2">
    <tableColumn id="1" xr3:uid="{A40E1A5C-2F2F-C645-8324-0F825ACBAACF}" name="Calculating EV and Equity Value"/>
    <tableColumn id="2" xr3:uid="{108CB37E-E0AF-4040-BF97-3653A1DBDFA4}" name="Growing Perpetuity Metho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94B61D-4694-7B43-AC6C-9DAD49BD20C2}" name="Table3" displayName="Table3" ref="A14:D18" totalsRowShown="0">
  <autoFilter ref="A14:D18" xr:uid="{2294B61D-4694-7B43-AC6C-9DAD49BD20C2}"/>
  <tableColumns count="4">
    <tableColumn id="1" xr3:uid="{64978549-EB73-F045-B5C3-D2755F4D5D80}" name="Particulars"/>
    <tableColumn id="2" xr3:uid="{722383A3-D310-E54D-909D-501D43BD85AF}" name="2021"/>
    <tableColumn id="3" xr3:uid="{CEAE3ABE-46F6-984B-9E4C-1D6FC0E65396}" name="2022"/>
    <tableColumn id="4" xr3:uid="{0284E333-D5C3-A14B-8EC5-57B17700E819}" name="20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38ABBB-E780-8841-B7F6-2D90E3B07278}" name="Table5" displayName="Table5" ref="A22:G27" totalsRowShown="0" headerRowDxfId="1">
  <autoFilter ref="A22:G27" xr:uid="{4238ABBB-E780-8841-B7F6-2D90E3B07278}"/>
  <tableColumns count="7">
    <tableColumn id="1" xr3:uid="{93EAB0EB-67FA-DA42-8E46-7B9CC7DC533B}" name="Particulars" dataDxfId="0"/>
    <tableColumn id="2" xr3:uid="{F768FF5D-57F6-F447-A26F-50F6D8492394}" name="FY 2018"/>
    <tableColumn id="3" xr3:uid="{CE72866E-E08C-FB42-90E5-5C4D4E5E6B99}" name="FY 2019"/>
    <tableColumn id="4" xr3:uid="{C64A69FF-3373-4748-87C1-1BA4F515458D}" name="FY 2020"/>
    <tableColumn id="5" xr3:uid="{6307C758-192A-7E49-B1FF-F3305B7A709E}" name="FY 2021"/>
    <tableColumn id="6" xr3:uid="{D78C67D0-1B45-1F4D-B681-8C2E4343E8A3}" name="FY 2022"/>
    <tableColumn id="7" xr3:uid="{CF90FDEF-7DEA-3C42-810B-918271B85C87}" name="FY 20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7BDC-2449-4584-BE3B-AF37DEE636A8}">
  <dimension ref="A1:L18"/>
  <sheetViews>
    <sheetView zoomScale="13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baseColWidth="10" defaultColWidth="8.83203125" defaultRowHeight="13" x14ac:dyDescent="0.15"/>
  <cols>
    <col min="1" max="1" width="2.1640625" customWidth="1"/>
    <col min="2" max="2" width="43" customWidth="1"/>
    <col min="3" max="3" width="10.1640625" customWidth="1"/>
    <col min="4" max="4" width="10.83203125" customWidth="1"/>
    <col min="5" max="5" width="12.83203125" customWidth="1"/>
    <col min="6" max="6" width="12.1640625" customWidth="1"/>
    <col min="7" max="10" width="9.1640625" bestFit="1" customWidth="1"/>
    <col min="12" max="12" width="9.1640625" bestFit="1" customWidth="1"/>
  </cols>
  <sheetData>
    <row r="1" spans="1:12" s="1" customFormat="1" ht="20" x14ac:dyDescent="0.2">
      <c r="A1" s="2" t="s">
        <v>0</v>
      </c>
      <c r="C1" s="17"/>
      <c r="D1" s="17"/>
      <c r="E1" s="17"/>
      <c r="F1" s="17"/>
      <c r="G1" s="17"/>
      <c r="H1" s="17"/>
      <c r="I1" s="17"/>
      <c r="J1" s="17"/>
    </row>
    <row r="2" spans="1:12" s="1" customFormat="1" x14ac:dyDescent="0.15">
      <c r="A2" s="18" t="s">
        <v>1</v>
      </c>
      <c r="C2" s="15"/>
      <c r="D2" s="15"/>
      <c r="E2" s="15"/>
      <c r="F2" s="15"/>
      <c r="G2" s="15"/>
      <c r="H2" s="15"/>
      <c r="I2" s="15"/>
      <c r="J2" s="15"/>
    </row>
    <row r="4" spans="1:12" x14ac:dyDescent="0.15">
      <c r="F4" s="16"/>
    </row>
    <row r="6" spans="1:12" x14ac:dyDescent="0.15">
      <c r="B6" t="s">
        <v>2</v>
      </c>
      <c r="C6" t="s">
        <v>3</v>
      </c>
      <c r="D6" s="16"/>
    </row>
    <row r="7" spans="1:12" x14ac:dyDescent="0.15">
      <c r="B7" t="s">
        <v>4</v>
      </c>
      <c r="C7" s="6">
        <v>45365</v>
      </c>
    </row>
    <row r="8" spans="1:12" x14ac:dyDescent="0.15">
      <c r="B8" t="s">
        <v>5</v>
      </c>
      <c r="C8" s="4">
        <v>1</v>
      </c>
      <c r="H8" s="8"/>
      <c r="L8" s="9"/>
    </row>
    <row r="11" spans="1:12" ht="20" x14ac:dyDescent="0.2">
      <c r="G11" s="10"/>
      <c r="L11" s="11"/>
    </row>
    <row r="12" spans="1:12" x14ac:dyDescent="0.15">
      <c r="E12" s="24"/>
    </row>
    <row r="15" spans="1:12" x14ac:dyDescent="0.15">
      <c r="E15" s="24"/>
    </row>
    <row r="16" spans="1:12" x14ac:dyDescent="0.15">
      <c r="E16" s="12"/>
      <c r="G16" s="12"/>
      <c r="L16" s="13"/>
    </row>
    <row r="17" spans="5:7" x14ac:dyDescent="0.15">
      <c r="E17" s="12"/>
      <c r="G17" s="14"/>
    </row>
    <row r="18" spans="5:7" x14ac:dyDescent="0.15">
      <c r="G1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649D-13D8-40F6-85E7-BE90DAB106CC}">
  <dimension ref="A1:M43"/>
  <sheetViews>
    <sheetView zoomScale="15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5" sqref="F5"/>
    </sheetView>
  </sheetViews>
  <sheetFormatPr baseColWidth="10" defaultColWidth="8.83203125" defaultRowHeight="13" x14ac:dyDescent="0.15"/>
  <cols>
    <col min="1" max="1" width="2.1640625" customWidth="1"/>
    <col min="2" max="2" width="53.6640625" customWidth="1"/>
    <col min="3" max="3" width="10.83203125" customWidth="1"/>
    <col min="4" max="4" width="12.83203125" customWidth="1"/>
    <col min="5" max="5" width="12.1640625" customWidth="1"/>
    <col min="6" max="9" width="9.1640625" bestFit="1" customWidth="1"/>
    <col min="11" max="11" width="9.1640625" bestFit="1" customWidth="1"/>
  </cols>
  <sheetData>
    <row r="1" spans="1:11" s="1" customFormat="1" ht="20" x14ac:dyDescent="0.2">
      <c r="A1" s="2" t="s">
        <v>0</v>
      </c>
      <c r="C1" s="17" t="s">
        <v>6</v>
      </c>
      <c r="D1" s="17" t="s">
        <v>6</v>
      </c>
      <c r="E1" s="17" t="s">
        <v>7</v>
      </c>
      <c r="F1" s="17" t="s">
        <v>8</v>
      </c>
      <c r="G1" s="17" t="s">
        <v>8</v>
      </c>
      <c r="H1" s="17" t="s">
        <v>8</v>
      </c>
      <c r="I1" s="17" t="s">
        <v>8</v>
      </c>
      <c r="J1" s="17" t="s">
        <v>8</v>
      </c>
    </row>
    <row r="2" spans="1:11" s="1" customFormat="1" x14ac:dyDescent="0.15">
      <c r="A2" s="18" t="s">
        <v>1</v>
      </c>
      <c r="C2" s="15">
        <f>DATE(YEAR(D2)-1,MONTH(D2),DAY(D2))</f>
        <v>44561</v>
      </c>
      <c r="D2" s="15">
        <v>44926</v>
      </c>
      <c r="E2" s="15">
        <f t="shared" ref="E2:J2" si="0">DATE(YEAR(D2)+1,MONTH(D2),DAY(D2))</f>
        <v>45291</v>
      </c>
      <c r="F2" s="15">
        <f t="shared" si="0"/>
        <v>45657</v>
      </c>
      <c r="G2" s="15">
        <f t="shared" si="0"/>
        <v>46022</v>
      </c>
      <c r="H2" s="15">
        <f t="shared" si="0"/>
        <v>46387</v>
      </c>
      <c r="I2" s="15">
        <f t="shared" si="0"/>
        <v>46752</v>
      </c>
      <c r="J2" s="15">
        <f t="shared" si="0"/>
        <v>47118</v>
      </c>
    </row>
    <row r="3" spans="1:11" x14ac:dyDescent="0.15">
      <c r="A3" s="21" t="s">
        <v>9</v>
      </c>
    </row>
    <row r="4" spans="1:11" x14ac:dyDescent="0.15">
      <c r="B4" t="s">
        <v>10</v>
      </c>
      <c r="C4" s="12"/>
      <c r="D4" s="12">
        <f>IS!D3/IS!C3-1</f>
        <v>-0.24258790295986121</v>
      </c>
      <c r="E4" s="12">
        <f>IS!E3/IS!D3-1</f>
        <v>7.7573955261277083E-2</v>
      </c>
      <c r="F4" s="113">
        <v>7.0000000000000007E-2</v>
      </c>
      <c r="G4" s="110">
        <v>0.06</v>
      </c>
      <c r="H4" s="26">
        <v>0.05</v>
      </c>
      <c r="I4" s="26">
        <v>0.04</v>
      </c>
      <c r="J4" s="118">
        <v>0.03</v>
      </c>
    </row>
    <row r="5" spans="1:11" x14ac:dyDescent="0.15">
      <c r="B5" t="s">
        <v>11</v>
      </c>
      <c r="C5" s="25">
        <f>IS!C4/IS!C3</f>
        <v>0.11032435896638189</v>
      </c>
      <c r="D5" s="25">
        <f>IS!D4/IS!D3</f>
        <v>6.5719754536716801E-2</v>
      </c>
      <c r="E5" s="25">
        <f>IS!E4/IS!E3</f>
        <v>7.1059372427042355E-2</v>
      </c>
      <c r="F5" s="113">
        <f t="shared" ref="F5:J6" si="1">E5</f>
        <v>7.1059372427042355E-2</v>
      </c>
      <c r="G5" s="110">
        <f t="shared" si="1"/>
        <v>7.1059372427042355E-2</v>
      </c>
      <c r="H5" s="26">
        <f t="shared" si="1"/>
        <v>7.1059372427042355E-2</v>
      </c>
      <c r="I5" s="26">
        <f t="shared" si="1"/>
        <v>7.1059372427042355E-2</v>
      </c>
      <c r="J5" s="26">
        <f t="shared" si="1"/>
        <v>7.1059372427042355E-2</v>
      </c>
    </row>
    <row r="6" spans="1:11" x14ac:dyDescent="0.15">
      <c r="B6" t="s">
        <v>12</v>
      </c>
      <c r="C6" s="25">
        <f>IS!C8/IS!C3</f>
        <v>-0.15488716190571003</v>
      </c>
      <c r="D6" s="25">
        <f>IS!D8/IS!D3</f>
        <v>-0.23628716246744821</v>
      </c>
      <c r="E6" s="25">
        <f>IS!E8/IS!E3</f>
        <v>-0.26796877382368189</v>
      </c>
      <c r="F6" s="113">
        <f t="shared" si="1"/>
        <v>-0.26796877382368189</v>
      </c>
      <c r="G6" s="110">
        <f t="shared" si="1"/>
        <v>-0.26796877382368189</v>
      </c>
      <c r="H6" s="26">
        <f t="shared" si="1"/>
        <v>-0.26796877382368189</v>
      </c>
      <c r="I6" s="26">
        <f t="shared" si="1"/>
        <v>-0.26796877382368189</v>
      </c>
      <c r="J6" s="26">
        <f t="shared" si="1"/>
        <v>-0.26796877382368189</v>
      </c>
    </row>
    <row r="7" spans="1:11" ht="13.5" customHeight="1" x14ac:dyDescent="0.15">
      <c r="B7" t="s">
        <v>13</v>
      </c>
      <c r="C7" s="87">
        <f>IS!D14/BS!C12</f>
        <v>9.8041468037447607E-2</v>
      </c>
      <c r="D7" s="87">
        <f>IS!E14/BS!D12</f>
        <v>0.11187882009035344</v>
      </c>
      <c r="E7" s="87">
        <f ca="1">IS!F14/BS!E12</f>
        <v>0.13411497675637699</v>
      </c>
      <c r="F7" s="113">
        <f t="shared" ref="F7:J8" ca="1" si="2">E7</f>
        <v>0.13411497675637699</v>
      </c>
      <c r="G7" s="110">
        <f t="shared" ca="1" si="2"/>
        <v>0.13411497675637699</v>
      </c>
      <c r="H7" s="26">
        <f t="shared" ca="1" si="2"/>
        <v>0.13411497675637699</v>
      </c>
      <c r="I7" s="26">
        <f t="shared" ca="1" si="2"/>
        <v>0.13411497675637699</v>
      </c>
      <c r="J7" s="26">
        <f t="shared" ca="1" si="2"/>
        <v>0.13411497675637699</v>
      </c>
      <c r="K7" s="11"/>
    </row>
    <row r="8" spans="1:11" ht="13.5" customHeight="1" x14ac:dyDescent="0.15">
      <c r="B8" t="s">
        <v>14</v>
      </c>
      <c r="C8" s="87"/>
      <c r="D8" s="87"/>
      <c r="E8" s="87"/>
      <c r="F8" s="113">
        <f>E8</f>
        <v>0</v>
      </c>
      <c r="G8" s="110">
        <f t="shared" si="2"/>
        <v>0</v>
      </c>
      <c r="H8" s="26">
        <f t="shared" si="2"/>
        <v>0</v>
      </c>
      <c r="I8" s="26">
        <f t="shared" si="2"/>
        <v>0</v>
      </c>
      <c r="J8" s="26">
        <f t="shared" si="2"/>
        <v>0</v>
      </c>
      <c r="K8" s="11"/>
    </row>
    <row r="9" spans="1:11" ht="13.5" customHeight="1" x14ac:dyDescent="0.15">
      <c r="B9" t="s">
        <v>15</v>
      </c>
      <c r="C9" s="87">
        <f>IS!C7/IS!C3</f>
        <v>-0.18094538847788347</v>
      </c>
      <c r="D9" s="87">
        <f>IS!D7/IS!D3</f>
        <v>-0.31607094447502238</v>
      </c>
      <c r="E9" s="87">
        <f>IS!E7/IS!E3</f>
        <v>-0.3525981154514683</v>
      </c>
      <c r="F9" s="113">
        <f>E9</f>
        <v>-0.3525981154514683</v>
      </c>
      <c r="G9" s="110">
        <f t="shared" ref="G9:J11" si="3">F9</f>
        <v>-0.3525981154514683</v>
      </c>
      <c r="H9" s="26">
        <f t="shared" si="3"/>
        <v>-0.3525981154514683</v>
      </c>
      <c r="I9" s="26">
        <f t="shared" si="3"/>
        <v>-0.3525981154514683</v>
      </c>
      <c r="J9" s="26">
        <f t="shared" si="3"/>
        <v>-0.3525981154514683</v>
      </c>
      <c r="K9" s="11"/>
    </row>
    <row r="10" spans="1:11" ht="13.5" customHeight="1" x14ac:dyDescent="0.15">
      <c r="B10" t="s">
        <v>16</v>
      </c>
      <c r="C10" s="87">
        <f>IS!C9/IS!C3</f>
        <v>-2.8372854147352177E-3</v>
      </c>
      <c r="D10" s="87">
        <f>IS!D9/IS!D3</f>
        <v>-7.3852574160635518E-3</v>
      </c>
      <c r="E10" s="87">
        <f>IS!E9/IS!E3</f>
        <v>-1.6009514225596926E-4</v>
      </c>
      <c r="F10" s="113">
        <f>E10</f>
        <v>-1.6009514225596926E-4</v>
      </c>
      <c r="G10" s="110">
        <f t="shared" si="3"/>
        <v>-1.6009514225596926E-4</v>
      </c>
      <c r="H10" s="26">
        <f t="shared" si="3"/>
        <v>-1.6009514225596926E-4</v>
      </c>
      <c r="I10" s="26">
        <f t="shared" si="3"/>
        <v>-1.6009514225596926E-4</v>
      </c>
      <c r="J10" s="26">
        <f t="shared" si="3"/>
        <v>-1.6009514225596926E-4</v>
      </c>
      <c r="K10" s="11"/>
    </row>
    <row r="11" spans="1:11" x14ac:dyDescent="0.15">
      <c r="B11" t="s">
        <v>17</v>
      </c>
      <c r="C11">
        <f>IS!C19</f>
        <v>4.4000000000000004</v>
      </c>
      <c r="D11">
        <f>IS!D19</f>
        <v>19.3</v>
      </c>
      <c r="E11">
        <f>IS!E19</f>
        <v>-270.89999999999998</v>
      </c>
      <c r="F11" s="114">
        <f>E11</f>
        <v>-270.89999999999998</v>
      </c>
      <c r="G11" s="111">
        <f t="shared" si="3"/>
        <v>-270.89999999999998</v>
      </c>
      <c r="H11" s="4">
        <f t="shared" si="3"/>
        <v>-270.89999999999998</v>
      </c>
      <c r="I11" s="4">
        <f t="shared" si="3"/>
        <v>-270.89999999999998</v>
      </c>
      <c r="J11" s="4">
        <f t="shared" si="3"/>
        <v>-270.89999999999998</v>
      </c>
    </row>
    <row r="12" spans="1:11" x14ac:dyDescent="0.15">
      <c r="B12" t="s">
        <v>18</v>
      </c>
      <c r="C12" s="104">
        <v>0.22</v>
      </c>
      <c r="D12" s="104">
        <v>0.22</v>
      </c>
      <c r="E12" s="104">
        <v>0.22</v>
      </c>
      <c r="F12" s="113">
        <v>0.21</v>
      </c>
      <c r="G12" s="110">
        <v>0.21</v>
      </c>
      <c r="H12" s="26">
        <v>0.21</v>
      </c>
      <c r="I12" s="26">
        <v>0.21</v>
      </c>
      <c r="J12" s="26">
        <v>0.21</v>
      </c>
    </row>
    <row r="13" spans="1:11" x14ac:dyDescent="0.15">
      <c r="B13" t="s">
        <v>19</v>
      </c>
      <c r="C13" s="99">
        <f>IS!C22/IS!C20</f>
        <v>0.14128948409334918</v>
      </c>
      <c r="D13" s="99">
        <f>IS!D22/IS!D20</f>
        <v>0.1112155924089588</v>
      </c>
      <c r="E13" s="99">
        <f>IS!E22/IS!E20</f>
        <v>5.8571122076807557E-2</v>
      </c>
      <c r="F13" s="113">
        <v>0.11</v>
      </c>
      <c r="G13" s="110">
        <v>0.11</v>
      </c>
      <c r="H13" s="26">
        <v>0.11</v>
      </c>
      <c r="I13" s="26">
        <v>0.11</v>
      </c>
      <c r="J13" s="26">
        <v>0.11</v>
      </c>
    </row>
    <row r="14" spans="1:11" x14ac:dyDescent="0.15">
      <c r="B14" t="s">
        <v>20</v>
      </c>
      <c r="C14">
        <f>IS!C29</f>
        <v>105.7</v>
      </c>
      <c r="D14">
        <f>IS!D29</f>
        <v>107.1</v>
      </c>
      <c r="E14">
        <f>IS!E29</f>
        <v>106.7</v>
      </c>
      <c r="F14" s="114">
        <f t="shared" ref="F14:J15" si="4">E14</f>
        <v>106.7</v>
      </c>
      <c r="G14" s="111">
        <f t="shared" si="4"/>
        <v>106.7</v>
      </c>
      <c r="H14" s="4">
        <f t="shared" si="4"/>
        <v>106.7</v>
      </c>
      <c r="I14" s="4">
        <f t="shared" si="4"/>
        <v>106.7</v>
      </c>
      <c r="J14" s="4">
        <f t="shared" si="4"/>
        <v>106.7</v>
      </c>
    </row>
    <row r="15" spans="1:11" x14ac:dyDescent="0.15">
      <c r="B15" t="s">
        <v>21</v>
      </c>
      <c r="C15">
        <f>IS!C30</f>
        <v>112.2</v>
      </c>
      <c r="D15">
        <f>IS!D30</f>
        <v>113.5</v>
      </c>
      <c r="E15">
        <f>IS!E30</f>
        <v>113.7</v>
      </c>
      <c r="F15" s="114">
        <f t="shared" si="4"/>
        <v>113.7</v>
      </c>
      <c r="G15" s="111">
        <f t="shared" si="4"/>
        <v>113.7</v>
      </c>
      <c r="H15" s="4">
        <f t="shared" si="4"/>
        <v>113.7</v>
      </c>
      <c r="I15" s="4">
        <f t="shared" si="4"/>
        <v>113.7</v>
      </c>
      <c r="J15" s="4">
        <f t="shared" si="4"/>
        <v>113.7</v>
      </c>
    </row>
    <row r="16" spans="1:11" x14ac:dyDescent="0.15">
      <c r="A16" s="21" t="s">
        <v>22</v>
      </c>
      <c r="F16" s="115"/>
    </row>
    <row r="17" spans="1:13" x14ac:dyDescent="0.15">
      <c r="B17" t="s">
        <v>23</v>
      </c>
      <c r="C17">
        <f>(BS!C6*365)/IS!C3</f>
        <v>137.09330686859511</v>
      </c>
      <c r="D17">
        <f>(BS!D6*365)/IS!D3</f>
        <v>159.77914054991004</v>
      </c>
      <c r="E17">
        <f>(BS!E6*365)/IS!E3</f>
        <v>157.69863233007044</v>
      </c>
      <c r="F17" s="114">
        <f t="shared" ref="F17:J19" si="5">E17</f>
        <v>157.69863233007044</v>
      </c>
      <c r="G17" s="111">
        <f t="shared" si="5"/>
        <v>157.69863233007044</v>
      </c>
      <c r="H17" s="4">
        <f t="shared" si="5"/>
        <v>157.69863233007044</v>
      </c>
      <c r="I17" s="4">
        <f t="shared" si="5"/>
        <v>157.69863233007044</v>
      </c>
      <c r="J17" s="4">
        <f t="shared" si="5"/>
        <v>157.69863233007044</v>
      </c>
      <c r="M17" s="20"/>
    </row>
    <row r="18" spans="1:13" x14ac:dyDescent="0.15">
      <c r="B18" t="s">
        <v>24</v>
      </c>
      <c r="C18">
        <f>BS!C7*365/IS!C4</f>
        <v>401.68321019683043</v>
      </c>
      <c r="D18">
        <f>BS!D7*365/IS!D4</f>
        <v>1095.8668749999999</v>
      </c>
      <c r="E18">
        <f>BS!E7*365/IS!E4</f>
        <v>1010.4951185495119</v>
      </c>
      <c r="F18" s="114">
        <f t="shared" si="5"/>
        <v>1010.4951185495119</v>
      </c>
      <c r="G18" s="111">
        <f t="shared" si="5"/>
        <v>1010.4951185495119</v>
      </c>
      <c r="H18" s="4">
        <f t="shared" si="5"/>
        <v>1010.4951185495119</v>
      </c>
      <c r="I18" s="4">
        <f t="shared" si="5"/>
        <v>1010.4951185495119</v>
      </c>
      <c r="J18" s="4">
        <f t="shared" si="5"/>
        <v>1010.4951185495119</v>
      </c>
    </row>
    <row r="19" spans="1:13" x14ac:dyDescent="0.15">
      <c r="B19" t="s">
        <v>25</v>
      </c>
      <c r="C19" s="87">
        <f>(BS!C8/IS!C3)</f>
        <v>2.0682317365306718E-2</v>
      </c>
      <c r="D19" s="87">
        <f>(BS!D8/IS!D3)</f>
        <v>3.377995383187244E-2</v>
      </c>
      <c r="E19" s="87">
        <f>(BS!E8/IS!E3)</f>
        <v>2.9472753331503676E-2</v>
      </c>
      <c r="F19" s="113">
        <f t="shared" si="5"/>
        <v>2.9472753331503676E-2</v>
      </c>
      <c r="G19" s="110">
        <f t="shared" si="5"/>
        <v>2.9472753331503676E-2</v>
      </c>
      <c r="H19" s="26">
        <f t="shared" si="5"/>
        <v>2.9472753331503676E-2</v>
      </c>
      <c r="I19" s="26">
        <f t="shared" si="5"/>
        <v>2.9472753331503676E-2</v>
      </c>
      <c r="J19" s="26">
        <f t="shared" si="5"/>
        <v>2.9472753331503676E-2</v>
      </c>
    </row>
    <row r="20" spans="1:13" x14ac:dyDescent="0.15">
      <c r="B20" t="s">
        <v>26</v>
      </c>
      <c r="C20">
        <f>BS!C11</f>
        <v>6838</v>
      </c>
      <c r="D20">
        <f>BS!D11</f>
        <v>6591.8</v>
      </c>
      <c r="E20">
        <f>BS!E11</f>
        <v>5396.5</v>
      </c>
      <c r="F20" s="114"/>
      <c r="G20" s="111"/>
      <c r="H20" s="4"/>
      <c r="I20" s="4"/>
      <c r="J20" s="4"/>
    </row>
    <row r="21" spans="1:13" x14ac:dyDescent="0.15">
      <c r="B21" t="s">
        <v>27</v>
      </c>
      <c r="C21" s="3">
        <f>Calcs!C5/IS!C3</f>
        <v>3.4339864482288741E-2</v>
      </c>
      <c r="D21" s="3">
        <f>Calcs!D5/IS!D3</f>
        <v>4.8476533940145734E-2</v>
      </c>
      <c r="E21" s="3">
        <f>Calcs!E5/IS!E3</f>
        <v>5.4783032964352149E-2</v>
      </c>
      <c r="F21" s="113">
        <f>E21</f>
        <v>5.4783032964352149E-2</v>
      </c>
      <c r="G21" s="110">
        <f>F21</f>
        <v>5.4783032964352149E-2</v>
      </c>
      <c r="H21" s="26">
        <f>G21</f>
        <v>5.4783032964352149E-2</v>
      </c>
      <c r="I21" s="26">
        <f>H21</f>
        <v>5.4783032964352149E-2</v>
      </c>
      <c r="J21" s="26">
        <f>I21</f>
        <v>5.4783032964352149E-2</v>
      </c>
    </row>
    <row r="22" spans="1:13" x14ac:dyDescent="0.15">
      <c r="B22" t="s">
        <v>28</v>
      </c>
      <c r="C22">
        <f>BS!C13</f>
        <v>6.7</v>
      </c>
      <c r="D22">
        <f>BS!D13</f>
        <v>915.5</v>
      </c>
      <c r="E22">
        <f>BS!E13</f>
        <v>1038.5999999999999</v>
      </c>
      <c r="F22" s="114">
        <f>500</f>
        <v>500</v>
      </c>
      <c r="G22" s="111">
        <f>500</f>
        <v>500</v>
      </c>
      <c r="H22" s="4">
        <f>500</f>
        <v>500</v>
      </c>
      <c r="I22" s="4">
        <f>500</f>
        <v>500</v>
      </c>
      <c r="J22" s="4">
        <f>500</f>
        <v>500</v>
      </c>
    </row>
    <row r="23" spans="1:13" x14ac:dyDescent="0.15">
      <c r="B23" t="s">
        <v>29</v>
      </c>
      <c r="C23" s="84">
        <f>BS!C25/IS!C3</f>
        <v>4.5608118618441105E-3</v>
      </c>
      <c r="D23" s="84">
        <f>BS!D25/IS!D3</f>
        <v>5.7340485833285411E-3</v>
      </c>
      <c r="E23" s="84">
        <f>BS!E25/IS!E3</f>
        <v>9.6590735827768118E-3</v>
      </c>
      <c r="F23" s="116">
        <f>AVERAGE(C23:E23)</f>
        <v>6.6513113426498209E-3</v>
      </c>
      <c r="G23" s="112">
        <f>AVERAGE(D23:F23)</f>
        <v>7.3481445029183919E-3</v>
      </c>
      <c r="H23" s="100">
        <f>AVERAGE(E23:G23)</f>
        <v>7.8861764761150085E-3</v>
      </c>
      <c r="I23" s="100">
        <f>AVERAGE(F23:H23)</f>
        <v>7.2952107738944076E-3</v>
      </c>
      <c r="J23" s="100">
        <f>AVERAGE(G23:I23)</f>
        <v>7.509843917642603E-3</v>
      </c>
    </row>
    <row r="24" spans="1:13" x14ac:dyDescent="0.15">
      <c r="B24" t="s">
        <v>30</v>
      </c>
      <c r="C24" s="89">
        <f>BS!C15/IS!C3</f>
        <v>1.3445995134304398E-2</v>
      </c>
      <c r="D24" s="89">
        <f>BS!D15/IS!D3</f>
        <v>2.7635156782689414E-2</v>
      </c>
      <c r="E24" s="89">
        <f>BS!E15/IS!E3</f>
        <v>3.3856310798036165E-2</v>
      </c>
      <c r="F24" s="113">
        <v>0.02</v>
      </c>
      <c r="G24" s="110">
        <v>0.02</v>
      </c>
      <c r="H24" s="26">
        <v>0.02</v>
      </c>
      <c r="I24" s="26">
        <v>0.02</v>
      </c>
      <c r="J24" s="26">
        <v>0.02</v>
      </c>
    </row>
    <row r="25" spans="1:13" x14ac:dyDescent="0.15">
      <c r="A25" s="21" t="s">
        <v>31</v>
      </c>
      <c r="B25" s="19"/>
      <c r="F25" s="115"/>
    </row>
    <row r="26" spans="1:13" x14ac:dyDescent="0.15">
      <c r="B26" t="s">
        <v>32</v>
      </c>
      <c r="C26">
        <f>BS!C18*365/IS!C4</f>
        <v>116.10174271050703</v>
      </c>
      <c r="D26">
        <f>BS!D18*365/IS!D4</f>
        <v>268.82250000000005</v>
      </c>
      <c r="E26">
        <f>BS!E18*365/IS!E4</f>
        <v>237.53781783070485</v>
      </c>
      <c r="F26" s="114">
        <f t="shared" ref="F26:J27" si="6">E26</f>
        <v>237.53781783070485</v>
      </c>
      <c r="G26" s="111">
        <f t="shared" si="6"/>
        <v>237.53781783070485</v>
      </c>
      <c r="H26" s="4">
        <f t="shared" si="6"/>
        <v>237.53781783070485</v>
      </c>
      <c r="I26" s="4">
        <f t="shared" si="6"/>
        <v>237.53781783070485</v>
      </c>
      <c r="J26" s="4">
        <f t="shared" si="6"/>
        <v>237.53781783070485</v>
      </c>
    </row>
    <row r="27" spans="1:13" x14ac:dyDescent="0.15">
      <c r="B27" t="s">
        <v>33</v>
      </c>
      <c r="C27" s="20">
        <f>(BS!C19/IS!C3)</f>
        <v>0.13730968099205437</v>
      </c>
      <c r="D27" s="20">
        <f>(BS!D19/IS!D3)</f>
        <v>0.17039489357507248</v>
      </c>
      <c r="E27" s="20">
        <f>(BS!E19/IS!E3)</f>
        <v>0.17975635044064281</v>
      </c>
      <c r="F27" s="113">
        <f t="shared" si="6"/>
        <v>0.17975635044064281</v>
      </c>
      <c r="G27" s="110">
        <f t="shared" si="6"/>
        <v>0.17975635044064281</v>
      </c>
      <c r="H27" s="26">
        <f t="shared" si="6"/>
        <v>0.17975635044064281</v>
      </c>
      <c r="I27" s="26">
        <f t="shared" si="6"/>
        <v>0.17975635044064281</v>
      </c>
      <c r="J27" s="26">
        <f t="shared" si="6"/>
        <v>0.17975635044064281</v>
      </c>
    </row>
    <row r="28" spans="1:13" x14ac:dyDescent="0.15">
      <c r="B28" t="s">
        <v>34</v>
      </c>
      <c r="C28" s="20">
        <f>(BS!C23+BS!C24)/IS!C3</f>
        <v>0.1231979193240292</v>
      </c>
      <c r="D28" s="20">
        <f>(BS!D23+BS!D24)/IS!D3</f>
        <v>0.22191918113185849</v>
      </c>
      <c r="E28" s="20">
        <f>(BS!E23+BS!E24)/IS!E3</f>
        <v>0.20605769523983777</v>
      </c>
      <c r="F28" s="113">
        <f>E28</f>
        <v>0.20605769523983777</v>
      </c>
      <c r="G28" s="110">
        <f>AVERAGE(D28:F28)</f>
        <v>0.21134485720384466</v>
      </c>
      <c r="H28" s="26">
        <f>AVERAGE(E28:G28)</f>
        <v>0.20782008256117343</v>
      </c>
      <c r="I28" s="26">
        <f>AVERAGE(F28:H28)</f>
        <v>0.20840754500161862</v>
      </c>
      <c r="J28" s="26">
        <f>AVERAGE(G28:I28)</f>
        <v>0.20919082825554558</v>
      </c>
    </row>
    <row r="29" spans="1:13" x14ac:dyDescent="0.15">
      <c r="A29" s="21" t="s">
        <v>35</v>
      </c>
    </row>
    <row r="30" spans="1:13" x14ac:dyDescent="0.15">
      <c r="B30" t="s">
        <v>36</v>
      </c>
      <c r="C30">
        <f>Calcs!C18</f>
        <v>-1645.4</v>
      </c>
      <c r="D30">
        <f>Calcs!D18</f>
        <v>-2082.8000000000002</v>
      </c>
      <c r="E30">
        <f>Calcs!E18</f>
        <v>-2235</v>
      </c>
      <c r="F30" s="4">
        <f>E30</f>
        <v>-2235</v>
      </c>
      <c r="G30" s="4">
        <f>F30</f>
        <v>-2235</v>
      </c>
      <c r="H30" s="4">
        <f>G30</f>
        <v>-2235</v>
      </c>
      <c r="I30" s="4">
        <f>H30</f>
        <v>-2235</v>
      </c>
      <c r="J30" s="4">
        <f>I30</f>
        <v>-2235</v>
      </c>
    </row>
    <row r="31" spans="1:13" x14ac:dyDescent="0.15">
      <c r="A31" s="21" t="s">
        <v>37</v>
      </c>
      <c r="E31" s="109"/>
    </row>
    <row r="32" spans="1:13" x14ac:dyDescent="0.15">
      <c r="B32" t="s">
        <v>38</v>
      </c>
      <c r="E32" s="108">
        <f t="shared" ref="E32:J32" si="7">-3</f>
        <v>-3</v>
      </c>
      <c r="F32" s="4">
        <f t="shared" si="7"/>
        <v>-3</v>
      </c>
      <c r="G32" s="4">
        <f t="shared" si="7"/>
        <v>-3</v>
      </c>
      <c r="H32" s="4">
        <f t="shared" si="7"/>
        <v>-3</v>
      </c>
      <c r="I32" s="4">
        <f t="shared" si="7"/>
        <v>-3</v>
      </c>
      <c r="J32" s="4">
        <f t="shared" si="7"/>
        <v>-3</v>
      </c>
    </row>
    <row r="33" spans="2:10" x14ac:dyDescent="0.15">
      <c r="B33" t="s">
        <v>39</v>
      </c>
      <c r="E33" s="107">
        <v>5.5E-2</v>
      </c>
      <c r="F33" s="26">
        <v>5.5E-2</v>
      </c>
      <c r="G33" s="26">
        <v>5.5E-2</v>
      </c>
      <c r="H33" s="26">
        <v>5.5E-2</v>
      </c>
      <c r="I33" s="26">
        <v>5.5E-2</v>
      </c>
      <c r="J33" s="26">
        <v>5.5E-2</v>
      </c>
    </row>
    <row r="34" spans="2:10" x14ac:dyDescent="0.15">
      <c r="B34" t="s">
        <v>40</v>
      </c>
      <c r="E34" s="107">
        <v>5.7000000000000002E-2</v>
      </c>
      <c r="F34" s="26">
        <v>5.7000000000000002E-2</v>
      </c>
      <c r="G34" s="26">
        <v>5.7000000000000002E-2</v>
      </c>
      <c r="H34" s="26">
        <v>5.7000000000000002E-2</v>
      </c>
      <c r="I34" s="26">
        <v>5.7000000000000002E-2</v>
      </c>
      <c r="J34" s="26">
        <v>5.7000000000000002E-2</v>
      </c>
    </row>
    <row r="35" spans="2:10" x14ac:dyDescent="0.15">
      <c r="B35" t="s">
        <v>41</v>
      </c>
      <c r="E35" s="107">
        <v>0.01</v>
      </c>
      <c r="F35" s="26">
        <v>0.01</v>
      </c>
      <c r="G35" s="26">
        <v>0.01</v>
      </c>
      <c r="H35" s="26">
        <v>0.01</v>
      </c>
      <c r="I35" s="26">
        <v>0.01</v>
      </c>
      <c r="J35" s="26">
        <v>0.01</v>
      </c>
    </row>
    <row r="43" spans="2:10" x14ac:dyDescent="0.15">
      <c r="B43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8CBF-F3F5-4730-AD5A-BC99F4E756D0}">
  <dimension ref="A1:N36"/>
  <sheetViews>
    <sheetView zoomScale="15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1" sqref="E11"/>
    </sheetView>
  </sheetViews>
  <sheetFormatPr baseColWidth="10" defaultColWidth="8.83203125" defaultRowHeight="12.75" customHeight="1" x14ac:dyDescent="0.15"/>
  <cols>
    <col min="1" max="1" width="2.1640625" customWidth="1"/>
    <col min="2" max="2" width="43" customWidth="1"/>
    <col min="3" max="3" width="12.83203125" customWidth="1"/>
    <col min="4" max="4" width="12.1640625" customWidth="1"/>
    <col min="5" max="8" width="9.83203125" bestFit="1" customWidth="1"/>
    <col min="9" max="10" width="9.1640625" bestFit="1" customWidth="1"/>
  </cols>
  <sheetData>
    <row r="1" spans="1:14" s="1" customFormat="1" ht="20" x14ac:dyDescent="0.2">
      <c r="A1" s="2" t="s">
        <v>0</v>
      </c>
      <c r="C1" s="17" t="s">
        <v>6</v>
      </c>
      <c r="D1" s="17" t="s">
        <v>7</v>
      </c>
      <c r="E1" s="17" t="s">
        <v>7</v>
      </c>
      <c r="F1" s="17" t="s">
        <v>8</v>
      </c>
      <c r="G1" s="17" t="s">
        <v>8</v>
      </c>
      <c r="H1" s="17" t="s">
        <v>8</v>
      </c>
      <c r="I1" s="17" t="s">
        <v>8</v>
      </c>
      <c r="J1" s="17" t="s">
        <v>8</v>
      </c>
    </row>
    <row r="2" spans="1:14" s="1" customFormat="1" ht="13" x14ac:dyDescent="0.15">
      <c r="A2" s="18" t="s">
        <v>1</v>
      </c>
      <c r="C2" s="15">
        <v>44561</v>
      </c>
      <c r="D2" s="15">
        <f t="shared" ref="D2:J2" si="0">DATE(YEAR(C2)+1,MONTH(C2),DAY(C2))</f>
        <v>44926</v>
      </c>
      <c r="E2" s="15">
        <f t="shared" si="0"/>
        <v>45291</v>
      </c>
      <c r="F2" s="15">
        <f t="shared" si="0"/>
        <v>45657</v>
      </c>
      <c r="G2" s="15">
        <f t="shared" si="0"/>
        <v>46022</v>
      </c>
      <c r="H2" s="15">
        <f t="shared" si="0"/>
        <v>46387</v>
      </c>
      <c r="I2" s="15">
        <f t="shared" si="0"/>
        <v>46752</v>
      </c>
      <c r="J2" s="15">
        <f t="shared" si="0"/>
        <v>47118</v>
      </c>
    </row>
    <row r="3" spans="1:14" ht="13" x14ac:dyDescent="0.15">
      <c r="A3" s="21" t="s">
        <v>42</v>
      </c>
    </row>
    <row r="4" spans="1:14" ht="13" x14ac:dyDescent="0.15">
      <c r="B4" t="s">
        <v>43</v>
      </c>
      <c r="F4" s="16">
        <f>E7</f>
        <v>4146.3999999999996</v>
      </c>
      <c r="G4">
        <f ca="1">F7</f>
        <v>4359.2076603773585</v>
      </c>
      <c r="H4">
        <f ca="1">G7</f>
        <v>4589.608746329629</v>
      </c>
      <c r="I4">
        <f ca="1">H7</f>
        <v>4829.8614019947663</v>
      </c>
      <c r="J4">
        <f ca="1">I7</f>
        <v>5072.1240953697161</v>
      </c>
    </row>
    <row r="5" spans="1:14" ht="13" x14ac:dyDescent="0.15">
      <c r="B5" t="s">
        <v>44</v>
      </c>
      <c r="C5" s="88">
        <v>551.9</v>
      </c>
      <c r="D5" s="88">
        <v>590.1</v>
      </c>
      <c r="E5" s="88">
        <v>718.6</v>
      </c>
      <c r="F5">
        <f>(Assump!E21*IS!F3)</f>
        <v>768.90200000000016</v>
      </c>
      <c r="G5">
        <f>(Assump!F21*IS!G3)</f>
        <v>815.03612000000021</v>
      </c>
      <c r="H5">
        <f>(Assump!G21*IS!H3)</f>
        <v>855.78792600000031</v>
      </c>
      <c r="I5">
        <f>(Assump!H21*IS!I3)</f>
        <v>890.01944304000028</v>
      </c>
      <c r="J5">
        <f>(Assump!I21*IS!J3)</f>
        <v>916.72002633120019</v>
      </c>
    </row>
    <row r="6" spans="1:14" ht="13" x14ac:dyDescent="0.15">
      <c r="B6" t="s">
        <v>45</v>
      </c>
      <c r="F6">
        <f ca="1">E7*Assump!E7</f>
        <v>556.09433962264143</v>
      </c>
      <c r="G6">
        <f ca="1">F7*Assump!F7</f>
        <v>584.63503404772996</v>
      </c>
      <c r="H6">
        <f ca="1">G7*Assump!G7</f>
        <v>615.53527033486273</v>
      </c>
      <c r="I6">
        <f ca="1">H7*Assump!H7</f>
        <v>647.75674966505039</v>
      </c>
      <c r="J6">
        <f ca="1">I7*Assump!I7</f>
        <v>680.2478051559691</v>
      </c>
    </row>
    <row r="7" spans="1:14" ht="13" x14ac:dyDescent="0.15">
      <c r="B7" t="s">
        <v>46</v>
      </c>
      <c r="E7">
        <f>BS!E12</f>
        <v>4146.3999999999996</v>
      </c>
      <c r="F7">
        <f ca="1">F4+F5-F6</f>
        <v>4359.2076603773585</v>
      </c>
      <c r="G7">
        <f ca="1">G4+G5-G6</f>
        <v>4589.608746329629</v>
      </c>
      <c r="H7">
        <f ca="1">H4+H5-H6</f>
        <v>4829.8614019947663</v>
      </c>
      <c r="I7">
        <f ca="1">I4+I5-I6</f>
        <v>5072.1240953697161</v>
      </c>
      <c r="J7">
        <f ca="1">J4+J5-J6</f>
        <v>5308.5963165449475</v>
      </c>
    </row>
    <row r="8" spans="1:14" ht="13" x14ac:dyDescent="0.15">
      <c r="J8" s="9"/>
    </row>
    <row r="9" spans="1:14" ht="13" x14ac:dyDescent="0.15">
      <c r="A9" s="21" t="s">
        <v>47</v>
      </c>
    </row>
    <row r="10" spans="1:14" ht="13" x14ac:dyDescent="0.15">
      <c r="B10" t="s">
        <v>43</v>
      </c>
      <c r="F10">
        <f>E13</f>
        <v>1038.5999999999999</v>
      </c>
      <c r="G10">
        <f>F13</f>
        <v>1038.5999999999999</v>
      </c>
      <c r="H10">
        <f>G13</f>
        <v>1038.5999999999999</v>
      </c>
      <c r="I10">
        <f>H13</f>
        <v>1038.5999999999999</v>
      </c>
      <c r="J10">
        <f>I13</f>
        <v>1038.5999999999999</v>
      </c>
      <c r="N10" s="89"/>
    </row>
    <row r="11" spans="1:14" ht="14" customHeight="1" x14ac:dyDescent="0.15">
      <c r="B11" t="s">
        <v>48</v>
      </c>
      <c r="C11" s="11">
        <v>0</v>
      </c>
      <c r="D11" s="88">
        <v>1026.8</v>
      </c>
      <c r="E11" s="88">
        <v>207.8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4" ht="13" x14ac:dyDescent="0.15">
      <c r="B12" t="s">
        <v>49</v>
      </c>
      <c r="F12">
        <f>E13*Assump!D8</f>
        <v>0</v>
      </c>
      <c r="G12">
        <f>F13*Assump!E8</f>
        <v>0</v>
      </c>
      <c r="H12">
        <f>G13*Assump!F8</f>
        <v>0</v>
      </c>
      <c r="I12">
        <f>H13*Assump!G8</f>
        <v>0</v>
      </c>
      <c r="J12">
        <f>I13*Assump!H8</f>
        <v>0</v>
      </c>
    </row>
    <row r="13" spans="1:14" ht="13" x14ac:dyDescent="0.15">
      <c r="B13" t="s">
        <v>46</v>
      </c>
      <c r="E13">
        <f>BS!E13</f>
        <v>1038.5999999999999</v>
      </c>
      <c r="F13">
        <f>F10-F12</f>
        <v>1038.5999999999999</v>
      </c>
      <c r="G13">
        <f>G10-G12</f>
        <v>1038.5999999999999</v>
      </c>
      <c r="H13">
        <f>H10-H12</f>
        <v>1038.5999999999999</v>
      </c>
      <c r="I13">
        <f>I10-I12</f>
        <v>1038.5999999999999</v>
      </c>
      <c r="J13">
        <f>J10-J12</f>
        <v>1038.5999999999999</v>
      </c>
    </row>
    <row r="15" spans="1:14" ht="13" x14ac:dyDescent="0.15">
      <c r="A15" s="21" t="s">
        <v>50</v>
      </c>
    </row>
    <row r="16" spans="1:14" ht="13" x14ac:dyDescent="0.15">
      <c r="B16" t="s">
        <v>43</v>
      </c>
      <c r="F16">
        <f>E19</f>
        <v>25973.1</v>
      </c>
      <c r="G16">
        <f>F19</f>
        <v>27254.971133999999</v>
      </c>
      <c r="H16">
        <f>G19</f>
        <v>28748.816709700001</v>
      </c>
      <c r="I16">
        <f>H19</f>
        <v>30422.018488315003</v>
      </c>
      <c r="J16">
        <f>I19</f>
        <v>32213.021212267959</v>
      </c>
    </row>
    <row r="17" spans="1:10" ht="13" x14ac:dyDescent="0.15">
      <c r="B17" t="s">
        <v>51</v>
      </c>
      <c r="C17">
        <f>IS!C23</f>
        <v>7598.2999999999984</v>
      </c>
      <c r="D17">
        <f>IS!D23</f>
        <v>4158.8</v>
      </c>
      <c r="E17">
        <f>IS!E23</f>
        <v>3949.2</v>
      </c>
      <c r="F17">
        <f>IS!F23</f>
        <v>3516.8711340000013</v>
      </c>
      <c r="G17">
        <f>IS!G23</f>
        <v>3728.8455757000002</v>
      </c>
      <c r="H17">
        <f>IS!H23</f>
        <v>3908.2017786150031</v>
      </c>
      <c r="I17">
        <f>IS!I23</f>
        <v>4026.0027239529554</v>
      </c>
      <c r="J17">
        <f>IS!J23</f>
        <v>4150.8625389727613</v>
      </c>
    </row>
    <row r="18" spans="1:10" ht="13" x14ac:dyDescent="0.15">
      <c r="B18" t="s">
        <v>52</v>
      </c>
      <c r="C18" s="7">
        <v>-1645.4</v>
      </c>
      <c r="D18" s="88">
        <v>-2082.8000000000002</v>
      </c>
      <c r="E18" s="88">
        <v>-2235</v>
      </c>
      <c r="F18">
        <f>Assump!E30</f>
        <v>-2235</v>
      </c>
      <c r="G18">
        <f>Assump!F30</f>
        <v>-2235</v>
      </c>
      <c r="H18">
        <f>Assump!G30</f>
        <v>-2235</v>
      </c>
      <c r="I18">
        <f>Assump!H30</f>
        <v>-2235</v>
      </c>
      <c r="J18">
        <f>Assump!I30</f>
        <v>-2235</v>
      </c>
    </row>
    <row r="19" spans="1:10" ht="13" x14ac:dyDescent="0.15">
      <c r="B19" t="s">
        <v>46</v>
      </c>
      <c r="D19" s="19"/>
      <c r="E19" s="19">
        <f>BS!E28</f>
        <v>25973.1</v>
      </c>
      <c r="F19" s="19">
        <f>SUM(F16:F18)</f>
        <v>27254.971133999999</v>
      </c>
      <c r="G19" s="19">
        <f>SUM(G16:G18)</f>
        <v>28748.816709700001</v>
      </c>
      <c r="H19" s="19">
        <f>SUM(H16:H18)</f>
        <v>30422.018488315003</v>
      </c>
      <c r="I19" s="19">
        <f>SUM(I16:I18)</f>
        <v>32213.021212267959</v>
      </c>
      <c r="J19" s="19">
        <f>SUM(J16:J18)</f>
        <v>34128.883751240719</v>
      </c>
    </row>
    <row r="20" spans="1:10" ht="13" x14ac:dyDescent="0.15"/>
    <row r="21" spans="1:10" ht="13" x14ac:dyDescent="0.15">
      <c r="A21" s="21" t="s">
        <v>53</v>
      </c>
    </row>
    <row r="22" spans="1:10" ht="13" x14ac:dyDescent="0.15">
      <c r="B22" t="str">
        <f>BS!B6</f>
        <v>Accounts receivable, net</v>
      </c>
      <c r="C22">
        <f>BS!C6</f>
        <v>6036.5</v>
      </c>
      <c r="D22">
        <f>BS!D6</f>
        <v>5328.7</v>
      </c>
      <c r="E22">
        <f>BS!E6</f>
        <v>5667.3</v>
      </c>
      <c r="F22">
        <f>BS!F6</f>
        <v>6064.0110000000004</v>
      </c>
      <c r="G22">
        <f>BS!G6</f>
        <v>6427.8516600000012</v>
      </c>
      <c r="H22">
        <f>BS!H6</f>
        <v>6749.244243000001</v>
      </c>
      <c r="I22">
        <f>BS!I6</f>
        <v>7019.2140127200018</v>
      </c>
      <c r="J22">
        <f>BS!J6</f>
        <v>7229.7904331016016</v>
      </c>
    </row>
    <row r="23" spans="1:10" ht="13" x14ac:dyDescent="0.15">
      <c r="B23" t="str">
        <f>BS!B7</f>
        <v>Inventories</v>
      </c>
      <c r="C23">
        <f>BS!C7</f>
        <v>1951.3</v>
      </c>
      <c r="D23">
        <f>BS!D7</f>
        <v>2401.9</v>
      </c>
      <c r="E23">
        <f>BS!E7</f>
        <v>2580.5</v>
      </c>
      <c r="F23">
        <f>BS!F7</f>
        <v>2761.1350000000002</v>
      </c>
      <c r="G23">
        <f>BS!G7</f>
        <v>2926.803100000001</v>
      </c>
      <c r="H23">
        <f>BS!H7</f>
        <v>3073.1432550000009</v>
      </c>
      <c r="I23">
        <f>BS!I7</f>
        <v>3196.068985200001</v>
      </c>
      <c r="J23">
        <f>BS!J7</f>
        <v>3291.9510547560008</v>
      </c>
    </row>
    <row r="24" spans="1:10" ht="13" x14ac:dyDescent="0.15">
      <c r="B24" t="str">
        <f>BS!B8</f>
        <v>Prepaid expenses and other current assets</v>
      </c>
      <c r="C24">
        <f>BS!C8</f>
        <v>332.4</v>
      </c>
      <c r="D24">
        <f>BS!D8</f>
        <v>411.2</v>
      </c>
      <c r="E24">
        <f>BS!E8</f>
        <v>386.6</v>
      </c>
      <c r="F24">
        <f>BS!F8</f>
        <v>413.66200000000009</v>
      </c>
      <c r="G24">
        <f>BS!G8</f>
        <v>438.48172000000011</v>
      </c>
      <c r="H24">
        <f>BS!H8</f>
        <v>460.40580600000015</v>
      </c>
      <c r="I24">
        <f>BS!I8</f>
        <v>478.82203824000015</v>
      </c>
      <c r="J24">
        <f>BS!J8</f>
        <v>493.18669938720012</v>
      </c>
    </row>
    <row r="25" spans="1:10" ht="13" x14ac:dyDescent="0.15">
      <c r="B25" t="str">
        <f>BS!B18</f>
        <v>Accounts payable</v>
      </c>
      <c r="C25">
        <f>BS!C18</f>
        <v>564</v>
      </c>
      <c r="D25">
        <f>BS!D18</f>
        <v>589.20000000000005</v>
      </c>
      <c r="E25">
        <f>BS!E18</f>
        <v>606.6</v>
      </c>
      <c r="F25">
        <f>BS!F18</f>
        <v>649.06200000000001</v>
      </c>
      <c r="G25">
        <f>BS!G18</f>
        <v>688.00572000000022</v>
      </c>
      <c r="H25">
        <f>BS!H18</f>
        <v>722.40600600000016</v>
      </c>
      <c r="I25">
        <f>BS!I18</f>
        <v>751.30224624000016</v>
      </c>
      <c r="J25">
        <f>BS!J18</f>
        <v>773.84131362720018</v>
      </c>
    </row>
    <row r="26" spans="1:10" ht="13" x14ac:dyDescent="0.15">
      <c r="B26" t="str">
        <f>BS!B19</f>
        <v>Accrued expense and other current liabilities</v>
      </c>
      <c r="C26">
        <f>BS!C19</f>
        <v>2206.8000000000002</v>
      </c>
      <c r="D26">
        <f>BS!D19</f>
        <v>2074.1999999999998</v>
      </c>
      <c r="E26">
        <f>BS!E19</f>
        <v>2357.9</v>
      </c>
      <c r="F26">
        <f>BS!F19</f>
        <v>2522.9530000000004</v>
      </c>
      <c r="G26">
        <f>BS!G19</f>
        <v>2674.3301800000004</v>
      </c>
      <c r="H26">
        <f>BS!H19</f>
        <v>2808.0466890000007</v>
      </c>
      <c r="I26">
        <f>BS!I19</f>
        <v>2920.3685565600008</v>
      </c>
      <c r="J26">
        <f>BS!J19</f>
        <v>3007.9796132568003</v>
      </c>
    </row>
    <row r="27" spans="1:10" ht="13" x14ac:dyDescent="0.15">
      <c r="B27" t="str">
        <f>BS!B21</f>
        <v>Deferred revenue</v>
      </c>
      <c r="C27">
        <f>BS!C21</f>
        <v>442</v>
      </c>
      <c r="D27">
        <f>BS!D21</f>
        <v>477.9</v>
      </c>
      <c r="E27">
        <f>BS!E21</f>
        <v>458.9</v>
      </c>
      <c r="F27">
        <f>AVERAGE(C27:E27)</f>
        <v>459.59999999999997</v>
      </c>
      <c r="G27">
        <f>F27</f>
        <v>459.59999999999997</v>
      </c>
      <c r="H27">
        <f>G27</f>
        <v>459.59999999999997</v>
      </c>
      <c r="I27">
        <f>H27</f>
        <v>459.59999999999997</v>
      </c>
      <c r="J27">
        <f>I27</f>
        <v>459.59999999999997</v>
      </c>
    </row>
    <row r="28" spans="1:10" ht="13" x14ac:dyDescent="0.15">
      <c r="B28" s="19" t="s">
        <v>54</v>
      </c>
      <c r="C28" s="19">
        <f t="shared" ref="C28:J28" si="1">SUM(C22:C24)-SUM(C25:C27)</f>
        <v>5107.4000000000005</v>
      </c>
      <c r="D28" s="19">
        <f t="shared" si="1"/>
        <v>5000.5</v>
      </c>
      <c r="E28" s="19">
        <f t="shared" si="1"/>
        <v>5211</v>
      </c>
      <c r="F28" s="19">
        <f t="shared" si="1"/>
        <v>5607.1930000000011</v>
      </c>
      <c r="G28" s="19">
        <f t="shared" si="1"/>
        <v>5971.2005800000006</v>
      </c>
      <c r="H28" s="19">
        <f t="shared" si="1"/>
        <v>6292.7406090000022</v>
      </c>
      <c r="I28" s="19">
        <f t="shared" si="1"/>
        <v>6562.8342333600012</v>
      </c>
      <c r="J28" s="19">
        <f t="shared" si="1"/>
        <v>6773.5072603608023</v>
      </c>
    </row>
    <row r="30" spans="1:10" ht="13" x14ac:dyDescent="0.15">
      <c r="A30" s="21" t="s">
        <v>55</v>
      </c>
    </row>
    <row r="31" spans="1:10" ht="13" x14ac:dyDescent="0.15">
      <c r="B31" t="s">
        <v>56</v>
      </c>
      <c r="D31">
        <f>AVERAGE(BS!C24:D24)*Assump!E34</f>
        <v>20.52</v>
      </c>
      <c r="E31">
        <f>AVERAGE(BS!D24:E24)*Assump!F34</f>
        <v>41.04</v>
      </c>
      <c r="F31">
        <f>AVERAGE(BS!E24:F24)*Assump!G34</f>
        <v>40.954500000000003</v>
      </c>
      <c r="G31">
        <f>AVERAGE(BS!F24:G24)*Assump!H34</f>
        <v>40.783500000000004</v>
      </c>
      <c r="H31">
        <f>AVERAGE(BS!G24:H24)*Assump!I34</f>
        <v>40.612500000000004</v>
      </c>
    </row>
    <row r="32" spans="1:10" ht="13" x14ac:dyDescent="0.15">
      <c r="B32" t="s">
        <v>57</v>
      </c>
      <c r="D32">
        <f>AVERAGE(BS!C23:D23)*Assump!E34</f>
        <v>112.8999</v>
      </c>
      <c r="E32">
        <f>AVERAGE(BS!D23:E23)*Assump!F34</f>
        <v>112.98255</v>
      </c>
      <c r="F32">
        <f>AVERAGE(BS!E23:F23)*Assump!G34</f>
        <v>138.93758550000001</v>
      </c>
      <c r="G32">
        <f>AVERAGE(BS!F23:G23)*Assump!H34</f>
        <v>172.0371743207256</v>
      </c>
      <c r="H32">
        <f>AVERAGE(BS!G23:H23)*Assump!I34</f>
        <v>182.13582454897957</v>
      </c>
    </row>
    <row r="33" spans="1:8" ht="13" x14ac:dyDescent="0.15">
      <c r="B33" s="19" t="s">
        <v>58</v>
      </c>
      <c r="D33" s="19">
        <f>D31+D32</f>
        <v>133.41990000000001</v>
      </c>
      <c r="E33" s="19">
        <f>E31+E32</f>
        <v>154.02255</v>
      </c>
      <c r="F33" s="19">
        <f>F31+F32</f>
        <v>179.89208550000001</v>
      </c>
      <c r="G33" s="19">
        <f>G31+G32</f>
        <v>212.8206743207256</v>
      </c>
      <c r="H33" s="19">
        <f>H31+H32</f>
        <v>222.74832454897958</v>
      </c>
    </row>
    <row r="35" spans="1:8" ht="13" x14ac:dyDescent="0.15">
      <c r="A35" s="21" t="s">
        <v>59</v>
      </c>
    </row>
    <row r="36" spans="1:8" ht="13" x14ac:dyDescent="0.15">
      <c r="B36" t="s">
        <v>59</v>
      </c>
      <c r="D36">
        <f>AVERAGE(BS!C4:D4)*Assump!E35</f>
        <v>29.9575</v>
      </c>
      <c r="E36">
        <f>AVERAGE(BS!D4:E4)*Assump!F35</f>
        <v>29.179499999999997</v>
      </c>
      <c r="F36">
        <f>AVERAGE(BS!E4:F4)*Assump!G35</f>
        <v>27.3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52ED-ED31-490B-9ED3-207BF1097098}">
  <dimension ref="A1:P53"/>
  <sheetViews>
    <sheetView zoomScale="150" zoomScaleNormal="90" workbookViewId="0">
      <pane ySplit="2" topLeftCell="A3" activePane="bottomLeft" state="frozen"/>
      <selection pane="bottomLeft" activeCell="E3" sqref="E3"/>
    </sheetView>
  </sheetViews>
  <sheetFormatPr baseColWidth="10" defaultColWidth="8.83203125" defaultRowHeight="12.75" customHeight="1" x14ac:dyDescent="0.15"/>
  <cols>
    <col min="1" max="1" width="2.1640625" customWidth="1"/>
    <col min="2" max="2" width="43" customWidth="1"/>
    <col min="3" max="4" width="11.1640625" bestFit="1" customWidth="1"/>
    <col min="5" max="5" width="12.83203125" customWidth="1"/>
    <col min="6" max="6" width="12.1640625" customWidth="1"/>
    <col min="7" max="7" width="10.1640625" bestFit="1" customWidth="1"/>
    <col min="8" max="8" width="9.83203125" bestFit="1" customWidth="1"/>
    <col min="9" max="9" width="10.83203125" customWidth="1"/>
    <col min="10" max="10" width="9.83203125" bestFit="1" customWidth="1"/>
    <col min="12" max="12" width="9.1640625" bestFit="1" customWidth="1"/>
    <col min="13" max="13" width="14.83203125" customWidth="1"/>
    <col min="16383" max="16384" width="8.83203125" bestFit="1" customWidth="1"/>
  </cols>
  <sheetData>
    <row r="1" spans="1:16" s="1" customFormat="1" ht="20" x14ac:dyDescent="0.2">
      <c r="A1" s="2" t="s">
        <v>0</v>
      </c>
      <c r="C1" s="17" t="s">
        <v>6</v>
      </c>
      <c r="D1" s="17" t="s">
        <v>6</v>
      </c>
      <c r="E1" s="17" t="s">
        <v>6</v>
      </c>
      <c r="F1" s="17" t="s">
        <v>8</v>
      </c>
      <c r="G1" s="17" t="s">
        <v>8</v>
      </c>
      <c r="H1" s="17" t="s">
        <v>8</v>
      </c>
      <c r="I1" s="17" t="s">
        <v>8</v>
      </c>
      <c r="J1" s="17" t="s">
        <v>8</v>
      </c>
    </row>
    <row r="2" spans="1:16" s="1" customFormat="1" ht="13" x14ac:dyDescent="0.15">
      <c r="A2" s="18" t="s">
        <v>1</v>
      </c>
      <c r="C2" s="15">
        <f>DATE(YEAR(D2)-1,MONTH(D2),DAY(D2))</f>
        <v>44561</v>
      </c>
      <c r="D2" s="15">
        <f>DATE(YEAR(E2)-1,MONTH(E2),DAY(E2))</f>
        <v>44926</v>
      </c>
      <c r="E2" s="15">
        <v>45291</v>
      </c>
      <c r="F2" s="15">
        <f>DATE(YEAR(E2)+1,MONTH(E2),DAY(E2))</f>
        <v>45657</v>
      </c>
      <c r="G2" s="15">
        <f>DATE(YEAR(F2)+1,MONTH(F2),DAY(F2))</f>
        <v>46022</v>
      </c>
      <c r="H2" s="15">
        <f>DATE(YEAR(G2)+1,MONTH(G2),DAY(G2))</f>
        <v>46387</v>
      </c>
      <c r="I2" s="15">
        <f>DATE(YEAR(H2)+1,MONTH(H2),DAY(H2))</f>
        <v>46752</v>
      </c>
      <c r="J2" s="15">
        <f>DATE(YEAR(I2)+1,MONTH(I2),DAY(I2))</f>
        <v>47118</v>
      </c>
    </row>
    <row r="3" spans="1:16" ht="13" x14ac:dyDescent="0.15">
      <c r="B3" t="s">
        <v>60</v>
      </c>
      <c r="C3" s="5">
        <v>16071.7</v>
      </c>
      <c r="D3" s="5">
        <v>12172.9</v>
      </c>
      <c r="E3" s="5">
        <v>13117.2</v>
      </c>
      <c r="F3">
        <f>(1+Assump!F4)*IS!E3</f>
        <v>14035.404000000002</v>
      </c>
      <c r="G3">
        <f>(1+Assump!G4)*IS!F3</f>
        <v>14877.528240000003</v>
      </c>
      <c r="H3">
        <f>(1+Assump!H4)*IS!G3</f>
        <v>15621.404652000005</v>
      </c>
      <c r="I3">
        <f>(1+Assump!I4)*IS!H3</f>
        <v>16246.260838080005</v>
      </c>
      <c r="J3">
        <f>(1+Assump!J4)*IS!I3</f>
        <v>16733.648663222404</v>
      </c>
    </row>
    <row r="4" spans="1:16" ht="13" x14ac:dyDescent="0.15">
      <c r="B4" t="s">
        <v>61</v>
      </c>
      <c r="C4" s="5">
        <v>1773.1</v>
      </c>
      <c r="D4" s="5">
        <v>800</v>
      </c>
      <c r="E4" s="5">
        <v>932.1</v>
      </c>
      <c r="F4">
        <f>Assump!F5*IS!F3</f>
        <v>997.34700000000009</v>
      </c>
      <c r="G4">
        <f>Assump!G5*IS!G3</f>
        <v>1057.1878200000003</v>
      </c>
      <c r="H4">
        <f>Assump!H5*IS!H3</f>
        <v>1110.0472110000003</v>
      </c>
      <c r="I4">
        <f>Assump!I5*IS!I3</f>
        <v>1154.4490994400003</v>
      </c>
      <c r="J4">
        <f>Assump!J5*IS!J3</f>
        <v>1189.0825724232002</v>
      </c>
    </row>
    <row r="5" spans="1:16" ht="13" x14ac:dyDescent="0.15">
      <c r="B5" s="19" t="s">
        <v>62</v>
      </c>
      <c r="C5" s="19">
        <f t="shared" ref="C5:J5" si="0">C3-C4</f>
        <v>14298.6</v>
      </c>
      <c r="D5" s="19">
        <f t="shared" si="0"/>
        <v>11372.9</v>
      </c>
      <c r="E5" s="19">
        <f t="shared" si="0"/>
        <v>12185.1</v>
      </c>
      <c r="F5" s="19">
        <f t="shared" si="0"/>
        <v>13038.057000000003</v>
      </c>
      <c r="G5" s="19">
        <f t="shared" si="0"/>
        <v>13820.340420000002</v>
      </c>
      <c r="H5" s="19">
        <f t="shared" si="0"/>
        <v>14511.357441000004</v>
      </c>
      <c r="I5" s="19">
        <f t="shared" si="0"/>
        <v>15091.811738640004</v>
      </c>
      <c r="J5" s="19">
        <f t="shared" si="0"/>
        <v>15544.566090799204</v>
      </c>
    </row>
    <row r="6" spans="1:16" ht="13" x14ac:dyDescent="0.15">
      <c r="C6" s="16"/>
      <c r="F6" s="84"/>
    </row>
    <row r="7" spans="1:16" ht="13" x14ac:dyDescent="0.15">
      <c r="B7" t="s">
        <v>63</v>
      </c>
      <c r="C7">
        <f>-2860.1-48</f>
        <v>-2908.1</v>
      </c>
      <c r="D7">
        <f>-3592.5-255</f>
        <v>-3847.5</v>
      </c>
      <c r="E7">
        <f>-(4439+186.1)</f>
        <v>-4625.1000000000004</v>
      </c>
      <c r="F7">
        <f>Assump!F9*IS!F3</f>
        <v>-4948.8570000000009</v>
      </c>
      <c r="G7">
        <f>Assump!G9*IS!G3</f>
        <v>-5245.7884200000008</v>
      </c>
      <c r="H7">
        <f>Assump!H9*IS!H3</f>
        <v>-5508.0778410000012</v>
      </c>
      <c r="I7">
        <f>Assump!I9*IS!I3</f>
        <v>-5728.4009546400021</v>
      </c>
      <c r="J7">
        <f>Assump!J9*IS!J3</f>
        <v>-5900.2529832792015</v>
      </c>
    </row>
    <row r="8" spans="1:16" ht="13" x14ac:dyDescent="0.15">
      <c r="B8" t="s">
        <v>64</v>
      </c>
      <c r="C8" s="5">
        <f>-(1824.9+664.4)</f>
        <v>-2489.3000000000002</v>
      </c>
      <c r="D8" s="5">
        <f>-(2115.9+760.4)</f>
        <v>-2876.3</v>
      </c>
      <c r="E8" s="5">
        <f>-(2631.3+883.7)</f>
        <v>-3515</v>
      </c>
      <c r="F8">
        <f>Assump!F6*IS!F3</f>
        <v>-3761.0500000000006</v>
      </c>
      <c r="G8">
        <f>Assump!G6*IS!G3</f>
        <v>-3986.7130000000011</v>
      </c>
      <c r="H8">
        <f>Assump!H6*IS!H3</f>
        <v>-4186.0486500000015</v>
      </c>
      <c r="I8">
        <f>Assump!I6*IS!I3</f>
        <v>-4353.4905960000015</v>
      </c>
      <c r="J8">
        <f>Assump!J6*IS!J3</f>
        <v>-4484.0953138800014</v>
      </c>
    </row>
    <row r="9" spans="1:16" ht="13" x14ac:dyDescent="0.15">
      <c r="B9" t="s">
        <v>65</v>
      </c>
      <c r="C9" s="5">
        <v>-45.6</v>
      </c>
      <c r="D9" s="5">
        <v>-89.9</v>
      </c>
      <c r="E9" s="5">
        <f>-2.1</f>
        <v>-2.1</v>
      </c>
      <c r="F9">
        <f>Assump!F10*IS!F3</f>
        <v>-2.2470000000000003</v>
      </c>
      <c r="G9">
        <f>Assump!G10*IS!G3</f>
        <v>-2.3818200000000003</v>
      </c>
      <c r="H9">
        <f>Assump!H10*IS!H3</f>
        <v>-2.5009110000000008</v>
      </c>
      <c r="I9">
        <f>Assump!I10*IS!I3</f>
        <v>-2.6009474400000006</v>
      </c>
      <c r="J9">
        <f>Assump!J10*IS!J3</f>
        <v>-2.6789758632000007</v>
      </c>
    </row>
    <row r="10" spans="1:16" ht="13" x14ac:dyDescent="0.15">
      <c r="B10" s="19" t="s">
        <v>66</v>
      </c>
      <c r="C10" s="19">
        <f t="shared" ref="C10:J10" si="1">C5+C8+C9+C7</f>
        <v>8855.5999999999985</v>
      </c>
      <c r="D10" s="19">
        <f t="shared" si="1"/>
        <v>4559.1999999999989</v>
      </c>
      <c r="E10" s="19">
        <f t="shared" si="1"/>
        <v>4042.8999999999996</v>
      </c>
      <c r="F10" s="19">
        <f t="shared" si="1"/>
        <v>4325.9030000000012</v>
      </c>
      <c r="G10" s="19">
        <f t="shared" si="1"/>
        <v>4585.4571799999994</v>
      </c>
      <c r="H10" s="19">
        <f t="shared" si="1"/>
        <v>4814.7300390000028</v>
      </c>
      <c r="I10" s="19">
        <f t="shared" si="1"/>
        <v>5007.3192405600012</v>
      </c>
      <c r="J10" s="19">
        <f t="shared" si="1"/>
        <v>5157.5388177768009</v>
      </c>
    </row>
    <row r="12" spans="1:16" ht="12.75" customHeight="1" x14ac:dyDescent="0.15">
      <c r="B12" t="s">
        <v>45</v>
      </c>
      <c r="C12">
        <v>282.60000000000002</v>
      </c>
      <c r="D12">
        <v>300.60000000000002</v>
      </c>
      <c r="E12">
        <v>328.8</v>
      </c>
      <c r="F12">
        <f ca="1">Calcs!F6</f>
        <v>556.09433962264143</v>
      </c>
      <c r="G12">
        <f ca="1">Calcs!G6</f>
        <v>584.63503404772996</v>
      </c>
      <c r="H12">
        <f ca="1">Calcs!H6</f>
        <v>615.53527033486273</v>
      </c>
      <c r="I12">
        <f ca="1">Calcs!I6</f>
        <v>647.75674966505039</v>
      </c>
      <c r="J12">
        <f ca="1">Calcs!J6</f>
        <v>680.2478051559691</v>
      </c>
    </row>
    <row r="13" spans="1:16" ht="12.75" customHeight="1" x14ac:dyDescent="0.15">
      <c r="B13" t="s">
        <v>67</v>
      </c>
      <c r="C13">
        <v>0</v>
      </c>
      <c r="D13">
        <f>40.8</f>
        <v>40.799999999999997</v>
      </c>
      <c r="E13">
        <v>92.2</v>
      </c>
      <c r="F13">
        <f>Calcs!F12</f>
        <v>0</v>
      </c>
      <c r="G13">
        <f>Calcs!G12</f>
        <v>0</v>
      </c>
      <c r="H13">
        <f>Calcs!H12</f>
        <v>0</v>
      </c>
      <c r="I13">
        <f>Calcs!I12</f>
        <v>0</v>
      </c>
      <c r="J13">
        <f>Calcs!J12</f>
        <v>0</v>
      </c>
    </row>
    <row r="14" spans="1:16" ht="13" x14ac:dyDescent="0.15">
      <c r="B14" t="s">
        <v>68</v>
      </c>
      <c r="C14" s="5">
        <f>SUM(C12:C13)</f>
        <v>282.60000000000002</v>
      </c>
      <c r="D14" s="5">
        <f>SUM(D12:D13)</f>
        <v>341.40000000000003</v>
      </c>
      <c r="E14" s="5">
        <f t="shared" ref="E14:J14" si="2">SUM(E12:E13)</f>
        <v>421</v>
      </c>
      <c r="F14" s="5">
        <f t="shared" ca="1" si="2"/>
        <v>556.09433962264143</v>
      </c>
      <c r="G14" s="5">
        <f t="shared" ca="1" si="2"/>
        <v>584.63503404772996</v>
      </c>
      <c r="H14" s="5">
        <f t="shared" ca="1" si="2"/>
        <v>615.53527033486273</v>
      </c>
      <c r="I14" s="5">
        <f t="shared" ca="1" si="2"/>
        <v>647.75674966505039</v>
      </c>
      <c r="J14" s="5">
        <f t="shared" ca="1" si="2"/>
        <v>680.2478051559691</v>
      </c>
    </row>
    <row r="15" spans="1:16" ht="13" x14ac:dyDescent="0.15">
      <c r="B15" s="19" t="s">
        <v>69</v>
      </c>
      <c r="C15" s="19">
        <f t="shared" ref="C15:J15" si="3">C10+C14</f>
        <v>9138.1999999999989</v>
      </c>
      <c r="D15" s="19">
        <f t="shared" si="3"/>
        <v>4900.5999999999985</v>
      </c>
      <c r="E15" s="19">
        <f t="shared" si="3"/>
        <v>4463.8999999999996</v>
      </c>
      <c r="F15" s="19">
        <f t="shared" ca="1" si="3"/>
        <v>4881.9973396226424</v>
      </c>
      <c r="G15" s="19">
        <f t="shared" ca="1" si="3"/>
        <v>5170.0922140477296</v>
      </c>
      <c r="H15" s="19">
        <f t="shared" ca="1" si="3"/>
        <v>5430.2653093348654</v>
      </c>
      <c r="I15" s="19">
        <f t="shared" ca="1" si="3"/>
        <v>5655.075990225052</v>
      </c>
      <c r="J15" s="19">
        <f t="shared" ca="1" si="3"/>
        <v>5837.7866229327701</v>
      </c>
      <c r="L15" s="89"/>
      <c r="M15" s="89"/>
      <c r="N15" s="89"/>
      <c r="O15" s="89"/>
      <c r="P15" s="89"/>
    </row>
    <row r="17" spans="1:12" ht="13" x14ac:dyDescent="0.15">
      <c r="B17" t="s">
        <v>59</v>
      </c>
      <c r="C17" s="11">
        <v>45.8</v>
      </c>
      <c r="D17" s="11">
        <v>160.1</v>
      </c>
      <c r="E17" s="11">
        <v>495.9</v>
      </c>
      <c r="F17">
        <f>IF(circ=1,Calcs!D36,0)</f>
        <v>29.9575</v>
      </c>
      <c r="G17">
        <f>IF(circ=1,Calcs!E36,0)</f>
        <v>29.179499999999997</v>
      </c>
      <c r="H17">
        <f>IF(circ=1,Calcs!F36,0)</f>
        <v>27.3</v>
      </c>
      <c r="I17">
        <f>IF(circ=1,Calcs!G36,0)</f>
        <v>0</v>
      </c>
      <c r="J17">
        <f>IF(circ=1,Calcs!H36,0)</f>
        <v>0</v>
      </c>
      <c r="L17" s="9"/>
    </row>
    <row r="18" spans="1:12" ht="13" x14ac:dyDescent="0.15">
      <c r="B18" t="s">
        <v>70</v>
      </c>
      <c r="C18" s="7">
        <v>57.3</v>
      </c>
      <c r="D18" s="7">
        <v>59.4</v>
      </c>
      <c r="E18" s="7">
        <v>73</v>
      </c>
      <c r="F18">
        <f>IF(circ=1,Calcs!D33,0)</f>
        <v>133.41990000000001</v>
      </c>
      <c r="G18">
        <f>IF(circ=1,Calcs!E33,0)</f>
        <v>154.02255</v>
      </c>
      <c r="H18">
        <f>IF(circ=1,Calcs!F33,0)</f>
        <v>179.89208550000001</v>
      </c>
      <c r="I18">
        <f>IF(circ=1,Calcs!G33,0)</f>
        <v>212.8206743207256</v>
      </c>
      <c r="J18">
        <f>IF(circ=1,Calcs!H33,0)</f>
        <v>222.74832454897958</v>
      </c>
      <c r="L18" s="9"/>
    </row>
    <row r="19" spans="1:12" ht="13" x14ac:dyDescent="0.15">
      <c r="B19" t="s">
        <v>71</v>
      </c>
      <c r="C19" s="7">
        <v>4.4000000000000004</v>
      </c>
      <c r="D19" s="7">
        <v>19.3</v>
      </c>
      <c r="E19" s="7">
        <f>152-E17+E18</f>
        <v>-270.89999999999998</v>
      </c>
      <c r="F19">
        <f>Assump!F11</f>
        <v>-270.89999999999998</v>
      </c>
      <c r="G19">
        <f>Assump!F11</f>
        <v>-270.89999999999998</v>
      </c>
      <c r="H19">
        <f>Assump!G11</f>
        <v>-270.89999999999998</v>
      </c>
      <c r="I19">
        <f>Assump!H11</f>
        <v>-270.89999999999998</v>
      </c>
      <c r="J19">
        <f>Assump!I11</f>
        <v>-270.89999999999998</v>
      </c>
      <c r="L19" s="9"/>
    </row>
    <row r="20" spans="1:12" ht="13" x14ac:dyDescent="0.15">
      <c r="B20" s="19" t="s">
        <v>72</v>
      </c>
      <c r="C20" s="19">
        <f t="shared" ref="C20:J20" si="4">C10+C17-C18+C19</f>
        <v>8848.4999999999982</v>
      </c>
      <c r="D20" s="19">
        <f t="shared" si="4"/>
        <v>4679.2</v>
      </c>
      <c r="E20" s="19">
        <f t="shared" si="4"/>
        <v>4194.8999999999996</v>
      </c>
      <c r="F20" s="19">
        <f t="shared" si="4"/>
        <v>3951.5406000000016</v>
      </c>
      <c r="G20" s="19">
        <f t="shared" si="4"/>
        <v>4189.7141300000003</v>
      </c>
      <c r="H20" s="19">
        <f t="shared" si="4"/>
        <v>4391.2379535000036</v>
      </c>
      <c r="I20" s="19">
        <f t="shared" si="4"/>
        <v>4523.5985662392759</v>
      </c>
      <c r="J20" s="19">
        <f t="shared" si="4"/>
        <v>4663.8904932278219</v>
      </c>
      <c r="L20" s="9"/>
    </row>
    <row r="22" spans="1:12" ht="13" x14ac:dyDescent="0.15">
      <c r="B22" t="s">
        <v>73</v>
      </c>
      <c r="C22" s="7">
        <v>1250.2</v>
      </c>
      <c r="D22" s="7">
        <v>520.4</v>
      </c>
      <c r="E22" s="7">
        <v>245.7</v>
      </c>
      <c r="F22">
        <f>Assump!F13*IS!F20</f>
        <v>434.66946600000017</v>
      </c>
      <c r="G22">
        <f>Assump!F13*IS!G20</f>
        <v>460.86855430000003</v>
      </c>
      <c r="H22">
        <f>Assump!G13*IS!H20</f>
        <v>483.03617488500038</v>
      </c>
      <c r="I22">
        <f>Assump!H13*IS!I20</f>
        <v>497.59584228632036</v>
      </c>
      <c r="J22">
        <f>Assump!I13*IS!J20</f>
        <v>513.02795425506042</v>
      </c>
    </row>
    <row r="23" spans="1:12" ht="13" x14ac:dyDescent="0.15">
      <c r="B23" s="19" t="s">
        <v>74</v>
      </c>
      <c r="C23" s="19">
        <f t="shared" ref="C23:J23" si="5">C20-C22</f>
        <v>7598.2999999999984</v>
      </c>
      <c r="D23" s="19">
        <f t="shared" si="5"/>
        <v>4158.8</v>
      </c>
      <c r="E23" s="19">
        <f t="shared" si="5"/>
        <v>3949.2</v>
      </c>
      <c r="F23" s="19">
        <f>F20-F22</f>
        <v>3516.8711340000013</v>
      </c>
      <c r="G23" s="19">
        <f t="shared" si="5"/>
        <v>3728.8455757000002</v>
      </c>
      <c r="H23" s="19">
        <f t="shared" si="5"/>
        <v>3908.2017786150031</v>
      </c>
      <c r="I23" s="19">
        <f t="shared" si="5"/>
        <v>4026.0027239529554</v>
      </c>
      <c r="J23" s="19">
        <f t="shared" si="5"/>
        <v>4150.8625389727613</v>
      </c>
      <c r="L23" s="11"/>
    </row>
    <row r="25" spans="1:12" ht="13" x14ac:dyDescent="0.15">
      <c r="B25" t="s">
        <v>75</v>
      </c>
      <c r="C25">
        <f>-C19*(1-Assump!C12)</f>
        <v>-3.4320000000000004</v>
      </c>
      <c r="D25">
        <f>-D19*(1-Assump!D12)</f>
        <v>-15.054</v>
      </c>
      <c r="E25">
        <f>-E19*(1-Assump!E12)</f>
        <v>211.30199999999999</v>
      </c>
      <c r="F25">
        <f>-F19*(1-Assump!F12)</f>
        <v>214.011</v>
      </c>
      <c r="G25">
        <f>-G19*(1-Assump!F12)</f>
        <v>214.011</v>
      </c>
      <c r="H25">
        <f>-H19*(1-Assump!G12)</f>
        <v>214.011</v>
      </c>
      <c r="I25">
        <f>-I19*(1-Assump!H12)</f>
        <v>214.011</v>
      </c>
      <c r="J25">
        <f>-J19*(1-Assump!I12)</f>
        <v>214.011</v>
      </c>
    </row>
    <row r="26" spans="1:12" ht="13" x14ac:dyDescent="0.15">
      <c r="B26" t="s">
        <v>76</v>
      </c>
      <c r="C26" s="19">
        <f t="shared" ref="C26:J26" si="6">C23+C25</f>
        <v>7594.8679999999986</v>
      </c>
      <c r="D26" s="19">
        <f t="shared" si="6"/>
        <v>4143.7460000000001</v>
      </c>
      <c r="E26" s="19">
        <f t="shared" si="6"/>
        <v>4160.5019999999995</v>
      </c>
      <c r="F26" s="19">
        <f t="shared" si="6"/>
        <v>3730.8821340000013</v>
      </c>
      <c r="G26" s="19">
        <f t="shared" si="6"/>
        <v>3942.8565757000001</v>
      </c>
      <c r="H26" s="19">
        <f t="shared" si="6"/>
        <v>4122.2127786150031</v>
      </c>
      <c r="I26" s="19">
        <f t="shared" si="6"/>
        <v>4240.0137239529558</v>
      </c>
      <c r="J26" s="19">
        <f t="shared" si="6"/>
        <v>4364.8735389727617</v>
      </c>
    </row>
    <row r="28" spans="1:12" ht="13" x14ac:dyDescent="0.15">
      <c r="A28" s="21" t="s">
        <v>77</v>
      </c>
    </row>
    <row r="29" spans="1:12" ht="13" x14ac:dyDescent="0.15">
      <c r="B29" t="s">
        <v>20</v>
      </c>
      <c r="C29" s="7">
        <v>105.7</v>
      </c>
      <c r="D29" s="7">
        <v>107.1</v>
      </c>
      <c r="E29" s="7">
        <v>106.7</v>
      </c>
      <c r="F29">
        <f>Assump!F14</f>
        <v>106.7</v>
      </c>
      <c r="G29">
        <f>Assump!F14</f>
        <v>106.7</v>
      </c>
      <c r="H29">
        <f>Assump!G14</f>
        <v>106.7</v>
      </c>
      <c r="I29">
        <f>Assump!H14</f>
        <v>106.7</v>
      </c>
      <c r="J29">
        <f>Assump!I14</f>
        <v>106.7</v>
      </c>
    </row>
    <row r="30" spans="1:12" ht="13" x14ac:dyDescent="0.15">
      <c r="B30" t="s">
        <v>21</v>
      </c>
      <c r="C30" s="7">
        <v>112.2</v>
      </c>
      <c r="D30" s="7">
        <v>113.5</v>
      </c>
      <c r="E30" s="7">
        <v>113.7</v>
      </c>
      <c r="F30">
        <f>Assump!F15</f>
        <v>113.7</v>
      </c>
      <c r="G30">
        <f>Assump!F15</f>
        <v>113.7</v>
      </c>
      <c r="H30">
        <f>Assump!G15</f>
        <v>113.7</v>
      </c>
      <c r="I30">
        <f>Assump!H15</f>
        <v>113.7</v>
      </c>
      <c r="J30">
        <f>Assump!I15</f>
        <v>113.7</v>
      </c>
    </row>
    <row r="31" spans="1:12" ht="13" x14ac:dyDescent="0.15">
      <c r="B31" t="s">
        <v>78</v>
      </c>
      <c r="C31" s="22">
        <f t="shared" ref="C31:J31" si="7">C26/C29</f>
        <v>71.853055818353823</v>
      </c>
      <c r="D31" s="22">
        <f t="shared" si="7"/>
        <v>38.690438842203548</v>
      </c>
      <c r="E31" s="22">
        <f t="shared" si="7"/>
        <v>38.992521087160256</v>
      </c>
      <c r="F31" s="22">
        <f t="shared" si="7"/>
        <v>34.96609310215559</v>
      </c>
      <c r="G31" s="22">
        <f t="shared" si="7"/>
        <v>36.952732668228677</v>
      </c>
      <c r="H31" s="22">
        <f t="shared" si="7"/>
        <v>38.633671777085311</v>
      </c>
      <c r="I31" s="22">
        <f t="shared" si="7"/>
        <v>39.737710627487871</v>
      </c>
      <c r="J31" s="22">
        <f t="shared" si="7"/>
        <v>40.907905707336099</v>
      </c>
    </row>
    <row r="32" spans="1:12" ht="13" x14ac:dyDescent="0.15">
      <c r="B32" t="s">
        <v>79</v>
      </c>
      <c r="C32" s="22">
        <f t="shared" ref="C32:J32" si="8">C26/C30</f>
        <v>67.690445632798557</v>
      </c>
      <c r="D32" s="22">
        <f t="shared" si="8"/>
        <v>36.508775330396475</v>
      </c>
      <c r="E32" s="22">
        <f t="shared" si="8"/>
        <v>36.591926121372026</v>
      </c>
      <c r="F32" s="22">
        <f t="shared" si="8"/>
        <v>32.813387282321912</v>
      </c>
      <c r="G32" s="22">
        <f t="shared" si="8"/>
        <v>34.67771834388742</v>
      </c>
      <c r="H32" s="22">
        <f t="shared" si="8"/>
        <v>36.255169556860182</v>
      </c>
      <c r="I32" s="22">
        <f t="shared" si="8"/>
        <v>37.291237677686503</v>
      </c>
      <c r="J32" s="22">
        <f t="shared" si="8"/>
        <v>38.389389085072665</v>
      </c>
    </row>
    <row r="34" ht="13" x14ac:dyDescent="0.15"/>
    <row r="37" ht="13" x14ac:dyDescent="0.15"/>
    <row r="38" ht="13" x14ac:dyDescent="0.15"/>
    <row r="39" ht="13" x14ac:dyDescent="0.15"/>
    <row r="40" ht="13" x14ac:dyDescent="0.15"/>
    <row r="41" ht="13" x14ac:dyDescent="0.15"/>
    <row r="42" ht="13" x14ac:dyDescent="0.15"/>
    <row r="43" ht="13" x14ac:dyDescent="0.15"/>
    <row r="45" ht="13" x14ac:dyDescent="0.15"/>
    <row r="46" ht="13" x14ac:dyDescent="0.15"/>
    <row r="47" ht="13" x14ac:dyDescent="0.15"/>
    <row r="48" ht="13" x14ac:dyDescent="0.15"/>
    <row r="52" ht="13" x14ac:dyDescent="0.15"/>
    <row r="53" ht="13" x14ac:dyDescent="0.15"/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34D3-C981-46CE-BDEB-7C47424815A7}">
  <dimension ref="A1:J31"/>
  <sheetViews>
    <sheetView zoomScale="150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4" sqref="B14"/>
    </sheetView>
  </sheetViews>
  <sheetFormatPr baseColWidth="10" defaultColWidth="8.83203125" defaultRowHeight="12.75" customHeight="1" x14ac:dyDescent="0.15"/>
  <cols>
    <col min="1" max="1" width="9.33203125" customWidth="1"/>
    <col min="2" max="2" width="43" customWidth="1"/>
    <col min="3" max="3" width="12.83203125" customWidth="1"/>
    <col min="4" max="4" width="12.1640625" customWidth="1"/>
    <col min="5" max="8" width="9.83203125" bestFit="1" customWidth="1"/>
    <col min="9" max="9" width="11.1640625" bestFit="1" customWidth="1"/>
    <col min="10" max="10" width="9.83203125" bestFit="1" customWidth="1"/>
    <col min="16383" max="16384" width="8.83203125" bestFit="1" customWidth="1"/>
  </cols>
  <sheetData>
    <row r="1" spans="1:10" s="1" customFormat="1" ht="20" x14ac:dyDescent="0.2">
      <c r="A1" s="2" t="s">
        <v>0</v>
      </c>
      <c r="C1" s="17" t="s">
        <v>6</v>
      </c>
      <c r="D1" s="17" t="s">
        <v>7</v>
      </c>
      <c r="E1" s="17" t="s">
        <v>7</v>
      </c>
      <c r="F1" s="17" t="s">
        <v>8</v>
      </c>
      <c r="G1" s="17" t="s">
        <v>8</v>
      </c>
      <c r="H1" s="17" t="s">
        <v>8</v>
      </c>
      <c r="I1" s="17" t="s">
        <v>8</v>
      </c>
      <c r="J1" s="17" t="s">
        <v>8</v>
      </c>
    </row>
    <row r="2" spans="1:10" s="1" customFormat="1" ht="13" x14ac:dyDescent="0.15">
      <c r="A2" s="18" t="s">
        <v>1</v>
      </c>
      <c r="C2" s="15">
        <v>44561</v>
      </c>
      <c r="D2" s="15">
        <f t="shared" ref="D2:J2" si="0">DATE(YEAR(C2)+1,MONTH(C2),DAY(C2))</f>
        <v>44926</v>
      </c>
      <c r="E2" s="15">
        <f t="shared" si="0"/>
        <v>45291</v>
      </c>
      <c r="F2" s="15">
        <f t="shared" si="0"/>
        <v>45657</v>
      </c>
      <c r="G2" s="15">
        <f t="shared" si="0"/>
        <v>46022</v>
      </c>
      <c r="H2" s="15">
        <f t="shared" si="0"/>
        <v>46387</v>
      </c>
      <c r="I2" s="15">
        <f t="shared" si="0"/>
        <v>46752</v>
      </c>
      <c r="J2" s="15">
        <f t="shared" si="0"/>
        <v>47118</v>
      </c>
    </row>
    <row r="3" spans="1:10" ht="13" x14ac:dyDescent="0.15">
      <c r="A3" s="23" t="s">
        <v>80</v>
      </c>
    </row>
    <row r="4" spans="1:10" ht="13" x14ac:dyDescent="0.15">
      <c r="A4" s="77" t="s">
        <v>81</v>
      </c>
      <c r="B4" t="s">
        <v>82</v>
      </c>
      <c r="C4">
        <f>2885.6</f>
        <v>2885.6</v>
      </c>
      <c r="D4">
        <f>3105.9</f>
        <v>3105.9</v>
      </c>
      <c r="E4">
        <v>2730</v>
      </c>
      <c r="F4" s="136" t="s">
        <v>83</v>
      </c>
      <c r="G4" s="136"/>
      <c r="H4" s="136"/>
      <c r="I4" s="136"/>
      <c r="J4" s="136"/>
    </row>
    <row r="5" spans="1:10" ht="13" x14ac:dyDescent="0.15">
      <c r="A5" s="77"/>
      <c r="B5" t="s">
        <v>84</v>
      </c>
      <c r="C5">
        <f>2809.1</f>
        <v>2809.1</v>
      </c>
      <c r="D5">
        <v>4636.3999999999996</v>
      </c>
      <c r="E5">
        <v>8114.8</v>
      </c>
      <c r="F5" s="136"/>
      <c r="G5" s="136"/>
      <c r="H5" s="136"/>
      <c r="I5" s="136"/>
      <c r="J5" s="136"/>
    </row>
    <row r="6" spans="1:10" ht="13" x14ac:dyDescent="0.15">
      <c r="A6" t="s">
        <v>85</v>
      </c>
      <c r="B6" t="s">
        <v>86</v>
      </c>
      <c r="C6">
        <f>6036.5</f>
        <v>6036.5</v>
      </c>
      <c r="D6">
        <v>5328.7</v>
      </c>
      <c r="E6">
        <v>5667.3</v>
      </c>
      <c r="F6">
        <f>IS!F3/365*Assump!F17</f>
        <v>6064.0110000000004</v>
      </c>
      <c r="G6">
        <f>IS!G3/365*Assump!F17</f>
        <v>6427.8516600000012</v>
      </c>
      <c r="H6">
        <f>IS!H3/365*Assump!G17</f>
        <v>6749.244243000001</v>
      </c>
      <c r="I6">
        <f>IS!I3/365*Assump!H17</f>
        <v>7019.2140127200018</v>
      </c>
      <c r="J6">
        <f>IS!J3/365*Assump!I17</f>
        <v>7229.7904331016016</v>
      </c>
    </row>
    <row r="7" spans="1:10" ht="13" x14ac:dyDescent="0.15">
      <c r="A7" t="s">
        <v>85</v>
      </c>
      <c r="B7" t="s">
        <v>87</v>
      </c>
      <c r="C7">
        <f>1951.3</f>
        <v>1951.3</v>
      </c>
      <c r="D7">
        <f>2401.9</f>
        <v>2401.9</v>
      </c>
      <c r="E7">
        <v>2580.5</v>
      </c>
      <c r="F7">
        <f>IS!F4/365*Assump!F18</f>
        <v>2761.1350000000002</v>
      </c>
      <c r="G7">
        <f>IS!G4/365*Assump!G18</f>
        <v>2926.803100000001</v>
      </c>
      <c r="H7">
        <f>IS!H4/365*Assump!H18</f>
        <v>3073.1432550000009</v>
      </c>
      <c r="I7">
        <f>IS!I4/365*Assump!I18</f>
        <v>3196.068985200001</v>
      </c>
      <c r="J7">
        <f>IS!J4/365*Assump!J18</f>
        <v>3291.9510547560008</v>
      </c>
    </row>
    <row r="8" spans="1:10" ht="13" x14ac:dyDescent="0.15">
      <c r="A8" t="s">
        <v>85</v>
      </c>
      <c r="B8" t="s">
        <v>88</v>
      </c>
      <c r="C8">
        <f>332.4</f>
        <v>332.4</v>
      </c>
      <c r="D8">
        <v>411.2</v>
      </c>
      <c r="E8">
        <v>386.6</v>
      </c>
      <c r="F8">
        <f>Assump!F19*IS!F3</f>
        <v>413.66200000000009</v>
      </c>
      <c r="G8">
        <f>Assump!G19*IS!G3</f>
        <v>438.48172000000011</v>
      </c>
      <c r="H8">
        <f>Assump!H19*IS!H3</f>
        <v>460.40580600000015</v>
      </c>
      <c r="I8">
        <f>Assump!I19*IS!I3</f>
        <v>478.82203824000015</v>
      </c>
      <c r="J8">
        <f>Assump!J19*IS!J3</f>
        <v>493.18669938720012</v>
      </c>
    </row>
    <row r="9" spans="1:10" ht="13" x14ac:dyDescent="0.15">
      <c r="B9" s="19" t="s">
        <v>89</v>
      </c>
      <c r="C9" s="19">
        <f>SUM(C4:C8)</f>
        <v>14014.9</v>
      </c>
      <c r="D9" s="19">
        <f>SUM(D4:D8)</f>
        <v>15884.1</v>
      </c>
      <c r="E9" s="19">
        <f t="shared" ref="E9:J9" si="1">SUM(E4:E8)</f>
        <v>19479.199999999997</v>
      </c>
      <c r="F9" s="19">
        <f t="shared" si="1"/>
        <v>9238.8080000000009</v>
      </c>
      <c r="G9" s="19">
        <f t="shared" si="1"/>
        <v>9793.136480000001</v>
      </c>
      <c r="H9" s="19">
        <f t="shared" si="1"/>
        <v>10282.793304000003</v>
      </c>
      <c r="I9" s="19">
        <f t="shared" si="1"/>
        <v>10694.105036160003</v>
      </c>
      <c r="J9" s="19">
        <f t="shared" si="1"/>
        <v>11014.928187244803</v>
      </c>
    </row>
    <row r="10" spans="1:10" ht="15" customHeight="1" x14ac:dyDescent="0.15"/>
    <row r="11" spans="1:10" ht="13" x14ac:dyDescent="0.15">
      <c r="A11" s="77" t="s">
        <v>81</v>
      </c>
      <c r="B11" t="s">
        <v>84</v>
      </c>
      <c r="C11">
        <v>6838</v>
      </c>
      <c r="D11">
        <v>6591.8</v>
      </c>
      <c r="E11">
        <v>5396.5</v>
      </c>
      <c r="F11" s="136" t="s">
        <v>83</v>
      </c>
      <c r="G11" s="136"/>
      <c r="H11" s="136"/>
      <c r="I11" s="136"/>
      <c r="J11" s="136"/>
    </row>
    <row r="12" spans="1:10" ht="13" x14ac:dyDescent="0.15">
      <c r="A12" t="s">
        <v>85</v>
      </c>
      <c r="B12" t="s">
        <v>90</v>
      </c>
      <c r="C12">
        <v>3482.2</v>
      </c>
      <c r="D12">
        <v>3763</v>
      </c>
      <c r="E12">
        <v>4146.3999999999996</v>
      </c>
      <c r="F12">
        <f ca="1">Calcs!F7</f>
        <v>4359.2076603773585</v>
      </c>
      <c r="G12">
        <f ca="1">Calcs!G7</f>
        <v>4589.608746329629</v>
      </c>
      <c r="H12">
        <f ca="1">Calcs!H7</f>
        <v>4829.8614019947663</v>
      </c>
      <c r="I12">
        <f ca="1">Calcs!I7</f>
        <v>5072.1240953697161</v>
      </c>
      <c r="J12">
        <f ca="1">Calcs!J7</f>
        <v>5308.5963165449475</v>
      </c>
    </row>
    <row r="13" spans="1:10" ht="13" x14ac:dyDescent="0.15">
      <c r="A13" t="s">
        <v>85</v>
      </c>
      <c r="B13" t="s">
        <v>28</v>
      </c>
      <c r="C13">
        <v>6.7</v>
      </c>
      <c r="D13">
        <v>915.5</v>
      </c>
      <c r="E13">
        <v>1038.5999999999999</v>
      </c>
      <c r="F13">
        <f>Calcs!F13</f>
        <v>1038.5999999999999</v>
      </c>
      <c r="G13">
        <f>Calcs!G13</f>
        <v>1038.5999999999999</v>
      </c>
      <c r="H13">
        <f>Calcs!H13</f>
        <v>1038.5999999999999</v>
      </c>
      <c r="I13">
        <f>Calcs!I13</f>
        <v>1038.5999999999999</v>
      </c>
      <c r="J13">
        <f>Calcs!J13</f>
        <v>1038.5999999999999</v>
      </c>
    </row>
    <row r="14" spans="1:10" ht="13" x14ac:dyDescent="0.15">
      <c r="A14" t="s">
        <v>85</v>
      </c>
      <c r="B14" t="s">
        <v>91</v>
      </c>
      <c r="C14">
        <v>876.9</v>
      </c>
      <c r="D14">
        <v>1723.7</v>
      </c>
      <c r="E14">
        <v>2575.4</v>
      </c>
      <c r="F14">
        <f>Calcs!F13</f>
        <v>1038.5999999999999</v>
      </c>
      <c r="G14">
        <f>Calcs!G13</f>
        <v>1038.5999999999999</v>
      </c>
      <c r="H14">
        <f>Calcs!H13</f>
        <v>1038.5999999999999</v>
      </c>
      <c r="I14">
        <f>Calcs!I13</f>
        <v>1038.5999999999999</v>
      </c>
      <c r="J14">
        <f>Calcs!J13</f>
        <v>1038.5999999999999</v>
      </c>
    </row>
    <row r="15" spans="1:10" ht="13" x14ac:dyDescent="0.15">
      <c r="A15" t="s">
        <v>85</v>
      </c>
      <c r="B15" t="s">
        <v>92</v>
      </c>
      <c r="C15">
        <v>216.1</v>
      </c>
      <c r="D15">
        <v>336.4</v>
      </c>
      <c r="E15">
        <v>444.1</v>
      </c>
      <c r="F15">
        <f>Assump!F24*IS!F3</f>
        <v>280.70808000000005</v>
      </c>
      <c r="G15">
        <f>Assump!G24*IS!G3</f>
        <v>297.55056480000007</v>
      </c>
      <c r="H15">
        <f>Assump!H24*IS!H3</f>
        <v>312.42809304000008</v>
      </c>
      <c r="I15">
        <f>Assump!I24*IS!I3</f>
        <v>324.9252167616001</v>
      </c>
      <c r="J15">
        <f>Assump!J24*IS!J3</f>
        <v>334.6729732644481</v>
      </c>
    </row>
    <row r="16" spans="1:10" ht="12.75" customHeight="1" x14ac:dyDescent="0.15">
      <c r="B16" t="s">
        <v>93</v>
      </c>
      <c r="C16">
        <f t="shared" ref="C16:J16" si="2">SUM(C9:C15)</f>
        <v>25434.800000000003</v>
      </c>
      <c r="D16">
        <f t="shared" si="2"/>
        <v>29214.500000000004</v>
      </c>
      <c r="E16">
        <f t="shared" si="2"/>
        <v>33080.199999999997</v>
      </c>
      <c r="F16">
        <f t="shared" ca="1" si="2"/>
        <v>15955.92374037736</v>
      </c>
      <c r="G16">
        <f t="shared" ca="1" si="2"/>
        <v>16757.49579112963</v>
      </c>
      <c r="H16">
        <f t="shared" ca="1" si="2"/>
        <v>17502.282799034772</v>
      </c>
      <c r="I16">
        <f t="shared" ca="1" si="2"/>
        <v>18168.354348291316</v>
      </c>
      <c r="J16">
        <f t="shared" ca="1" si="2"/>
        <v>18735.397477054197</v>
      </c>
    </row>
    <row r="17" spans="1:10" ht="13" x14ac:dyDescent="0.15">
      <c r="A17" s="23" t="s">
        <v>94</v>
      </c>
    </row>
    <row r="18" spans="1:10" ht="13" x14ac:dyDescent="0.15">
      <c r="A18" t="s">
        <v>85</v>
      </c>
      <c r="B18" t="s">
        <v>95</v>
      </c>
      <c r="C18">
        <v>564</v>
      </c>
      <c r="D18">
        <v>589.20000000000005</v>
      </c>
      <c r="E18">
        <v>606.6</v>
      </c>
      <c r="F18">
        <f>IS!F4/365*Assump!F26</f>
        <v>649.06200000000001</v>
      </c>
      <c r="G18">
        <f>IS!G4/365*Assump!G26</f>
        <v>688.00572000000022</v>
      </c>
      <c r="H18">
        <f>IS!H4/365*Assump!H26</f>
        <v>722.40600600000016</v>
      </c>
      <c r="I18">
        <f>IS!I4/365*Assump!I26</f>
        <v>751.30224624000016</v>
      </c>
      <c r="J18">
        <f>IS!J4/365*Assump!J26</f>
        <v>773.84131362720018</v>
      </c>
    </row>
    <row r="19" spans="1:10" ht="13" x14ac:dyDescent="0.15">
      <c r="A19" t="s">
        <v>85</v>
      </c>
      <c r="B19" t="s">
        <v>96</v>
      </c>
      <c r="C19">
        <v>2206.8000000000002</v>
      </c>
      <c r="D19">
        <v>2074.1999999999998</v>
      </c>
      <c r="E19">
        <v>2357.9</v>
      </c>
      <c r="F19">
        <f>Assump!F27*IS!F3</f>
        <v>2522.9530000000004</v>
      </c>
      <c r="G19">
        <f>Assump!G27*IS!G3</f>
        <v>2674.3301800000004</v>
      </c>
      <c r="H19">
        <f>Assump!H27*IS!H3</f>
        <v>2808.0466890000007</v>
      </c>
      <c r="I19">
        <f>Assump!I27*IS!I3</f>
        <v>2920.3685565600008</v>
      </c>
      <c r="J19">
        <f>Assump!J27*IS!J3</f>
        <v>3007.9796132568003</v>
      </c>
    </row>
    <row r="20" spans="1:10" ht="13" x14ac:dyDescent="0.15">
      <c r="B20" t="s">
        <v>97</v>
      </c>
      <c r="C20">
        <v>719.7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ht="13" x14ac:dyDescent="0.15">
      <c r="A21" t="s">
        <v>85</v>
      </c>
      <c r="B21" t="s">
        <v>98</v>
      </c>
      <c r="C21">
        <v>442</v>
      </c>
      <c r="D21">
        <v>477.9</v>
      </c>
      <c r="E21">
        <v>458.9</v>
      </c>
      <c r="F21">
        <f>AVERAGE(C21:E21)</f>
        <v>459.59999999999997</v>
      </c>
      <c r="G21">
        <f>F21</f>
        <v>459.59999999999997</v>
      </c>
      <c r="H21">
        <f>G21</f>
        <v>459.59999999999997</v>
      </c>
      <c r="I21">
        <f>H21</f>
        <v>459.59999999999997</v>
      </c>
      <c r="J21">
        <f>I21</f>
        <v>459.59999999999997</v>
      </c>
    </row>
    <row r="23" spans="1:10" ht="13" x14ac:dyDescent="0.15">
      <c r="A23" t="s">
        <v>85</v>
      </c>
      <c r="B23" t="s">
        <v>99</v>
      </c>
      <c r="C23">
        <v>1980</v>
      </c>
      <c r="D23">
        <v>1981.4</v>
      </c>
      <c r="E23">
        <v>1982.9</v>
      </c>
      <c r="F23">
        <f>Assump!F28*IS!F3</f>
        <v>2892.1030000000005</v>
      </c>
      <c r="G23">
        <f>Assump!G28*IS!G3</f>
        <v>3144.2890814289672</v>
      </c>
      <c r="H23">
        <f>Assump!H28*IS!H3</f>
        <v>3246.4416045001399</v>
      </c>
      <c r="I23">
        <f>Assump!I28*IS!I3</f>
        <v>3385.8433367201928</v>
      </c>
      <c r="J23">
        <f>Assump!J28*IS!J3</f>
        <v>3500.5258235967976</v>
      </c>
    </row>
    <row r="24" spans="1:10" ht="13" x14ac:dyDescent="0.15">
      <c r="A24" s="77" t="s">
        <v>100</v>
      </c>
      <c r="B24" t="s">
        <v>101</v>
      </c>
      <c r="C24">
        <v>0</v>
      </c>
      <c r="D24">
        <v>720</v>
      </c>
      <c r="E24">
        <v>720</v>
      </c>
      <c r="F24">
        <f>E24+Assump!F32</f>
        <v>717</v>
      </c>
      <c r="G24">
        <f>F24+Assump!G32</f>
        <v>714</v>
      </c>
      <c r="H24">
        <f>G24+Assump!H32</f>
        <v>711</v>
      </c>
      <c r="I24">
        <f>H24+Assump!I32</f>
        <v>708</v>
      </c>
      <c r="J24">
        <f>I24+Assump!J32</f>
        <v>705</v>
      </c>
    </row>
    <row r="25" spans="1:10" ht="13" x14ac:dyDescent="0.15">
      <c r="B25" t="s">
        <v>102</v>
      </c>
      <c r="C25">
        <v>73.3</v>
      </c>
      <c r="D25">
        <v>69.8</v>
      </c>
      <c r="E25">
        <v>126.7</v>
      </c>
      <c r="F25" s="85">
        <f>Assump!F23*IS!F3</f>
        <v>93.353841823872685</v>
      </c>
      <c r="G25" s="85">
        <f>Assump!G23*IS!G3</f>
        <v>109.32222735376916</v>
      </c>
      <c r="H25" s="85">
        <f>Assump!H23*IS!H3</f>
        <v>123.193153890476</v>
      </c>
      <c r="I25" s="85">
        <f>Assump!I23*IS!I3</f>
        <v>118.51989710146005</v>
      </c>
      <c r="J25" s="85">
        <f>Assump!J23*IS!J3</f>
        <v>125.66708963346905</v>
      </c>
    </row>
    <row r="26" spans="1:10" ht="13" x14ac:dyDescent="0.15">
      <c r="B26" t="s">
        <v>103</v>
      </c>
      <c r="C26">
        <v>680.2</v>
      </c>
      <c r="D26">
        <v>638</v>
      </c>
      <c r="E26">
        <v>854.1</v>
      </c>
      <c r="F26">
        <v>638</v>
      </c>
      <c r="G26">
        <v>638</v>
      </c>
      <c r="H26">
        <v>638</v>
      </c>
      <c r="I26">
        <v>638</v>
      </c>
      <c r="J26">
        <v>638</v>
      </c>
    </row>
    <row r="27" spans="1:10" ht="13" x14ac:dyDescent="0.15"/>
    <row r="28" spans="1:10" ht="13" x14ac:dyDescent="0.15">
      <c r="A28" s="77" t="s">
        <v>100</v>
      </c>
      <c r="B28" t="s">
        <v>104</v>
      </c>
      <c r="C28">
        <v>18768.8</v>
      </c>
      <c r="D28">
        <v>22664</v>
      </c>
      <c r="E28" s="105">
        <v>25973.1</v>
      </c>
      <c r="F28">
        <f>Calcs!F19</f>
        <v>27254.971133999999</v>
      </c>
      <c r="G28">
        <f>Calcs!G19</f>
        <v>28748.816709700001</v>
      </c>
      <c r="H28">
        <f>Calcs!H19</f>
        <v>30422.018488315003</v>
      </c>
      <c r="I28">
        <f>Calcs!I19</f>
        <v>32213.021212267959</v>
      </c>
      <c r="J28">
        <f>Calcs!J19</f>
        <v>34128.883751240719</v>
      </c>
    </row>
    <row r="31" spans="1:10" ht="12.75" customHeight="1" x14ac:dyDescent="0.15">
      <c r="B31" t="s">
        <v>105</v>
      </c>
      <c r="C31">
        <f>SUM(C6:C8,C12:C15)-SUM(C18:C21,C23,C25:C26)</f>
        <v>6236.1000000000022</v>
      </c>
      <c r="D31">
        <f t="shared" ref="D31:J31" si="3">SUM(D6:D8,D12:D15)-SUM(D18:D21,D23,D25:D26)</f>
        <v>9049.9</v>
      </c>
      <c r="E31">
        <f t="shared" si="3"/>
        <v>10451.799999999997</v>
      </c>
      <c r="F31">
        <f t="shared" ca="1" si="3"/>
        <v>8700.8518985534865</v>
      </c>
      <c r="G31">
        <f t="shared" ca="1" si="3"/>
        <v>9043.9485823468931</v>
      </c>
      <c r="H31">
        <f t="shared" ca="1" si="3"/>
        <v>9504.5953456441566</v>
      </c>
      <c r="I31">
        <f t="shared" ca="1" si="3"/>
        <v>9894.7203116696619</v>
      </c>
      <c r="J31">
        <f t="shared" ca="1" si="3"/>
        <v>10229.78363693993</v>
      </c>
    </row>
  </sheetData>
  <mergeCells count="2">
    <mergeCell ref="F4:J5"/>
    <mergeCell ref="F11:J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2C8C-1E49-4C75-A923-6586BC04230B}">
  <dimension ref="A1:J20"/>
  <sheetViews>
    <sheetView zoomScale="174" zoomScaleNormal="90" workbookViewId="0">
      <pane xSplit="2" ySplit="2" topLeftCell="C3" activePane="bottomRight" state="frozen"/>
      <selection pane="topRight" activeCell="E22" sqref="E22"/>
      <selection pane="bottomLeft" activeCell="E22" sqref="E22"/>
      <selection pane="bottomRight" activeCell="D15" sqref="D15"/>
    </sheetView>
  </sheetViews>
  <sheetFormatPr baseColWidth="10" defaultColWidth="8.83203125" defaultRowHeight="12.75" customHeight="1" x14ac:dyDescent="0.15"/>
  <cols>
    <col min="1" max="1" width="2.1640625" customWidth="1"/>
    <col min="2" max="2" width="43" customWidth="1"/>
    <col min="3" max="3" width="10.83203125" customWidth="1"/>
    <col min="4" max="4" width="12.1640625" customWidth="1"/>
    <col min="5" max="8" width="9.83203125" bestFit="1" customWidth="1"/>
    <col min="9" max="10" width="9" bestFit="1" customWidth="1"/>
  </cols>
  <sheetData>
    <row r="1" spans="1:10" s="1" customFormat="1" ht="20" x14ac:dyDescent="0.2">
      <c r="A1" s="2" t="s">
        <v>0</v>
      </c>
      <c r="C1" s="17" t="s">
        <v>6</v>
      </c>
      <c r="D1" s="17" t="s">
        <v>7</v>
      </c>
      <c r="E1" s="17" t="s">
        <v>7</v>
      </c>
      <c r="F1" s="17" t="s">
        <v>8</v>
      </c>
      <c r="G1" s="17" t="s">
        <v>8</v>
      </c>
      <c r="H1" s="17" t="s">
        <v>8</v>
      </c>
      <c r="I1" s="17" t="s">
        <v>8</v>
      </c>
      <c r="J1" s="17" t="s">
        <v>8</v>
      </c>
    </row>
    <row r="2" spans="1:10" s="1" customFormat="1" ht="13" x14ac:dyDescent="0.15">
      <c r="A2" s="18" t="s">
        <v>1</v>
      </c>
      <c r="C2" s="15">
        <v>44561</v>
      </c>
      <c r="D2" s="15">
        <f t="shared" ref="D2:J2" si="0">DATE(YEAR(C2)+1,MONTH(C2),DAY(C2))</f>
        <v>44926</v>
      </c>
      <c r="E2" s="15">
        <f t="shared" si="0"/>
        <v>45291</v>
      </c>
      <c r="F2" s="15">
        <f t="shared" si="0"/>
        <v>45657</v>
      </c>
      <c r="G2" s="15">
        <f t="shared" si="0"/>
        <v>46022</v>
      </c>
      <c r="H2" s="15">
        <f t="shared" si="0"/>
        <v>46387</v>
      </c>
      <c r="I2" s="15">
        <f t="shared" si="0"/>
        <v>46752</v>
      </c>
      <c r="J2" s="15">
        <f t="shared" si="0"/>
        <v>47118</v>
      </c>
    </row>
    <row r="3" spans="1:10" ht="13" x14ac:dyDescent="0.15">
      <c r="B3" t="str">
        <f>Calcs!B17</f>
        <v>Net income</v>
      </c>
      <c r="F3">
        <f>Calcs!F17</f>
        <v>3516.8711340000013</v>
      </c>
      <c r="G3">
        <f>Calcs!G17</f>
        <v>3728.8455757000002</v>
      </c>
      <c r="H3">
        <f>Calcs!H17</f>
        <v>3908.2017786150031</v>
      </c>
      <c r="I3">
        <f>Calcs!I17</f>
        <v>4026.0027239529554</v>
      </c>
      <c r="J3">
        <f>Calcs!J17</f>
        <v>4150.8625389727613</v>
      </c>
    </row>
    <row r="4" spans="1:10" ht="13" x14ac:dyDescent="0.15">
      <c r="B4" t="str">
        <f>Calcs!B6</f>
        <v>Depreciation</v>
      </c>
      <c r="D4" s="16"/>
      <c r="E4" s="16"/>
      <c r="F4" s="16">
        <f ca="1">Calcs!F6</f>
        <v>556.09433962264143</v>
      </c>
      <c r="G4" s="16">
        <f ca="1">Calcs!G6</f>
        <v>584.63503404772996</v>
      </c>
      <c r="H4" s="16">
        <f ca="1">Calcs!H6</f>
        <v>615.53527033486273</v>
      </c>
      <c r="I4">
        <f ca="1">Calcs!I6</f>
        <v>647.75674966505039</v>
      </c>
      <c r="J4">
        <f ca="1">Calcs!J6</f>
        <v>680.2478051559691</v>
      </c>
    </row>
    <row r="5" spans="1:10" ht="13" x14ac:dyDescent="0.15">
      <c r="B5" t="s">
        <v>106</v>
      </c>
      <c r="F5">
        <f>Calcs!E28-Calcs!F28</f>
        <v>-396.19300000000112</v>
      </c>
      <c r="G5">
        <f>Calcs!F28-Calcs!G28</f>
        <v>-364.00757999999951</v>
      </c>
      <c r="H5">
        <f>Calcs!G28-Calcs!H28</f>
        <v>-321.5400290000016</v>
      </c>
      <c r="I5">
        <f>Calcs!H28-Calcs!I28</f>
        <v>-270.09362435999901</v>
      </c>
      <c r="J5">
        <f>Calcs!I28-Calcs!J28</f>
        <v>-210.67302700080108</v>
      </c>
    </row>
    <row r="6" spans="1:10" ht="13" x14ac:dyDescent="0.15">
      <c r="B6" t="s">
        <v>107</v>
      </c>
      <c r="F6">
        <f>BS!F23-BS!E23</f>
        <v>909.20300000000043</v>
      </c>
      <c r="G6">
        <f>BS!G23-BS!F23</f>
        <v>252.18608142896665</v>
      </c>
      <c r="H6">
        <f>BS!H23-BS!G23</f>
        <v>102.15252307117271</v>
      </c>
      <c r="I6">
        <f>BS!I23-BS!H23</f>
        <v>139.40173222005296</v>
      </c>
      <c r="J6">
        <f>BS!J23-BS!I23</f>
        <v>114.6824868766048</v>
      </c>
    </row>
    <row r="7" spans="1:10" ht="13" x14ac:dyDescent="0.15">
      <c r="B7" t="s">
        <v>108</v>
      </c>
      <c r="F7">
        <f>BS!E15-BS!F15</f>
        <v>163.39191999999997</v>
      </c>
      <c r="G7">
        <f>BS!F15-BS!G15</f>
        <v>-16.842484800000022</v>
      </c>
      <c r="H7">
        <f>BS!G15-BS!H15</f>
        <v>-14.877528240000004</v>
      </c>
      <c r="I7">
        <f>BS!H15-BS!I15</f>
        <v>-12.497123721600019</v>
      </c>
      <c r="J7">
        <f>BS!I15-BS!J15</f>
        <v>-9.7477565028480058</v>
      </c>
    </row>
    <row r="8" spans="1:10" ht="13" x14ac:dyDescent="0.15">
      <c r="B8" s="19" t="s">
        <v>109</v>
      </c>
      <c r="D8" s="19"/>
      <c r="E8" s="19"/>
      <c r="F8" s="19">
        <f ca="1">SUM(F3:F7)</f>
        <v>4749.3673936226423</v>
      </c>
      <c r="G8" s="19">
        <f ca="1">SUM(G3:G7)</f>
        <v>4184.8166263766971</v>
      </c>
      <c r="H8" s="19">
        <f ca="1">SUM(H3:H7)</f>
        <v>4289.4720147810367</v>
      </c>
      <c r="I8" s="19">
        <f ca="1">SUM(I3:I7)</f>
        <v>4530.5704577564593</v>
      </c>
      <c r="J8" s="19">
        <f ca="1">SUM(J3:J7)</f>
        <v>4725.3720475016871</v>
      </c>
    </row>
    <row r="10" spans="1:10" ht="13" x14ac:dyDescent="0.15">
      <c r="B10" t="s">
        <v>110</v>
      </c>
      <c r="F10" s="137" t="s">
        <v>83</v>
      </c>
      <c r="G10" s="137"/>
      <c r="H10" s="137"/>
      <c r="I10" s="137"/>
      <c r="J10" s="137"/>
    </row>
    <row r="11" spans="1:10" ht="14.5" customHeight="1" x14ac:dyDescent="0.15">
      <c r="B11" t="str">
        <f>Calcs!B5</f>
        <v>Capex</v>
      </c>
      <c r="F11">
        <f>-Calcs!F5</f>
        <v>-768.90200000000016</v>
      </c>
      <c r="G11">
        <f>-Calcs!G5</f>
        <v>-815.03612000000021</v>
      </c>
      <c r="H11">
        <f>-Calcs!H5</f>
        <v>-855.78792600000031</v>
      </c>
      <c r="I11">
        <f>-Calcs!I5</f>
        <v>-890.01944304000028</v>
      </c>
      <c r="J11">
        <f>-Calcs!J5</f>
        <v>-916.72002633120019</v>
      </c>
    </row>
    <row r="12" spans="1:10" ht="13" x14ac:dyDescent="0.15">
      <c r="B12" t="s">
        <v>111</v>
      </c>
      <c r="F12">
        <f>-Calcs!F11</f>
        <v>0</v>
      </c>
      <c r="G12">
        <f>-Calcs!G11</f>
        <v>0</v>
      </c>
      <c r="H12">
        <f>-Calcs!H11</f>
        <v>0</v>
      </c>
      <c r="I12">
        <f>-Calcs!I11</f>
        <v>0</v>
      </c>
      <c r="J12">
        <f>-Calcs!J11</f>
        <v>0</v>
      </c>
    </row>
    <row r="13" spans="1:10" ht="13" x14ac:dyDescent="0.15">
      <c r="B13" s="19" t="s">
        <v>112</v>
      </c>
      <c r="D13" s="19"/>
      <c r="E13" s="19"/>
      <c r="F13" s="19">
        <f>SUM(F10:F12)</f>
        <v>-768.90200000000016</v>
      </c>
      <c r="G13" s="19">
        <f>SUM(G10:G12)</f>
        <v>-815.03612000000021</v>
      </c>
      <c r="H13" s="19">
        <f>SUM(H10:H12)</f>
        <v>-855.78792600000031</v>
      </c>
      <c r="I13" s="19">
        <f>SUM(I10:I12)</f>
        <v>-890.01944304000028</v>
      </c>
      <c r="J13" s="19">
        <f>SUM(J10:J12)</f>
        <v>-916.72002633120019</v>
      </c>
    </row>
    <row r="15" spans="1:10" ht="13" x14ac:dyDescent="0.15">
      <c r="B15" t="str">
        <f>Calcs!B18</f>
        <v>Share issue/(buybacks)</v>
      </c>
      <c r="F15">
        <f>Calcs!F18</f>
        <v>-2235</v>
      </c>
      <c r="G15">
        <f>Calcs!G18</f>
        <v>-2235</v>
      </c>
      <c r="H15">
        <f>Calcs!H18</f>
        <v>-2235</v>
      </c>
      <c r="I15">
        <f>Calcs!I18</f>
        <v>-2235</v>
      </c>
      <c r="J15">
        <f>Calcs!J18</f>
        <v>-2235</v>
      </c>
    </row>
    <row r="16" spans="1:10" ht="13" x14ac:dyDescent="0.15">
      <c r="B16" t="s">
        <v>113</v>
      </c>
      <c r="C16" s="12"/>
      <c r="F16">
        <f>BS!F24-BS!E24</f>
        <v>-3</v>
      </c>
      <c r="G16">
        <f>BS!G24-BS!F24</f>
        <v>-3</v>
      </c>
      <c r="H16">
        <f>BS!H24-BS!G24</f>
        <v>-3</v>
      </c>
      <c r="I16">
        <f>BS!I24-BS!H24</f>
        <v>-3</v>
      </c>
      <c r="J16">
        <f>BS!J24-BS!I24</f>
        <v>-3</v>
      </c>
    </row>
    <row r="17" spans="2:10" ht="13" x14ac:dyDescent="0.15">
      <c r="B17" s="19" t="s">
        <v>114</v>
      </c>
      <c r="C17" s="12"/>
      <c r="D17" s="19"/>
      <c r="E17" s="19"/>
      <c r="F17" s="19">
        <f>SUM(F15:F16)</f>
        <v>-2238</v>
      </c>
      <c r="G17" s="19">
        <f>SUM(G15:G16)</f>
        <v>-2238</v>
      </c>
      <c r="H17" s="19">
        <f>SUM(H15:H16)</f>
        <v>-2238</v>
      </c>
      <c r="I17" s="19">
        <f>SUM(I15:I16)</f>
        <v>-2238</v>
      </c>
      <c r="J17" s="19">
        <f>SUM(J15:J16)</f>
        <v>-2238</v>
      </c>
    </row>
    <row r="19" spans="2:10" ht="13" x14ac:dyDescent="0.15">
      <c r="B19" t="s">
        <v>115</v>
      </c>
      <c r="F19">
        <f ca="1">F8+F13+F17</f>
        <v>1742.4653936226423</v>
      </c>
      <c r="G19">
        <f ca="1">G8+G13+G17</f>
        <v>1131.7805063766968</v>
      </c>
      <c r="H19">
        <f ca="1">H8+H13+H17</f>
        <v>1195.6840887810363</v>
      </c>
      <c r="I19">
        <f ca="1">I8+I13+I17</f>
        <v>1402.5510147164591</v>
      </c>
      <c r="J19">
        <f ca="1">J8+J13+J17</f>
        <v>1570.6520211704869</v>
      </c>
    </row>
    <row r="20" spans="2:10" ht="13" x14ac:dyDescent="0.15">
      <c r="B20" t="s">
        <v>116</v>
      </c>
      <c r="E20">
        <f>BS!E4</f>
        <v>2730</v>
      </c>
      <c r="F20">
        <f ca="1">E20+F19</f>
        <v>4472.4653936226423</v>
      </c>
      <c r="G20">
        <f ca="1">F20+G19</f>
        <v>5604.2458999993396</v>
      </c>
      <c r="H20">
        <f ca="1">G20+H19</f>
        <v>6799.9299887803754</v>
      </c>
      <c r="I20">
        <f ca="1">H20+I19</f>
        <v>8202.4810034968341</v>
      </c>
      <c r="J20">
        <f ca="1">I20+J19</f>
        <v>9773.1330246673206</v>
      </c>
    </row>
  </sheetData>
  <mergeCells count="1">
    <mergeCell ref="F10:J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0443-AB65-4ABA-8EE8-7DA11667F79D}">
  <dimension ref="A1:O90"/>
  <sheetViews>
    <sheetView tabSelected="1" zoomScale="138" zoomScaleNormal="125" workbookViewId="0">
      <pane xSplit="2" ySplit="2" topLeftCell="C67" activePane="bottomRight" state="frozen"/>
      <selection pane="topRight" activeCell="E22" sqref="E22"/>
      <selection pane="bottomLeft" activeCell="E22" sqref="E22"/>
      <selection pane="bottomRight" activeCell="H76" sqref="H76"/>
    </sheetView>
  </sheetViews>
  <sheetFormatPr baseColWidth="10" defaultColWidth="8.83203125" defaultRowHeight="13" x14ac:dyDescent="0.15"/>
  <cols>
    <col min="1" max="1" width="2.1640625" customWidth="1"/>
    <col min="2" max="2" width="40.83203125" customWidth="1"/>
    <col min="3" max="4" width="15" customWidth="1"/>
    <col min="5" max="5" width="24.33203125" customWidth="1"/>
    <col min="6" max="10" width="15" customWidth="1"/>
    <col min="11" max="11" width="19.5" customWidth="1"/>
    <col min="12" max="12" width="9.1640625" bestFit="1" customWidth="1"/>
  </cols>
  <sheetData>
    <row r="1" spans="1:15" s="1" customFormat="1" ht="20" x14ac:dyDescent="0.2">
      <c r="A1" s="2" t="s">
        <v>0</v>
      </c>
      <c r="C1" s="17" t="s">
        <v>6</v>
      </c>
      <c r="D1" s="17" t="s">
        <v>6</v>
      </c>
      <c r="E1" s="17" t="s">
        <v>6</v>
      </c>
      <c r="F1" s="17" t="s">
        <v>8</v>
      </c>
      <c r="G1" s="17" t="s">
        <v>8</v>
      </c>
      <c r="H1" s="17" t="s">
        <v>8</v>
      </c>
      <c r="I1" s="17" t="s">
        <v>8</v>
      </c>
      <c r="J1" s="17" t="s">
        <v>8</v>
      </c>
      <c r="K1" s="17"/>
    </row>
    <row r="2" spans="1:15" s="1" customFormat="1" x14ac:dyDescent="0.15">
      <c r="A2" s="18" t="s">
        <v>117</v>
      </c>
      <c r="C2" s="15">
        <f>DATE(YEAR(D2)-1,MONTH(D2),DAY(D2))</f>
        <v>44561</v>
      </c>
      <c r="D2" s="15">
        <f>DATE(YEAR(E2)-1,MONTH(E2),DAY(E2))</f>
        <v>44926</v>
      </c>
      <c r="E2" s="15">
        <v>45291</v>
      </c>
      <c r="F2" s="15">
        <f>DATE(YEAR(E2)+1,MONTH(E2),DAY(E2))</f>
        <v>45657</v>
      </c>
      <c r="G2" s="15">
        <f>DATE(YEAR(F2)+1,MONTH(F2),DAY(F2))</f>
        <v>46022</v>
      </c>
      <c r="H2" s="15">
        <f>DATE(YEAR(G2)+1,MONTH(G2),DAY(G2))</f>
        <v>46387</v>
      </c>
      <c r="I2" s="15">
        <f>DATE(YEAR(H2)+1,MONTH(H2),DAY(H2))</f>
        <v>46752</v>
      </c>
      <c r="J2" s="15">
        <f>DATE(YEAR(I2)+1,MONTH(I2),DAY(I2))</f>
        <v>47118</v>
      </c>
      <c r="K2" s="15"/>
    </row>
    <row r="3" spans="1:15" x14ac:dyDescent="0.15">
      <c r="A3" s="21" t="s">
        <v>118</v>
      </c>
      <c r="B3" s="27"/>
      <c r="J3" s="28"/>
      <c r="K3" s="29"/>
    </row>
    <row r="4" spans="1:15" x14ac:dyDescent="0.15">
      <c r="A4" s="27"/>
      <c r="B4" s="30" t="s">
        <v>119</v>
      </c>
      <c r="C4" s="30">
        <f>IS!C3</f>
        <v>16071.7</v>
      </c>
      <c r="D4" s="30">
        <f>IS!D3</f>
        <v>12172.9</v>
      </c>
      <c r="E4" s="30">
        <f>IS!E3</f>
        <v>13117.2</v>
      </c>
      <c r="F4" s="30">
        <f>IS!F3</f>
        <v>14035.404000000002</v>
      </c>
      <c r="G4" s="30">
        <f>IS!G3</f>
        <v>14877.528240000003</v>
      </c>
      <c r="H4" s="30">
        <f>IS!H3</f>
        <v>15621.404652000005</v>
      </c>
      <c r="I4" s="30">
        <f>IS!I3</f>
        <v>16246.260838080005</v>
      </c>
      <c r="J4" s="30">
        <f>IS!J3</f>
        <v>16733.648663222404</v>
      </c>
      <c r="K4" s="29"/>
    </row>
    <row r="5" spans="1:15" x14ac:dyDescent="0.15">
      <c r="A5" s="27"/>
      <c r="B5" s="30" t="s">
        <v>66</v>
      </c>
      <c r="C5" s="30">
        <f>IS!C10</f>
        <v>8855.5999999999985</v>
      </c>
      <c r="D5" s="30">
        <f>IS!D10</f>
        <v>4559.1999999999989</v>
      </c>
      <c r="E5" s="30">
        <f>IS!E10</f>
        <v>4042.8999999999996</v>
      </c>
      <c r="F5" s="30">
        <f>IS!F10</f>
        <v>4325.9030000000012</v>
      </c>
      <c r="G5" s="30">
        <f>IS!G10</f>
        <v>4585.4571799999994</v>
      </c>
      <c r="H5" s="30">
        <f>IS!H10</f>
        <v>4814.7300390000028</v>
      </c>
      <c r="I5" s="30">
        <f>IS!I10</f>
        <v>5007.3192405600012</v>
      </c>
      <c r="J5" s="30">
        <f>IS!J10</f>
        <v>5157.5388177768009</v>
      </c>
      <c r="K5" s="29"/>
    </row>
    <row r="6" spans="1:15" x14ac:dyDescent="0.15">
      <c r="A6" s="27"/>
      <c r="B6" s="30"/>
      <c r="C6" s="30"/>
      <c r="D6" s="30"/>
      <c r="E6" s="30"/>
      <c r="F6" s="90"/>
      <c r="G6" s="90"/>
      <c r="H6" s="90"/>
      <c r="I6" s="90"/>
      <c r="J6" s="90"/>
      <c r="K6" s="29"/>
    </row>
    <row r="7" spans="1:15" x14ac:dyDescent="0.15">
      <c r="A7" s="27"/>
      <c r="B7" s="30" t="s">
        <v>120</v>
      </c>
      <c r="C7" s="30">
        <f>C5*(1-Assump!C13)</f>
        <v>7604.396844662936</v>
      </c>
      <c r="D7" s="30">
        <f>D5*(1-Assump!D13)</f>
        <v>4052.1458710890738</v>
      </c>
      <c r="E7" s="30">
        <f>E5*(1-Assump!E13)</f>
        <v>3806.1028105556743</v>
      </c>
      <c r="F7" s="30">
        <f>F5*(1-Assump!F13)</f>
        <v>3850.0536700000011</v>
      </c>
      <c r="G7" s="30">
        <f>G5*(1-Assump!G13)</f>
        <v>4081.0568901999995</v>
      </c>
      <c r="H7" s="30">
        <f>H5*(1-Assump!H13)</f>
        <v>4285.1097347100022</v>
      </c>
      <c r="I7" s="30">
        <f>I5*(1-Assump!I13)</f>
        <v>4456.5141240984012</v>
      </c>
      <c r="J7" s="30">
        <f>J5*(1-Assump!J13)</f>
        <v>4590.2095478213532</v>
      </c>
      <c r="K7" s="29"/>
    </row>
    <row r="8" spans="1:15" x14ac:dyDescent="0.15">
      <c r="B8" s="30" t="str">
        <f>CF!B4</f>
        <v>Depreciation</v>
      </c>
      <c r="C8" s="30"/>
      <c r="D8" s="30"/>
      <c r="E8" s="30"/>
      <c r="F8" s="30">
        <f ca="1">IS!F14</f>
        <v>556.09433962264143</v>
      </c>
      <c r="G8" s="30">
        <f ca="1">IS!G14</f>
        <v>584.63503404772996</v>
      </c>
      <c r="H8" s="30">
        <f ca="1">IS!H14</f>
        <v>615.53527033486273</v>
      </c>
      <c r="I8" s="30">
        <f ca="1">IS!I14</f>
        <v>647.75674966505039</v>
      </c>
      <c r="J8" s="30">
        <f ca="1">IS!J14</f>
        <v>680.2478051559691</v>
      </c>
      <c r="K8" s="29"/>
      <c r="L8" s="9"/>
    </row>
    <row r="9" spans="1:15" x14ac:dyDescent="0.15">
      <c r="B9" s="30" t="str">
        <f>CF!B5</f>
        <v>(Inc)/dec in OWC</v>
      </c>
      <c r="C9" s="30"/>
      <c r="D9" s="30"/>
      <c r="E9" s="30"/>
      <c r="F9" s="30">
        <f>CF!F5</f>
        <v>-396.19300000000112</v>
      </c>
      <c r="G9" s="30">
        <f>CF!G5</f>
        <v>-364.00757999999951</v>
      </c>
      <c r="H9" s="30">
        <f>CF!H5</f>
        <v>-321.5400290000016</v>
      </c>
      <c r="I9" s="30">
        <f>CF!I5</f>
        <v>-270.09362435999901</v>
      </c>
      <c r="J9" s="30">
        <f>CF!J5</f>
        <v>-210.67302700080108</v>
      </c>
      <c r="K9" s="29"/>
      <c r="O9" s="79"/>
    </row>
    <row r="10" spans="1:15" x14ac:dyDescent="0.15">
      <c r="B10" s="30" t="str">
        <f>CF!B6</f>
        <v>Inc/(dec) in long term operating liabilities</v>
      </c>
      <c r="C10" s="30"/>
      <c r="D10" s="30"/>
      <c r="E10" s="30"/>
      <c r="F10" s="30">
        <f>CF!F6</f>
        <v>909.20300000000043</v>
      </c>
      <c r="G10" s="30">
        <f>CF!G6</f>
        <v>252.18608142896665</v>
      </c>
      <c r="H10" s="30">
        <f>CF!H6</f>
        <v>102.15252307117271</v>
      </c>
      <c r="I10" s="30">
        <f>CF!I6</f>
        <v>139.40173222005296</v>
      </c>
      <c r="J10" s="30">
        <f>CF!J6</f>
        <v>114.6824868766048</v>
      </c>
      <c r="K10" s="29"/>
      <c r="O10" s="79"/>
    </row>
    <row r="11" spans="1:15" ht="14.5" customHeight="1" x14ac:dyDescent="0.15">
      <c r="B11" s="30" t="str">
        <f>CF!B7</f>
        <v>(Inc)/dec in long term assets</v>
      </c>
      <c r="C11" s="30"/>
      <c r="D11" s="30"/>
      <c r="E11" s="30"/>
      <c r="F11" s="30">
        <f>CF!F7</f>
        <v>163.39191999999997</v>
      </c>
      <c r="G11" s="30">
        <f>CF!G7</f>
        <v>-16.842484800000022</v>
      </c>
      <c r="H11" s="30">
        <f>CF!H7</f>
        <v>-14.877528240000004</v>
      </c>
      <c r="I11" s="30">
        <f>CF!I7</f>
        <v>-12.497123721600019</v>
      </c>
      <c r="J11" s="30">
        <f>CF!J7</f>
        <v>-9.7477565028480058</v>
      </c>
      <c r="K11" s="29"/>
      <c r="L11" s="11"/>
      <c r="O11" s="80"/>
    </row>
    <row r="12" spans="1:15" x14ac:dyDescent="0.15">
      <c r="B12" s="30" t="str">
        <f>CF!B11</f>
        <v>Capex</v>
      </c>
      <c r="C12" s="30"/>
      <c r="D12" s="30"/>
      <c r="E12" s="30"/>
      <c r="F12" s="30">
        <f>CF!F11</f>
        <v>-768.90200000000016</v>
      </c>
      <c r="G12" s="30">
        <f>CF!G11</f>
        <v>-815.03612000000021</v>
      </c>
      <c r="H12" s="30">
        <f>CF!H11</f>
        <v>-855.78792600000031</v>
      </c>
      <c r="I12" s="30">
        <f>CF!I11</f>
        <v>-890.01944304000028</v>
      </c>
      <c r="J12" s="30">
        <f>CF!J11</f>
        <v>-916.72002633120019</v>
      </c>
      <c r="K12" s="29"/>
    </row>
    <row r="13" spans="1:15" x14ac:dyDescent="0.15">
      <c r="B13" s="30" t="str">
        <f>CF!B12</f>
        <v>Purchase of new intangibles</v>
      </c>
      <c r="C13" s="30"/>
      <c r="D13" s="30"/>
      <c r="E13" s="30"/>
      <c r="F13" s="30">
        <f>CF!F12</f>
        <v>0</v>
      </c>
      <c r="G13" s="30">
        <f>CF!G12</f>
        <v>0</v>
      </c>
      <c r="H13" s="30">
        <f>CF!H12</f>
        <v>0</v>
      </c>
      <c r="I13" s="30">
        <f>CF!I12</f>
        <v>0</v>
      </c>
      <c r="J13" s="30">
        <f>CF!J12</f>
        <v>0</v>
      </c>
      <c r="K13" s="29"/>
      <c r="O13" s="79"/>
    </row>
    <row r="14" spans="1:15" x14ac:dyDescent="0.15">
      <c r="B14" s="31" t="s">
        <v>121</v>
      </c>
      <c r="D14" s="30"/>
      <c r="E14" s="31"/>
      <c r="F14" s="31">
        <f ca="1">SUM(F7:F13)</f>
        <v>4313.6479296226416</v>
      </c>
      <c r="G14" s="31">
        <f ca="1">SUM(G7:G13)</f>
        <v>3721.9918208766962</v>
      </c>
      <c r="H14" s="31">
        <f ca="1">SUM(H7:H13)</f>
        <v>3810.5920448760357</v>
      </c>
      <c r="I14" s="31">
        <f ca="1">SUM(I7:I13)</f>
        <v>4071.0624148619049</v>
      </c>
      <c r="J14" s="31">
        <f ca="1">SUM(J7:J13)</f>
        <v>4247.9990300190784</v>
      </c>
      <c r="K14" s="29"/>
      <c r="O14" s="79"/>
    </row>
    <row r="15" spans="1:15" x14ac:dyDescent="0.15">
      <c r="J15" s="32"/>
      <c r="K15" s="29"/>
      <c r="L15" s="13"/>
      <c r="O15" s="3"/>
    </row>
    <row r="16" spans="1:15" x14ac:dyDescent="0.15">
      <c r="B16" s="33" t="s">
        <v>122</v>
      </c>
      <c r="J16" s="32"/>
      <c r="K16" s="29"/>
    </row>
    <row r="17" spans="1:11" x14ac:dyDescent="0.15">
      <c r="B17" s="30" t="s">
        <v>10</v>
      </c>
      <c r="E17" s="34"/>
      <c r="F17" s="34">
        <f>F4/E4-1</f>
        <v>7.0000000000000062E-2</v>
      </c>
      <c r="G17" s="34">
        <f>G4/F4-1</f>
        <v>6.0000000000000053E-2</v>
      </c>
      <c r="H17" s="34">
        <f>H4/G4-1</f>
        <v>5.0000000000000044E-2</v>
      </c>
      <c r="I17" s="34">
        <f>I4/H4-1</f>
        <v>4.0000000000000036E-2</v>
      </c>
      <c r="J17" s="34">
        <f>J4/I4-1</f>
        <v>3.0000000000000027E-2</v>
      </c>
      <c r="K17" s="29"/>
    </row>
    <row r="18" spans="1:11" x14ac:dyDescent="0.15">
      <c r="B18" s="30" t="s">
        <v>123</v>
      </c>
      <c r="E18" s="34"/>
      <c r="F18" s="34">
        <f>F5/F4</f>
        <v>0.3082136431555515</v>
      </c>
      <c r="G18" s="34">
        <f>G5/G4</f>
        <v>0.30821364315555139</v>
      </c>
      <c r="H18" s="34">
        <f>H5/H4</f>
        <v>0.30821364315555155</v>
      </c>
      <c r="I18" s="34">
        <f>I5/I4</f>
        <v>0.3082136431555515</v>
      </c>
      <c r="J18" s="34">
        <f>J5/J4</f>
        <v>0.30821364315555144</v>
      </c>
      <c r="K18" s="29"/>
    </row>
    <row r="19" spans="1:11" x14ac:dyDescent="0.15">
      <c r="B19" s="30" t="s">
        <v>124</v>
      </c>
      <c r="E19" s="34"/>
      <c r="F19" s="34">
        <f ca="1">(F5+F8)/F4</f>
        <v>0.34783447199828671</v>
      </c>
      <c r="G19" s="34">
        <f ca="1">(G5+G8)/G4</f>
        <v>0.34751015966128851</v>
      </c>
      <c r="H19" s="34">
        <f ca="1">(H5+H8)/H4</f>
        <v>0.34761696725138158</v>
      </c>
      <c r="I19" s="34">
        <f ca="1">(I5+I8)/I4</f>
        <v>0.34808477141829353</v>
      </c>
      <c r="J19" s="34">
        <f ca="1">(J5+J8)/J4</f>
        <v>0.34886513637418426</v>
      </c>
      <c r="K19" s="29"/>
    </row>
    <row r="20" spans="1:11" x14ac:dyDescent="0.15">
      <c r="B20" s="30" t="s">
        <v>125</v>
      </c>
      <c r="E20" s="34"/>
      <c r="F20" s="81">
        <f>F7/E7-1</f>
        <v>1.1547470373747037E-2</v>
      </c>
      <c r="G20" s="81">
        <f>G7/F7-1</f>
        <v>5.9999999999999609E-2</v>
      </c>
      <c r="H20" s="81">
        <f>H7/G7-1</f>
        <v>5.0000000000000711E-2</v>
      </c>
      <c r="I20" s="81">
        <f>I7/H7-1</f>
        <v>3.9999999999999813E-2</v>
      </c>
      <c r="J20" s="81">
        <f>J7/I7-1</f>
        <v>3.0000000000000027E-2</v>
      </c>
      <c r="K20" s="29"/>
    </row>
    <row r="21" spans="1:11" x14ac:dyDescent="0.15">
      <c r="B21" s="30" t="s">
        <v>126</v>
      </c>
      <c r="D21" s="30">
        <f>BS!D31</f>
        <v>9049.9</v>
      </c>
      <c r="E21" s="30">
        <f>BS!E31</f>
        <v>10451.799999999997</v>
      </c>
      <c r="F21" s="30">
        <f ca="1">BS!F31</f>
        <v>8700.8518985534865</v>
      </c>
      <c r="G21" s="30">
        <f ca="1">BS!G31</f>
        <v>9043.9485823468931</v>
      </c>
      <c r="H21" s="30">
        <f ca="1">BS!H31</f>
        <v>9504.5953456441566</v>
      </c>
      <c r="I21" s="30">
        <f ca="1">BS!I31</f>
        <v>9894.7203116696619</v>
      </c>
      <c r="J21" s="30">
        <f ca="1">BS!J31</f>
        <v>10229.78363693993</v>
      </c>
      <c r="K21" s="29"/>
    </row>
    <row r="22" spans="1:11" x14ac:dyDescent="0.15">
      <c r="B22" s="30" t="s">
        <v>127</v>
      </c>
      <c r="E22" s="34">
        <f>E7/D21</f>
        <v>0.42056849363591581</v>
      </c>
      <c r="F22" s="34">
        <f>F7/E21</f>
        <v>0.36836273847566947</v>
      </c>
      <c r="G22" s="117">
        <f t="shared" ref="G22:J22" ca="1" si="0">G7/F21</f>
        <v>0.46904107066556022</v>
      </c>
      <c r="H22" s="34">
        <f t="shared" ca="1" si="0"/>
        <v>0.47380960823618723</v>
      </c>
      <c r="I22" s="34">
        <f t="shared" ca="1" si="0"/>
        <v>0.46887994302048525</v>
      </c>
      <c r="J22" s="34">
        <f t="shared" ca="1" si="0"/>
        <v>0.46390493144184575</v>
      </c>
      <c r="K22" s="37"/>
    </row>
    <row r="23" spans="1:11" x14ac:dyDescent="0.15">
      <c r="B23" s="30" t="s">
        <v>128</v>
      </c>
      <c r="E23" s="34"/>
      <c r="F23" s="34">
        <f ca="1">1-F14/F7</f>
        <v>-0.12041241482813936</v>
      </c>
      <c r="G23" s="34">
        <f ca="1">1-G14/G7</f>
        <v>8.7983353083251559E-2</v>
      </c>
      <c r="H23" s="34">
        <f ca="1">1-H14/H7</f>
        <v>0.1107364149837996</v>
      </c>
      <c r="I23" s="34">
        <f ca="1">1-I14/I7</f>
        <v>8.6491750840008153E-2</v>
      </c>
      <c r="J23" s="43">
        <f ca="1">1-J14/J7</f>
        <v>7.4552264823007475E-2</v>
      </c>
      <c r="K23" s="29"/>
    </row>
    <row r="24" spans="1:11" x14ac:dyDescent="0.15">
      <c r="B24" s="30" t="s">
        <v>129</v>
      </c>
      <c r="F24" s="34"/>
      <c r="G24" s="82">
        <f ca="1">(G22-F22)/F22+G22*F23</f>
        <v>0.21683465116331446</v>
      </c>
      <c r="H24" s="82">
        <f ca="1">(H22-G22)/G22+H22*G23</f>
        <v>5.1853925268784122E-2</v>
      </c>
      <c r="I24" s="82">
        <f ca="1">(I22-H22)/H22+I22*H23</f>
        <v>4.1517767256107313E-2</v>
      </c>
      <c r="J24" s="82">
        <f ca="1">(J22-I22)/I22+J22*I23</f>
        <v>2.9513533041757294E-2</v>
      </c>
      <c r="K24" s="86"/>
    </row>
    <row r="25" spans="1:11" x14ac:dyDescent="0.15">
      <c r="J25" s="39"/>
      <c r="K25" s="38"/>
    </row>
    <row r="26" spans="1:11" x14ac:dyDescent="0.15">
      <c r="A26" s="33" t="s">
        <v>130</v>
      </c>
      <c r="J26" s="36"/>
      <c r="K26" s="38"/>
    </row>
    <row r="27" spans="1:11" x14ac:dyDescent="0.15">
      <c r="B27" s="30" t="s">
        <v>131</v>
      </c>
      <c r="D27" s="83">
        <v>4.2999999999999997E-2</v>
      </c>
      <c r="J27" s="36"/>
      <c r="K27" s="38"/>
    </row>
    <row r="28" spans="1:11" x14ac:dyDescent="0.15">
      <c r="B28" s="30" t="s">
        <v>132</v>
      </c>
      <c r="D28" s="45">
        <v>4.5999999999999999E-2</v>
      </c>
      <c r="J28" s="36"/>
      <c r="K28" s="38"/>
    </row>
    <row r="29" spans="1:11" x14ac:dyDescent="0.15">
      <c r="B29" s="30" t="s">
        <v>133</v>
      </c>
      <c r="D29" s="101">
        <v>0.11</v>
      </c>
      <c r="J29" s="36"/>
      <c r="K29" s="38"/>
    </row>
    <row r="30" spans="1:11" x14ac:dyDescent="0.15">
      <c r="B30" s="30" t="s">
        <v>134</v>
      </c>
      <c r="D30" s="133">
        <f>D27+D28*D29</f>
        <v>4.8059999999999999E-2</v>
      </c>
      <c r="J30" s="36"/>
      <c r="K30" s="38"/>
    </row>
    <row r="31" spans="1:11" x14ac:dyDescent="0.15">
      <c r="J31" s="36"/>
      <c r="K31" s="38"/>
    </row>
    <row r="32" spans="1:11" x14ac:dyDescent="0.15">
      <c r="B32" s="30" t="s">
        <v>135</v>
      </c>
      <c r="D32" s="45">
        <v>3.1600000000000003E-2</v>
      </c>
      <c r="J32" s="36"/>
      <c r="K32" s="38"/>
    </row>
    <row r="33" spans="1:11" x14ac:dyDescent="0.15">
      <c r="B33" s="30" t="s">
        <v>136</v>
      </c>
      <c r="D33" s="102">
        <f>D27+D32</f>
        <v>7.46E-2</v>
      </c>
      <c r="J33" s="36"/>
      <c r="K33" s="38"/>
    </row>
    <row r="34" spans="1:11" x14ac:dyDescent="0.15">
      <c r="B34" s="30" t="s">
        <v>137</v>
      </c>
      <c r="D34" s="46">
        <v>0.21099999999999999</v>
      </c>
      <c r="J34" s="36"/>
      <c r="K34" s="38"/>
    </row>
    <row r="35" spans="1:11" x14ac:dyDescent="0.15">
      <c r="B35" s="30" t="s">
        <v>138</v>
      </c>
      <c r="D35" s="103">
        <f>D33*(1-D34)</f>
        <v>5.8859399999999999E-2</v>
      </c>
      <c r="J35" s="36"/>
      <c r="K35" s="38"/>
    </row>
    <row r="36" spans="1:11" x14ac:dyDescent="0.15">
      <c r="J36" s="36"/>
      <c r="K36" s="38"/>
    </row>
    <row r="37" spans="1:11" x14ac:dyDescent="0.15">
      <c r="B37" s="30" t="s">
        <v>139</v>
      </c>
      <c r="D37" s="30">
        <f>BS!C23+BS!C24</f>
        <v>20.29020684480345</v>
      </c>
      <c r="J37" s="36"/>
      <c r="K37" s="38"/>
    </row>
    <row r="38" spans="1:11" x14ac:dyDescent="0.15">
      <c r="B38" s="30" t="s">
        <v>140</v>
      </c>
      <c r="D38" s="47">
        <v>893</v>
      </c>
      <c r="J38" s="36"/>
      <c r="K38" s="38"/>
    </row>
    <row r="39" spans="1:11" x14ac:dyDescent="0.15">
      <c r="B39" s="30" t="s">
        <v>141</v>
      </c>
      <c r="D39" s="48">
        <f>D40/D38</f>
        <v>118.44344904815229</v>
      </c>
      <c r="J39" s="36"/>
      <c r="K39" s="40"/>
    </row>
    <row r="40" spans="1:11" x14ac:dyDescent="0.15">
      <c r="B40" s="30" t="s">
        <v>142</v>
      </c>
      <c r="D40" s="30">
        <v>105770</v>
      </c>
      <c r="J40" s="41"/>
      <c r="K40" s="41"/>
    </row>
    <row r="41" spans="1:11" x14ac:dyDescent="0.15">
      <c r="B41" s="30" t="s">
        <v>143</v>
      </c>
      <c r="D41" s="30">
        <f>D37+D40</f>
        <v>105790.2902068448</v>
      </c>
      <c r="J41" s="41"/>
      <c r="K41" s="37"/>
    </row>
    <row r="42" spans="1:11" x14ac:dyDescent="0.15">
      <c r="B42" s="30" t="s">
        <v>144</v>
      </c>
      <c r="D42" s="132">
        <f>D37/D41</f>
        <v>1.9179649479296579E-4</v>
      </c>
      <c r="J42" s="35"/>
      <c r="K42" s="29"/>
    </row>
    <row r="43" spans="1:11" x14ac:dyDescent="0.15">
      <c r="B43" s="30" t="s">
        <v>145</v>
      </c>
      <c r="D43" s="135">
        <f>1-D42</f>
        <v>0.99980820350520705</v>
      </c>
      <c r="J43" s="35"/>
      <c r="K43" s="29"/>
    </row>
    <row r="44" spans="1:11" ht="15" x14ac:dyDescent="0.2">
      <c r="B44" s="42" t="s">
        <v>146</v>
      </c>
      <c r="D44" s="106">
        <f>D42*D35+D43*D30</f>
        <v>4.8062071287065869E-2</v>
      </c>
      <c r="J44" s="35"/>
      <c r="K44" s="29"/>
    </row>
    <row r="45" spans="1:11" x14ac:dyDescent="0.15">
      <c r="J45" s="35"/>
      <c r="K45" s="29"/>
    </row>
    <row r="46" spans="1:11" x14ac:dyDescent="0.15">
      <c r="A46" s="19" t="s">
        <v>147</v>
      </c>
      <c r="J46" s="35"/>
      <c r="K46" s="29"/>
    </row>
    <row r="47" spans="1:11" x14ac:dyDescent="0.15">
      <c r="B47" s="30" t="s">
        <v>148</v>
      </c>
      <c r="D47" s="78">
        <v>0.03</v>
      </c>
      <c r="J47" s="29"/>
      <c r="K47" s="29"/>
    </row>
    <row r="48" spans="1:11" x14ac:dyDescent="0.15">
      <c r="B48" s="30" t="s">
        <v>149</v>
      </c>
      <c r="D48" s="49">
        <v>18</v>
      </c>
      <c r="J48" s="29"/>
      <c r="K48" s="29"/>
    </row>
    <row r="49" spans="1:11" x14ac:dyDescent="0.15">
      <c r="B49" s="30"/>
      <c r="D49" s="14"/>
      <c r="J49" s="29"/>
      <c r="K49" s="29"/>
    </row>
    <row r="50" spans="1:11" x14ac:dyDescent="0.15">
      <c r="B50" s="30" t="s">
        <v>150</v>
      </c>
      <c r="D50">
        <f ca="1">J14*(1+D47)/(wacc-D47)</f>
        <v>242244.5870896808</v>
      </c>
      <c r="I50" s="27"/>
      <c r="J50" s="38"/>
      <c r="K50" s="29"/>
    </row>
    <row r="51" spans="1:11" x14ac:dyDescent="0.15">
      <c r="B51" s="30" t="s">
        <v>151</v>
      </c>
      <c r="D51">
        <f ca="1">D50/(J5+J8)</f>
        <v>41.495964607213182</v>
      </c>
      <c r="I51" s="27"/>
      <c r="J51" s="50"/>
      <c r="K51" s="29"/>
    </row>
    <row r="52" spans="1:11" x14ac:dyDescent="0.15">
      <c r="B52" s="30"/>
      <c r="I52" s="27"/>
      <c r="J52" s="29"/>
      <c r="K52" s="29"/>
    </row>
    <row r="53" spans="1:11" x14ac:dyDescent="0.15">
      <c r="B53" s="30"/>
      <c r="I53" s="27"/>
      <c r="J53" s="29"/>
      <c r="K53" s="29"/>
    </row>
    <row r="54" spans="1:11" x14ac:dyDescent="0.15">
      <c r="A54" s="19" t="s">
        <v>152</v>
      </c>
      <c r="J54" s="29"/>
      <c r="K54" s="29"/>
    </row>
    <row r="55" spans="1:11" x14ac:dyDescent="0.15">
      <c r="B55" s="27" t="s">
        <v>153</v>
      </c>
      <c r="E55" s="44"/>
      <c r="F55" s="7">
        <v>1</v>
      </c>
      <c r="G55" s="27">
        <v>2</v>
      </c>
      <c r="H55" s="27">
        <f>G55+1</f>
        <v>3</v>
      </c>
      <c r="I55" s="27">
        <f>H55+1</f>
        <v>4</v>
      </c>
      <c r="J55" s="27">
        <f>I55+1</f>
        <v>5</v>
      </c>
      <c r="K55" s="29"/>
    </row>
    <row r="56" spans="1:11" x14ac:dyDescent="0.15">
      <c r="B56" s="27" t="s">
        <v>121</v>
      </c>
      <c r="F56" s="85">
        <f ca="1">F14</f>
        <v>4313.6479296226416</v>
      </c>
      <c r="G56" s="85">
        <f ca="1">G14</f>
        <v>3721.9918208766962</v>
      </c>
      <c r="H56" s="85">
        <f ca="1">H14</f>
        <v>3810.5920448760357</v>
      </c>
      <c r="I56" s="85">
        <f ca="1">I14</f>
        <v>4071.0624148619049</v>
      </c>
      <c r="J56" s="85">
        <f ca="1">J14</f>
        <v>4247.9990300190784</v>
      </c>
      <c r="K56" s="29"/>
    </row>
    <row r="57" spans="1:11" x14ac:dyDescent="0.15">
      <c r="B57" t="s">
        <v>154</v>
      </c>
      <c r="E57" s="30"/>
      <c r="F57" s="30">
        <f ca="1">F56/(1+wacc)^F55</f>
        <v>4115.8324948495601</v>
      </c>
      <c r="G57" s="30">
        <f ca="1">G56/(1+wacc)^G55</f>
        <v>3388.452528028527</v>
      </c>
      <c r="H57" s="30">
        <f ca="1">H56/(1+wacc)^H55</f>
        <v>3310.026290165305</v>
      </c>
      <c r="I57" s="30">
        <f ca="1">I56/(1+wacc)^I55</f>
        <v>3374.1139316815793</v>
      </c>
      <c r="J57" s="30">
        <f ca="1">J56/(1+wacc)^J55</f>
        <v>3359.3046166979002</v>
      </c>
      <c r="K57" s="29"/>
    </row>
    <row r="58" spans="1:11" x14ac:dyDescent="0.15">
      <c r="E58" s="30"/>
      <c r="F58" s="30"/>
      <c r="G58" s="30"/>
      <c r="H58" s="30"/>
      <c r="I58" s="30"/>
      <c r="J58" s="30"/>
      <c r="K58" s="29"/>
    </row>
    <row r="59" spans="1:11" x14ac:dyDescent="0.15">
      <c r="A59" s="19" t="s">
        <v>155</v>
      </c>
      <c r="E59" s="75" t="s">
        <v>156</v>
      </c>
      <c r="F59" s="31"/>
      <c r="G59" s="31"/>
      <c r="H59" s="31"/>
      <c r="I59" s="75"/>
      <c r="J59" s="31"/>
      <c r="K59" s="29"/>
    </row>
    <row r="60" spans="1:11" x14ac:dyDescent="0.15">
      <c r="B60" s="30" t="s">
        <v>157</v>
      </c>
      <c r="C60" s="51"/>
      <c r="D60" s="30"/>
      <c r="E60" s="30">
        <f ca="1">SUM(F57:J57)</f>
        <v>17547.729861422871</v>
      </c>
      <c r="F60" s="52"/>
      <c r="G60" s="30"/>
      <c r="H60" s="30"/>
      <c r="I60" s="30"/>
      <c r="J60" s="52"/>
      <c r="K60" s="29"/>
    </row>
    <row r="61" spans="1:11" x14ac:dyDescent="0.15">
      <c r="B61" s="30" t="s">
        <v>158</v>
      </c>
      <c r="C61" s="30"/>
      <c r="D61" s="30"/>
      <c r="E61">
        <f ca="1">D50/(1+wacc)^5</f>
        <v>191566.27721188214</v>
      </c>
      <c r="F61" s="52"/>
      <c r="J61" s="52"/>
      <c r="K61" s="29"/>
    </row>
    <row r="62" spans="1:11" x14ac:dyDescent="0.15">
      <c r="B62" s="31" t="s">
        <v>159</v>
      </c>
      <c r="C62" s="31"/>
      <c r="D62" s="31"/>
      <c r="E62" s="19">
        <f ca="1">SUM(E60,E61)</f>
        <v>209114.00707330502</v>
      </c>
      <c r="F62" s="52"/>
      <c r="I62" s="19"/>
      <c r="J62" s="52"/>
      <c r="K62" s="29"/>
    </row>
    <row r="63" spans="1:11" x14ac:dyDescent="0.15">
      <c r="J63" s="29"/>
      <c r="K63" s="29"/>
    </row>
    <row r="64" spans="1:11" x14ac:dyDescent="0.15">
      <c r="B64" s="30" t="s">
        <v>160</v>
      </c>
      <c r="D64" s="30"/>
      <c r="E64">
        <f>BS!E4+BS!E5</f>
        <v>10844.8</v>
      </c>
      <c r="J64" s="29"/>
      <c r="K64" s="29"/>
    </row>
    <row r="65" spans="1:11" x14ac:dyDescent="0.15">
      <c r="B65" s="30" t="s">
        <v>161</v>
      </c>
      <c r="D65" s="30"/>
      <c r="E65">
        <f>BS!E11</f>
        <v>5396.5</v>
      </c>
      <c r="J65" s="29"/>
      <c r="K65" s="29"/>
    </row>
    <row r="66" spans="1:11" x14ac:dyDescent="0.15">
      <c r="B66" s="30" t="s">
        <v>162</v>
      </c>
      <c r="D66" s="30"/>
      <c r="E66">
        <f>BS!E23+BS!E24</f>
        <v>2702.9</v>
      </c>
      <c r="J66" s="29"/>
      <c r="K66" s="29"/>
    </row>
    <row r="67" spans="1:11" x14ac:dyDescent="0.15">
      <c r="B67" s="31" t="s">
        <v>163</v>
      </c>
      <c r="D67" s="31"/>
      <c r="E67" s="120">
        <f ca="1">E62+E64+E65-E66</f>
        <v>222652.40707330502</v>
      </c>
      <c r="I67" s="19"/>
      <c r="J67" s="29"/>
      <c r="K67" s="29"/>
    </row>
    <row r="68" spans="1:11" x14ac:dyDescent="0.15">
      <c r="J68" s="29"/>
      <c r="K68" s="29"/>
    </row>
    <row r="69" spans="1:11" x14ac:dyDescent="0.15">
      <c r="B69" s="31" t="s">
        <v>164</v>
      </c>
      <c r="C69" s="30"/>
      <c r="D69" s="31"/>
      <c r="E69" s="119">
        <f ca="1">E67/D39</f>
        <v>1879.8203603711959</v>
      </c>
      <c r="I69" s="19"/>
      <c r="J69" s="29"/>
      <c r="K69" s="29"/>
    </row>
    <row r="70" spans="1:11" x14ac:dyDescent="0.15">
      <c r="B70" s="30"/>
      <c r="D70" s="31"/>
      <c r="J70" s="29"/>
      <c r="K70" s="29"/>
    </row>
    <row r="71" spans="1:11" x14ac:dyDescent="0.15">
      <c r="B71" s="30"/>
      <c r="D71" s="75" t="s">
        <v>165</v>
      </c>
      <c r="H71" s="75"/>
      <c r="J71" s="35"/>
      <c r="K71" s="35"/>
    </row>
    <row r="72" spans="1:11" x14ac:dyDescent="0.15">
      <c r="A72" s="19" t="s">
        <v>166</v>
      </c>
      <c r="B72" s="30"/>
      <c r="D72" s="31"/>
      <c r="J72" s="35"/>
      <c r="K72" s="35"/>
    </row>
    <row r="73" spans="1:11" x14ac:dyDescent="0.15">
      <c r="B73" s="30"/>
      <c r="C73" s="58" t="s">
        <v>167</v>
      </c>
      <c r="D73" s="44"/>
      <c r="H73" s="58"/>
      <c r="I73" s="91"/>
    </row>
    <row r="74" spans="1:11" ht="14" thickBot="1" x14ac:dyDescent="0.2">
      <c r="B74" s="30"/>
      <c r="D74" s="57" t="s">
        <v>168</v>
      </c>
      <c r="E74" s="57"/>
      <c r="F74" s="57"/>
      <c r="I74" s="92"/>
      <c r="J74" s="92"/>
      <c r="K74" s="92"/>
    </row>
    <row r="75" spans="1:11" x14ac:dyDescent="0.15">
      <c r="C75" s="19">
        <f ca="1">E69</f>
        <v>1879.8203603711959</v>
      </c>
      <c r="D75" s="54">
        <v>2.5000000000000001E-2</v>
      </c>
      <c r="E75" s="55">
        <v>0.03</v>
      </c>
      <c r="F75" s="54">
        <v>3.5000000000000003E-2</v>
      </c>
      <c r="I75" s="93"/>
      <c r="J75" s="94"/>
      <c r="K75" s="93"/>
    </row>
    <row r="76" spans="1:11" x14ac:dyDescent="0.15">
      <c r="B76" s="138" t="s">
        <v>169</v>
      </c>
      <c r="C76" s="34">
        <f>C77-0.005</f>
        <v>6.5205815236177925E-2</v>
      </c>
      <c r="D76" s="59">
        <f t="dataTable" ref="D76:F80" dt2D="1" dtr="1" r1="D47" r2="D44" ca="1"/>
        <v>1879.8203603711959</v>
      </c>
      <c r="E76" s="60">
        <v>1879.8203603711959</v>
      </c>
      <c r="F76" s="61">
        <v>1879.8203603711959</v>
      </c>
      <c r="G76" s="139"/>
      <c r="H76" s="95"/>
      <c r="I76" s="30"/>
    </row>
    <row r="77" spans="1:11" x14ac:dyDescent="0.15">
      <c r="B77" s="138"/>
      <c r="C77" s="34">
        <f>C78-0.005</f>
        <v>7.0205815236177929E-2</v>
      </c>
      <c r="D77" s="62">
        <v>1879.8203603711959</v>
      </c>
      <c r="E77">
        <v>1879.8203603711959</v>
      </c>
      <c r="F77" s="63">
        <v>1879.8203603711959</v>
      </c>
      <c r="G77" s="139"/>
      <c r="H77" s="95"/>
      <c r="I77" s="30"/>
    </row>
    <row r="78" spans="1:11" x14ac:dyDescent="0.15">
      <c r="B78" s="138"/>
      <c r="C78" s="53">
        <v>7.5205815236177934E-2</v>
      </c>
      <c r="D78" s="62">
        <v>1879.8203603711959</v>
      </c>
      <c r="E78" s="134">
        <v>1879.8203603711959</v>
      </c>
      <c r="F78" s="63">
        <v>1879.8203603711959</v>
      </c>
      <c r="G78" s="139"/>
      <c r="H78" s="96"/>
      <c r="I78" s="30"/>
    </row>
    <row r="79" spans="1:11" x14ac:dyDescent="0.15">
      <c r="B79" s="138"/>
      <c r="C79" s="56">
        <f>C78+0.005</f>
        <v>8.0205815236177938E-2</v>
      </c>
      <c r="D79" s="62">
        <v>1879.8203603711959</v>
      </c>
      <c r="E79">
        <v>1879.8203603711959</v>
      </c>
      <c r="F79" s="63">
        <v>1879.8203603711959</v>
      </c>
      <c r="G79" s="139"/>
      <c r="H79" s="97"/>
      <c r="I79" s="30"/>
    </row>
    <row r="80" spans="1:11" x14ac:dyDescent="0.15">
      <c r="B80" s="138"/>
      <c r="C80" s="56">
        <f>C79+0.005</f>
        <v>8.5205815236177943E-2</v>
      </c>
      <c r="D80" s="64">
        <v>1879.8203603711959</v>
      </c>
      <c r="E80" s="65">
        <v>1879.8203603711959</v>
      </c>
      <c r="F80" s="66">
        <v>1879.8203603711959</v>
      </c>
      <c r="G80" s="139"/>
      <c r="H80" s="97"/>
    </row>
    <row r="83" spans="3:11" x14ac:dyDescent="0.15">
      <c r="C83" s="58"/>
      <c r="D83" s="44"/>
      <c r="H83" s="58"/>
      <c r="I83" s="91"/>
    </row>
    <row r="84" spans="3:11" ht="14" thickBot="1" x14ac:dyDescent="0.2">
      <c r="D84" s="57"/>
      <c r="E84" s="57"/>
      <c r="F84" s="57"/>
      <c r="I84" s="92"/>
      <c r="J84" s="92"/>
      <c r="K84" s="92"/>
    </row>
    <row r="85" spans="3:11" x14ac:dyDescent="0.15">
      <c r="D85" s="54"/>
      <c r="E85" s="55"/>
      <c r="F85" s="54"/>
      <c r="H85" s="76"/>
      <c r="I85" s="93"/>
      <c r="J85" s="94"/>
      <c r="K85" s="93"/>
    </row>
    <row r="86" spans="3:11" x14ac:dyDescent="0.15">
      <c r="C86" s="34"/>
      <c r="D86" s="67"/>
      <c r="E86" s="68"/>
      <c r="F86" s="69"/>
      <c r="H86" s="95"/>
      <c r="I86" s="98"/>
      <c r="J86" s="76"/>
      <c r="K86" s="76"/>
    </row>
    <row r="87" spans="3:11" x14ac:dyDescent="0.15">
      <c r="C87" s="34"/>
      <c r="D87" s="70"/>
      <c r="E87" s="13"/>
      <c r="F87" s="71"/>
      <c r="H87" s="95"/>
      <c r="I87" s="98"/>
      <c r="J87" s="76"/>
      <c r="K87" s="76"/>
    </row>
    <row r="88" spans="3:11" x14ac:dyDescent="0.15">
      <c r="C88" s="53"/>
      <c r="D88" s="70"/>
      <c r="E88" s="13"/>
      <c r="F88" s="71"/>
      <c r="H88" s="96"/>
      <c r="I88" s="98"/>
      <c r="J88" s="76"/>
      <c r="K88" s="76"/>
    </row>
    <row r="89" spans="3:11" x14ac:dyDescent="0.15">
      <c r="C89" s="56"/>
      <c r="D89" s="70"/>
      <c r="E89" s="13"/>
      <c r="F89" s="71"/>
      <c r="H89" s="97"/>
      <c r="I89" s="98"/>
      <c r="J89" s="76"/>
      <c r="K89" s="76"/>
    </row>
    <row r="90" spans="3:11" x14ac:dyDescent="0.15">
      <c r="C90" s="56"/>
      <c r="D90" s="72"/>
      <c r="E90" s="73"/>
      <c r="F90" s="74"/>
      <c r="H90" s="97"/>
      <c r="I90" s="97"/>
      <c r="J90" s="97"/>
      <c r="K90" s="97"/>
    </row>
  </sheetData>
  <mergeCells count="2">
    <mergeCell ref="B76:B80"/>
    <mergeCell ref="G76:G8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8ADF-E68F-9142-8235-E360C8750709}">
  <dimension ref="A1:L27"/>
  <sheetViews>
    <sheetView workbookViewId="0">
      <selection activeCell="J19" sqref="J19"/>
    </sheetView>
  </sheetViews>
  <sheetFormatPr baseColWidth="10" defaultRowHeight="13" x14ac:dyDescent="0.15"/>
  <cols>
    <col min="1" max="1" width="24" customWidth="1"/>
    <col min="2" max="9" width="16" customWidth="1"/>
    <col min="11" max="11" width="34.1640625" customWidth="1"/>
    <col min="12" max="12" width="26.33203125" customWidth="1"/>
  </cols>
  <sheetData>
    <row r="1" spans="1:12" ht="16" x14ac:dyDescent="0.2">
      <c r="A1" t="s">
        <v>170</v>
      </c>
      <c r="B1" s="15" t="s">
        <v>171</v>
      </c>
      <c r="C1" s="15" t="s">
        <v>172</v>
      </c>
      <c r="D1" s="15" t="s">
        <v>173</v>
      </c>
      <c r="E1" s="15" t="s">
        <v>174</v>
      </c>
      <c r="F1" s="121" t="s">
        <v>175</v>
      </c>
      <c r="G1" s="121" t="s">
        <v>176</v>
      </c>
      <c r="H1" s="121" t="s">
        <v>177</v>
      </c>
      <c r="I1" s="121" t="s">
        <v>178</v>
      </c>
      <c r="K1" s="122" t="s">
        <v>179</v>
      </c>
      <c r="L1" s="122" t="s">
        <v>156</v>
      </c>
    </row>
    <row r="2" spans="1:12" x14ac:dyDescent="0.15">
      <c r="A2" t="s">
        <v>119</v>
      </c>
      <c r="B2" s="123">
        <v>16071.7</v>
      </c>
      <c r="C2" s="123">
        <v>12172.9</v>
      </c>
      <c r="D2" s="123">
        <v>13117.2</v>
      </c>
      <c r="E2" s="123">
        <v>14035.404000000002</v>
      </c>
      <c r="F2" s="123">
        <v>14877.528240000003</v>
      </c>
      <c r="G2" s="123">
        <v>15621.404652000005</v>
      </c>
      <c r="H2" s="123">
        <v>16246.260838080005</v>
      </c>
      <c r="I2" s="123">
        <v>16733.648663222404</v>
      </c>
      <c r="K2" t="s">
        <v>157</v>
      </c>
      <c r="L2">
        <v>16288.426693812537</v>
      </c>
    </row>
    <row r="3" spans="1:12" x14ac:dyDescent="0.15">
      <c r="A3" t="s">
        <v>66</v>
      </c>
      <c r="B3" s="123">
        <v>8855.5999999999985</v>
      </c>
      <c r="C3" s="123">
        <v>4559.1999999999989</v>
      </c>
      <c r="D3" s="123">
        <v>4042.8999999999996</v>
      </c>
      <c r="E3" s="123">
        <v>4325.9030000000012</v>
      </c>
      <c r="F3" s="123">
        <v>4585.4571799999994</v>
      </c>
      <c r="G3" s="123">
        <v>4814.7300390000028</v>
      </c>
      <c r="H3" s="123">
        <v>5007.3192405600012</v>
      </c>
      <c r="I3" s="123">
        <v>5157.5388177768009</v>
      </c>
      <c r="K3" t="s">
        <v>158</v>
      </c>
      <c r="L3">
        <v>66904.946901812553</v>
      </c>
    </row>
    <row r="4" spans="1:12" x14ac:dyDescent="0.15">
      <c r="A4" t="s">
        <v>120</v>
      </c>
      <c r="B4" s="123">
        <v>7604.396844662936</v>
      </c>
      <c r="C4" s="123">
        <v>4052.1458710890738</v>
      </c>
      <c r="D4" s="123">
        <v>3806.1028105556743</v>
      </c>
      <c r="E4" s="123">
        <v>3850.0536700000011</v>
      </c>
      <c r="F4" s="123">
        <v>4081.0568901999995</v>
      </c>
      <c r="G4" s="123">
        <v>4285.1097347100022</v>
      </c>
      <c r="H4" s="123">
        <v>4456.5141240984012</v>
      </c>
      <c r="I4" s="123">
        <v>4590.2095478213532</v>
      </c>
      <c r="K4" t="s">
        <v>159</v>
      </c>
      <c r="L4">
        <v>83193.373595625089</v>
      </c>
    </row>
    <row r="5" spans="1:12" x14ac:dyDescent="0.15">
      <c r="A5" t="s">
        <v>45</v>
      </c>
      <c r="B5" s="123"/>
      <c r="C5" s="123"/>
      <c r="D5" s="123"/>
      <c r="E5" s="123">
        <v>556.09433962264143</v>
      </c>
      <c r="F5" s="123">
        <v>584.63503404772996</v>
      </c>
      <c r="G5" s="123">
        <v>615.53527033486273</v>
      </c>
      <c r="H5" s="123">
        <v>647.75674966505039</v>
      </c>
      <c r="I5" s="123">
        <v>680.2478051559691</v>
      </c>
    </row>
    <row r="6" spans="1:12" x14ac:dyDescent="0.15">
      <c r="A6" t="s">
        <v>106</v>
      </c>
      <c r="B6" s="123"/>
      <c r="C6" s="123"/>
      <c r="D6" s="123"/>
      <c r="E6" s="123">
        <v>-396.19300000000112</v>
      </c>
      <c r="F6" s="123">
        <v>-364.00757999999951</v>
      </c>
      <c r="G6" s="123">
        <v>-321.5400290000016</v>
      </c>
      <c r="H6" s="123">
        <v>-270.09362435999901</v>
      </c>
      <c r="I6" s="123">
        <v>-210.67302700080108</v>
      </c>
      <c r="K6" t="s">
        <v>160</v>
      </c>
      <c r="L6">
        <v>10844.8</v>
      </c>
    </row>
    <row r="7" spans="1:12" x14ac:dyDescent="0.15">
      <c r="A7" t="s">
        <v>107</v>
      </c>
      <c r="B7" s="123"/>
      <c r="C7" s="123"/>
      <c r="D7" s="123"/>
      <c r="E7" s="123">
        <v>909.20300000000043</v>
      </c>
      <c r="F7" s="123">
        <v>252.18608142896665</v>
      </c>
      <c r="G7" s="123">
        <v>102.15252307117271</v>
      </c>
      <c r="H7" s="123">
        <v>139.40173222005296</v>
      </c>
      <c r="I7" s="123">
        <v>114.6824868766048</v>
      </c>
      <c r="K7" t="s">
        <v>161</v>
      </c>
      <c r="L7">
        <v>5396.5</v>
      </c>
    </row>
    <row r="8" spans="1:12" x14ac:dyDescent="0.15">
      <c r="A8" t="s">
        <v>108</v>
      </c>
      <c r="B8" s="123"/>
      <c r="C8" s="123"/>
      <c r="D8" s="123"/>
      <c r="E8" s="123">
        <v>163.39191999999997</v>
      </c>
      <c r="F8" s="123">
        <v>-16.842484800000022</v>
      </c>
      <c r="G8" s="123">
        <v>-14.877528240000004</v>
      </c>
      <c r="H8" s="123">
        <v>-12.497123721600019</v>
      </c>
      <c r="I8" s="123">
        <v>-9.7477565028480058</v>
      </c>
      <c r="K8" t="s">
        <v>162</v>
      </c>
      <c r="L8">
        <v>-2702.9</v>
      </c>
    </row>
    <row r="9" spans="1:12" x14ac:dyDescent="0.15">
      <c r="A9" t="s">
        <v>44</v>
      </c>
      <c r="B9" s="123"/>
      <c r="C9" s="123"/>
      <c r="D9" s="123"/>
      <c r="E9" s="123">
        <v>-768.90200000000016</v>
      </c>
      <c r="F9" s="123">
        <v>-815.03612000000021</v>
      </c>
      <c r="G9" s="123">
        <v>-855.78792600000031</v>
      </c>
      <c r="H9" s="123">
        <v>-890.01944304000028</v>
      </c>
      <c r="I9" s="123">
        <v>-916.72002633120019</v>
      </c>
      <c r="K9" t="s">
        <v>163</v>
      </c>
      <c r="L9">
        <v>96731.773595625098</v>
      </c>
    </row>
    <row r="10" spans="1:12" x14ac:dyDescent="0.15">
      <c r="A10" t="s">
        <v>111</v>
      </c>
      <c r="B10" s="123"/>
      <c r="C10" s="123"/>
      <c r="D10" s="123"/>
      <c r="E10" s="123">
        <v>0</v>
      </c>
      <c r="F10" s="123">
        <v>0</v>
      </c>
      <c r="G10" s="123">
        <v>0</v>
      </c>
      <c r="H10" s="123">
        <v>0</v>
      </c>
      <c r="I10" s="123">
        <v>0</v>
      </c>
    </row>
    <row r="11" spans="1:12" ht="16" x14ac:dyDescent="0.2">
      <c r="A11" t="s">
        <v>121</v>
      </c>
      <c r="B11" s="123"/>
      <c r="C11" s="123"/>
      <c r="D11" s="123"/>
      <c r="E11" s="124">
        <v>4313.6479296226416</v>
      </c>
      <c r="F11" s="124">
        <v>3721.9918208766962</v>
      </c>
      <c r="G11" s="124">
        <v>3810.5920448760357</v>
      </c>
      <c r="H11" s="124">
        <v>4071.0624148619049</v>
      </c>
      <c r="I11" s="124">
        <v>4247.9990300190784</v>
      </c>
      <c r="K11" s="122" t="s">
        <v>164</v>
      </c>
      <c r="L11" s="122">
        <v>884.36820522803703</v>
      </c>
    </row>
    <row r="14" spans="1:12" x14ac:dyDescent="0.15">
      <c r="A14" t="s">
        <v>170</v>
      </c>
      <c r="B14" t="s">
        <v>180</v>
      </c>
      <c r="C14" t="s">
        <v>181</v>
      </c>
      <c r="D14" t="s">
        <v>182</v>
      </c>
    </row>
    <row r="15" spans="1:12" x14ac:dyDescent="0.15">
      <c r="A15" t="s">
        <v>23</v>
      </c>
      <c r="B15">
        <v>137.09330686859511</v>
      </c>
      <c r="C15">
        <v>159.77914054991004</v>
      </c>
      <c r="D15">
        <v>157.69863233007044</v>
      </c>
    </row>
    <row r="16" spans="1:12" x14ac:dyDescent="0.15">
      <c r="A16" t="s">
        <v>24</v>
      </c>
      <c r="B16">
        <v>401.68321019683043</v>
      </c>
      <c r="C16">
        <v>1095.8668749999999</v>
      </c>
      <c r="D16">
        <v>1010.4951185495119</v>
      </c>
    </row>
    <row r="17" spans="1:7" x14ac:dyDescent="0.15">
      <c r="A17" t="s">
        <v>32</v>
      </c>
      <c r="B17">
        <v>116.10174271050703</v>
      </c>
      <c r="C17">
        <v>268.82250000000005</v>
      </c>
      <c r="D17">
        <v>237.53781783070485</v>
      </c>
    </row>
    <row r="18" spans="1:7" x14ac:dyDescent="0.15">
      <c r="A18" s="31" t="s">
        <v>183</v>
      </c>
      <c r="B18" s="31">
        <f>B15+B16-B17</f>
        <v>422.6747743549185</v>
      </c>
      <c r="C18" s="31">
        <f t="shared" ref="C18:D18" si="0">C15+C16-C17</f>
        <v>986.82351554990987</v>
      </c>
      <c r="D18" s="31">
        <f t="shared" si="0"/>
        <v>930.65593304887739</v>
      </c>
    </row>
    <row r="20" spans="1:7" x14ac:dyDescent="0.15">
      <c r="A20" s="30"/>
      <c r="C20" s="30"/>
    </row>
    <row r="21" spans="1:7" x14ac:dyDescent="0.15">
      <c r="A21" s="30"/>
      <c r="C21" s="30"/>
    </row>
    <row r="22" spans="1:7" ht="16" x14ac:dyDescent="0.2">
      <c r="A22" s="125" t="s">
        <v>170</v>
      </c>
      <c r="B22" s="126" t="s">
        <v>184</v>
      </c>
      <c r="C22" s="126" t="s">
        <v>185</v>
      </c>
      <c r="D22" s="126" t="s">
        <v>186</v>
      </c>
      <c r="E22" s="126" t="s">
        <v>187</v>
      </c>
      <c r="F22" s="126" t="s">
        <v>188</v>
      </c>
      <c r="G22" s="126" t="s">
        <v>189</v>
      </c>
    </row>
    <row r="23" spans="1:7" ht="16" x14ac:dyDescent="0.2">
      <c r="A23" s="125" t="s">
        <v>60</v>
      </c>
      <c r="B23" s="127">
        <v>6710.8</v>
      </c>
      <c r="C23" s="127">
        <v>6557.6</v>
      </c>
      <c r="D23" s="127">
        <v>8497.1</v>
      </c>
      <c r="E23" s="127">
        <v>16071.7</v>
      </c>
      <c r="F23" s="127">
        <v>12172.9</v>
      </c>
      <c r="G23" s="127">
        <v>13117.2</v>
      </c>
    </row>
    <row r="24" spans="1:7" ht="16" x14ac:dyDescent="0.2">
      <c r="A24" s="125" t="s">
        <v>74</v>
      </c>
      <c r="B24" s="127">
        <v>2444.4</v>
      </c>
      <c r="C24" s="127">
        <v>2115.8000000000002</v>
      </c>
      <c r="D24" s="127">
        <v>2881.6</v>
      </c>
      <c r="E24" s="127">
        <v>7646.3</v>
      </c>
      <c r="F24" s="127">
        <v>4161.3</v>
      </c>
      <c r="G24" s="127">
        <v>3949.2</v>
      </c>
    </row>
    <row r="25" spans="1:7" ht="16" x14ac:dyDescent="0.2">
      <c r="A25" s="125" t="s">
        <v>190</v>
      </c>
      <c r="B25" s="125"/>
      <c r="C25" s="128">
        <f>C23/B23-1</f>
        <v>-2.2828872861655802E-2</v>
      </c>
      <c r="D25" s="128">
        <f t="shared" ref="D25:G26" si="1">D23/C23-1</f>
        <v>0.29576369403440284</v>
      </c>
      <c r="E25" s="128">
        <f t="shared" si="1"/>
        <v>0.89143354791634799</v>
      </c>
      <c r="F25" s="128">
        <f t="shared" si="1"/>
        <v>-0.24258790295986121</v>
      </c>
      <c r="G25" s="128">
        <f t="shared" si="1"/>
        <v>7.7573955261277083E-2</v>
      </c>
    </row>
    <row r="26" spans="1:7" ht="14" x14ac:dyDescent="0.2">
      <c r="A26" s="129" t="s">
        <v>191</v>
      </c>
      <c r="B26" s="129"/>
      <c r="C26" s="130">
        <f>C24/B24-1</f>
        <v>-0.13442971690394367</v>
      </c>
      <c r="D26" s="130">
        <f t="shared" si="1"/>
        <v>0.36194347291804507</v>
      </c>
      <c r="E26" s="130">
        <f t="shared" si="1"/>
        <v>1.653491116046641</v>
      </c>
      <c r="F26" s="130">
        <f t="shared" si="1"/>
        <v>-0.45577599623347242</v>
      </c>
      <c r="G26" s="130">
        <f t="shared" si="1"/>
        <v>-5.0969648907793319E-2</v>
      </c>
    </row>
    <row r="27" spans="1:7" ht="16" x14ac:dyDescent="0.2">
      <c r="A27" s="125" t="s">
        <v>192</v>
      </c>
      <c r="C27" s="131">
        <f>C26/C25</f>
        <v>5.8885831866774581</v>
      </c>
      <c r="D27" s="131">
        <f t="shared" ref="D27:G27" si="2">D26/D25</f>
        <v>1.2237589677790008</v>
      </c>
      <c r="E27" s="131">
        <f t="shared" si="2"/>
        <v>1.8548674995590411</v>
      </c>
      <c r="F27" s="131">
        <f t="shared" si="2"/>
        <v>1.8788076019968956</v>
      </c>
      <c r="G27" s="131">
        <f t="shared" si="2"/>
        <v>-0.657045895573099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Cover</vt:lpstr>
      <vt:lpstr>Assump</vt:lpstr>
      <vt:lpstr>Calcs</vt:lpstr>
      <vt:lpstr>IS</vt:lpstr>
      <vt:lpstr>BS</vt:lpstr>
      <vt:lpstr>CF</vt:lpstr>
      <vt:lpstr>DCF</vt:lpstr>
      <vt:lpstr>random</vt:lpstr>
      <vt:lpstr>circ</vt:lpstr>
      <vt:lpstr>DCF!wacc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Deepali Singh</dc:creator>
  <cp:keywords/>
  <dc:description/>
  <cp:lastModifiedBy>Siddharth Shrimal</cp:lastModifiedBy>
  <cp:revision/>
  <dcterms:created xsi:type="dcterms:W3CDTF">2021-03-04T02:52:57Z</dcterms:created>
  <dcterms:modified xsi:type="dcterms:W3CDTF">2024-09-28T17:30:38Z</dcterms:modified>
  <cp:category/>
  <cp:contentStatus/>
</cp:coreProperties>
</file>