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8.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_rels/externalLink1.xml.rels" ContentType="application/vnd.openxmlformats-package.relationships+xml"/>
  <Override PartName="/xl/externalLinks/_rels/externalLink3.xml.rels" ContentType="application/vnd.openxmlformats-package.relationships+xml"/>
  <Override PartName="/xl/externalLinks/_rels/externalLink2.xml.rels" ContentType="application/vnd.openxmlformats-package.relationships+xml"/>
  <Override PartName="/xl/externalLinks/externalLink1.xml" ContentType="application/vnd.openxmlformats-officedocument.spreadsheetml.externalLink+xml"/>
  <Override PartName="/xl/externalLinks/externalLink3.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uide to the material" sheetId="1" state="visible" r:id="rId2"/>
    <sheet name="Table of contents" sheetId="2" state="visible" r:id="rId3"/>
    <sheet name="Meat and eggs" sheetId="3" state="visible" r:id="rId4"/>
    <sheet name="Dairy products" sheetId="4" state="visible" r:id="rId5"/>
    <sheet name="Fish and seafood" sheetId="5" state="visible" r:id="rId6"/>
    <sheet name="Grains, oil crops, sugar" sheetId="6" state="visible" r:id="rId7"/>
    <sheet name="Vegetables, roots, legumes" sheetId="7" state="visible" r:id="rId8"/>
    <sheet name="Fruits, berries, cocoa, coffee" sheetId="8" state="visible" r:id="rId9"/>
    <sheet name="Processed products" sheetId="9" state="visible" r:id="rId10"/>
    <sheet name="Common input data" sheetId="10" state="visible" r:id="rId11"/>
    <sheet name="Input data meat and eggs" sheetId="11" state="visible" r:id="rId12"/>
    <sheet name="Input data dairy products" sheetId="12" state="visible" r:id="rId13"/>
    <sheet name="Input data fish and seafood" sheetId="13" state="visible" r:id="rId14"/>
    <sheet name="Input data plant-based products" sheetId="14" state="visible" r:id="rId15"/>
    <sheet name="Input data processed products" sheetId="15" state="visible" r:id="rId16"/>
    <sheet name="Excluded data" sheetId="16" state="visible" r:id="rId17"/>
    <sheet name="Maintenance of data" sheetId="17" state="visible" r:id="rId18"/>
    <sheet name="Reference list" sheetId="18" state="visible" r:id="rId19"/>
  </sheets>
  <externalReferences>
    <externalReference r:id="rId20"/>
    <externalReference r:id="rId21"/>
    <externalReference r:id="rId22"/>
  </externalReferences>
  <definedNames>
    <definedName function="false" hidden="false" name="AlaskaPollock" vbProcedure="false">'Fish and seafood'!$A$120</definedName>
    <definedName function="false" hidden="false" name="Apple" vbProcedure="false">'Fruits, berries, cocoa, coffee'!$A$7</definedName>
    <definedName function="false" hidden="false" name="AverageFishAndSeafood" vbProcedure="false">'Fish and seafood'!$A$7</definedName>
    <definedName function="false" hidden="false" name="Avocado" vbProcedure="false">'Fruits, berries, cocoa, coffee'!$A$113</definedName>
    <definedName function="false" hidden="false" name="a_t" vbProcedure="false">'[1]Base case results'!$B$2</definedName>
    <definedName function="false" hidden="false" name="Banana" vbProcedure="false">'Fruits, berries, cocoa, coffee'!$A$66</definedName>
    <definedName function="false" hidden="false" name="Barley" vbProcedure="false">'Grains, oil crops, sugar'!$A$32</definedName>
    <definedName function="false" hidden="false" name="Beans" vbProcedure="false">'Vegetables, roots, legumes'!$A$231</definedName>
    <definedName function="false" hidden="false" name="Beef" vbProcedure="false">'Meat and eggs'!$A$58</definedName>
    <definedName function="false" hidden="false" name="Beer" vbProcedure="false">'Processed products'!$A$89</definedName>
    <definedName function="false" hidden="false" name="BellPepper" vbProcedure="false">'Vegetables, roots, legumes'!$A$65</definedName>
    <definedName function="false" hidden="false" name="Biscuits" vbProcedure="false">'Processed products'!$A$29</definedName>
    <definedName function="false" hidden="false" name="Broccoli" vbProcedure="false">'Vegetables, roots, legumes'!$A$171</definedName>
    <definedName function="false" hidden="false" name="Buns" vbProcedure="false">'Processed products'!$A$24</definedName>
    <definedName function="false" hidden="false" name="Butter" vbProcedure="false">'[3]Dairy products wo allocation'!$A$23</definedName>
    <definedName function="false" hidden="false" name="Carrot" vbProcedure="false">'Vegetables, roots, legumes'!$A$124</definedName>
    <definedName function="false" hidden="false" name="Cauliflower" vbProcedure="false">'Vegetables, roots, legumes'!$A$205</definedName>
    <definedName function="false" hidden="false" name="ChickenMeat" vbProcedure="false">'Meat and eggs'!$A$28</definedName>
    <definedName function="false" hidden="false" name="Cider" vbProcedure="false">'Processed products'!$A$84</definedName>
    <definedName function="false" hidden="false" name="Cocoa" vbProcedure="false">'Fruits, berries, cocoa, coffee'!$A$173</definedName>
    <definedName function="false" hidden="false" name="CocoaDrinkPowder" vbProcedure="false">'Processed products'!$A$74</definedName>
    <definedName function="false" hidden="false" name="Cod" vbProcedure="false">'Fish and seafood'!$A$19</definedName>
    <definedName function="false" hidden="false" name="Coffee" vbProcedure="false">'Fruits, berries, cocoa, coffee'!$A$188</definedName>
    <definedName function="false" hidden="false" name="CommonInputData" vbProcedure="false">'Common input data'!$A$1</definedName>
    <definedName function="false" hidden="false" name="Cream" vbProcedure="false">'[3]Dairy products wo allocation'!$A$57</definedName>
    <definedName function="false" hidden="false" name="CremeFraiche" vbProcedure="false">'[3]Dairy products wo allocation'!$A$112</definedName>
    <definedName function="false" hidden="false" name="CrispBread" vbProcedure="false">'Processed products'!$A$54</definedName>
    <definedName function="false" hidden="false" name="Cucumber" vbProcedure="false">'Vegetables, roots, legumes'!$A$36</definedName>
    <definedName function="false" hidden="false" name="DessertCheese" vbProcedure="false">'[3]Dairy products wo allocation'!$A$91</definedName>
    <definedName function="false" hidden="false" name="Eggs" vbProcedure="false">'Meat and eggs'!$A$45</definedName>
    <definedName function="false" hidden="false" name="EuropeanPlaice" vbProcedure="false">'Fish and seafood'!$A$138</definedName>
    <definedName function="false" hidden="false" name="ExcludedData" vbProcedure="false">'Excluded data'!$A$1</definedName>
    <definedName function="false" hidden="false" name="FishAndSeafood" vbProcedure="false">'Fish and seafood'!$A$1</definedName>
    <definedName function="false" hidden="false" name="FollowUpFormula" vbProcedure="false">'Processed products'!$A$59</definedName>
    <definedName function="false" hidden="false" name="FruitsBerriesCocoaAndCoffee" vbProcedure="false">'Fruits, berries, cocoa, coffee'!$A$1</definedName>
    <definedName function="false" hidden="false" name="GrainsAverage" vbProcedure="false">'Grains, oil crops, sugar'!$A$7</definedName>
    <definedName function="false" hidden="false" name="GrainsOilCropsAndSugar" vbProcedure="false">'Grains, oil crops, sugar'!$A$1</definedName>
    <definedName function="false" hidden="false" name="HardCheese" vbProcedure="false">'[3]Dairy products wo allocation'!$A$70</definedName>
    <definedName function="false" hidden="false" name="Herring" vbProcedure="false">'Fish and seafood'!$A$51</definedName>
    <definedName function="false" hidden="false" name="Hoki" vbProcedure="false">'Fish and seafood'!$A$154</definedName>
    <definedName function="false" hidden="false" name="IcebergLettuce" vbProcedure="false">'Vegetables, roots, legumes'!$A$90</definedName>
    <definedName function="false" hidden="false" name="IceCream" vbProcedure="false">'Processed products'!$A$163</definedName>
    <definedName function="false" hidden="false" name="InputFishAndSeafood" vbProcedure="false">'Input data fish and seafood'!$A$1</definedName>
    <definedName function="false" hidden="false" name="InputMeatAndEggs" vbProcedure="false">'Input data meat and eggs'!$A$1</definedName>
    <definedName function="false" hidden="false" name="InputMilkAndDairy" vbProcedure="false">'Input data dairy products'!$A$1</definedName>
    <definedName function="false" hidden="false" name="InputPlantBasedProducts" vbProcedure="false">'Input data plant-based products'!$A$1</definedName>
    <definedName function="false" hidden="false" name="InputProcessedProducts" vbProcedure="false">'Input data processed products'!$A$1</definedName>
    <definedName function="false" hidden="false" name="Juice" vbProcedure="false">'Processed products'!$A$123</definedName>
    <definedName function="false" hidden="false" name="Kiwifruit" vbProcedure="false">'Fruits, berries, cocoa, coffee'!$A$118</definedName>
    <definedName function="false" hidden="false" name="Leek" vbProcedure="false">'Vegetables, roots, legumes'!$A$154</definedName>
    <definedName function="false" hidden="false" name="Lemon" vbProcedure="false">'Fruits, berries, cocoa, coffee'!$A$100</definedName>
    <definedName function="false" hidden="false" name="LowFatMargarine" vbProcedure="false">'Processed products'!$A$69</definedName>
    <definedName function="false" hidden="false" name="Mackerel" vbProcedure="false">'Fish and seafood'!$A$67</definedName>
    <definedName function="false" hidden="false" name="Maintenance_of_data" vbProcedure="false">'Maintenance of data'!$A$1</definedName>
    <definedName function="false" hidden="false" name="Margarine" vbProcedure="false">'Processed products'!$A$64</definedName>
    <definedName function="false" hidden="false" name="MeatAndEggs" vbProcedure="false">'Meat and eggs'!$A$1</definedName>
    <definedName function="false" hidden="false" name="Melon" vbProcedure="false">'Fruits, berries, cocoa, coffee'!$A$45</definedName>
    <definedName function="false" hidden="false" name="MilkAndDairy" vbProcedure="false">'[3]Dairy products wo allocation'!$A$1</definedName>
    <definedName function="false" hidden="false" name="MilkChocolate" vbProcedure="false">'Processed products'!$A$153</definedName>
    <definedName function="false" hidden="false" name="MilkPowder" vbProcedure="false">'[3]Dairy products wo allocation'!$A$125</definedName>
    <definedName function="false" hidden="false" name="MineralWater" vbProcedure="false">'Processed products'!$A$106</definedName>
    <definedName function="false" hidden="false" name="NorthernPrawn" vbProcedure="false">'Fish and seafood'!$A$114</definedName>
    <definedName function="false" hidden="false" name="Oats" vbProcedure="false">'Grains, oil crops, sugar'!$A$47</definedName>
    <definedName function="false" hidden="false" name="Olive" vbProcedure="false">'Grains, oil crops, sugar'!$A$89</definedName>
    <definedName function="false" hidden="false" name="Onion" vbProcedure="false">'Vegetables, roots, legumes'!$A$137</definedName>
    <definedName function="false" hidden="false" name="Orange" vbProcedure="false">'Fruits, berries, cocoa, coffee'!$A$87</definedName>
    <definedName function="false" hidden="false" name="Pangasius" vbProcedure="false">'Fish and seafood'!$A$132</definedName>
    <definedName function="false" hidden="false" name="Pasta" vbProcedure="false">'Processed products'!$A$7</definedName>
    <definedName function="false" hidden="false" name="PastMilk" vbProcedure="false">'[3]Dairy products wo allocation'!$A$18</definedName>
    <definedName function="false" hidden="false" name="Pastries" vbProcedure="false">'Processed products'!$A$34</definedName>
    <definedName function="false" hidden="false" name="Pear" vbProcedure="false">'Fruits, berries, cocoa, coffee'!$A$24</definedName>
    <definedName function="false" hidden="false" name="Peas" vbProcedure="false">'Vegetables, roots, legumes'!$A$226</definedName>
    <definedName function="false" hidden="false" name="PlantBasedProducts" vbProcedure="false">'Grains, oil crops, sugar'!$A$1</definedName>
    <definedName function="false" hidden="false" name="PorkMeat" vbProcedure="false">'Meat and eggs'!$A$7</definedName>
    <definedName function="false" hidden="false" name="Potato" vbProcedure="false">'Vegetables, roots, legumes'!$A$107</definedName>
    <definedName function="false" hidden="false" name="PotatoCrisps" vbProcedure="false">'Processed products'!$A$158</definedName>
    <definedName function="false" hidden="false" name="ProcessedProducts" vbProcedure="false">'Processed products'!$A$1</definedName>
    <definedName function="false" hidden="false" name="RainbowTrout" vbProcedure="false">'Fish and seafood'!$A$126</definedName>
    <definedName function="false" hidden="false" name="Rapeseed" vbProcedure="false">'Grains, oil crops, sugar'!$A$69</definedName>
    <definedName function="false" hidden="false" name="Raspberry" vbProcedure="false">'Fruits, berries, cocoa, coffee'!$A$152</definedName>
    <definedName function="false" hidden="false" name="RawMilk" vbProcedure="false">'[3]Dairy products wo allocation'!$A$9</definedName>
    <definedName function="false" hidden="false" name="ReferenceList" vbProcedure="false">#REF!</definedName>
    <definedName function="false" hidden="false" name="Rice" vbProcedure="false">'Grains, oil crops, sugar'!$A$52</definedName>
    <definedName function="false" hidden="false" name="Rusks" vbProcedure="false">'Processed products'!$A$39</definedName>
    <definedName function="false" hidden="false" name="Rye" vbProcedure="false">'Grains, oil crops, sugar'!$A$27</definedName>
    <definedName function="false" hidden="false" name="Saithe" vbProcedure="false">'Fish and seafood'!$A$88</definedName>
    <definedName function="false" hidden="false" name="Salmon" vbProcedure="false">'Fish and seafood'!$A$13</definedName>
    <definedName function="false" hidden="false" name="SaltedRoe" vbProcedure="false">'Fish and seafood'!$A$35</definedName>
    <definedName function="false" hidden="false" name="Soda" vbProcedure="false">'Processed products'!$A$79</definedName>
    <definedName function="false" hidden="false" name="SpringBarley" vbProcedure="false">'Grains, oil crops, sugar'!$A$42</definedName>
    <definedName function="false" hidden="false" name="SpringWheat" vbProcedure="false">'Grains, oil crops, sugar'!$A$22</definedName>
    <definedName function="false" hidden="false" name="SquashDrink" vbProcedure="false">'Processed products'!$A$138</definedName>
    <definedName function="false" hidden="false" name="Strawberry" vbProcedure="false">'Fruits, berries, cocoa, coffee'!$A$131</definedName>
    <definedName function="false" hidden="false" name="Sugar" vbProcedure="false">'Grains, oil crops, sugar'!$A$110</definedName>
    <definedName function="false" hidden="false" name="SwedishNutrientIndex" vbProcedure="false">#REF!</definedName>
    <definedName function="false" hidden="false" name="Tomato" vbProcedure="false">'Vegetables, roots, legumes'!$A$7</definedName>
    <definedName function="false" hidden="false" name="VegetablesRootCropsAndLegumes" vbProcedure="false">'Vegetables, roots, legumes'!$A$1</definedName>
    <definedName function="false" hidden="false" name="Wheat" vbProcedure="false">'Grains, oil crops, sugar'!$A$12</definedName>
    <definedName function="false" hidden="false" name="WheatBread" vbProcedure="false">'Processed products'!$A$44</definedName>
    <definedName function="false" hidden="false" name="WheatRyeBread" vbProcedure="false">'Processed products'!$A$49</definedName>
    <definedName function="false" hidden="false" name="WhiteCabbage" vbProcedure="false">'Vegetables, roots, legumes'!$A$188</definedName>
    <definedName function="false" hidden="false" name="WinterBarley" vbProcedure="false">'Grains, oil crops, sugar'!$A$37</definedName>
    <definedName function="false" hidden="false" name="WinterWheat" vbProcedure="false">'Grains, oil crops, sugar'!$A$17</definedName>
    <definedName function="false" hidden="false" name="Yogurt" vbProcedure="false">'[3]Dairy products wo allocation'!$A$44</definedName>
    <definedName function="false" hidden="false" localSheetId="3" name="Butter" vbProcedure="false">'Dairy products'!$A$21</definedName>
    <definedName function="false" hidden="false" localSheetId="3" name="Cream" vbProcedure="false">'Dairy products'!$A$51</definedName>
    <definedName function="false" hidden="false" localSheetId="3" name="CremeFraiche" vbProcedure="false">'Dairy products'!$A$106</definedName>
    <definedName function="false" hidden="false" localSheetId="3" name="DessertCheese" vbProcedure="false">'Dairy products'!$A$85</definedName>
    <definedName function="false" hidden="false" localSheetId="3" name="HardCheese" vbProcedure="false">'Dairy products'!$A$64</definedName>
    <definedName function="false" hidden="false" localSheetId="3" name="MilkAndDairy" vbProcedure="false">'Dairy products'!$A$1</definedName>
    <definedName function="false" hidden="false" localSheetId="3" name="MilkPowder" vbProcedure="false">'Dairy products'!$A$119</definedName>
    <definedName function="false" hidden="false" localSheetId="3" name="PastMilk" vbProcedure="false">'Dairy products'!$A$16</definedName>
    <definedName function="false" hidden="false" localSheetId="3" name="RawMilk" vbProcedure="false">'Dairy products'!$A$7</definedName>
    <definedName function="false" hidden="false" localSheetId="3" name="Yogurt" vbProcedure="false">'Dairy products'!$A$38</definedName>
    <definedName function="false" hidden="false" localSheetId="6" name="PlantBasedProducts" vbProcedure="false">'Vegetables, roots, legumes'!$A$1</definedName>
    <definedName function="false" hidden="false" localSheetId="7" name="PlantBasedProducts" vbProcedure="false">'Fruits, berries, cocoa, coffee'!$A$1</definedName>
    <definedName function="false" hidden="false" localSheetId="9" name="_Toc505255448" vbProcedure="false">'Common input data'!$A$47</definedName>
    <definedName function="false" hidden="false" localSheetId="11" name="_Ref501704412" vbProcedure="false">'input data dairy products'!#ref!</definedName>
    <definedName function="false" hidden="false" localSheetId="14" name="_Ref501704412" vbProcedure="false">'Input data processed products'!$D$28</definedName>
    <definedName function="false" hidden="false" localSheetId="15" name="_Ref501010803" vbProcedure="false">'Excluded data'!$A$117</definedName>
    <definedName function="false" hidden="false" localSheetId="15" name="_Ref501632987" vbProcedure="false">'Excluded data'!$A$10</definedName>
    <definedName function="false" hidden="false" localSheetId="15" name="_Toc505255490" vbProcedure="false">'excluded data'!#ref!</definedName>
    <definedName function="false" hidden="false" localSheetId="15" name="_Toc505255497" vbProcedure="false">'excluded data'!#ref!</definedName>
    <definedName function="false" hidden="false" localSheetId="15" name="_Toc505255498" vbProcedure="false">'excluded data'!#ref!</definedName>
    <definedName function="false" hidden="false" localSheetId="17" name="Butter" vbProcedure="false">'[2]Dairy products wo allocation'!$A$23</definedName>
    <definedName function="false" hidden="false" localSheetId="17" name="Cream" vbProcedure="false">'[2]Dairy products wo allocation'!$A$57</definedName>
    <definedName function="false" hidden="false" localSheetId="17" name="CremeFraiche" vbProcedure="false">'[2]Dairy products wo allocation'!$A$112</definedName>
    <definedName function="false" hidden="false" localSheetId="17" name="DessertCheese" vbProcedure="false">'[2]Dairy products wo allocation'!$A$91</definedName>
    <definedName function="false" hidden="false" localSheetId="17" name="HardCheese" vbProcedure="false">'[2]Dairy products wo allocation'!$A$70</definedName>
    <definedName function="false" hidden="false" localSheetId="17" name="MilkAndDairy" vbProcedure="false">'[2]Dairy products wo allocation'!$A$1</definedName>
    <definedName function="false" hidden="false" localSheetId="17" name="MilkPowder" vbProcedure="false">'[2]Dairy products wo allocation'!$A$125</definedName>
    <definedName function="false" hidden="false" localSheetId="17" name="PastMilk" vbProcedure="false">'[2]Dairy products wo allocation'!$A$18</definedName>
    <definedName function="false" hidden="false" localSheetId="17" name="RawMilk" vbProcedure="false">'[2]Dairy products wo allocation'!$A$9</definedName>
    <definedName function="false" hidden="false" localSheetId="17" name="ReferenceList" vbProcedure="false">'Reference list'!$A$1</definedName>
    <definedName function="false" hidden="false" localSheetId="17" name="SwedishNutrientIndex" vbProcedure="false">#REF!</definedName>
    <definedName function="false" hidden="false" localSheetId="17" name="Yogurt" vbProcedure="false">'[2]Dairy products wo allocation'!$A$44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<sst xmlns="http://schemas.openxmlformats.org/spreadsheetml/2006/main" count="5131" uniqueCount="1566">
  <si>
    <r>
      <rPr>
        <b val="true"/>
        <sz val="14"/>
        <color rgb="FF000000"/>
        <rFont val="Calibri"/>
        <family val="2"/>
        <charset val="1"/>
      </rPr>
      <t xml:space="preserve">Guide to the supplementary material to Moberg et al. (2019)
</t>
    </r>
    <r>
      <rPr>
        <sz val="14"/>
        <color rgb="FF000000"/>
        <rFont val="Calibri"/>
        <family val="2"/>
        <charset val="1"/>
      </rPr>
      <t xml:space="preserve">Determining the climate impact of food for use in a climate tax – design of a consistent and transparent model
The International Journal of Life Cycle Assessment 
Moberg, E.*, Walker Andersson, M., Säll, S., Hansson, P-A. &amp; Röös, E. 
*Corresponding author: Department of Energy and Technology, Swedish University of Agricultural Sciences, Uppsala, SE-750 07, Sweden, emma.moberg@slu.se, +46 18 67 35 48</t>
    </r>
  </si>
  <si>
    <t xml:space="preserve">This material presents datasets of the climate impact of a variety of food available on the Swedish market calculated with the proposed methodology in Moberg et al. (2019). Food products are divided into food groups as follows by the Table of content. 
For each product, the results of the calculations of the climate impact are given for the production countries representing more than 10% of the Swedish consumption of a certain food product during a five-year period (2011 to 2015). Food imported from countries representing less than 10% of Swedish consumption are accounted for as an average of the larger producing countries if no global or regional input data is available. For all products, an average value of the climate impact is presented based on the market shares. For some cases, import data only show the country of import to Europe. By contacting with the wholesaler business, it was possible to partly trace the origin for some products, e.g. beef. For other products such as rice and avocado, an average of world production systems was accounted for. 
The results are divided into three parts with different system boundaries to show how the choice of system boundary affect the climate impact of foods: 
i) Agricultural emissions: Including only emissions from biological processes giving rise to emissions of CH4 and N2O (emission from enteric fermentation, soils and manure management)
ii) The cradle-to-farm gate boundary: Including emissions from pre-farm processes, e.g. production of input materials such as fertiliser, emissions from agricultural processes and energy use on the farm 
iii) The full cradle-to-retail gate boundary
Further, results are shown as emissions per kg of each individual greenhouse gas (CO2, CH4 and N2O, as well as HCFC-22 for the case of fish and seafood) as well as aggregated into the common unit of kg of CO2e using different climate metrics. Here, it is possible to choose between the following metrics by using the drop-down list to the right of “Choice of climate metric” placed above the “Results” cells in each results worksheet:
i) GWP100  - available both with and without climate-carbon feedbacks (Myhre et al., 2013)
ii) GTP100 - available both with and without climate-carbon feedbacks (Myhre et al., 2013) 
iii) GTP characterisation factors adjusted to limit global warming to 2°C by assuming that it is equally likely that the limit will be reached in 2050, 2075 and 2100 (Persson et al., 2015)
Additionally, it is possible to choose whether or not to include emissions of CO2 from land use change and soil carbon changes in the results by using the drop-down lists to the right of “Include land use change?” and “Include soil carbon changes?” respectively, which are placed above the “Results” cells in each results worksheet. Additionally, factors for assessing soil carbon changes can be chosen in "Common input data" --&gt; "Choose factors for soil carbon changes".
Emissions of greenhouse gases arising from each production step in the production of a food product can be seen to the right of the box showing the results for different system boundaries.</t>
  </si>
  <si>
    <t xml:space="preserve">Common data</t>
  </si>
  <si>
    <t xml:space="preserve">Meat and eggs</t>
  </si>
  <si>
    <t xml:space="preserve">Dairy products</t>
  </si>
  <si>
    <t xml:space="preserve">Fish and seafood</t>
  </si>
  <si>
    <t xml:space="preserve">Grains, oil crops and sugar</t>
  </si>
  <si>
    <t xml:space="preserve">Vegetables, root crops and legumes</t>
  </si>
  <si>
    <t xml:space="preserve">Fruits, berries, cocoa and coffee</t>
  </si>
  <si>
    <t xml:space="preserve">Processed products</t>
  </si>
  <si>
    <t xml:space="preserve">Reference list</t>
  </si>
  <si>
    <t xml:space="preserve">Results meat and eggs</t>
  </si>
  <si>
    <t xml:space="preserve">Results dairy products</t>
  </si>
  <si>
    <t xml:space="preserve">Results fish and seafood</t>
  </si>
  <si>
    <t xml:space="preserve">Results grains, oil crops and sugar</t>
  </si>
  <si>
    <t xml:space="preserve">Results vegetables, root crops and legumes</t>
  </si>
  <si>
    <t xml:space="preserve">Results fruits, berries, cocoa and coffee</t>
  </si>
  <si>
    <t xml:space="preserve">Results processed products</t>
  </si>
  <si>
    <t xml:space="preserve">Common input data sheet</t>
  </si>
  <si>
    <t xml:space="preserve">Input data sheet </t>
  </si>
  <si>
    <t xml:space="preserve">Additional motivation to excluded data </t>
  </si>
  <si>
    <t xml:space="preserve">Products included:</t>
  </si>
  <si>
    <t xml:space="preserve">Maintenance of data</t>
  </si>
  <si>
    <t xml:space="preserve">Pork meat</t>
  </si>
  <si>
    <t xml:space="preserve">Raw milk</t>
  </si>
  <si>
    <t xml:space="preserve">Average of fish and seafood</t>
  </si>
  <si>
    <t xml:space="preserve">Average grains</t>
  </si>
  <si>
    <t xml:space="preserve">Tomato</t>
  </si>
  <si>
    <t xml:space="preserve">Apple</t>
  </si>
  <si>
    <t xml:space="preserve">Pasta</t>
  </si>
  <si>
    <t xml:space="preserve">Chicken meat</t>
  </si>
  <si>
    <t xml:space="preserve">Pasteurized milk</t>
  </si>
  <si>
    <t xml:space="preserve">Salmon</t>
  </si>
  <si>
    <t xml:space="preserve">Wheat</t>
  </si>
  <si>
    <t xml:space="preserve">Cucumber</t>
  </si>
  <si>
    <t xml:space="preserve">Pear</t>
  </si>
  <si>
    <t xml:space="preserve">Buns</t>
  </si>
  <si>
    <t xml:space="preserve">Eggs</t>
  </si>
  <si>
    <t xml:space="preserve">Butter</t>
  </si>
  <si>
    <t xml:space="preserve">Cod</t>
  </si>
  <si>
    <t xml:space="preserve">Rye</t>
  </si>
  <si>
    <t xml:space="preserve">Bell pepper</t>
  </si>
  <si>
    <t xml:space="preserve">Melon</t>
  </si>
  <si>
    <t xml:space="preserve">Biscuits</t>
  </si>
  <si>
    <t xml:space="preserve">Beef</t>
  </si>
  <si>
    <t xml:space="preserve">Yogurt</t>
  </si>
  <si>
    <t xml:space="preserve">Herring</t>
  </si>
  <si>
    <t xml:space="preserve">Barley</t>
  </si>
  <si>
    <t xml:space="preserve">Iceberg lettuce</t>
  </si>
  <si>
    <t xml:space="preserve">Banana</t>
  </si>
  <si>
    <t xml:space="preserve">Pastry</t>
  </si>
  <si>
    <t xml:space="preserve">Cream</t>
  </si>
  <si>
    <t xml:space="preserve">Mackerel</t>
  </si>
  <si>
    <t xml:space="preserve">Oats</t>
  </si>
  <si>
    <t xml:space="preserve">Potato</t>
  </si>
  <si>
    <t xml:space="preserve">Orange</t>
  </si>
  <si>
    <t xml:space="preserve">Rusks</t>
  </si>
  <si>
    <t xml:space="preserve">Hard cheese</t>
  </si>
  <si>
    <t xml:space="preserve">Saithe</t>
  </si>
  <si>
    <t xml:space="preserve">Rice</t>
  </si>
  <si>
    <t xml:space="preserve">Carrot</t>
  </si>
  <si>
    <t xml:space="preserve">Lemon</t>
  </si>
  <si>
    <t xml:space="preserve">Wheat bread</t>
  </si>
  <si>
    <t xml:space="preserve">Dessert cheese</t>
  </si>
  <si>
    <t xml:space="preserve">Northern Prawn </t>
  </si>
  <si>
    <t xml:space="preserve">Rapeseed/rapeseed oil</t>
  </si>
  <si>
    <t xml:space="preserve">Onion</t>
  </si>
  <si>
    <t xml:space="preserve">Avocado</t>
  </si>
  <si>
    <t xml:space="preserve">Wheat-rye bread</t>
  </si>
  <si>
    <t xml:space="preserve">Crème fraiche</t>
  </si>
  <si>
    <t xml:space="preserve">Alaska pollock </t>
  </si>
  <si>
    <t xml:space="preserve">Olives/Olive oil</t>
  </si>
  <si>
    <t xml:space="preserve">Leek</t>
  </si>
  <si>
    <t xml:space="preserve">Kiwifruit</t>
  </si>
  <si>
    <t xml:space="preserve">Crisp bread</t>
  </si>
  <si>
    <t xml:space="preserve">Milk powder</t>
  </si>
  <si>
    <t xml:space="preserve">Rainbow trout </t>
  </si>
  <si>
    <t xml:space="preserve">Sugar beet/sugar</t>
  </si>
  <si>
    <t xml:space="preserve">Broccoli</t>
  </si>
  <si>
    <t xml:space="preserve">Strawberry</t>
  </si>
  <si>
    <t xml:space="preserve">Follow-up formula</t>
  </si>
  <si>
    <t xml:space="preserve">Roe (from cod fish)</t>
  </si>
  <si>
    <t xml:space="preserve">White cabbage</t>
  </si>
  <si>
    <t xml:space="preserve">Raspberry</t>
  </si>
  <si>
    <t xml:space="preserve">Margarine</t>
  </si>
  <si>
    <t xml:space="preserve">Pangasius </t>
  </si>
  <si>
    <t xml:space="preserve">Cauliflower</t>
  </si>
  <si>
    <t xml:space="preserve">Cocoa/Cocoa powder/Cocoa butter</t>
  </si>
  <si>
    <t xml:space="preserve">Low fat margarine</t>
  </si>
  <si>
    <t xml:space="preserve">European plaice </t>
  </si>
  <si>
    <t xml:space="preserve">Peas</t>
  </si>
  <si>
    <t xml:space="preserve">Coffee</t>
  </si>
  <si>
    <t xml:space="preserve">Cocoa drink powder</t>
  </si>
  <si>
    <t xml:space="preserve">Hoki</t>
  </si>
  <si>
    <t xml:space="preserve">Beans</t>
  </si>
  <si>
    <t xml:space="preserve">Soda</t>
  </si>
  <si>
    <t xml:space="preserve">Cider (non-alcoholic)</t>
  </si>
  <si>
    <t xml:space="preserve">Beer (regular)</t>
  </si>
  <si>
    <t xml:space="preserve">Mineral water</t>
  </si>
  <si>
    <t xml:space="preserve">Juice of orange and apple</t>
  </si>
  <si>
    <t xml:space="preserve">Squash drink of strawberry and raspberry</t>
  </si>
  <si>
    <t xml:space="preserve">Milk chocolate</t>
  </si>
  <si>
    <t xml:space="preserve">Potato crisps</t>
  </si>
  <si>
    <t xml:space="preserve">Ice cream (dairy-based)</t>
  </si>
  <si>
    <t xml:space="preserve">Choice of climate metric:</t>
  </si>
  <si>
    <t xml:space="preserve">GWP100 with fb</t>
  </si>
  <si>
    <t xml:space="preserve">Include land use change?</t>
  </si>
  <si>
    <t xml:space="preserve">Yes</t>
  </si>
  <si>
    <t xml:space="preserve">Include soil carbon changes?
Go to: "Common input data" --&gt; "Choose factors for soil carbon changes"</t>
  </si>
  <si>
    <t xml:space="preserve">RESULTS</t>
  </si>
  <si>
    <t xml:space="preserve">Feed production</t>
  </si>
  <si>
    <t xml:space="preserve">Manure management </t>
  </si>
  <si>
    <t xml:space="preserve">Production system</t>
  </si>
  <si>
    <t xml:space="preserve">Market share</t>
  </si>
  <si>
    <t xml:space="preserve">Emissions</t>
  </si>
  <si>
    <t xml:space="preserve">Agricultural emissions only</t>
  </si>
  <si>
    <t xml:space="preserve">To farm-gate</t>
  </si>
  <si>
    <t xml:space="preserve">To retail-gate</t>
  </si>
  <si>
    <t xml:space="preserve">Energy use and 
mineral fertilizer production</t>
  </si>
  <si>
    <t xml:space="preserve">Soil emissions</t>
  </si>
  <si>
    <t xml:space="preserve">Direct emissions</t>
  </si>
  <si>
    <t xml:space="preserve">Indirect emissions</t>
  </si>
  <si>
    <t xml:space="preserve">Enteric fermentation</t>
  </si>
  <si>
    <t xml:space="preserve">Soil carbon emissions</t>
  </si>
  <si>
    <t xml:space="preserve">LUC emissions</t>
  </si>
  <si>
    <t xml:space="preserve">Energy use 
in stables</t>
  </si>
  <si>
    <t xml:space="preserve">Energy use 
at slaughter</t>
  </si>
  <si>
    <t xml:space="preserve">Total after processing</t>
  </si>
  <si>
    <t xml:space="preserve">Packaging</t>
  </si>
  <si>
    <t xml:space="preserve">Transportation</t>
  </si>
  <si>
    <t xml:space="preserve">PORK MEAT</t>
  </si>
  <si>
    <t xml:space="preserve">Per kg carcass weight</t>
  </si>
  <si>
    <t xml:space="preserve">Average </t>
  </si>
  <si>
    <t xml:space="preserve">kg CO2e</t>
  </si>
  <si>
    <t xml:space="preserve">kg CO2</t>
  </si>
  <si>
    <t xml:space="preserve">kg CH4</t>
  </si>
  <si>
    <t xml:space="preserve">kg N2O</t>
  </si>
  <si>
    <t xml:space="preserve">Sweden</t>
  </si>
  <si>
    <t xml:space="preserve">Conventional indoor</t>
  </si>
  <si>
    <t xml:space="preserve">Denmark</t>
  </si>
  <si>
    <t xml:space="preserve">Germany</t>
  </si>
  <si>
    <t xml:space="preserve">Rest of Europe</t>
  </si>
  <si>
    <t xml:space="preserve">CHICKEN MEAT</t>
  </si>
  <si>
    <t xml:space="preserve">EGGS</t>
  </si>
  <si>
    <t xml:space="preserve">Per kg with shell</t>
  </si>
  <si>
    <t xml:space="preserve">BEEF</t>
  </si>
  <si>
    <t xml:space="preserve">Suckler cows (total emissions for all heads)</t>
  </si>
  <si>
    <t xml:space="preserve">Replacement heifers suckler system (total emissions for all heads)</t>
  </si>
  <si>
    <t xml:space="preserve">Heifers in suckler system (total emissions for all heads)</t>
  </si>
  <si>
    <t xml:space="preserve">Young bulls in suckler system (total emissions for all heads)</t>
  </si>
  <si>
    <t xml:space="preserve">Bulls in suckler system (total emissions for all heads)</t>
  </si>
  <si>
    <t xml:space="preserve">Steers in suckler system (total emissions for all heads)</t>
  </si>
  <si>
    <t xml:space="preserve">Calves in suckler system (total emissions for all heads)</t>
  </si>
  <si>
    <t xml:space="preserve">Dairy cows</t>
  </si>
  <si>
    <t xml:space="preserve">Replacement heifers dairy production</t>
  </si>
  <si>
    <t xml:space="preserve">Total dairy cows and replacement heifers</t>
  </si>
  <si>
    <t xml:space="preserve">Allocation to culled dairy cows</t>
  </si>
  <si>
    <t xml:space="preserve">Heifers in dairy system</t>
  </si>
  <si>
    <t xml:space="preserve">Young bulls in dairy system</t>
  </si>
  <si>
    <t xml:space="preserve">Bulls in dairy system</t>
  </si>
  <si>
    <t xml:space="preserve">Steers in dairy system</t>
  </si>
  <si>
    <t xml:space="preserve">Calves in dairy system</t>
  </si>
  <si>
    <t xml:space="preserve">Ireland</t>
  </si>
  <si>
    <t xml:space="preserve">Suckler cows and offsprings</t>
  </si>
  <si>
    <t xml:space="preserve">Bullocks in suckler system (total emissions for all heads)</t>
  </si>
  <si>
    <t xml:space="preserve">Germany and Poland</t>
  </si>
  <si>
    <t xml:space="preserve">Total dairy cows and replacement heifers </t>
  </si>
  <si>
    <t xml:space="preserve">Allocation to culled dairy cows </t>
  </si>
  <si>
    <t xml:space="preserve">Heifers</t>
  </si>
  <si>
    <t xml:space="preserve">Bulls</t>
  </si>
  <si>
    <t xml:space="preserve">Calves</t>
  </si>
  <si>
    <t xml:space="preserve">Rest of the world</t>
  </si>
  <si>
    <t xml:space="preserve">Energy use and mineral 
fertilizer production</t>
  </si>
  <si>
    <t xml:space="preserve">Energy use 
dairy plant</t>
  </si>
  <si>
    <t xml:space="preserve">MILK DELIVERED TO DAIRY PLANTS</t>
  </si>
  <si>
    <t xml:space="preserve">Per kg milk</t>
  </si>
  <si>
    <t xml:space="preserve">Sweden and Nordic countries</t>
  </si>
  <si>
    <t xml:space="preserve">PASTEURIZED MILK (3% FAT)</t>
  </si>
  <si>
    <t xml:space="preserve">Per kg pasteurized milk</t>
  </si>
  <si>
    <t xml:space="preserve">BUTTER (82% FAT)</t>
  </si>
  <si>
    <t xml:space="preserve">Per kg butter</t>
  </si>
  <si>
    <t xml:space="preserve">YOGURT (3% FAT)</t>
  </si>
  <si>
    <t xml:space="preserve">Per kg yogurt</t>
  </si>
  <si>
    <t xml:space="preserve">CREAM (40% FAT)</t>
  </si>
  <si>
    <t xml:space="preserve">Per kg cream</t>
  </si>
  <si>
    <t xml:space="preserve">HARD CHEESE (38% FAT)</t>
  </si>
  <si>
    <t xml:space="preserve">Per kg hard cheese</t>
  </si>
  <si>
    <t xml:space="preserve">The Netherlands</t>
  </si>
  <si>
    <t xml:space="preserve">DESSERT CHEESE (25% FAT)</t>
  </si>
  <si>
    <t xml:space="preserve">Per kg dessert cheese</t>
  </si>
  <si>
    <t xml:space="preserve">CRÈME FRAICHE (34% FAT)</t>
  </si>
  <si>
    <t xml:space="preserve">Per kg crème fraiche</t>
  </si>
  <si>
    <t xml:space="preserve">MILK POWDER</t>
  </si>
  <si>
    <t xml:space="preserve">Per kg milk powder</t>
  </si>
  <si>
    <t xml:space="preserve">Production of feed</t>
  </si>
  <si>
    <t xml:space="preserve">Gear use fraction</t>
  </si>
  <si>
    <t xml:space="preserve">To farm-gate (before processing of fish)</t>
  </si>
  <si>
    <t xml:space="preserve">Production of fry and fingerlings</t>
  </si>
  <si>
    <t xml:space="preserve">Energy use and mineral fertilizer production</t>
  </si>
  <si>
    <t xml:space="preserve">Production of 
capital goods</t>
  </si>
  <si>
    <t xml:space="preserve">Energy use for 
aquaculture</t>
  </si>
  <si>
    <t xml:space="preserve">Diesel use at vessels</t>
  </si>
  <si>
    <t xml:space="preserve">Storage at vessels</t>
  </si>
  <si>
    <t xml:space="preserve">Energy use 
for processing</t>
  </si>
  <si>
    <t xml:space="preserve">AVERAGE OF FISH AND SEAFOOD ON THE SWEDISH MARKET</t>
  </si>
  <si>
    <t xml:space="preserve">Per kg live weight </t>
  </si>
  <si>
    <t xml:space="preserve">Per kg edible weight</t>
  </si>
  <si>
    <t xml:space="preserve">kg HCFC-22</t>
  </si>
  <si>
    <t xml:space="preserve">SALMON</t>
  </si>
  <si>
    <t xml:space="preserve">Norway</t>
  </si>
  <si>
    <t xml:space="preserve">Farmed</t>
  </si>
  <si>
    <t xml:space="preserve">COD</t>
  </si>
  <si>
    <t xml:space="preserve">Norway, Denmark, Sweden</t>
  </si>
  <si>
    <t xml:space="preserve">Wild-caught with bottom trawl</t>
  </si>
  <si>
    <t xml:space="preserve">Wild-caught with autoline</t>
  </si>
  <si>
    <t xml:space="preserve">ROE (FROM COD FISH)</t>
  </si>
  <si>
    <t xml:space="preserve">Per kg roe</t>
  </si>
  <si>
    <t xml:space="preserve">Norway and Iceland</t>
  </si>
  <si>
    <t xml:space="preserve">HERRING</t>
  </si>
  <si>
    <t xml:space="preserve">MACKEREL</t>
  </si>
  <si>
    <t xml:space="preserve">Sweden, Norway, Latvia</t>
  </si>
  <si>
    <t xml:space="preserve">Wild-caught with pelagic trawl</t>
  </si>
  <si>
    <t xml:space="preserve">Wild-caught with purse seine</t>
  </si>
  <si>
    <t xml:space="preserve">Wild-caught with trolling line</t>
  </si>
  <si>
    <t xml:space="preserve">SAITHE</t>
  </si>
  <si>
    <t xml:space="preserve">Norway, Denmark</t>
  </si>
  <si>
    <t xml:space="preserve">NORTHERN PRAWN</t>
  </si>
  <si>
    <t xml:space="preserve">Norway and Denmark</t>
  </si>
  <si>
    <t xml:space="preserve">ALASKA POLLOCK</t>
  </si>
  <si>
    <t xml:space="preserve">United States</t>
  </si>
  <si>
    <t xml:space="preserve">RAINBOW TROUT</t>
  </si>
  <si>
    <t xml:space="preserve">PANGASIUS</t>
  </si>
  <si>
    <t xml:space="preserve">Vietnam</t>
  </si>
  <si>
    <t xml:space="preserve">EUROPEAN PLAICE</t>
  </si>
  <si>
    <t xml:space="preserve">The Netherlands, Denmark</t>
  </si>
  <si>
    <t xml:space="preserve">Wild-caught with beam trawl</t>
  </si>
  <si>
    <t xml:space="preserve">HOKI</t>
  </si>
  <si>
    <t xml:space="preserve">New Zeeland</t>
  </si>
  <si>
    <t xml:space="preserve">Share of market</t>
  </si>
  <si>
    <t xml:space="preserve">Production of mineral fertilizer</t>
  </si>
  <si>
    <t xml:space="preserve">Production of capital goods</t>
  </si>
  <si>
    <t xml:space="preserve">Diesel use machinery</t>
  </si>
  <si>
    <t xml:space="preserve">Energy use in greenhouses</t>
  </si>
  <si>
    <t xml:space="preserve">Energy use for irrigation</t>
  </si>
  <si>
    <t xml:space="preserve">Energy use for drying</t>
  </si>
  <si>
    <t xml:space="preserve">Energy use processing</t>
  </si>
  <si>
    <t xml:space="preserve">GRAINS AVERAGE</t>
  </si>
  <si>
    <t xml:space="preserve">Per kg grains</t>
  </si>
  <si>
    <t xml:space="preserve">Per kg milled grains</t>
  </si>
  <si>
    <t xml:space="preserve">Average of all grains</t>
  </si>
  <si>
    <t xml:space="preserve">WHEAT</t>
  </si>
  <si>
    <t xml:space="preserve">Per kg wheat</t>
  </si>
  <si>
    <t xml:space="preserve">Per kg milled wheat</t>
  </si>
  <si>
    <t xml:space="preserve">Average of winter wheat and spring wheat</t>
  </si>
  <si>
    <t xml:space="preserve">Open-field</t>
  </si>
  <si>
    <t xml:space="preserve">Winter wheat</t>
  </si>
  <si>
    <t xml:space="preserve">Spring wheat</t>
  </si>
  <si>
    <t xml:space="preserve">RYE</t>
  </si>
  <si>
    <t xml:space="preserve">Per kg rye</t>
  </si>
  <si>
    <t xml:space="preserve">Per kg milled rye</t>
  </si>
  <si>
    <t xml:space="preserve">BARLEY</t>
  </si>
  <si>
    <t xml:space="preserve">Per kg barley</t>
  </si>
  <si>
    <t xml:space="preserve">Per kg milled barley</t>
  </si>
  <si>
    <t xml:space="preserve">Average of winter barley and spring barley</t>
  </si>
  <si>
    <t xml:space="preserve">Winter barley</t>
  </si>
  <si>
    <t xml:space="preserve">Spring barley</t>
  </si>
  <si>
    <t xml:space="preserve">OATS</t>
  </si>
  <si>
    <t xml:space="preserve">Per kg oats</t>
  </si>
  <si>
    <t xml:space="preserve">Per kg milled oats</t>
  </si>
  <si>
    <t xml:space="preserve">RICE</t>
  </si>
  <si>
    <t xml:space="preserve">Per kg rice</t>
  </si>
  <si>
    <t xml:space="preserve">Per kg milled rice</t>
  </si>
  <si>
    <t xml:space="preserve">Average</t>
  </si>
  <si>
    <t xml:space="preserve">Thailand</t>
  </si>
  <si>
    <t xml:space="preserve">Italy</t>
  </si>
  <si>
    <t xml:space="preserve">RAPESEED/RAPESEED OIL</t>
  </si>
  <si>
    <t xml:space="preserve">Per kg rapeseed</t>
  </si>
  <si>
    <t xml:space="preserve">Per liter rapeseed oil</t>
  </si>
  <si>
    <t xml:space="preserve">Winter rapeseed</t>
  </si>
  <si>
    <t xml:space="preserve">Spring rapeseed</t>
  </si>
  <si>
    <t xml:space="preserve">Rapeseed</t>
  </si>
  <si>
    <t xml:space="preserve">OLIVE/OLIVE OIL</t>
  </si>
  <si>
    <t xml:space="preserve">Per kg olives</t>
  </si>
  <si>
    <t xml:space="preserve">Per liter olive oil</t>
  </si>
  <si>
    <t xml:space="preserve">Greece</t>
  </si>
  <si>
    <t xml:space="preserve">Spain</t>
  </si>
  <si>
    <t xml:space="preserve">SUGAR BEET/SUGAR</t>
  </si>
  <si>
    <t xml:space="preserve">Per kg sugar beet</t>
  </si>
  <si>
    <t xml:space="preserve">Per kg sugar</t>
  </si>
  <si>
    <t xml:space="preserve">TOMATO</t>
  </si>
  <si>
    <t xml:space="preserve">Per kg tomato</t>
  </si>
  <si>
    <t xml:space="preserve">Greenhouse</t>
  </si>
  <si>
    <t xml:space="preserve">CUCUMBER</t>
  </si>
  <si>
    <t xml:space="preserve">Per kg cucumber</t>
  </si>
  <si>
    <t xml:space="preserve">BELL PEPPER</t>
  </si>
  <si>
    <t xml:space="preserve">Per kg bell pepper</t>
  </si>
  <si>
    <t xml:space="preserve">ICEBERG LETTUCE</t>
  </si>
  <si>
    <t xml:space="preserve">Per kg iceberg lettuce</t>
  </si>
  <si>
    <t xml:space="preserve">POTATO</t>
  </si>
  <si>
    <t xml:space="preserve">Per kg potato</t>
  </si>
  <si>
    <t xml:space="preserve">CARROT</t>
  </si>
  <si>
    <t xml:space="preserve">Per kg carrot</t>
  </si>
  <si>
    <t xml:space="preserve">ONION</t>
  </si>
  <si>
    <t xml:space="preserve">Per kg onion</t>
  </si>
  <si>
    <t xml:space="preserve">LEEK</t>
  </si>
  <si>
    <t xml:space="preserve">Per kg leek</t>
  </si>
  <si>
    <t xml:space="preserve">BROCCOLI</t>
  </si>
  <si>
    <t xml:space="preserve">Per kg broccoli</t>
  </si>
  <si>
    <t xml:space="preserve">WHITE CABBAGE</t>
  </si>
  <si>
    <t xml:space="preserve">Per kg white cabbage</t>
  </si>
  <si>
    <t xml:space="preserve">CAULIFLOWER</t>
  </si>
  <si>
    <t xml:space="preserve">Per kg cauliflower</t>
  </si>
  <si>
    <t xml:space="preserve">France</t>
  </si>
  <si>
    <t xml:space="preserve">PEAS</t>
  </si>
  <si>
    <t xml:space="preserve">Per kg peas</t>
  </si>
  <si>
    <t xml:space="preserve">BEANS</t>
  </si>
  <si>
    <t xml:space="preserve">Per kg beans</t>
  </si>
  <si>
    <t xml:space="preserve">Turkey</t>
  </si>
  <si>
    <t xml:space="preserve">APPLE</t>
  </si>
  <si>
    <t xml:space="preserve">Per kg apple</t>
  </si>
  <si>
    <t xml:space="preserve">PEAR</t>
  </si>
  <si>
    <t xml:space="preserve">Per kg pear</t>
  </si>
  <si>
    <t xml:space="preserve">Belgium</t>
  </si>
  <si>
    <t xml:space="preserve">MELON</t>
  </si>
  <si>
    <t xml:space="preserve">Per kg melon</t>
  </si>
  <si>
    <t xml:space="preserve">BANANA</t>
  </si>
  <si>
    <t xml:space="preserve">Per kg banana</t>
  </si>
  <si>
    <t xml:space="preserve">Costa Rica</t>
  </si>
  <si>
    <t xml:space="preserve">Ecuador</t>
  </si>
  <si>
    <t xml:space="preserve">Panama</t>
  </si>
  <si>
    <t xml:space="preserve">ORANGE</t>
  </si>
  <si>
    <t xml:space="preserve">Per kg orange</t>
  </si>
  <si>
    <t xml:space="preserve">LEMON</t>
  </si>
  <si>
    <t xml:space="preserve">Per kg lemon</t>
  </si>
  <si>
    <t xml:space="preserve">AVOCADO</t>
  </si>
  <si>
    <t xml:space="preserve">Per kg avocado</t>
  </si>
  <si>
    <t xml:space="preserve">World average</t>
  </si>
  <si>
    <t xml:space="preserve">KIWIFRUIT</t>
  </si>
  <si>
    <t xml:space="preserve">Per kg kiwifruit</t>
  </si>
  <si>
    <t xml:space="preserve">STRAWBERRY</t>
  </si>
  <si>
    <t xml:space="preserve">Per kg strawberry</t>
  </si>
  <si>
    <t xml:space="preserve">RASPBERRY</t>
  </si>
  <si>
    <t xml:space="preserve">Per kg raspberry</t>
  </si>
  <si>
    <t xml:space="preserve">COCOA</t>
  </si>
  <si>
    <t xml:space="preserve">Per kg cocoa</t>
  </si>
  <si>
    <t xml:space="preserve">Ivory Coast</t>
  </si>
  <si>
    <t xml:space="preserve">COCOA POWDER</t>
  </si>
  <si>
    <t xml:space="preserve">Per kg cocoa powder</t>
  </si>
  <si>
    <t xml:space="preserve">COCOA BUTTER</t>
  </si>
  <si>
    <t xml:space="preserve">Per kg cocoa butter</t>
  </si>
  <si>
    <t xml:space="preserve">COFFEE</t>
  </si>
  <si>
    <t xml:space="preserve">Per kg coffee bean</t>
  </si>
  <si>
    <t xml:space="preserve">Per kg milled coffee</t>
  </si>
  <si>
    <t xml:space="preserve">Brazil</t>
  </si>
  <si>
    <t xml:space="preserve">Input products</t>
  </si>
  <si>
    <t xml:space="preserve">PASTA</t>
  </si>
  <si>
    <t xml:space="preserve">Per kg pasta</t>
  </si>
  <si>
    <t xml:space="preserve">BUNS</t>
  </si>
  <si>
    <t xml:space="preserve">Per kg buns</t>
  </si>
  <si>
    <t xml:space="preserve">BISCUITS</t>
  </si>
  <si>
    <t xml:space="preserve">Per kg biscuits</t>
  </si>
  <si>
    <t xml:space="preserve">PASTRY</t>
  </si>
  <si>
    <t xml:space="preserve">Per kg pastry</t>
  </si>
  <si>
    <t xml:space="preserve">RUSKS</t>
  </si>
  <si>
    <t xml:space="preserve">Per kg rusks</t>
  </si>
  <si>
    <t xml:space="preserve">WHEAT BREAD</t>
  </si>
  <si>
    <t xml:space="preserve">Per kg wheat bread</t>
  </si>
  <si>
    <t xml:space="preserve">WHEAT-RYE BREAD</t>
  </si>
  <si>
    <t xml:space="preserve">Per kg wheat-rye bread</t>
  </si>
  <si>
    <t xml:space="preserve">CRISP BREAD</t>
  </si>
  <si>
    <t xml:space="preserve">Per kg crisp bread</t>
  </si>
  <si>
    <t xml:space="preserve">FOLLOW-UP FORMULA</t>
  </si>
  <si>
    <t xml:space="preserve">Per kg follow-up formula (powder)</t>
  </si>
  <si>
    <t xml:space="preserve">MARGARINE</t>
  </si>
  <si>
    <t xml:space="preserve">Per kg margarine</t>
  </si>
  <si>
    <t xml:space="preserve">LOW FAT MARGARINE</t>
  </si>
  <si>
    <t xml:space="preserve">Per kg low fat margarine</t>
  </si>
  <si>
    <t xml:space="preserve">COCOA DRINK POWDER</t>
  </si>
  <si>
    <t xml:space="preserve">Per kg cocoa drink powder</t>
  </si>
  <si>
    <t xml:space="preserve">SODA</t>
  </si>
  <si>
    <t xml:space="preserve">Per liter soda</t>
  </si>
  <si>
    <t xml:space="preserve">CIDER (NON-ALCOHOLIC)</t>
  </si>
  <si>
    <t xml:space="preserve">Per liter cider</t>
  </si>
  <si>
    <t xml:space="preserve">BEER (REGULAR)</t>
  </si>
  <si>
    <t xml:space="preserve">Per liter beer</t>
  </si>
  <si>
    <t xml:space="preserve">MINERAL WATER</t>
  </si>
  <si>
    <t xml:space="preserve">Per liter mineral water</t>
  </si>
  <si>
    <t xml:space="preserve">JUICE (AVERAGE)</t>
  </si>
  <si>
    <t xml:space="preserve">Per liter juice </t>
  </si>
  <si>
    <t xml:space="preserve">ORANGE JUICE</t>
  </si>
  <si>
    <t xml:space="preserve">Per liter orange juice</t>
  </si>
  <si>
    <t xml:space="preserve">APPLE JUICE</t>
  </si>
  <si>
    <t xml:space="preserve">Per liter apple juice</t>
  </si>
  <si>
    <t xml:space="preserve">SQUASH DRINK (AVERAGE)</t>
  </si>
  <si>
    <t xml:space="preserve">Per liter squash drink</t>
  </si>
  <si>
    <t xml:space="preserve">STRAWBERRY SQUASH DRINK</t>
  </si>
  <si>
    <t xml:space="preserve">Per liter strawberry squash drink</t>
  </si>
  <si>
    <t xml:space="preserve">RASPBERRY SQUASH DRINK</t>
  </si>
  <si>
    <t xml:space="preserve">Per liter raspberry squash drink</t>
  </si>
  <si>
    <t xml:space="preserve">MILK CHOCOLATE</t>
  </si>
  <si>
    <t xml:space="preserve">Per kg milk chocolate</t>
  </si>
  <si>
    <t xml:space="preserve">POTATO CRISPS</t>
  </si>
  <si>
    <t xml:space="preserve">Per kg potato crisps</t>
  </si>
  <si>
    <t xml:space="preserve">ICE CREAM (DAIRY-BASED)</t>
  </si>
  <si>
    <t xml:space="preserve">Per kg ice cream</t>
  </si>
  <si>
    <t xml:space="preserve">Common input data</t>
  </si>
  <si>
    <t xml:space="preserve">Characterization factors of greenhouse gases with or without climate-carbon feedbacks (fb)</t>
  </si>
  <si>
    <t xml:space="preserve">Carbon dioxide (CO2)</t>
  </si>
  <si>
    <t xml:space="preserve">Methane (CH4)</t>
  </si>
  <si>
    <t xml:space="preserve">Nitrous oxide (N2O)</t>
  </si>
  <si>
    <t xml:space="preserve">Chlorodifluoromethane (HCFC-22)</t>
  </si>
  <si>
    <t xml:space="preserve">Source</t>
  </si>
  <si>
    <t xml:space="preserve">GWP100 without fb</t>
  </si>
  <si>
    <t xml:space="preserve">Myhre et al. (2013)</t>
  </si>
  <si>
    <t xml:space="preserve">GTP100 without fb</t>
  </si>
  <si>
    <t xml:space="preserve">GTP100 with fb</t>
  </si>
  <si>
    <t xml:space="preserve">GTP limiting the global warming to 2°C, without fb</t>
  </si>
  <si>
    <t xml:space="preserve">Persson et al. (2015)</t>
  </si>
  <si>
    <t xml:space="preserve">Emission or sequestration due to soil carbon changes</t>
  </si>
  <si>
    <t xml:space="preserve">Grains</t>
  </si>
  <si>
    <t xml:space="preserve">Legumes </t>
  </si>
  <si>
    <t xml:space="preserve">Rape seed</t>
  </si>
  <si>
    <t xml:space="preserve">Root crops and field vegetables</t>
  </si>
  <si>
    <t xml:space="preserve">Ley and perennial tree crops**</t>
  </si>
  <si>
    <t xml:space="preserve">Choose factors for soil carbon changes:</t>
  </si>
  <si>
    <t xml:space="preserve">IPCC Tier 1, 100 years, kg CO2/kg*</t>
  </si>
  <si>
    <t xml:space="preserve">Calculations with the IPCC Tier 1 approach from the Guidelines for National Greenhouse Gas Inventories (IPCC, 2006)</t>
  </si>
  <si>
    <t xml:space="preserve">ICBM, 100 years, kg CO2/kg*</t>
  </si>
  <si>
    <t xml:space="preserve">Calculations with the ICBM-model (Andrén &amp; Kätterer, 1997)</t>
  </si>
  <si>
    <t xml:space="preserve">*Values &lt; 0 indicates a sequestration of CO2</t>
  </si>
  <si>
    <t xml:space="preserve">**Includes fruits, olives, coffee and cocoa as these as for ley have great potential to store carbon in soils depending on management practices (Vicente-Vicente et al., 2016). For both methods, we used the same potential as for ley based on the Tier 1 approach in the IPCC Guidelines, which considers the soil sequestration potential of perennial crops to be similar to that of ley or fallow (IPCC, 2006)</t>
  </si>
  <si>
    <t xml:space="preserve">Emission due to land use change</t>
  </si>
  <si>
    <t xml:space="preserve">Soy*</t>
  </si>
  <si>
    <t xml:space="preserve">Palm oil*</t>
  </si>
  <si>
    <t xml:space="preserve">kg CO2/kg product</t>
  </si>
  <si>
    <t xml:space="preserve">Henders et al. (2015)</t>
  </si>
  <si>
    <t xml:space="preserve">*LUC factors are accounted for as an average of the country specific factors available in Henders et al. (2015) due to the limited traceability of the specific origin of soy and palm oil imported to Europe. In Henders et al. (2015), LUC factors are available for countries representing 50 and 82% of world production of soy and palm oil respectively between 2011 and 2015. LUC for soy cultivation do however also take place in other countries than those available in Henders et al. (2015), e.g. the United States (Lark et al., 2015) causing emissions of CO2 (Spawn et al., 2017). Hence, to account for this, the share of world production for the countries available in Henders et al. (2015) were scaled up to represent the whole world market. The same assumption was made for palm oil. </t>
  </si>
  <si>
    <t xml:space="preserve">Allocation factors</t>
  </si>
  <si>
    <t xml:space="preserve">Product 1</t>
  </si>
  <si>
    <t xml:space="preserve">Product fraction obtained from 
1 kg input</t>
  </si>
  <si>
    <t xml:space="preserve">Economic allocation factor</t>
  </si>
  <si>
    <t xml:space="preserve">Product 2 </t>
  </si>
  <si>
    <t xml:space="preserve">Product 3</t>
  </si>
  <si>
    <t xml:space="preserve">Rapeseed oil</t>
  </si>
  <si>
    <t xml:space="preserve">Rapeseed meal</t>
  </si>
  <si>
    <t xml:space="preserve">Malmros, H., pers. comm. (2017)</t>
  </si>
  <si>
    <t xml:space="preserve">Milled rice</t>
  </si>
  <si>
    <t xml:space="preserve">Rice husk, flour and other by-products from milling</t>
  </si>
  <si>
    <t xml:space="preserve">Blengini &amp; Busto (2009)</t>
  </si>
  <si>
    <t xml:space="preserve">Grains*</t>
  </si>
  <si>
    <t xml:space="preserve">Milled grains</t>
  </si>
  <si>
    <t xml:space="preserve">Brans and middlings</t>
  </si>
  <si>
    <t xml:space="preserve">Poulsen, J.H., pers. comm. (2019)</t>
  </si>
  <si>
    <t xml:space="preserve">Sugar</t>
  </si>
  <si>
    <t xml:space="preserve">Processed sugar</t>
  </si>
  <si>
    <t xml:space="preserve">Beet pulp and molasses</t>
  </si>
  <si>
    <t xml:space="preserve">Flysjö et al. (2008)</t>
  </si>
  <si>
    <t xml:space="preserve">Soy beans</t>
  </si>
  <si>
    <t xml:space="preserve">Soy oil</t>
  </si>
  <si>
    <t xml:space="preserve">Soy meal</t>
  </si>
  <si>
    <t xml:space="preserve">Palm oil</t>
  </si>
  <si>
    <t xml:space="preserve">Palm kernal oil</t>
  </si>
  <si>
    <t xml:space="preserve">Palm kernal meal</t>
  </si>
  <si>
    <t xml:space="preserve">Cocoa beans</t>
  </si>
  <si>
    <t xml:space="preserve">Cocoa powder</t>
  </si>
  <si>
    <t xml:space="preserve">Cocoa butter</t>
  </si>
  <si>
    <t xml:space="preserve">Liquor and shells</t>
  </si>
  <si>
    <t xml:space="preserve">Recanati et al., 2018</t>
  </si>
  <si>
    <t xml:space="preserve">Tomato**</t>
  </si>
  <si>
    <t xml:space="preserve">Electricity</t>
  </si>
  <si>
    <t xml:space="preserve">European Commission (2017), European Commission (2016), average 2011-2015</t>
  </si>
  <si>
    <t xml:space="preserve">Cucumber**</t>
  </si>
  <si>
    <t xml:space="preserve">Bell pepper**</t>
  </si>
  <si>
    <t xml:space="preserve">Strawberry**</t>
  </si>
  <si>
    <t xml:space="preserve">Average of allocation of other products grown in Dutch greenhouses, average 2011-2015</t>
  </si>
  <si>
    <t xml:space="preserve">Milk</t>
  </si>
  <si>
    <t xml:space="preserve">Beef from milk production</t>
  </si>
  <si>
    <t xml:space="preserve">LRF Mjölk (2016), SBA (2014a), SBA (2017a), average 2011-2015</t>
  </si>
  <si>
    <t xml:space="preserve">Butter***</t>
  </si>
  <si>
    <t xml:space="preserve">Skimmed milk</t>
  </si>
  <si>
    <t xml:space="preserve">Buttermilk</t>
  </si>
  <si>
    <t xml:space="preserve">National Food Agency (2017), Löfgren, R., pers. comm. (2017)</t>
  </si>
  <si>
    <t xml:space="preserve">Cream***</t>
  </si>
  <si>
    <t xml:space="preserve">Cheese***</t>
  </si>
  <si>
    <t xml:space="preserve">Cheese</t>
  </si>
  <si>
    <t xml:space="preserve">Whey</t>
  </si>
  <si>
    <t xml:space="preserve">Crème fraiche***</t>
  </si>
  <si>
    <t xml:space="preserve">Cod fish and salted roe</t>
  </si>
  <si>
    <t xml:space="preserve">Cod fish</t>
  </si>
  <si>
    <t xml:space="preserve">Roe</t>
  </si>
  <si>
    <t xml:space="preserve">Orkla Foods Sverige Konsumentkontakt, pers. comm. (2019); Ziegler &amp; Bergman (2017)</t>
  </si>
  <si>
    <t xml:space="preserve">*Data for wheat is used as approximation for other cereals.</t>
  </si>
  <si>
    <t xml:space="preserve">**Only for Dutch greenhouses which produce surplus electricity in combined heat and power installations. The electricity is sold to the national electricity grid (van der Velden and Smit, 2016). </t>
  </si>
  <si>
    <t xml:space="preserve">***Allocation of dairy products is made based on the economic value according to the protein and fat in the dairy products according to price data from Skånemejerier. For whey, skimmed milk and buttermilk, the economic value is based on price data from Skånemejerier (Löfgren, R., pers. comm., 2017). Protein and fat content in dairy products are derived from the food database of the Swedish National Food Agency (2017).</t>
  </si>
  <si>
    <t xml:space="preserve">Emissions from fuels*</t>
  </si>
  <si>
    <t xml:space="preserve">Heating oil</t>
  </si>
  <si>
    <t xml:space="preserve">Natural gas</t>
  </si>
  <si>
    <t xml:space="preserve">Other fossil energy sources**</t>
  </si>
  <si>
    <t xml:space="preserve">Bark and chips</t>
  </si>
  <si>
    <t xml:space="preserve">Pellets and briquettes</t>
  </si>
  <si>
    <t xml:space="preserve">Other renewable energy sources*** </t>
  </si>
  <si>
    <t xml:space="preserve">Diesel fuel</t>
  </si>
  <si>
    <t xml:space="preserve">District heating****</t>
  </si>
  <si>
    <t xml:space="preserve">kg CO2/MJ</t>
  </si>
  <si>
    <t xml:space="preserve">Gode et al. (2011)</t>
  </si>
  <si>
    <t xml:space="preserve">kg CH4/MJ</t>
  </si>
  <si>
    <t xml:space="preserve">kg N2O/MJ</t>
  </si>
  <si>
    <t xml:space="preserve">*Emissions from production and use of fuels</t>
  </si>
  <si>
    <t xml:space="preserve">**Average of heating oil and natural gas</t>
  </si>
  <si>
    <t xml:space="preserve">***Average of bark and chips; pellets and briquettes</t>
  </si>
  <si>
    <t xml:space="preserve">****Representative for Sweden</t>
  </si>
  <si>
    <t xml:space="preserve">Heating values of fuels</t>
  </si>
  <si>
    <t xml:space="preserve">MJ/liter</t>
  </si>
  <si>
    <t xml:space="preserve">Emission factors of electricity</t>
  </si>
  <si>
    <t xml:space="preserve">Nordic electricity mix</t>
  </si>
  <si>
    <t xml:space="preserve">European electricity mix*</t>
  </si>
  <si>
    <t xml:space="preserve">China</t>
  </si>
  <si>
    <t xml:space="preserve">New Zeeland**</t>
  </si>
  <si>
    <t xml:space="preserve">Nordic: Gode et al. (2011), European: EEA (2017), New Zeeland: MBIE (2017), Vietnam: Brander et al. (2011)</t>
  </si>
  <si>
    <t xml:space="preserve">kg CO2e/kWh</t>
  </si>
  <si>
    <t xml:space="preserve">All other: Ecoinvent Centre (2018). Activity name: “Market for electricity, medium voltage” for each country</t>
  </si>
  <si>
    <t xml:space="preserve">*Without Russia and Turkey, average 2011-2014</t>
  </si>
  <si>
    <t xml:space="preserve">**Average 2011-2015</t>
  </si>
  <si>
    <t xml:space="preserve">Emissions from the production of N mineral fertilizer </t>
  </si>
  <si>
    <t xml:space="preserve">Best Available Technology (BAT)</t>
  </si>
  <si>
    <t xml:space="preserve">Ammonium nitrate*</t>
  </si>
  <si>
    <t xml:space="preserve">kg CO2/kg fertilizer produced</t>
  </si>
  <si>
    <t xml:space="preserve">BAT: Yara International (2010)</t>
  </si>
  <si>
    <t xml:space="preserve">kg CH4/kg fertilizer produced</t>
  </si>
  <si>
    <t xml:space="preserve">Ammonium nitrate: Ecoinvent Centre (2018). Activity name: “Ammonium nitrate production", Rest of the world</t>
  </si>
  <si>
    <t xml:space="preserve">kg N2O/kg fertilizer produced</t>
  </si>
  <si>
    <t xml:space="preserve">*Ammonium nitrate is commonly used as nitrogen mineral fertilizer (Berglund et al., 2009)</t>
  </si>
  <si>
    <t xml:space="preserve">Use of N mineral fertilizer, fractions</t>
  </si>
  <si>
    <t xml:space="preserve">Sweden and the Nordic countries</t>
  </si>
  <si>
    <t xml:space="preserve">Europe</t>
  </si>
  <si>
    <t xml:space="preserve">Other countries</t>
  </si>
  <si>
    <t xml:space="preserve">Swedish Agency for Public Management (2010)</t>
  </si>
  <si>
    <t xml:space="preserve">Ammonium nitrate</t>
  </si>
  <si>
    <t xml:space="preserve">Emissions from the production of capital goods</t>
  </si>
  <si>
    <t xml:space="preserve">Plant-based foods, feed for cattle, 
pigs, fowls and fish in aquaculture systems</t>
  </si>
  <si>
    <t xml:space="preserve">Fixed value based on Frischknecht et al. (2007)</t>
  </si>
  <si>
    <t xml:space="preserve">For wild-caught seafood, impact from capital goods (e.g. boats and fishing gear) is assumed to be negligible based on Winther et al. (2009).</t>
  </si>
  <si>
    <t xml:space="preserve">Set values for emissions from the production of packaging materials</t>
  </si>
  <si>
    <t xml:space="preserve">kg CO2e/kg product</t>
  </si>
  <si>
    <t xml:space="preserve">Berries</t>
  </si>
  <si>
    <t xml:space="preserve">Based on Wallman and Nilsson (2011), Nilsson et al. (2009) and Stripple et al. (2014)</t>
  </si>
  <si>
    <t xml:space="preserve">Vegetable oil</t>
  </si>
  <si>
    <t xml:space="preserve">All other plant-based foods</t>
  </si>
  <si>
    <t xml:space="preserve">Soda, cider, beer, mineral water, juice and squash drink</t>
  </si>
  <si>
    <t xml:space="preserve">All other processed foods</t>
  </si>
  <si>
    <t xml:space="preserve">Eggs, beef, pork and poultry meat</t>
  </si>
  <si>
    <t xml:space="preserve">Herring, mackerel and salted roe</t>
  </si>
  <si>
    <t xml:space="preserve">Other fish and seafood</t>
  </si>
  <si>
    <t xml:space="preserve">Set values for emissions from transportation of food</t>
  </si>
  <si>
    <t xml:space="preserve">Emission, kg CO2e/kg transported to Sweden (sea and/or road)</t>
  </si>
  <si>
    <t xml:space="preserve">Emission factor, kg CO2e/kg transported by road in Sweden</t>
  </si>
  <si>
    <r>
      <rPr>
        <b val="true"/>
        <sz val="10"/>
        <color rgb="FF000000"/>
        <rFont val="Calibri"/>
        <family val="2"/>
        <charset val="1"/>
      </rPr>
      <t xml:space="preserve">Nordic and Baltic countries</t>
    </r>
    <r>
      <rPr>
        <b val="true"/>
        <vertAlign val="superscript"/>
        <sz val="10"/>
        <color rgb="FF000000"/>
        <rFont val="Calibri"/>
        <family val="2"/>
        <charset val="1"/>
      </rPr>
      <t xml:space="preserve">a</t>
    </r>
  </si>
  <si>
    <t xml:space="preserve">Transportation to Sweden: NTM (n.d.)</t>
  </si>
  <si>
    <r>
      <rPr>
        <b val="true"/>
        <sz val="10"/>
        <color rgb="FF000000"/>
        <rFont val="Calibri"/>
        <family val="2"/>
        <charset val="1"/>
      </rPr>
      <t xml:space="preserve">West Europe</t>
    </r>
    <r>
      <rPr>
        <b val="true"/>
        <vertAlign val="superscript"/>
        <sz val="10"/>
        <color rgb="FF000000"/>
        <rFont val="Calibri"/>
        <family val="2"/>
        <charset val="1"/>
      </rPr>
      <t xml:space="preserve">b</t>
    </r>
  </si>
  <si>
    <t xml:space="preserve">Transportation in Sweden: Swedish Climate Certification for Food (2010)</t>
  </si>
  <si>
    <r>
      <rPr>
        <b val="true"/>
        <sz val="10"/>
        <color rgb="FF000000"/>
        <rFont val="Calibri"/>
        <family val="2"/>
        <charset val="1"/>
      </rPr>
      <t xml:space="preserve">South Europe</t>
    </r>
    <r>
      <rPr>
        <b val="true"/>
        <vertAlign val="superscript"/>
        <sz val="10"/>
        <color rgb="FF000000"/>
        <rFont val="Calibri"/>
        <family val="2"/>
        <charset val="1"/>
      </rPr>
      <t xml:space="preserve">c</t>
    </r>
  </si>
  <si>
    <r>
      <rPr>
        <b val="true"/>
        <sz val="10"/>
        <color rgb="FF000000"/>
        <rFont val="Calibri"/>
        <family val="2"/>
        <charset val="1"/>
      </rPr>
      <t xml:space="preserve">East Europe</t>
    </r>
    <r>
      <rPr>
        <b val="true"/>
        <vertAlign val="superscript"/>
        <sz val="10"/>
        <color rgb="FF000000"/>
        <rFont val="Calibri"/>
        <family val="2"/>
        <charset val="1"/>
      </rPr>
      <t xml:space="preserve">d</t>
    </r>
  </si>
  <si>
    <r>
      <rPr>
        <b val="true"/>
        <sz val="10"/>
        <color rgb="FF000000"/>
        <rFont val="Calibri"/>
        <family val="2"/>
        <charset val="1"/>
      </rPr>
      <t xml:space="preserve">West Africa</t>
    </r>
    <r>
      <rPr>
        <b val="true"/>
        <vertAlign val="superscript"/>
        <sz val="10"/>
        <color rgb="FF000000"/>
        <rFont val="Calibri"/>
        <family val="2"/>
        <charset val="1"/>
      </rPr>
      <t xml:space="preserve">e</t>
    </r>
  </si>
  <si>
    <r>
      <rPr>
        <b val="true"/>
        <sz val="10"/>
        <color rgb="FF000000"/>
        <rFont val="Calibri"/>
        <family val="2"/>
        <charset val="1"/>
      </rPr>
      <t xml:space="preserve">North, Central and South America</t>
    </r>
    <r>
      <rPr>
        <b val="true"/>
        <vertAlign val="superscript"/>
        <sz val="10"/>
        <color rgb="FF000000"/>
        <rFont val="Calibri"/>
        <family val="2"/>
        <charset val="1"/>
      </rPr>
      <t xml:space="preserve">f</t>
    </r>
  </si>
  <si>
    <r>
      <rPr>
        <b val="true"/>
        <sz val="10"/>
        <color rgb="FF000000"/>
        <rFont val="Calibri"/>
        <family val="2"/>
        <charset val="1"/>
      </rPr>
      <t xml:space="preserve">Southeast Asia</t>
    </r>
    <r>
      <rPr>
        <b val="true"/>
        <vertAlign val="superscript"/>
        <sz val="10"/>
        <color rgb="FF000000"/>
        <rFont val="Calibri"/>
        <family val="2"/>
        <charset val="1"/>
      </rPr>
      <t xml:space="preserve">g</t>
    </r>
  </si>
  <si>
    <r>
      <rPr>
        <b val="true"/>
        <sz val="10"/>
        <color rgb="FF000000"/>
        <rFont val="Calibri"/>
        <family val="2"/>
        <charset val="1"/>
      </rPr>
      <t xml:space="preserve">Oceania</t>
    </r>
    <r>
      <rPr>
        <b val="true"/>
        <vertAlign val="superscript"/>
        <sz val="10"/>
        <color rgb="FF000000"/>
        <rFont val="Calibri"/>
        <family val="2"/>
        <charset val="1"/>
      </rPr>
      <t xml:space="preserve">h</t>
    </r>
  </si>
  <si>
    <t xml:space="preserve">Rest of the world </t>
  </si>
  <si>
    <r>
      <rPr>
        <vertAlign val="superscript"/>
        <sz val="10"/>
        <color rgb="FF000000"/>
        <rFont val="Calibri"/>
        <family val="2"/>
        <charset val="1"/>
      </rPr>
      <t xml:space="preserve">a</t>
    </r>
    <r>
      <rPr>
        <sz val="10"/>
        <color rgb="FF000000"/>
        <rFont val="Calibri"/>
        <family val="2"/>
        <charset val="1"/>
      </rPr>
      <t xml:space="preserve">Includes Denmark and Norway</t>
    </r>
  </si>
  <si>
    <r>
      <rPr>
        <vertAlign val="superscript"/>
        <sz val="10"/>
        <color rgb="FF000000"/>
        <rFont val="Calibri"/>
        <family val="2"/>
        <charset val="1"/>
      </rPr>
      <t xml:space="preserve">b</t>
    </r>
    <r>
      <rPr>
        <sz val="10"/>
        <color rgb="FF000000"/>
        <rFont val="Calibri"/>
        <family val="2"/>
        <charset val="1"/>
      </rPr>
      <t xml:space="preserve">Includes Germany, Belgium, the Netherlands, France and Ireland</t>
    </r>
  </si>
  <si>
    <r>
      <rPr>
        <vertAlign val="superscript"/>
        <sz val="10"/>
        <color rgb="FF000000"/>
        <rFont val="Calibri"/>
        <family val="2"/>
        <charset val="1"/>
      </rPr>
      <t xml:space="preserve">c</t>
    </r>
    <r>
      <rPr>
        <sz val="10"/>
        <color rgb="FF000000"/>
        <rFont val="Calibri"/>
        <family val="2"/>
        <charset val="1"/>
      </rPr>
      <t xml:space="preserve">Includes Italy and Spain</t>
    </r>
  </si>
  <si>
    <r>
      <rPr>
        <vertAlign val="superscript"/>
        <sz val="10"/>
        <color rgb="FF000000"/>
        <rFont val="Calibri"/>
        <family val="2"/>
        <charset val="1"/>
      </rPr>
      <t xml:space="preserve">d</t>
    </r>
    <r>
      <rPr>
        <sz val="10"/>
        <color rgb="FF000000"/>
        <rFont val="Calibri"/>
        <family val="2"/>
        <charset val="1"/>
      </rPr>
      <t xml:space="preserve">Includes Greece and Turkey</t>
    </r>
  </si>
  <si>
    <r>
      <rPr>
        <vertAlign val="superscript"/>
        <sz val="10"/>
        <color rgb="FF000000"/>
        <rFont val="Calibri"/>
        <family val="2"/>
        <charset val="1"/>
      </rPr>
      <t xml:space="preserve">e</t>
    </r>
    <r>
      <rPr>
        <sz val="10"/>
        <color rgb="FF000000"/>
        <rFont val="Calibri"/>
        <family val="2"/>
        <charset val="1"/>
      </rPr>
      <t xml:space="preserve">Includes </t>
    </r>
    <r>
      <rPr>
        <sz val="10"/>
        <color rgb="FF222222"/>
        <rFont val="Calibri"/>
        <family val="2"/>
        <charset val="1"/>
      </rPr>
      <t xml:space="preserve">Ivory Coast</t>
    </r>
  </si>
  <si>
    <r>
      <rPr>
        <vertAlign val="superscript"/>
        <sz val="10"/>
        <color rgb="FF000000"/>
        <rFont val="Calibri"/>
        <family val="2"/>
        <charset val="1"/>
      </rPr>
      <t xml:space="preserve">f</t>
    </r>
    <r>
      <rPr>
        <sz val="10"/>
        <color rgb="FF000000"/>
        <rFont val="Calibri"/>
        <family val="2"/>
        <charset val="1"/>
      </rPr>
      <t xml:space="preserve">Includes United States, Panamá, Costa Rica, Brazil and Ecuador</t>
    </r>
  </si>
  <si>
    <r>
      <rPr>
        <vertAlign val="superscript"/>
        <sz val="10"/>
        <color rgb="FF000000"/>
        <rFont val="Calibri"/>
        <family val="2"/>
        <charset val="1"/>
      </rPr>
      <t xml:space="preserve">g</t>
    </r>
    <r>
      <rPr>
        <sz val="10"/>
        <color rgb="FF000000"/>
        <rFont val="Calibri"/>
        <family val="2"/>
        <charset val="1"/>
      </rPr>
      <t xml:space="preserve">Includes Thailand and Vietnam</t>
    </r>
  </si>
  <si>
    <r>
      <rPr>
        <vertAlign val="superscript"/>
        <sz val="10"/>
        <color rgb="FF000000"/>
        <rFont val="Calibri"/>
        <family val="2"/>
        <charset val="1"/>
      </rPr>
      <t xml:space="preserve">h</t>
    </r>
    <r>
      <rPr>
        <sz val="10"/>
        <color rgb="FF000000"/>
        <rFont val="Calibri"/>
        <family val="2"/>
        <charset val="1"/>
      </rPr>
      <t xml:space="preserve">Includes New Zeeland</t>
    </r>
  </si>
  <si>
    <r>
      <rPr>
        <b val="true"/>
        <sz val="10"/>
        <color rgb="FF000000"/>
        <rFont val="Calibri"/>
        <family val="2"/>
        <charset val="1"/>
      </rPr>
      <t xml:space="preserve">ADDITIONAL INFORMATION ABOUT TRANSPORTATION CALCULATIONS: </t>
    </r>
    <r>
      <rPr>
        <sz val="10"/>
        <color rgb="FF000000"/>
        <rFont val="Calibri"/>
        <family val="2"/>
        <charset val="1"/>
      </rPr>
      <t xml:space="preserve">Default load factors that NTM provides are used which represent a typical transport as carried out today (70% for both ships and large trucks). Sea transports are assumed to be carried out with large ocean container ships whereas road transports are assumed to take place with large trucks with trailers loading up to 60 tons. It is assumed that products transported by sea from South America and Asia are reloaded to trucks in Rotterdam, the Netherlands and further transported to Sweden (Knudsen, 2011) 
Transports within Sweden are calculated based on a simplified calculation model by the 
Swedish Climate Certification for Food (2010) where the average distances to central warehouses and retailers are estimated with weighting according to the demographic distribution of Sweden. The Mälaren Valley is used as starting point from which the average distances to a central warehouse and further to a retailer are estimated to be 362 km and 64 km respectively. The emissions from the transportation are then calculated with NTMCalc Basic 4.0 (NTM, n.d.) and the transportation is assumed to be carried out with large trucks with trailers loading up to 60 tons. </t>
    </r>
  </si>
  <si>
    <t xml:space="preserve">Waste fractions for different product groups in different regions, from postharvest until retailer in Sweden*</t>
  </si>
  <si>
    <t xml:space="preserve">North America and Oceania</t>
  </si>
  <si>
    <t xml:space="preserve">Southeast Asia**</t>
  </si>
  <si>
    <t xml:space="preserve">Industrialized Asia***</t>
  </si>
  <si>
    <t xml:space="preserve">Latin America</t>
  </si>
  <si>
    <t xml:space="preserve">Sub-Saharan Africa</t>
  </si>
  <si>
    <t xml:space="preserve">Rest of the world average</t>
  </si>
  <si>
    <t xml:space="preserve">Fruits and vegetables</t>
  </si>
  <si>
    <t xml:space="preserve">Gustavsson et al. (2011)</t>
  </si>
  <si>
    <t xml:space="preserve">Grains and rice</t>
  </si>
  <si>
    <t xml:space="preserve">Roots and tubers</t>
  </si>
  <si>
    <t xml:space="preserve">Oilcrops and legumes</t>
  </si>
  <si>
    <t xml:space="preserve">Meat****</t>
  </si>
  <si>
    <t xml:space="preserve">Dairy products and eggs*****</t>
  </si>
  <si>
    <t xml:space="preserve">*The same fraction for retail waste is used for all products and regions. </t>
  </si>
  <si>
    <t xml:space="preserve">**Includes Thailand, Vietnam and Malaysia</t>
  </si>
  <si>
    <t xml:space="preserve">***Includes China</t>
  </si>
  <si>
    <t xml:space="preserve">****Waste fractions for "post harvest handling and storage" (mortality rate during transportation to slaughter and rejection rate at slaughterhouse) for meat are included directly in the calculations to account for the animals needed in production.</t>
  </si>
  <si>
    <t xml:space="preserve">*****The same waste fraction as milk is assumed for other dairy products and eggs</t>
  </si>
  <si>
    <t xml:space="preserve">No consideration is taken of how the waste is handled after leaving the system, e.g. whether the waste is composted or used for energy production. </t>
  </si>
  <si>
    <t xml:space="preserve">Waste fractions for processed product groups, at Swedish retail*</t>
  </si>
  <si>
    <t xml:space="preserve">Products based on fruits and vegetables</t>
  </si>
  <si>
    <t xml:space="preserve">Products based on grains and rice</t>
  </si>
  <si>
    <t xml:space="preserve">Products based on roots and tubers</t>
  </si>
  <si>
    <t xml:space="preserve">Products based on oilcrops</t>
  </si>
  <si>
    <t xml:space="preserve">*Assumed to have the same waste fraction as the raw material</t>
  </si>
  <si>
    <t xml:space="preserve">Input data meat and eggs</t>
  </si>
  <si>
    <t xml:space="preserve">Product</t>
  </si>
  <si>
    <t xml:space="preserve">Production country</t>
  </si>
  <si>
    <t xml:space="preserve">Share of Swedish market*</t>
  </si>
  <si>
    <t xml:space="preserve">Production country and share of Swedish market</t>
  </si>
  <si>
    <t xml:space="preserve">SS (2017a)</t>
  </si>
  <si>
    <t xml:space="preserve">Gårds- och djurhälsan (2012; 2013; 2014; 2015; 2016)</t>
  </si>
  <si>
    <t xml:space="preserve">Beef from culled dairy cows</t>
  </si>
  <si>
    <t xml:space="preserve">Heifer dairy</t>
  </si>
  <si>
    <t xml:space="preserve">Young bulls dairy</t>
  </si>
  <si>
    <t xml:space="preserve">Bulls dairy</t>
  </si>
  <si>
    <t xml:space="preserve">Steers dairy</t>
  </si>
  <si>
    <t xml:space="preserve">Calves dairy</t>
  </si>
  <si>
    <t xml:space="preserve">Deblitz et al. (2005), European Commission (2017)</t>
  </si>
  <si>
    <t xml:space="preserve">Beef from intensive dairy production</t>
  </si>
  <si>
    <t xml:space="preserve">Deblitz et al. (2005; 2008)</t>
  </si>
  <si>
    <t xml:space="preserve">Beef from extensive dairy production**</t>
  </si>
  <si>
    <t xml:space="preserve">SS (2017a) and assumption based on Ramvall, C., pers. comm. (2017)</t>
  </si>
  <si>
    <t xml:space="preserve">Hallström et al. (2014)</t>
  </si>
  <si>
    <t xml:space="preserve">Extensive suckler cows and offsprings***</t>
  </si>
  <si>
    <t xml:space="preserve">SEPA (2014; 2017)</t>
  </si>
  <si>
    <t xml:space="preserve">Danish EPA (2014, 2017)</t>
  </si>
  <si>
    <t xml:space="preserve">UBA (2017)</t>
  </si>
  <si>
    <t xml:space="preserve">Leip et al. (2010)</t>
  </si>
  <si>
    <t xml:space="preserve">*Average 2011-2015</t>
  </si>
  <si>
    <t xml:space="preserve">**Approximated with Swedish production of dairy steers</t>
  </si>
  <si>
    <t xml:space="preserve">***Approximated with suckler production in Sweden and Ireland</t>
  </si>
  <si>
    <t xml:space="preserve">Conversion factors from carcass weight to bone free meat</t>
  </si>
  <si>
    <t xml:space="preserve">Beef </t>
  </si>
  <si>
    <t xml:space="preserve">Pork</t>
  </si>
  <si>
    <t xml:space="preserve">Clune et al. (2017)</t>
  </si>
  <si>
    <t xml:space="preserve">Chicken</t>
  </si>
  <si>
    <t xml:space="preserve">Emissions feed production*</t>
  </si>
  <si>
    <t xml:space="preserve">kg CO2/kg</t>
  </si>
  <si>
    <t xml:space="preserve">kg CH4/kg</t>
  </si>
  <si>
    <t xml:space="preserve">kg N2O/kg</t>
  </si>
  <si>
    <t xml:space="preserve">Grains (86% DM)</t>
  </si>
  <si>
    <t xml:space="preserve">Based on own calculations with this model</t>
  </si>
  <si>
    <t xml:space="preserve">Maize (92% DM)</t>
  </si>
  <si>
    <t xml:space="preserve">By-products cereal industry (86% DM)</t>
  </si>
  <si>
    <t xml:space="preserve">Fats and fatty acids</t>
  </si>
  <si>
    <t xml:space="preserve">Palmkernal expels (91% DM)</t>
  </si>
  <si>
    <t xml:space="preserve">Rapeseed, whole (91% DM)</t>
  </si>
  <si>
    <t xml:space="preserve">Rapeseed, meal (91% DM)</t>
  </si>
  <si>
    <t xml:space="preserve">Minerals and salt (100% DM)</t>
  </si>
  <si>
    <t xml:space="preserve">Soymeal and soy-based products (87% DM)</t>
  </si>
  <si>
    <t xml:space="preserve">Peas and horsebeans (86% DM)</t>
  </si>
  <si>
    <t xml:space="preserve">By-products sugar industry (84% DM)</t>
  </si>
  <si>
    <t xml:space="preserve">Other protein feed**</t>
  </si>
  <si>
    <t xml:space="preserve">Based on own calculations with this model, Flysjö et al. (2008)</t>
  </si>
  <si>
    <t xml:space="preserve">Pasture (100% DM)</t>
  </si>
  <si>
    <t xml:space="preserve">Forage (100% DM)</t>
  </si>
  <si>
    <t xml:space="preserve">*Emissions from transportation included with 0.05 kg CO2e/kg for all products except for soymeal and soy-based products where 0.3 kg CO2e/kg is added.</t>
  </si>
  <si>
    <t xml:space="preserve">**Average of protein sources</t>
  </si>
  <si>
    <t xml:space="preserve">Sources for emissions feed production (to be used for estimations of emissions using different system boundaries)</t>
  </si>
  <si>
    <t xml:space="preserve">Energy use and mineral fertilizer production, fraction</t>
  </si>
  <si>
    <t xml:space="preserve">Soil emissions, fraction</t>
  </si>
  <si>
    <t xml:space="preserve">Total </t>
  </si>
  <si>
    <t xml:space="preserve">Based on the share for grains with calculations with this model.</t>
  </si>
  <si>
    <t xml:space="preserve">Feed ingredients, fractions</t>
  </si>
  <si>
    <t xml:space="preserve">Soruce</t>
  </si>
  <si>
    <t xml:space="preserve">Pig production</t>
  </si>
  <si>
    <t xml:space="preserve">Slaughter chicken production</t>
  </si>
  <si>
    <t xml:space="preserve">Egg production</t>
  </si>
  <si>
    <t xml:space="preserve">Beef production</t>
  </si>
  <si>
    <t xml:space="preserve">Dairy production</t>
  </si>
  <si>
    <t xml:space="preserve">Share of grains: Eriksson, I., pers. comm. (2017), Cederberg et al. (2009)</t>
  </si>
  <si>
    <t xml:space="preserve">Share of grains: Svensk Fågel (n.d.)</t>
  </si>
  <si>
    <t xml:space="preserve">Share of grains: Cederberg et al. (2009)</t>
  </si>
  <si>
    <t xml:space="preserve">Share of grains shown in input data of beef and dairy production systems further down.</t>
  </si>
  <si>
    <t xml:space="preserve">Maize and protein concentrate: SBA (2012; 2013; 2014c; 2015d; 2016d), average 2011-2015</t>
  </si>
  <si>
    <t xml:space="preserve">Protein concentrate</t>
  </si>
  <si>
    <t xml:space="preserve">Energy use in stables*</t>
  </si>
  <si>
    <t xml:space="preserve">Electricity use all countries except Ireland</t>
  </si>
  <si>
    <t xml:space="preserve">Electricity use Ireland**</t>
  </si>
  <si>
    <t xml:space="preserve">Fattening pigs, kWh/kg CW</t>
  </si>
  <si>
    <t xml:space="preserve">Elmquist et al. (2015) for dairy cows, fattening pigs and piglets; SBA (2010a) for slaughter chickens, eggs and other cattle than dairy cows</t>
  </si>
  <si>
    <t xml:space="preserve">Piglets, kWh/head</t>
  </si>
  <si>
    <t xml:space="preserve">Slaughter chickens, kWh/kg CW</t>
  </si>
  <si>
    <t xml:space="preserve">Eggs, kWh/kg </t>
  </si>
  <si>
    <t xml:space="preserve">Dairy cows, kWh/head and year***</t>
  </si>
  <si>
    <t xml:space="preserve">Other cattle than dairy cows, kWh/kg CW</t>
  </si>
  <si>
    <t xml:space="preserve">*Assuming the same energy use in all production countries</t>
  </si>
  <si>
    <t xml:space="preserve">**Numbers for Ireland are calculated based on data for Swedish energy use but adjusted according to milk yield.</t>
  </si>
  <si>
    <t xml:space="preserve">***Adjusted from per kg milk to per head and year based on average milk yield</t>
  </si>
  <si>
    <t xml:space="preserve">Energy use at slaughter*</t>
  </si>
  <si>
    <t xml:space="preserve">Electricity use</t>
  </si>
  <si>
    <t xml:space="preserve">Swine, kWh/kg CW</t>
  </si>
  <si>
    <t xml:space="preserve">Edström et al. (2005)</t>
  </si>
  <si>
    <t xml:space="preserve">Beef and dairy cattle, kWh/kg CW</t>
  </si>
  <si>
    <t xml:space="preserve">Time birth to weaning for piglets, days</t>
  </si>
  <si>
    <t xml:space="preserve">LRF (2017), average 2011-2015</t>
  </si>
  <si>
    <t xml:space="preserve">Time of fattening phase, days</t>
  </si>
  <si>
    <t xml:space="preserve">Slaughter age fattening pigs, days</t>
  </si>
  <si>
    <t xml:space="preserve">Slaughtered meat, kg CW</t>
  </si>
  <si>
    <t xml:space="preserve">SBA (2017b), average 2011-2015</t>
  </si>
  <si>
    <t xml:space="preserve">FAO (2017), average 2011-2015</t>
  </si>
  <si>
    <t xml:space="preserve">Slaughtered heads</t>
  </si>
  <si>
    <t xml:space="preserve">Mortality rate breeding, fraction</t>
  </si>
  <si>
    <t xml:space="preserve">Interpig (2012; 2013; 2014; 2015; 2016)</t>
  </si>
  <si>
    <t xml:space="preserve">Mortality rate transportation to slaughter 
and rejection rate at slaughterhouse</t>
  </si>
  <si>
    <t xml:space="preserve">Animals in production</t>
  </si>
  <si>
    <t xml:space="preserve">Sows</t>
  </si>
  <si>
    <t xml:space="preserve">Danish EPA (2014, 2017), average 2011-2015</t>
  </si>
  <si>
    <t xml:space="preserve">UBA (2017), average 2011-2015</t>
  </si>
  <si>
    <t xml:space="preserve">Boars*</t>
  </si>
  <si>
    <t xml:space="preserve">Fattening pigs</t>
  </si>
  <si>
    <t xml:space="preserve">Piglets</t>
  </si>
  <si>
    <t xml:space="preserve">*Numbers for Denmark and Germany are adjusted according to the ratio of sows and boars in Sweden</t>
  </si>
  <si>
    <t xml:space="preserve">Emission factors enteric fermentation, kg CH4/head and year</t>
  </si>
  <si>
    <t xml:space="preserve">Sows and boars</t>
  </si>
  <si>
    <t xml:space="preserve">SEPA (2014; 2017), average 2011-2015</t>
  </si>
  <si>
    <t xml:space="preserve">Feed consumption</t>
  </si>
  <si>
    <t xml:space="preserve">Sweden, kg/head</t>
  </si>
  <si>
    <t xml:space="preserve">Denmark, kg/head and year</t>
  </si>
  <si>
    <t xml:space="preserve">Germany, kg/head and year</t>
  </si>
  <si>
    <t xml:space="preserve">Cederberg et al. (2009), adjusted to slaughter weight</t>
  </si>
  <si>
    <t xml:space="preserve">Boars</t>
  </si>
  <si>
    <t xml:space="preserve">Total feed consumed/kg CW</t>
  </si>
  <si>
    <t xml:space="preserve">Manure production</t>
  </si>
  <si>
    <t xml:space="preserve">Sweden, kg DM/day</t>
  </si>
  <si>
    <t xml:space="preserve">Denmark, kg VS/day</t>
  </si>
  <si>
    <t xml:space="preserve">Germany, kg VS/day</t>
  </si>
  <si>
    <t xml:space="preserve">Total amount of manure produced</t>
  </si>
  <si>
    <t xml:space="preserve">Of which solid manure</t>
  </si>
  <si>
    <t xml:space="preserve">Of which liquid manure</t>
  </si>
  <si>
    <t xml:space="preserve">Of which deep litter</t>
  </si>
  <si>
    <t xml:space="preserve">Manure management systems</t>
  </si>
  <si>
    <t xml:space="preserve">Solid</t>
  </si>
  <si>
    <t xml:space="preserve">Liquid</t>
  </si>
  <si>
    <t xml:space="preserve">Deep litter</t>
  </si>
  <si>
    <t xml:space="preserve">Nitrogen excretion, kg/head and year</t>
  </si>
  <si>
    <t xml:space="preserve">Total amount of nitrogen excreted </t>
  </si>
  <si>
    <t xml:space="preserve">Emission factors manure management</t>
  </si>
  <si>
    <t xml:space="preserve">MCF solid manure</t>
  </si>
  <si>
    <t xml:space="preserve">MCF liquid manure</t>
  </si>
  <si>
    <t xml:space="preserve">MCF deep litter sows and boars</t>
  </si>
  <si>
    <t xml:space="preserve">MCF deep litter fattening pigs</t>
  </si>
  <si>
    <t xml:space="preserve">MCF deep litter piglets</t>
  </si>
  <si>
    <t xml:space="preserve">EF N2O solid manure</t>
  </si>
  <si>
    <t xml:space="preserve">EF N2O liquid manure</t>
  </si>
  <si>
    <t xml:space="preserve">EF N2O deep litter</t>
  </si>
  <si>
    <t xml:space="preserve">EF N2O volatilization</t>
  </si>
  <si>
    <t xml:space="preserve">Volatile solids (VS), fraction of manure</t>
  </si>
  <si>
    <t xml:space="preserve">Factor, kg/m3</t>
  </si>
  <si>
    <t xml:space="preserve">IPCC (2006)</t>
  </si>
  <si>
    <t xml:space="preserve">Bo, m3 CH4/kg VS</t>
  </si>
  <si>
    <t xml:space="preserve">Ammonia emissions</t>
  </si>
  <si>
    <t xml:space="preserve">Fraction NH3 loss, ventilation in stables and in storage</t>
  </si>
  <si>
    <t xml:space="preserve">Solid manure</t>
  </si>
  <si>
    <t xml:space="preserve">SEPA (2014)</t>
  </si>
  <si>
    <t xml:space="preserve">Danish EPA (2017)</t>
  </si>
  <si>
    <t xml:space="preserve">Liquid manure</t>
  </si>
  <si>
    <t xml:space="preserve">NH3 loss, ventilation in stables and in storage, kg</t>
  </si>
  <si>
    <t xml:space="preserve">Slaughter age, fractions slaughtered after days</t>
  </si>
  <si>
    <t xml:space="preserve">Cederberg et al. (2009)</t>
  </si>
  <si>
    <t xml:space="preserve">Meat yield, kg CW/head</t>
  </si>
  <si>
    <t xml:space="preserve">Slaughter chickens</t>
  </si>
  <si>
    <t xml:space="preserve">Parents and grandparents</t>
  </si>
  <si>
    <t xml:space="preserve">Recounted from Cederberg et al. (2009) to match fowl population</t>
  </si>
  <si>
    <t xml:space="preserve">Slaughter chickens, kg/kg CW</t>
  </si>
  <si>
    <t xml:space="preserve">Parents and grandparents, kg/head</t>
  </si>
  <si>
    <t xml:space="preserve">Slaughter chickens, kg VS/head and day</t>
  </si>
  <si>
    <t xml:space="preserve">Parents and grandparents, kg VS/head and day</t>
  </si>
  <si>
    <t xml:space="preserve">Total amount of manure produced, kg</t>
  </si>
  <si>
    <t xml:space="preserve">Slaughter chickens, kg/head and year</t>
  </si>
  <si>
    <t xml:space="preserve">Parents and grandparents, kg/head and year</t>
  </si>
  <si>
    <t xml:space="preserve">Amount of excreted nitrogen</t>
  </si>
  <si>
    <t xml:space="preserve">Emission factors for manure management</t>
  </si>
  <si>
    <t xml:space="preserve">MCF deep litter</t>
  </si>
  <si>
    <t xml:space="preserve">CH4 emissions manure management</t>
  </si>
  <si>
    <t xml:space="preserve">Total CH4 emissions manure</t>
  </si>
  <si>
    <t xml:space="preserve">EF N2O Deep litter</t>
  </si>
  <si>
    <t xml:space="preserve">Bo, m3 CH4/kg VS - slaughter chickens</t>
  </si>
  <si>
    <t xml:space="preserve">Bo, m3 CH4/kg VS - parents and grandparents</t>
  </si>
  <si>
    <t xml:space="preserve">Number of days from hatching until delivery to egg farm</t>
  </si>
  <si>
    <t xml:space="preserve">Number of days in production</t>
  </si>
  <si>
    <t xml:space="preserve">Lifetime, days</t>
  </si>
  <si>
    <t xml:space="preserve">Production of eggs, kg</t>
  </si>
  <si>
    <t xml:space="preserve">SBA (2017b), average 2011-2015. Including sales outside of the largest storehouses in Sweden.</t>
  </si>
  <si>
    <t xml:space="preserve">SBA (2017b), average 2011-2015. </t>
  </si>
  <si>
    <t xml:space="preserve">Laying hens, number</t>
  </si>
  <si>
    <t xml:space="preserve">Laying hens, including mortality during breeding</t>
  </si>
  <si>
    <t xml:space="preserve">Total feed consumed/kg egg</t>
  </si>
  <si>
    <t xml:space="preserve">Laying hens</t>
  </si>
  <si>
    <t xml:space="preserve">Emission factor N2O</t>
  </si>
  <si>
    <t xml:space="preserve">Fraction NH3 loss, ventilation in stables</t>
  </si>
  <si>
    <t xml:space="preserve">Beef and dairy production</t>
  </si>
  <si>
    <t xml:space="preserve">Manure management system</t>
  </si>
  <si>
    <t xml:space="preserve">Feed use</t>
  </si>
  <si>
    <t xml:space="preserve">Number of animals</t>
  </si>
  <si>
    <t xml:space="preserve">Number of animals including mortality</t>
  </si>
  <si>
    <t xml:space="preserve">Slaughtered heads including mortality</t>
  </si>
  <si>
    <t xml:space="preserve">Slaughter weight, kg</t>
  </si>
  <si>
    <t xml:space="preserve">Slaughter age, months*</t>
  </si>
  <si>
    <t xml:space="preserve">Meat from animal, kg</t>
  </si>
  <si>
    <t xml:space="preserve">Meat from mother animal</t>
  </si>
  <si>
    <t xml:space="preserve">Total meat system, kg</t>
  </si>
  <si>
    <t xml:space="preserve">Nitrogen excretion, 
kg N/head and year</t>
  </si>
  <si>
    <t xml:space="preserve">Enteric fermentation, 
kg CH4/head and year</t>
  </si>
  <si>
    <t xml:space="preserve">Manure production, 
kg DM/year</t>
  </si>
  <si>
    <t xml:space="preserve">CH4 emissions from manure, kg/year</t>
  </si>
  <si>
    <t xml:space="preserve">Pasture</t>
  </si>
  <si>
    <t xml:space="preserve">Forage, kg TS</t>
  </si>
  <si>
    <t xml:space="preserve">Pasture, kg TS</t>
  </si>
  <si>
    <t xml:space="preserve">Grains, kg </t>
  </si>
  <si>
    <t xml:space="preserve">Protein concentrate, kg</t>
  </si>
  <si>
    <t xml:space="preserve">Number of animals, slaughtered heads, slaughter weight</t>
  </si>
  <si>
    <t xml:space="preserve">Slaughter age</t>
  </si>
  <si>
    <t xml:space="preserve">Nitrogen excretion, enteric fermentation, manure production, manure management systems</t>
  </si>
  <si>
    <t xml:space="preserve">Beef production with suckler herds</t>
  </si>
  <si>
    <r>
      <rPr>
        <b val="true"/>
        <sz val="10"/>
        <color rgb="FF000000"/>
        <rFont val="Calibri"/>
        <family val="2"/>
        <charset val="1"/>
      </rPr>
      <t xml:space="preserve">Sweden: </t>
    </r>
    <r>
      <rPr>
        <sz val="10"/>
        <color rgb="FF000000"/>
        <rFont val="Calibri"/>
        <family val="2"/>
        <charset val="1"/>
      </rPr>
      <t xml:space="preserve">SBA (2017b), Gårds- och djurhälsan (2012; 2013; 2014; 2015; 2016), average 2011-2015</t>
    </r>
  </si>
  <si>
    <r>
      <rPr>
        <b val="true"/>
        <sz val="10"/>
        <color rgb="FF000000"/>
        <rFont val="Calibri"/>
        <family val="2"/>
        <charset val="1"/>
      </rPr>
      <t xml:space="preserve">Sweden: </t>
    </r>
    <r>
      <rPr>
        <sz val="10"/>
        <color rgb="FF000000"/>
        <rFont val="Calibri"/>
        <family val="2"/>
        <charset val="1"/>
      </rPr>
      <t xml:space="preserve">Gårds- och djurhälsan (2012; 2013; 2014; 2015; 2016), average 2011-2015</t>
    </r>
  </si>
  <si>
    <r>
      <rPr>
        <b val="true"/>
        <sz val="10"/>
        <color rgb="FF000000"/>
        <rFont val="Calibri"/>
        <family val="2"/>
        <charset val="1"/>
      </rPr>
      <t xml:space="preserve">Sweden: </t>
    </r>
    <r>
      <rPr>
        <sz val="10"/>
        <color rgb="FF000000"/>
        <rFont val="Calibri"/>
        <family val="2"/>
        <charset val="1"/>
      </rPr>
      <t xml:space="preserve">SEPA (2014; 2017), average 2011-2015 with grazing period for bulls and calves adjusted according to SS (2017b)</t>
    </r>
  </si>
  <si>
    <r>
      <rPr>
        <b val="true"/>
        <sz val="10"/>
        <color rgb="FF000000"/>
        <rFont val="Calibri"/>
        <family val="2"/>
        <charset val="1"/>
      </rPr>
      <t xml:space="preserve">Sweden: </t>
    </r>
    <r>
      <rPr>
        <sz val="10"/>
        <color rgb="FF000000"/>
        <rFont val="Calibri"/>
        <family val="2"/>
        <charset val="1"/>
      </rPr>
      <t xml:space="preserve">Based on Cederberg et al. (2009) and updated and adjusted to slaughter age, slaughter weight and grazing period of animals with input from Danielsson, R., pers. comm. (2018), Hessle, A., pers. comm. (2018) and Lindberg, H., pers. comm. (2018)</t>
    </r>
  </si>
  <si>
    <t xml:space="preserve">Suckler cows</t>
  </si>
  <si>
    <r>
      <rPr>
        <b val="true"/>
        <sz val="10"/>
        <color rgb="FF000000"/>
        <rFont val="Calibri"/>
        <family val="2"/>
        <charset val="1"/>
      </rPr>
      <t xml:space="preserve">Ireland: </t>
    </r>
    <r>
      <rPr>
        <sz val="10"/>
        <color rgb="FF000000"/>
        <rFont val="Calibri"/>
        <family val="2"/>
        <charset val="1"/>
      </rPr>
      <t xml:space="preserve">European Commission (2017), average 2011-2015</t>
    </r>
  </si>
  <si>
    <r>
      <rPr>
        <b val="true"/>
        <sz val="10"/>
        <color rgb="FF000000"/>
        <rFont val="Calibri"/>
        <family val="2"/>
        <charset val="1"/>
      </rPr>
      <t xml:space="preserve">Ireland: </t>
    </r>
    <r>
      <rPr>
        <sz val="10"/>
        <color rgb="FF000000"/>
        <rFont val="Calibri"/>
        <family val="2"/>
        <charset val="1"/>
      </rPr>
      <t xml:space="preserve">Casey &amp; Holden (2006) and Teagasc (2015) for bulls, bullocks and heifers, European Commission (2017) for calves</t>
    </r>
  </si>
  <si>
    <r>
      <rPr>
        <b val="true"/>
        <sz val="10"/>
        <color rgb="FF000000"/>
        <rFont val="Calibri"/>
        <family val="2"/>
        <charset val="1"/>
      </rPr>
      <t xml:space="preserve">Ireland: </t>
    </r>
    <r>
      <rPr>
        <sz val="10"/>
        <color rgb="FF000000"/>
        <rFont val="Calibri"/>
        <family val="2"/>
        <charset val="1"/>
      </rPr>
      <t xml:space="preserve">EPA, IRELAND (2017), average 2011-2015</t>
    </r>
  </si>
  <si>
    <r>
      <rPr>
        <b val="true"/>
        <sz val="10"/>
        <color rgb="FF000000"/>
        <rFont val="Calibri"/>
        <family val="2"/>
        <charset val="1"/>
      </rPr>
      <t xml:space="preserve">Ireland: </t>
    </r>
    <r>
      <rPr>
        <sz val="10"/>
        <color rgb="FF000000"/>
        <rFont val="Calibri"/>
        <family val="2"/>
        <charset val="1"/>
      </rPr>
      <t xml:space="preserve">Kavanagh (n.d.) and Goulding (n.d.) for dairy cows, Cederberg &amp; Nilsson (2004) for suckler cows, Teagasc (2015) for bulls, bullocks and heifers, calves assumed same as Sweden but adjusted according to slaughter age, slaughter weight and grazing period of animals</t>
    </r>
  </si>
  <si>
    <t xml:space="preserve">Replacement heifers</t>
  </si>
  <si>
    <r>
      <rPr>
        <b val="true"/>
        <sz val="10"/>
        <color rgb="FF000000"/>
        <rFont val="Calibri"/>
        <family val="2"/>
        <charset val="1"/>
      </rPr>
      <t xml:space="preserve">Germany and Poland: </t>
    </r>
    <r>
      <rPr>
        <sz val="10"/>
        <color rgb="FF000000"/>
        <rFont val="Calibri"/>
        <family val="2"/>
        <charset val="1"/>
      </rPr>
      <t xml:space="preserve">European Commission (2017), average 2011-2015</t>
    </r>
  </si>
  <si>
    <r>
      <rPr>
        <b val="true"/>
        <sz val="10"/>
        <color rgb="FF000000"/>
        <rFont val="Calibri"/>
        <family val="2"/>
        <charset val="1"/>
      </rPr>
      <t xml:space="preserve">Germany and Poland: </t>
    </r>
    <r>
      <rPr>
        <sz val="10"/>
        <color rgb="FF000000"/>
        <rFont val="Calibri"/>
        <family val="2"/>
        <charset val="1"/>
      </rPr>
      <t xml:space="preserve">Deblitz et al. (2008) for bulls and calves, heifers assumed same as Sweden</t>
    </r>
  </si>
  <si>
    <r>
      <rPr>
        <b val="true"/>
        <sz val="10"/>
        <color rgb="FF000000"/>
        <rFont val="Calibri"/>
        <family val="2"/>
        <charset val="1"/>
      </rPr>
      <t xml:space="preserve">Germany and Poland:</t>
    </r>
    <r>
      <rPr>
        <sz val="10"/>
        <color rgb="FF000000"/>
        <rFont val="Calibri"/>
        <family val="2"/>
        <charset val="1"/>
      </rPr>
      <t xml:space="preserve"> UBA (2017), average 2011-2015</t>
    </r>
  </si>
  <si>
    <r>
      <rPr>
        <b val="true"/>
        <sz val="10"/>
        <color rgb="FF000000"/>
        <rFont val="Calibri"/>
        <family val="2"/>
        <charset val="1"/>
      </rPr>
      <t xml:space="preserve">Germany and Poland:</t>
    </r>
    <r>
      <rPr>
        <sz val="10"/>
        <color rgb="FF000000"/>
        <rFont val="Calibri"/>
        <family val="2"/>
        <charset val="1"/>
      </rPr>
      <t xml:space="preserve"> Assumed same as Sweden but adjusted according to slaughter age, slaughter weight and grazing period of animals</t>
    </r>
  </si>
  <si>
    <t xml:space="preserve">Young bulls</t>
  </si>
  <si>
    <t xml:space="preserve">Steers</t>
  </si>
  <si>
    <t xml:space="preserve">Total in suckler system</t>
  </si>
  <si>
    <t xml:space="preserve">Beef and dairy production with cows and breeds from dairy</t>
  </si>
  <si>
    <t xml:space="preserve">Beef production with dairy cows and breeds</t>
  </si>
  <si>
    <t xml:space="preserve">Dairy replacement heifers</t>
  </si>
  <si>
    <t xml:space="preserve">Beef replacement heifers</t>
  </si>
  <si>
    <t xml:space="preserve">Bulls and steers</t>
  </si>
  <si>
    <t xml:space="preserve">Bullocks </t>
  </si>
  <si>
    <t xml:space="preserve">Total suckler system</t>
  </si>
  <si>
    <t xml:space="preserve">Cows</t>
  </si>
  <si>
    <t xml:space="preserve">*Cows are assessed per year, others per head for whole lifetime. </t>
  </si>
  <si>
    <t xml:space="preserve">Mortality rate beef and dairy cattle (breeding, transportation to slaughter and rejection at slaughterhouse)</t>
  </si>
  <si>
    <t xml:space="preserve">Age at first calving</t>
  </si>
  <si>
    <t xml:space="preserve">Gårds- och djurhälsan (2012; 2013; 2014; 2015; 2016), average 2011-2015</t>
  </si>
  <si>
    <t xml:space="preserve">Beef cows</t>
  </si>
  <si>
    <t xml:space="preserve">Total kg of energy corrected milk (ECM) per year</t>
  </si>
  <si>
    <t xml:space="preserve">SBA (2017b)</t>
  </si>
  <si>
    <t xml:space="preserve">Kg ECM/cow and year sold to retailer*</t>
  </si>
  <si>
    <t xml:space="preserve">*On farm consumption of 5.6% results in total of 9129 kg ECM/cow and year (Bertilsson, 2016).</t>
  </si>
  <si>
    <t xml:space="preserve">MCF CH4 Sweden</t>
  </si>
  <si>
    <t xml:space="preserve">SEPA (2014; 2017), average 2011-2015, UBA (2017), average 2011-2015</t>
  </si>
  <si>
    <t xml:space="preserve">MCF CH4 Germany and Poland*</t>
  </si>
  <si>
    <t xml:space="preserve">EF N2O manure</t>
  </si>
  <si>
    <t xml:space="preserve">EF N2O volitilization all manure, kg N2O indirect per kg emitted NH3 </t>
  </si>
  <si>
    <t xml:space="preserve">Germany and Poland*</t>
  </si>
  <si>
    <t xml:space="preserve">Bo dairy cattle, m3 CH4/kg VS</t>
  </si>
  <si>
    <t xml:space="preserve">Bo beef cattle, m3 CH4/kg VS</t>
  </si>
  <si>
    <t xml:space="preserve">VS dairy and beef cattle, fraction of manure</t>
  </si>
  <si>
    <t xml:space="preserve">SEPA (2014), IPCC (2006)</t>
  </si>
  <si>
    <t xml:space="preserve">IPCC default</t>
  </si>
  <si>
    <t xml:space="preserve">*Approximated with Germany</t>
  </si>
  <si>
    <t xml:space="preserve">Input data dairy products</t>
  </si>
  <si>
    <t xml:space="preserve">Share of Swedish market (fraction)</t>
  </si>
  <si>
    <t xml:space="preserve">Input of milk in the production, kg</t>
  </si>
  <si>
    <t xml:space="preserve">Input of milk in the production</t>
  </si>
  <si>
    <t xml:space="preserve">SS (2017a), SBA (2016a)</t>
  </si>
  <si>
    <t xml:space="preserve">Löfgren, R., pers. comm. (2017)</t>
  </si>
  <si>
    <t xml:space="preserve">Butter (82% fat)</t>
  </si>
  <si>
    <t xml:space="preserve">Yougurt (3% fat)</t>
  </si>
  <si>
    <t xml:space="preserve">Cream (40% fat)</t>
  </si>
  <si>
    <t xml:space="preserve">Hard cheese (38% fat)</t>
  </si>
  <si>
    <t xml:space="preserve">Dessert cheese (25% fat)</t>
  </si>
  <si>
    <t xml:space="preserve">Arla Forum Konsumentkontakt, pers. comm. (2017)</t>
  </si>
  <si>
    <t xml:space="preserve">Crème fraiche (34% fat)</t>
  </si>
  <si>
    <t xml:space="preserve">Flysjö et al. (2014), SBA (2016b)</t>
  </si>
  <si>
    <t xml:space="preserve">Climate impact of the production of dairy products including energy use and the production of other ingredients than milk</t>
  </si>
  <si>
    <t xml:space="preserve">Dessert cheese (25% fat)*</t>
  </si>
  <si>
    <t xml:space="preserve">Crème fraiche (34% fat)**</t>
  </si>
  <si>
    <t xml:space="preserve">kg CO2e/kg  prepared product</t>
  </si>
  <si>
    <r>
      <rPr>
        <b val="true"/>
        <sz val="10"/>
        <color rgb="FF000000"/>
        <rFont val="Calibri"/>
        <family val="2"/>
        <charset val="1"/>
      </rPr>
      <t xml:space="preserve">Pasteurized milk, butter, yogurt, cream</t>
    </r>
    <r>
      <rPr>
        <sz val="10"/>
        <color rgb="FF000000"/>
        <rFont val="Calibri"/>
        <family val="2"/>
        <charset val="1"/>
      </rPr>
      <t xml:space="preserve">: Djekic et al. (2014), Ecoinvent (2018) using activity data for Calcium chloride: “Market for calcium chloride” data for Europe. For saltpeter: “Calcium nitrate production” data for Europe. For salt: “Sodium chloride production, powder”, global data. For nitric acid: “Nitric acid production, product in 50% solution state”, data for Europe. For sodium hydroxide: “Sodium hydroxide to generic market for neutralising agent”, global data. 
</t>
    </r>
    <r>
      <rPr>
        <b val="true"/>
        <sz val="10"/>
        <color rgb="FF000000"/>
        <rFont val="Calibri"/>
        <family val="2"/>
        <charset val="1"/>
      </rPr>
      <t xml:space="preserve">Hard cheese</t>
    </r>
    <r>
      <rPr>
        <sz val="10"/>
        <color rgb="FF000000"/>
        <rFont val="Calibri"/>
        <family val="2"/>
        <charset val="1"/>
      </rPr>
      <t xml:space="preserve">: Djekic et al. (2014), Ecoinvent (2018) using activity data for Calcium chloride: “Market for calcium chloride” global data. For saltpeter: “Calcium nitrate production” data for Europe. For salt: “Sodium chloride production, powder”, data for Europe. For nitric acid: “Nitric acid production, product in 50% solution state”, data for Europe. For sodium hydroxide: “Sodium hydroxide to generic market for neutralising agent”, global data., Berlin (2002)
</t>
    </r>
    <r>
      <rPr>
        <b val="true"/>
        <sz val="10"/>
        <color rgb="FF000000"/>
        <rFont val="Calibri"/>
        <family val="2"/>
        <charset val="1"/>
      </rPr>
      <t xml:space="preserve">Milk powder</t>
    </r>
    <r>
      <rPr>
        <sz val="10"/>
        <color rgb="FF000000"/>
        <rFont val="Calibri"/>
        <family val="2"/>
        <charset val="1"/>
      </rPr>
      <t xml:space="preserve">: Flysjö et al. (2014)</t>
    </r>
  </si>
  <si>
    <t xml:space="preserve">*Dessert cheese assumed the same as hard cheese</t>
  </si>
  <si>
    <t xml:space="preserve">**Crème fraiche assumed the same as yougurt</t>
  </si>
  <si>
    <t xml:space="preserve">Input data fish and seafood</t>
  </si>
  <si>
    <t xml:space="preserve">Input data for wild-caught and farmed seafood </t>
  </si>
  <si>
    <t xml:space="preserve">Fish species, share of Swedish market (fraction)</t>
  </si>
  <si>
    <t xml:space="preserve">Gear type</t>
  </si>
  <si>
    <t xml:space="preserve">Gear use (fractions)</t>
  </si>
  <si>
    <t xml:space="preserve">Fishing countries</t>
  </si>
  <si>
    <t xml:space="preserve">Diesel use, liter/kg landed catch</t>
  </si>
  <si>
    <t xml:space="preserve">Edible yield (fraction of whole weight)</t>
  </si>
  <si>
    <t xml:space="preserve">Feed consumption/kg farmed fish</t>
  </si>
  <si>
    <t xml:space="preserve">Aquaculture</t>
  </si>
  <si>
    <r>
      <rPr>
        <b val="true"/>
        <sz val="10"/>
        <color rgb="FF000000"/>
        <rFont val="Calibri"/>
        <family val="2"/>
        <charset val="1"/>
      </rPr>
      <t xml:space="preserve">Share of Swedish market, production system and fishing countries</t>
    </r>
    <r>
      <rPr>
        <sz val="10"/>
        <color rgb="FF000000"/>
        <rFont val="Calibri"/>
        <family val="2"/>
        <charset val="1"/>
      </rPr>
      <t xml:space="preserve">: Ziegler &amp; Bergman (2017)</t>
    </r>
  </si>
  <si>
    <r>
      <rPr>
        <b val="true"/>
        <sz val="10"/>
        <color rgb="FF000000"/>
        <rFont val="Calibri"/>
        <family val="2"/>
        <charset val="1"/>
      </rPr>
      <t xml:space="preserve">Gear type for wild-caught fish</t>
    </r>
    <r>
      <rPr>
        <sz val="10"/>
        <color rgb="FF000000"/>
        <rFont val="Calibri"/>
        <family val="2"/>
        <charset val="1"/>
      </rPr>
      <t xml:space="preserve">: Cod, herring, saithe, European plaice and hoki: Ziegler, F., pers. comm. (2017). Mackerel: Winther et al. (2009). Northern Prawn and Alaska pollock: WWF (n.d.)</t>
    </r>
  </si>
  <si>
    <t xml:space="preserve">Wild-caught</t>
  </si>
  <si>
    <t xml:space="preserve">Bottom trawl</t>
  </si>
  <si>
    <r>
      <rPr>
        <b val="true"/>
        <sz val="10"/>
        <color rgb="FF000000"/>
        <rFont val="Calibri"/>
        <family val="2"/>
        <charset val="1"/>
      </rPr>
      <t xml:space="preserve">Diesel use: </t>
    </r>
    <r>
      <rPr>
        <sz val="10"/>
        <color rgb="FF000000"/>
        <rFont val="Calibri"/>
        <family val="2"/>
        <charset val="1"/>
      </rPr>
      <t xml:space="preserve">Pelagic trawl for saithe: Parker &amp; Tyedmers (2015). All others: Parker et al. (2018)</t>
    </r>
  </si>
  <si>
    <t xml:space="preserve">Autoline</t>
  </si>
  <si>
    <r>
      <rPr>
        <b val="true"/>
        <sz val="10"/>
        <color rgb="FF000000"/>
        <rFont val="Calibri"/>
        <family val="2"/>
        <charset val="1"/>
      </rPr>
      <t xml:space="preserve">Edible yield:</t>
    </r>
    <r>
      <rPr>
        <sz val="10"/>
        <color rgb="FF000000"/>
        <rFont val="Calibri"/>
        <family val="2"/>
        <charset val="1"/>
      </rPr>
      <t xml:space="preserve"> Cod: Ziegler &amp; Bergman (2017). Pangasius: Ziegler F., pers. comm. (2017). All others: FAO (1989)</t>
    </r>
  </si>
  <si>
    <t xml:space="preserve">Pelagic trawl</t>
  </si>
  <si>
    <r>
      <rPr>
        <b val="true"/>
        <sz val="10"/>
        <color rgb="FF000000"/>
        <rFont val="Calibri"/>
        <family val="2"/>
        <charset val="1"/>
      </rPr>
      <t xml:space="preserve">Feed consumption</t>
    </r>
    <r>
      <rPr>
        <sz val="10"/>
        <color rgb="FF000000"/>
        <rFont val="Calibri"/>
        <family val="2"/>
        <charset val="1"/>
      </rPr>
      <t xml:space="preserve">: Salmon: Hognes et al. (2014). Pangasius: Henriksson et al. (2014)</t>
    </r>
  </si>
  <si>
    <t xml:space="preserve">Purse seine</t>
  </si>
  <si>
    <t xml:space="preserve">Trolling line</t>
  </si>
  <si>
    <t xml:space="preserve">United States </t>
  </si>
  <si>
    <t xml:space="preserve">Norway, Iceland</t>
  </si>
  <si>
    <t xml:space="preserve">Pangasius</t>
  </si>
  <si>
    <t xml:space="preserve">Beam trawl</t>
  </si>
  <si>
    <t xml:space="preserve">Hoki </t>
  </si>
  <si>
    <t xml:space="preserve">Other fish species</t>
  </si>
  <si>
    <t xml:space="preserve">Average of other wild-caught</t>
  </si>
  <si>
    <t xml:space="preserve">Average of other farmed</t>
  </si>
  <si>
    <t xml:space="preserve">Diesel use for pelagic trawl for saithe is an average of records of Oceania and North America due to few records of Europe from Parker and Tyedmers (2015)</t>
  </si>
  <si>
    <t xml:space="preserve">Diesel use for beam trawl for European plaice is assumed the same as bottom trawl based on Parker et al. (2018)</t>
  </si>
  <si>
    <t xml:space="preserve">Edible yield of hoki is approximated with European hake based on FAO (1989)</t>
  </si>
  <si>
    <t xml:space="preserve">Feed consumption for rainbow trout is approximated with salmon based on Hognes et al. (2014)</t>
  </si>
  <si>
    <t xml:space="preserve">The majority of the roe is derived from cod fish (Ziegler, F., pers. comm. 2017) and cod roe is therefore used for the calculations of the climate impact. </t>
  </si>
  <si>
    <t xml:space="preserve">Emissions diesel fuel for vessels*</t>
  </si>
  <si>
    <t xml:space="preserve">kg CO2/liter diesel</t>
  </si>
  <si>
    <t xml:space="preserve">kg CH4/liter diesel</t>
  </si>
  <si>
    <t xml:space="preserve">Parker et al. (2018)</t>
  </si>
  <si>
    <t xml:space="preserve">kg N2O/liter diesel</t>
  </si>
  <si>
    <t xml:space="preserve">*Includes a life-cycle perspective of the diesel, e.g. mining, processing and burning</t>
  </si>
  <si>
    <t xml:space="preserve">Emission factors from storage of fish at vessels using R-22</t>
  </si>
  <si>
    <t xml:space="preserve">Pelagic vessels*</t>
  </si>
  <si>
    <t xml:space="preserve">Demersal vessels**</t>
  </si>
  <si>
    <t xml:space="preserve"> kg HCFC-22/kg landed fish</t>
  </si>
  <si>
    <t xml:space="preserve">Winther et al. (2009)</t>
  </si>
  <si>
    <t xml:space="preserve">*Includes herring and mackerel</t>
  </si>
  <si>
    <t xml:space="preserve">**Includes cod, saithe, Northern prawn and European plaice</t>
  </si>
  <si>
    <t xml:space="preserve">Alaska pollock and hoki and are assumed to be semi-pelagic and are calculated as an average of the pelagic and demersal fleets </t>
  </si>
  <si>
    <t xml:space="preserve">Emission factors aquaculture systems</t>
  </si>
  <si>
    <t xml:space="preserve">Rainbow trout</t>
  </si>
  <si>
    <t xml:space="preserve">Fry and fingerling production</t>
  </si>
  <si>
    <t xml:space="preserve">kg CO2e/kg fish produced</t>
  </si>
  <si>
    <r>
      <rPr>
        <b val="true"/>
        <sz val="10"/>
        <color rgb="FF000000"/>
        <rFont val="Calibri"/>
        <family val="2"/>
        <charset val="1"/>
      </rPr>
      <t xml:space="preserve">Salmon: </t>
    </r>
    <r>
      <rPr>
        <sz val="10"/>
        <color rgb="FF000000"/>
        <rFont val="Calibri"/>
        <family val="2"/>
        <charset val="1"/>
      </rPr>
      <t xml:space="preserve">Hognes et al. (2014). </t>
    </r>
    <r>
      <rPr>
        <b val="true"/>
        <sz val="10"/>
        <color rgb="FF000000"/>
        <rFont val="Calibri"/>
        <family val="2"/>
        <charset val="1"/>
      </rPr>
      <t xml:space="preserve">Pangasius:</t>
    </r>
    <r>
      <rPr>
        <sz val="10"/>
        <color rgb="FF000000"/>
        <rFont val="Calibri"/>
        <family val="2"/>
        <charset val="1"/>
      </rPr>
      <t xml:space="preserve"> Henriksson et al. (2014)</t>
    </r>
  </si>
  <si>
    <t xml:space="preserve">Electricty use fish farming</t>
  </si>
  <si>
    <t xml:space="preserve">Values for rainbow trout are approximated with salmon based on Hognes et al. (2014)</t>
  </si>
  <si>
    <t xml:space="preserve">Emission factors feed in aquaculture systems</t>
  </si>
  <si>
    <t xml:space="preserve">Emissions from energy use and mineral fertilizer production</t>
  </si>
  <si>
    <r>
      <rPr>
        <b val="true"/>
        <sz val="10"/>
        <color rgb="FF000000"/>
        <rFont val="Calibri"/>
        <family val="2"/>
        <charset val="1"/>
      </rPr>
      <t xml:space="preserve">Salmon</t>
    </r>
    <r>
      <rPr>
        <sz val="10"/>
        <color rgb="FF000000"/>
        <rFont val="Calibri"/>
        <family val="2"/>
        <charset val="1"/>
      </rPr>
      <t xml:space="preserve">: Hognes et al. (2014). </t>
    </r>
    <r>
      <rPr>
        <b val="true"/>
        <sz val="10"/>
        <color rgb="FF000000"/>
        <rFont val="Calibri"/>
        <family val="2"/>
        <charset val="1"/>
      </rPr>
      <t xml:space="preserve">Pangasius</t>
    </r>
    <r>
      <rPr>
        <sz val="10"/>
        <color rgb="FF000000"/>
        <rFont val="Calibri"/>
        <family val="2"/>
        <charset val="1"/>
      </rPr>
      <t xml:space="preserve">: Henriksson et al. (2014)</t>
    </r>
  </si>
  <si>
    <t xml:space="preserve">kg CO2/kg feed</t>
  </si>
  <si>
    <t xml:space="preserve">Fractions between emission sources based on the share for grains with calculations with this model.</t>
  </si>
  <si>
    <t xml:space="preserve">kg CH4/kg feed</t>
  </si>
  <si>
    <t xml:space="preserve">kg N2O/kg feed</t>
  </si>
  <si>
    <t xml:space="preserve">Feed composition of farmed fish (fractions)</t>
  </si>
  <si>
    <t xml:space="preserve">Marine oils</t>
  </si>
  <si>
    <r>
      <rPr>
        <b val="true"/>
        <sz val="10"/>
        <color rgb="FF000000"/>
        <rFont val="Calibri"/>
        <family val="2"/>
        <charset val="1"/>
      </rPr>
      <t xml:space="preserve">Salmon:</t>
    </r>
    <r>
      <rPr>
        <sz val="10"/>
        <color rgb="FF000000"/>
        <rFont val="Calibri"/>
        <family val="2"/>
        <charset val="1"/>
      </rPr>
      <t xml:space="preserve"> Hognes et al. (2014). </t>
    </r>
    <r>
      <rPr>
        <b val="true"/>
        <sz val="10"/>
        <color rgb="FF000000"/>
        <rFont val="Calibri"/>
        <family val="2"/>
        <charset val="1"/>
      </rPr>
      <t xml:space="preserve">Pangasius:</t>
    </r>
    <r>
      <rPr>
        <sz val="10"/>
        <color rgb="FF000000"/>
        <rFont val="Calibri"/>
        <family val="2"/>
        <charset val="1"/>
      </rPr>
      <t xml:space="preserve"> Henriksson et al. (2014)</t>
    </r>
  </si>
  <si>
    <t xml:space="preserve">Marine protein</t>
  </si>
  <si>
    <t xml:space="preserve">Soy protein</t>
  </si>
  <si>
    <t xml:space="preserve">By-products cereal industry</t>
  </si>
  <si>
    <t xml:space="preserve">Sunflower meal</t>
  </si>
  <si>
    <t xml:space="preserve">Peas and horsebeans</t>
  </si>
  <si>
    <t xml:space="preserve">Vitamins and minerals</t>
  </si>
  <si>
    <t xml:space="preserve">By-products rice</t>
  </si>
  <si>
    <t xml:space="preserve">Cassava meal</t>
  </si>
  <si>
    <t xml:space="preserve">Wheat flour</t>
  </si>
  <si>
    <t xml:space="preserve">Other ingredients</t>
  </si>
  <si>
    <t xml:space="preserve">Sunflower meal is approximated with rapeseed meal for estimations of soil carbon changes</t>
  </si>
  <si>
    <t xml:space="preserve">Electricity use in processing of fish</t>
  </si>
  <si>
    <t xml:space="preserve"> kWh/kg fish</t>
  </si>
  <si>
    <t xml:space="preserve">Electricity mix for processing of fish (fractions of each mix used)</t>
  </si>
  <si>
    <t xml:space="preserve">European electricity mix</t>
  </si>
  <si>
    <t xml:space="preserve">SS (2017a), Ziegler &amp; Bergman (2017)</t>
  </si>
  <si>
    <t xml:space="preserve">Country/region of origin for transportation to Sweden, fractions</t>
  </si>
  <si>
    <t xml:space="preserve">Nordic countries</t>
  </si>
  <si>
    <t xml:space="preserve">Parts of the fish caught by Norwegian fishing fleets is transported to Asia to be filleted and is later sent to Sweden. The process is more efficient as regards the yield output as the filleting is carried out manually but requires transportation and storage with refrigeration onboard the ocean ships (Winther et al., 2009, KRAV, 2010). Here, it is assumed that the increase in yield output equals the climate impact from the transportation. </t>
  </si>
  <si>
    <t xml:space="preserve">Input data plant-based products</t>
  </si>
  <si>
    <t xml:space="preserve">Production country*</t>
  </si>
  <si>
    <t xml:space="preserve">Yield (kg/ha)***</t>
  </si>
  <si>
    <t xml:space="preserve">Mineral fertilizer application rate (kg N/ha)****</t>
  </si>
  <si>
    <t xml:space="preserve">Organic fertilizer application rate (kg N/ha)****</t>
  </si>
  <si>
    <t xml:space="preserve">Nitrogen in crop residues (kg nitrogen/ha)*****</t>
  </si>
  <si>
    <t xml:space="preserve">Diesel use machinery (l/ha)******</t>
  </si>
  <si>
    <t xml:space="preserve">Production country, production system, share of Swedish market</t>
  </si>
  <si>
    <t xml:space="preserve">Yield</t>
  </si>
  <si>
    <t xml:space="preserve">Mineral and organic fertilizer application rate</t>
  </si>
  <si>
    <t xml:space="preserve">Nitrogen in crop residues</t>
  </si>
  <si>
    <t xml:space="preserve">SBA (2014b)</t>
  </si>
  <si>
    <t xml:space="preserve">Baky et al. (2010)</t>
  </si>
  <si>
    <t xml:space="preserve">FAO (2017)</t>
  </si>
  <si>
    <t xml:space="preserve">Ecoinvent (2018), "Rice production, RoW"</t>
  </si>
  <si>
    <t xml:space="preserve">Fusi et al. (2014)</t>
  </si>
  <si>
    <t xml:space="preserve">Blengini &amp; Busto (2009); Fusi et al. (2014)</t>
  </si>
  <si>
    <t xml:space="preserve">SBA (2015a)</t>
  </si>
  <si>
    <t xml:space="preserve">Miljø- og Fødevareministeriet (2012; 2013; 2014; 2015)</t>
  </si>
  <si>
    <t xml:space="preserve">Ecoinvent (2018), "Potato production, RoW"</t>
  </si>
  <si>
    <t xml:space="preserve">Rapeseed and rapeseed oil</t>
  </si>
  <si>
    <t xml:space="preserve">Ecoinvent (2018), "Rape seed production, RoW"</t>
  </si>
  <si>
    <t xml:space="preserve">Sugar beet</t>
  </si>
  <si>
    <t xml:space="preserve">SBA (2016c)</t>
  </si>
  <si>
    <t xml:space="preserve">Röös &amp; Karlsson (2013)</t>
  </si>
  <si>
    <t xml:space="preserve">SS (2017a), CBS (2017)</t>
  </si>
  <si>
    <t xml:space="preserve">Ecoinvent (2018), "Tomato production in heated greenhouse, the Netherlands"</t>
  </si>
  <si>
    <t xml:space="preserve">Greenhouse**</t>
  </si>
  <si>
    <t xml:space="preserve">SS (2017a), Mapama (2012-2016)</t>
  </si>
  <si>
    <t xml:space="preserve">FAO (2017), Eurostat (2017)</t>
  </si>
  <si>
    <t xml:space="preserve">Mapama (n.d.)</t>
  </si>
  <si>
    <t xml:space="preserve">Ecoinvent (2018), "Tomato production in unheated greenhouse, RoW"</t>
  </si>
  <si>
    <t xml:space="preserve">Ecoinvent (2018), "Tomato production, fresh grade, open field, RoW"</t>
  </si>
  <si>
    <t xml:space="preserve">Average of other countries with open-field production</t>
  </si>
  <si>
    <t xml:space="preserve">SBA (2016c), SBA (2017b)</t>
  </si>
  <si>
    <t xml:space="preserve">Davis et al. (2011)</t>
  </si>
  <si>
    <t xml:space="preserve">Marmolin &amp; Björkholm (n.d.), Björkholm, A-M., pers. comm. (2019)</t>
  </si>
  <si>
    <t xml:space="preserve">Båth (2015)</t>
  </si>
  <si>
    <t xml:space="preserve">Ecoinvent (2018), "Cucumber production, global" (Greenhouse production)</t>
  </si>
  <si>
    <t xml:space="preserve">Marmolin &amp; Björkholm (n.d.)</t>
  </si>
  <si>
    <t xml:space="preserve">Ecoinvent (2018), "Iceberg lettuce production, Global"</t>
  </si>
  <si>
    <t xml:space="preserve">SS (2017a), FAO (2017)</t>
  </si>
  <si>
    <t xml:space="preserve">Andersson, P., pers. comm. (2018)</t>
  </si>
  <si>
    <t xml:space="preserve">SBA (n.d.); Björkholm, A-M., pers. comm. (2019)</t>
  </si>
  <si>
    <t xml:space="preserve">Abeliotis et al. (2013)</t>
  </si>
  <si>
    <t xml:space="preserve">Average of other countries</t>
  </si>
  <si>
    <t xml:space="preserve">Ecoinvent (2018), "Carrot production, RoW"</t>
  </si>
  <si>
    <t xml:space="preserve">Spruijt &amp; van der Voort (2015)</t>
  </si>
  <si>
    <t xml:space="preserve">Ecoinvent (2018), "Onion production, RoW"</t>
  </si>
  <si>
    <t xml:space="preserve">Ecoinvent (2018), "White cabbage production, Global"</t>
  </si>
  <si>
    <t xml:space="preserve">Ecoinvent (2018), "Cauliflower production, Global"</t>
  </si>
  <si>
    <t xml:space="preserve">Magnusson (1995)</t>
  </si>
  <si>
    <t xml:space="preserve">Ecoinvent (2018), "Broccoli production, Global"</t>
  </si>
  <si>
    <t xml:space="preserve">Ecoinvent (2018), "Green bell pepper production, Global"</t>
  </si>
  <si>
    <t xml:space="preserve">SBA (2004)</t>
  </si>
  <si>
    <t xml:space="preserve">SBA (2011)</t>
  </si>
  <si>
    <t xml:space="preserve">Ecoinvent (2018), "Apple production, Italy"</t>
  </si>
  <si>
    <t xml:space="preserve">Ecoinvent (2018), "Apple production, RoW"</t>
  </si>
  <si>
    <t xml:space="preserve">Ecoinvent (2018), "Banana production, Costa Rica"</t>
  </si>
  <si>
    <t xml:space="preserve">Ecoinvent (2018)</t>
  </si>
  <si>
    <t xml:space="preserve">Ecoinvent (2018), "Banana production, Ecuador"</t>
  </si>
  <si>
    <t xml:space="preserve">Ecoinvent (2018), "Banana production, Global"</t>
  </si>
  <si>
    <t xml:space="preserve">Ecoinvent (2018), "Melon production, Global"</t>
  </si>
  <si>
    <t xml:space="preserve">Aguilera et al. (2015a)</t>
  </si>
  <si>
    <t xml:space="preserve">Pears</t>
  </si>
  <si>
    <t xml:space="preserve">Ecoinvent (2018), "Pear production, Belgium"</t>
  </si>
  <si>
    <t xml:space="preserve">Ecoinvent (2018), "Pear production, RoW"</t>
  </si>
  <si>
    <t xml:space="preserve">Aguilera et al. (2015b)</t>
  </si>
  <si>
    <t xml:space="preserve">Ecoinvent (2018), "Lemon production, RoW"</t>
  </si>
  <si>
    <t xml:space="preserve">Ecoinvent (2018), "Strawberry production, open field, macro tunnel, RoW"</t>
  </si>
  <si>
    <t xml:space="preserve">Ecoinvent (2018), "Strawberry production, in heated greenhouse, RoW"</t>
  </si>
  <si>
    <t xml:space="preserve">Nilsson (2011)</t>
  </si>
  <si>
    <t xml:space="preserve">Ecoinvent (2018), "Avocado production, Global"</t>
  </si>
  <si>
    <t xml:space="preserve">Stoessel et al. (2012)</t>
  </si>
  <si>
    <t xml:space="preserve">Mithraratne et al. (2008)</t>
  </si>
  <si>
    <t xml:space="preserve">Ecoinvent (2018), "Kiwi production, Global"</t>
  </si>
  <si>
    <t xml:space="preserve">Ecoinvent (2018), "Orange production, fresh grade, RoW"</t>
  </si>
  <si>
    <t xml:space="preserve">Cocoa</t>
  </si>
  <si>
    <t xml:space="preserve">Ivory Coast (Of the cocoa used in Swedish industry)</t>
  </si>
  <si>
    <t xml:space="preserve">Marabou (n.d.)</t>
  </si>
  <si>
    <t xml:space="preserve">Ecoinvent (2018), "Cocoa bean production, sun-dried, Ivory Coast"</t>
  </si>
  <si>
    <t xml:space="preserve">National Food Agency, Sweden (n.d.), Recanati et al. (2018)</t>
  </si>
  <si>
    <t xml:space="preserve">Ecoinvent (2018), "Coffee green bean production, arabica, Brazil"</t>
  </si>
  <si>
    <t xml:space="preserve">Coltro et al. (2006), Rodrigues et al. (2010)</t>
  </si>
  <si>
    <t xml:space="preserve">Ecoinvent (2018), "Coffee green bean production, arabica, RoW"</t>
  </si>
  <si>
    <t xml:space="preserve">Olives and olive oil</t>
  </si>
  <si>
    <t xml:space="preserve">Kaltsas et al. (2007)</t>
  </si>
  <si>
    <t xml:space="preserve">Ecoinvent (2018), "Olive production, Italy"</t>
  </si>
  <si>
    <t xml:space="preserve">Ecoinvent (2018), "Olive production, Spain"</t>
  </si>
  <si>
    <t xml:space="preserve">Ecoinvent (2018), "Olive production, RoW"</t>
  </si>
  <si>
    <t xml:space="preserve">*Strawberry production Rest of Europe, greenhouses is calculated based on the production in the Netherlands as the Netherlands is a major exporter to Sweden and due to lack of other input data. </t>
  </si>
  <si>
    <t xml:space="preserve">**In Spain, greenhouses are simple plastic roof greenhouses which are unheated (Mapama, 2012; 2013; 2014; 2015; 2016, Montero et al., 2016).</t>
  </si>
  <si>
    <t xml:space="preserve">***Yield of grains/oil crops/beans is recounted to 20/15/21.5% moisture at harvest (SBA, 2017b; Andersson, P., pers. comm., 2018)</t>
  </si>
  <si>
    <t xml:space="preserve">****When input data of fertilizer application rates have been collected from other sources than national statistics, the rates are adjusted to yield.</t>
  </si>
  <si>
    <t xml:space="preserve">*****Crop residues for crops grown in greenhouses are not accounted for. Crop residues from fruits left in orchards are assumed to be negligible as fruits generally have a low content of nitrogen (National Food Agency, n.d.). </t>
  </si>
  <si>
    <t xml:space="preserve">******Diesel fuel is used as default fuel in machinery based on Swedish Energy Agency (2014). </t>
  </si>
  <si>
    <t xml:space="preserve">Input data is calculated as an average 2011-2015 for the share of Swedish market, yield and fertilizer application rate when data is derived from national or official statistics</t>
  </si>
  <si>
    <t xml:space="preserve">Emission factor field application of nitrogen</t>
  </si>
  <si>
    <t xml:space="preserve">kg N2O per kg N applied to crops</t>
  </si>
  <si>
    <t xml:space="preserve">Indirect emissions*</t>
  </si>
  <si>
    <t xml:space="preserve">kg N2O per kg direct N2O emissions</t>
  </si>
  <si>
    <t xml:space="preserve">*Assumption due to data limitations regarding nitrogen leaching from soils in different regions.</t>
  </si>
  <si>
    <t xml:space="preserve">Energy requirement for drying, milling and pressing of crops</t>
  </si>
  <si>
    <t xml:space="preserve">Drying, demand of oil, liter/kg of dried product</t>
  </si>
  <si>
    <t xml:space="preserve">Drying, demand of electricity, kWh/kg of dried product</t>
  </si>
  <si>
    <t xml:space="preserve">Drying, demand of wood, kWh/kg of dried product</t>
  </si>
  <si>
    <t xml:space="preserve">Milling, demand of oil, liter/kg of milled product</t>
  </si>
  <si>
    <t xml:space="preserve">Milling, demand of electricity, kWh/kg of milled product</t>
  </si>
  <si>
    <t xml:space="preserve">Pressing, demand of natural gas, kWh/kg pressed product</t>
  </si>
  <si>
    <t xml:space="preserve">Pressing, demand of biofuel, kWh/kg pressed product</t>
  </si>
  <si>
    <t xml:space="preserve">Refining sugar beet to sugar and other products, demand of oil, kWh/kg sugar beet</t>
  </si>
  <si>
    <t xml:space="preserve">Refining sugar beet to sugar and other products, demand of natural gas, kWh/kg sugar beet</t>
  </si>
  <si>
    <t xml:space="preserve">Refining sugar beet to sugar and other products, demand of electricity, kWh/kg sugar beet</t>
  </si>
  <si>
    <t xml:space="preserve">Refining sugar beet to sugar and other products, demand of biofuel, kWh/kg sugar beet</t>
  </si>
  <si>
    <t xml:space="preserve">Moisture content before drying</t>
  </si>
  <si>
    <t xml:space="preserve">Moisture content after drying</t>
  </si>
  <si>
    <t xml:space="preserve">Amount needed to obtain 1 kg after drying </t>
  </si>
  <si>
    <t xml:space="preserve">Energy demand</t>
  </si>
  <si>
    <t xml:space="preserve">Moisture content before and after drying</t>
  </si>
  <si>
    <t xml:space="preserve">SBA (2010a), Edström et al. (2005), Flysjö et al. (2008)</t>
  </si>
  <si>
    <t xml:space="preserve">Beans (for human consumption)</t>
  </si>
  <si>
    <t xml:space="preserve">SBA (2010a), Edström et al. (2005)</t>
  </si>
  <si>
    <t xml:space="preserve">Fusi et al. (2014), Pachanawan et al. (2017)</t>
  </si>
  <si>
    <t xml:space="preserve">Oil crops</t>
  </si>
  <si>
    <t xml:space="preserve">SBA (2010a), Edström et al. (2005), Lindh &amp; Neuman (2010)</t>
  </si>
  <si>
    <t xml:space="preserve">Coltro et al. (2006)</t>
  </si>
  <si>
    <t xml:space="preserve">Mutua (2000)</t>
  </si>
  <si>
    <t xml:space="preserve">Olives</t>
  </si>
  <si>
    <t xml:space="preserve">Lindh &amp; Neuman (2010)</t>
  </si>
  <si>
    <t xml:space="preserve">Kailis &amp; Harris (2007)</t>
  </si>
  <si>
    <t xml:space="preserve">Flysjö et al. (2008), Dansukker Kundforum, pers. comm. (2018)</t>
  </si>
  <si>
    <t xml:space="preserve">Recanati et al. (2018)</t>
  </si>
  <si>
    <t xml:space="preserve">Seeds needed for oil production, consideration taken for number of liter/kg oil*</t>
  </si>
  <si>
    <t xml:space="preserve">Rapeseed for rapeseed oil</t>
  </si>
  <si>
    <t xml:space="preserve">Olives for olive oil</t>
  </si>
  <si>
    <t xml:space="preserve">kg/liter </t>
  </si>
  <si>
    <t xml:space="preserve">Svensk Raps, pers. comm. (2017), SBA (2010b)</t>
  </si>
  <si>
    <t xml:space="preserve">*Assuming the same density for olive oil as for rapeseed oil</t>
  </si>
  <si>
    <t xml:space="preserve">Set values for industrial processing of crops</t>
  </si>
  <si>
    <t xml:space="preserve">Coffee*</t>
  </si>
  <si>
    <t xml:space="preserve">kg CO2/kg product </t>
  </si>
  <si>
    <t xml:space="preserve">Recanati et al. (2018), Angervall &amp; Sonesson (2011)</t>
  </si>
  <si>
    <t xml:space="preserve">*Drying is calculated separately for coffee.</t>
  </si>
  <si>
    <t xml:space="preserve">Input data for crops grown in greenhouses</t>
  </si>
  <si>
    <t xml:space="preserve">Energy requirement in greenhouse (MJ/ha)</t>
  </si>
  <si>
    <t xml:space="preserve">Energy requirement in greenhouse - Wood Chips </t>
  </si>
  <si>
    <t xml:space="preserve">Energy requirement in greenhouse - Pellets &amp; briquettes </t>
  </si>
  <si>
    <t xml:space="preserve">Energy requirement in greenhouse - Other renewable sources </t>
  </si>
  <si>
    <t xml:space="preserve">Energy requirement in greenhouse - District heating </t>
  </si>
  <si>
    <t xml:space="preserve">Energy requirement in greenhouse - Electrical energy </t>
  </si>
  <si>
    <t xml:space="preserve">Energy requirement in greenhouse - Natural gas</t>
  </si>
  <si>
    <t xml:space="preserve">Energy requirement in greenhouse - Heating oil </t>
  </si>
  <si>
    <t xml:space="preserve">Energy requirement in greenhouse - Other fossil sources</t>
  </si>
  <si>
    <t xml:space="preserve">Greenhouses - Recirculation of drainage water</t>
  </si>
  <si>
    <t xml:space="preserve">Resulting emissions, kg CO2/ha</t>
  </si>
  <si>
    <t xml:space="preserve">Resulting emissions, kg CH4/ha</t>
  </si>
  <si>
    <t xml:space="preserve">Resulting emissions, kg N2O/ha</t>
  </si>
  <si>
    <t xml:space="preserve">Energy requirement in greenhouse and energy source</t>
  </si>
  <si>
    <t xml:space="preserve">SBA (2015c)</t>
  </si>
  <si>
    <t xml:space="preserve">SBA (2015b)</t>
  </si>
  <si>
    <t xml:space="preserve">Velden &amp; Smit (2012; 2013; 2014; 2015; 2016)</t>
  </si>
  <si>
    <t xml:space="preserve">Stanghellini et al. (2005)</t>
  </si>
  <si>
    <t xml:space="preserve">Melon**</t>
  </si>
  <si>
    <t xml:space="preserve">Ecoinvent (2018), "Strawberry production, in heated greenhouse, Rest of the World"</t>
  </si>
  <si>
    <t xml:space="preserve">*Energy consumption for the import countries stated as "Rest of Europe" are calculated as an average of the energy use in  other countries. The only exception is strawberry production where none of the larger export countries produce strawberries in greenhouses. Here, energy consumption is calculated based on the use in the Netherlands as this country represents the majority of the export of the countries in the group "Rest of Europe".</t>
  </si>
  <si>
    <t xml:space="preserve">**Input data of energy use calculated with average energy use for Swedish greenhouses (SBA, 2015c)</t>
  </si>
  <si>
    <t xml:space="preserve">Input data is calculated as an average 2011-2015 for the energy requirement in greenhouses and energy source</t>
  </si>
  <si>
    <t xml:space="preserve">Set values for the climate impact of  electricity use for irrigation of crops grown in open-field and unheated greenhouses*</t>
  </si>
  <si>
    <t xml:space="preserve">Fruits</t>
  </si>
  <si>
    <t xml:space="preserve">Other vegetables, root crops, grains and oil crops</t>
  </si>
  <si>
    <t xml:space="preserve">Set values based Ecoinvent (2018): irrigation volumes for crops in "Rest of the world" together with data of electricity use for “Irrigation, Rest of the World". </t>
  </si>
  <si>
    <t xml:space="preserve">*Included for crops grown in open-field. Assumed to be included in the overall energy consumption in greenhouses. For crops grown in unheated greenhouses, electricity use for irrigation is accounted for separately. </t>
  </si>
  <si>
    <t xml:space="preserve">Input data for rice cultivation</t>
  </si>
  <si>
    <t xml:space="preserve">Seasonal emission factor kg CH4/kg rice</t>
  </si>
  <si>
    <t xml:space="preserve">Seasonal emission factor kg CH4/ha</t>
  </si>
  <si>
    <t xml:space="preserve">Cultivation type - rain fed and deep water, fraction</t>
  </si>
  <si>
    <t xml:space="preserve">Cultivation type - irrigated, fraction</t>
  </si>
  <si>
    <t xml:space="preserve">Cultivation type - upland, fraction*</t>
  </si>
  <si>
    <t xml:space="preserve">Daily emission factor (kg CH4/ha)</t>
  </si>
  <si>
    <t xml:space="preserve">Scaling factor - rainfed and deep water</t>
  </si>
  <si>
    <t xml:space="preserve">Scaling factor - irrigated</t>
  </si>
  <si>
    <t xml:space="preserve">Scaling factor - upland</t>
  </si>
  <si>
    <t xml:space="preserve">Days of cultivation - rain fed and deep water</t>
  </si>
  <si>
    <t xml:space="preserve">Days of cultivation - irrigated</t>
  </si>
  <si>
    <t xml:space="preserve">Emission factors and days of cultivation</t>
  </si>
  <si>
    <t xml:space="preserve">Cultivation type</t>
  </si>
  <si>
    <t xml:space="preserve">IPCC (2006), IPCC (2000)</t>
  </si>
  <si>
    <t xml:space="preserve">Bouman et al. (2007), Maclean (2002)</t>
  </si>
  <si>
    <t xml:space="preserve">ISPRA (2017)</t>
  </si>
  <si>
    <t xml:space="preserve">*Rice grown in cultivations upland are assumed to not cause emissions of CH4 as the soils are aerated and do not become flooded for a significant time period (IPCC, 2000).</t>
  </si>
  <si>
    <t xml:space="preserve">Emissions are calculated as an average 2011-2015 for Italy where national statistics have been used.</t>
  </si>
  <si>
    <t xml:space="preserve">Input data processed products</t>
  </si>
  <si>
    <t xml:space="preserve">Ingredients, kg per kg of prepared product</t>
  </si>
  <si>
    <t xml:space="preserve">Rye flour</t>
  </si>
  <si>
    <t xml:space="preserve">Barley grain</t>
  </si>
  <si>
    <t xml:space="preserve">Sunflower oil</t>
  </si>
  <si>
    <t xml:space="preserve">Fruit mix</t>
  </si>
  <si>
    <t xml:space="preserve">Oranges</t>
  </si>
  <si>
    <t xml:space="preserve">Apples</t>
  </si>
  <si>
    <t xml:space="preserve">Apple juice</t>
  </si>
  <si>
    <t xml:space="preserve">Strawberries</t>
  </si>
  <si>
    <t xml:space="preserve">Raspberries</t>
  </si>
  <si>
    <t xml:space="preserve">Lactose</t>
  </si>
  <si>
    <t xml:space="preserve">Soy lecithin</t>
  </si>
  <si>
    <t xml:space="preserve">Whey protein concentrate</t>
  </si>
  <si>
    <t xml:space="preserve">Glucose syrup</t>
  </si>
  <si>
    <t xml:space="preserve">SS (2017a), Lantmännen Cerealia AB (2018). Assumed to be the same share of market for ingredients as for direct consumption.</t>
  </si>
  <si>
    <t xml:space="preserve">RAC-table, Röös et al. (2013)</t>
  </si>
  <si>
    <t xml:space="preserve">SS (2017a). Assumed to be the same share of market for ingredients as for direct consumption.</t>
  </si>
  <si>
    <t xml:space="preserve">RAC-table</t>
  </si>
  <si>
    <t xml:space="preserve">Pastries</t>
  </si>
  <si>
    <t xml:space="preserve">SS (2017a). Assumed to be the same share of market for ingredients as for direct consumption. </t>
  </si>
  <si>
    <t xml:space="preserve">SS (2017a), Semper, pers. comm. (2018), Nestlé (n.d.). Assumed to be the same share of market for ingredients as for direct consumption.</t>
  </si>
  <si>
    <t xml:space="preserve">Dadhich et al. (2015)</t>
  </si>
  <si>
    <t xml:space="preserve">All production assumed to take place in Sweden with ingredients assumed to have the same share of market as for direct consumption.</t>
  </si>
  <si>
    <t xml:space="preserve">Kung Markatta (2018), O’boy (2018)</t>
  </si>
  <si>
    <t xml:space="preserve">Coca cola (n.d.)</t>
  </si>
  <si>
    <t xml:space="preserve">National Food Agency (2009)</t>
  </si>
  <si>
    <t xml:space="preserve">SS (2017a), Systembolaget (2016)</t>
  </si>
  <si>
    <t xml:space="preserve">Mineral water*</t>
  </si>
  <si>
    <t xml:space="preserve">Juice</t>
  </si>
  <si>
    <t xml:space="preserve">Orange juice</t>
  </si>
  <si>
    <t xml:space="preserve">Nilsson, A., pers. comm. (2017) for amount of fruits. Assumption of sugar content based on standard recipes.</t>
  </si>
  <si>
    <t xml:space="preserve">Squash drink</t>
  </si>
  <si>
    <t xml:space="preserve">Strawberry squash drink</t>
  </si>
  <si>
    <t xml:space="preserve">Nilsson, A., pers. comm. (2017) for amount of berries. Assumption of sugar content based on standard recipes.</t>
  </si>
  <si>
    <t xml:space="preserve">Raspberry squash drink</t>
  </si>
  <si>
    <t xml:space="preserve">Angervall and Sonesson (2011)</t>
  </si>
  <si>
    <t xml:space="preserve">All production assumed to take place in Sweden with ingredients assumed to have the same share of market as for direct consumption (SBA, 2015a)</t>
  </si>
  <si>
    <t xml:space="preserve">Nilsson et al. (2011a)</t>
  </si>
  <si>
    <t xml:space="preserve">Berlin and Sund (2009)</t>
  </si>
  <si>
    <t xml:space="preserve">*No material inputs as the climate impact of water is assumed to be negligible</t>
  </si>
  <si>
    <t xml:space="preserve">Emissions for ingredients before entering factory gate*</t>
  </si>
  <si>
    <t xml:space="preserve">Sunflower oil**</t>
  </si>
  <si>
    <t xml:space="preserve">Cocoa 
butter</t>
  </si>
  <si>
    <t xml:space="preserve">Fruit mix***</t>
  </si>
  <si>
    <t xml:space="preserve">Lactose****</t>
  </si>
  <si>
    <t xml:space="preserve">Soy lecithin*****</t>
  </si>
  <si>
    <t xml:space="preserve">Whey protein 
concentrate******</t>
  </si>
  <si>
    <r>
      <rPr>
        <b val="true"/>
        <sz val="10"/>
        <rFont val="Calibri"/>
        <family val="2"/>
        <charset val="1"/>
      </rPr>
      <t xml:space="preserve">Palm oil and soy bean oil:</t>
    </r>
    <r>
      <rPr>
        <sz val="10"/>
        <rFont val="Calibri"/>
        <family val="2"/>
        <charset val="1"/>
      </rPr>
      <t xml:space="preserve"> Angervall and Sonesson (2011). </t>
    </r>
    <r>
      <rPr>
        <b val="true"/>
        <sz val="10"/>
        <rFont val="Calibri"/>
        <family val="2"/>
        <charset val="1"/>
      </rPr>
      <t xml:space="preserve">Glucose syrup</t>
    </r>
    <r>
      <rPr>
        <sz val="10"/>
        <rFont val="Calibri"/>
        <family val="2"/>
        <charset val="1"/>
      </rPr>
      <t xml:space="preserve">: Tsiropoulos et al. (2013)</t>
    </r>
  </si>
  <si>
    <r>
      <rPr>
        <b val="true"/>
        <sz val="10"/>
        <color rgb="FF000000"/>
        <rFont val="Calibri"/>
        <family val="2"/>
        <charset val="1"/>
      </rPr>
      <t xml:space="preserve">All others</t>
    </r>
    <r>
      <rPr>
        <sz val="10"/>
        <color rgb="FF000000"/>
        <rFont val="Calibri"/>
        <family val="2"/>
        <charset val="1"/>
      </rPr>
      <t xml:space="preserve">: Based on own calculations with this model.</t>
    </r>
  </si>
  <si>
    <t xml:space="preserve">*Excluding packaging. Including waste with the same waste fraction used for the raw material before retailer.</t>
  </si>
  <si>
    <t xml:space="preserve">**Approximated with rapeseed oil</t>
  </si>
  <si>
    <t xml:space="preserve">***Average of apple, pear, banana, orange, strawberry and raspberry </t>
  </si>
  <si>
    <t xml:space="preserve">****Approximated with milk</t>
  </si>
  <si>
    <t xml:space="preserve">*****Approximated with soy bean oil</t>
  </si>
  <si>
    <t xml:space="preserve">******Approximated with mik powder</t>
  </si>
  <si>
    <t xml:space="preserve">Set values for the energy requirement of industrial processing</t>
  </si>
  <si>
    <t xml:space="preserve">Pasta baking</t>
  </si>
  <si>
    <t xml:space="preserve">Bread and pastry baking</t>
  </si>
  <si>
    <t xml:space="preserve">Processing of margarine</t>
  </si>
  <si>
    <t xml:space="preserve">Production of soda, cider, beer and mineral water</t>
  </si>
  <si>
    <t xml:space="preserve">Pressing and mixing of fruit and berries to juice and squash drinks</t>
  </si>
  <si>
    <t xml:space="preserve">Processing of chocolate</t>
  </si>
  <si>
    <t xml:space="preserve">Processing of potato chips</t>
  </si>
  <si>
    <t xml:space="preserve">Production of ice cream (dairy based)</t>
  </si>
  <si>
    <t xml:space="preserve">kg CO2e/kg 
prepared product</t>
  </si>
  <si>
    <r>
      <rPr>
        <b val="true"/>
        <sz val="10"/>
        <color rgb="FF000000"/>
        <rFont val="Calibri"/>
        <family val="2"/>
        <charset val="1"/>
      </rPr>
      <t xml:space="preserve">Pasta:</t>
    </r>
    <r>
      <rPr>
        <sz val="10"/>
        <color rgb="FF000000"/>
        <rFont val="Calibri"/>
        <family val="2"/>
        <charset val="1"/>
      </rPr>
      <t xml:space="preserve"> Carlsson-Kanyama (2001). </t>
    </r>
    <r>
      <rPr>
        <b val="true"/>
        <sz val="10"/>
        <color rgb="FF000000"/>
        <rFont val="Calibri"/>
        <family val="2"/>
        <charset val="1"/>
      </rPr>
      <t xml:space="preserve">Bread and pastry</t>
    </r>
    <r>
      <rPr>
        <sz val="10"/>
        <color rgb="FF000000"/>
        <rFont val="Calibri"/>
        <family val="2"/>
        <charset val="1"/>
      </rPr>
      <t xml:space="preserve">: SIK (2011). </t>
    </r>
    <r>
      <rPr>
        <b val="true"/>
        <sz val="10"/>
        <color rgb="FF000000"/>
        <rFont val="Calibri"/>
        <family val="2"/>
        <charset val="1"/>
      </rPr>
      <t xml:space="preserve">Margarine:</t>
    </r>
    <r>
      <rPr>
        <sz val="10"/>
        <color rgb="FF000000"/>
        <rFont val="Calibri"/>
        <family val="2"/>
        <charset val="1"/>
      </rPr>
      <t xml:space="preserve"> Nilsson et al. (2010). </t>
    </r>
    <r>
      <rPr>
        <b val="true"/>
        <sz val="10"/>
        <color rgb="FF000000"/>
        <rFont val="Calibri"/>
        <family val="2"/>
        <charset val="1"/>
      </rPr>
      <t xml:space="preserve">Soda, cider, beer and mineral water</t>
    </r>
    <r>
      <rPr>
        <sz val="10"/>
        <color rgb="FF000000"/>
        <rFont val="Calibri"/>
        <family val="2"/>
        <charset val="1"/>
      </rPr>
      <t xml:space="preserve">: Dugges, pers. comm. (2018), Spendrups (2017).</t>
    </r>
  </si>
  <si>
    <r>
      <rPr>
        <b val="true"/>
        <sz val="10"/>
        <color rgb="FF000000"/>
        <rFont val="Calibri"/>
        <family val="2"/>
        <charset val="1"/>
      </rPr>
      <t xml:space="preserve">Juice, squash drinks, chocolate:</t>
    </r>
    <r>
      <rPr>
        <sz val="10"/>
        <color rgb="FF000000"/>
        <rFont val="Calibri"/>
        <family val="2"/>
        <charset val="1"/>
      </rPr>
      <t xml:space="preserve"> Angervall and Sonesson (2011). </t>
    </r>
    <r>
      <rPr>
        <b val="true"/>
        <sz val="10"/>
        <color rgb="FF000000"/>
        <rFont val="Calibri"/>
        <family val="2"/>
        <charset val="1"/>
      </rPr>
      <t xml:space="preserve">Potato crisps</t>
    </r>
    <r>
      <rPr>
        <sz val="10"/>
        <color rgb="FF000000"/>
        <rFont val="Calibri"/>
        <family val="2"/>
        <charset val="1"/>
      </rPr>
      <t xml:space="preserve">: Nilsson et al. (2011a). Ice cream: Berlin and Sund (2009).</t>
    </r>
  </si>
  <si>
    <t xml:space="preserve">Additional motivation to processes which have been excluded in the assessment</t>
  </si>
  <si>
    <t xml:space="preserve">Mineral fertilizer of phosphate and potassium</t>
  </si>
  <si>
    <t xml:space="preserve">Fertilizer is applied mainly as nitrogen in the cultivation of plant-based products whereas smaller amounts of phosphate and potassium is used (SS, 2017) which cause negligible emissions (Berglund et al., 2009). </t>
  </si>
  <si>
    <t xml:space="preserve">Production of seeds and baby plants</t>
  </si>
  <si>
    <t xml:space="preserve">It is assumed that 200 kg/ha of seeds are required for the production of grains and oil crops (Andersson, 1992) as well as for rice (Blengini and Busto, 2009, Fusi et al., 2014). This has a negligible effect on the overall climate impact of the products and is therefore excluded from the accounting. </t>
  </si>
  <si>
    <t xml:space="preserve">Baby plants are commonly produced in greenhouses for further cultivation of tomato, cucumber, cauliflower, white cabbage, broccoli, iceberg lettuce and leek (Ögren, E., pers. comm., 2017). The production generates emission for e.g. growing substrate and energy for heating. Emissions from the production of baby plants for tomato cultivation has been derived from the World Food LCA database (Ecoinvent, 2016), see table 1. Calculations are based on the climate impact per seedling unit multiplied by amount of seedlings needed for the production of 1 kg. Based on the assumption that the energy requirement for tomato baby plant production is more pronounced than for other field-crops (Hansson, T., pers. comm. 2017) and that these emissions are negligible to the overall climate impact of the tomatoes, the emissions from the production of baby plants has been excluded from the accounting of the climate impact of tomato and the other crops. </t>
  </si>
  <si>
    <t xml:space="preserve">Table 1. Emissions from the production of baby plants.</t>
  </si>
  <si>
    <t xml:space="preserve">kg CO2e/kg</t>
  </si>
  <si>
    <t xml:space="preserve">Ecoinvent (2016). Based on activity “Tomato seedling production in unheated greenhouse, for planting” for each production country or region.</t>
  </si>
  <si>
    <t xml:space="preserve">Climate impact of pesticide production and application</t>
  </si>
  <si>
    <t xml:space="preserve">The climate impact from pesticide production and use has a negligible effect on the overall climate impact of the plant-based products and is therefore excluded for the accounting (Table 2 and 3).</t>
  </si>
  <si>
    <t xml:space="preserve">Emission data of pesticide production is taken from the Ecoinvent database and is accounted for as an aggregated value, see table 2 for emission factor of pesticide production (Ecoinvent, 2016).</t>
  </si>
  <si>
    <t xml:space="preserve">Application rates of pesticides are shown in Table 3.</t>
  </si>
  <si>
    <t xml:space="preserve">Table 2. Emission factor of pesticide production. </t>
  </si>
  <si>
    <t xml:space="preserve">kg CO2e/kg pesticide</t>
  </si>
  <si>
    <t xml:space="preserve">Ecoinvent (2016). Based on activity “Pesticide, unspecified production” global average.</t>
  </si>
  <si>
    <t xml:space="preserve">Table 3. Application rates of pesticides for the plant-based products included in the study.</t>
  </si>
  <si>
    <t xml:space="preserve">Pesticide use (kg active ingredient/ha)</t>
  </si>
  <si>
    <t xml:space="preserve">SS (2011)</t>
  </si>
  <si>
    <t xml:space="preserve">Ecoinvent (2016)</t>
  </si>
  <si>
    <t xml:space="preserve">Ministry of Environment and Food of Denmark (2017)</t>
  </si>
  <si>
    <t xml:space="preserve">Sweden (greenhouse)</t>
  </si>
  <si>
    <t xml:space="preserve">The Netherlands (greenhouse)</t>
  </si>
  <si>
    <t xml:space="preserve">Spain (greenhouse/field grown)</t>
  </si>
  <si>
    <t xml:space="preserve">Rest of Europe (greenhouse)</t>
  </si>
  <si>
    <t xml:space="preserve">Sweden (greenhouse/field grown)</t>
  </si>
  <si>
    <t xml:space="preserve">SS (2011), Abeliotis et al. (2013)</t>
  </si>
  <si>
    <t xml:space="preserve">SS (2011), Spruijt &amp; van der Voort (2015)</t>
  </si>
  <si>
    <t xml:space="preserve">Ecoinvent (2016)*</t>
  </si>
  <si>
    <t xml:space="preserve">Rest of Europe (Greenhouse/field grown)</t>
  </si>
  <si>
    <t xml:space="preserve">Belgium (greenhouse)</t>
  </si>
  <si>
    <t xml:space="preserve">Kiwi</t>
  </si>
  <si>
    <t xml:space="preserve">*Approximated with tomatoes</t>
  </si>
  <si>
    <t xml:space="preserve">Storage of food products before and at retailer</t>
  </si>
  <si>
    <t xml:space="preserve">Longer storage of food products before retail which require refrigeration includes root crops, vegetables and some fruits (Olsson, H., pers. comm, 2017; Swedish Climate Certification for Food, 2009)</t>
  </si>
  <si>
    <t xml:space="preserve">Furthermore, parts of the seafood consumed in Sweden is transported and sold frozen (Ziegler and Bergman, 2017). Many other foods such as a variety of fruits and vegetables are transported in a cool environment and are later repacked at wholesaler before they are transported to retailer (Swedish Climate Certification for Food, 2009). Based on the Swedish Climate Certification for Food (2009) and Nilsson and Lindberg (2011), set values are developed for the food products which usually are stored during a longer time period and for the share of fish which is transported and stored frozen, see Table 4. The values are based on the use of a Nordic electricity mix. 
Based on the calculations, it is found that emissions resulting from storage of food products before and at retailer are negligible to the overall climate impact and these are therefore excluded from the accounting of the climate impact.</t>
  </si>
  <si>
    <t xml:space="preserve">Table 4. Set values for the climate impact of food products for storage before retail.</t>
  </si>
  <si>
    <r>
      <rPr>
        <sz val="10"/>
        <color rgb="FF000000"/>
        <rFont val="Calibri"/>
        <family val="2"/>
        <charset val="1"/>
      </rPr>
      <t xml:space="preserve">Fish</t>
    </r>
    <r>
      <rPr>
        <vertAlign val="superscript"/>
        <sz val="10"/>
        <color rgb="FF000000"/>
        <rFont val="Calibri"/>
        <family val="2"/>
        <charset val="1"/>
      </rPr>
      <t xml:space="preserve">a</t>
    </r>
    <r>
      <rPr>
        <sz val="10"/>
        <color rgb="FF000000"/>
        <rFont val="Calibri"/>
        <family val="2"/>
        <charset val="1"/>
      </rPr>
      <t xml:space="preserve">, root crops</t>
    </r>
    <r>
      <rPr>
        <vertAlign val="superscript"/>
        <sz val="10"/>
        <color rgb="FF000000"/>
        <rFont val="Calibri"/>
        <family val="2"/>
        <charset val="1"/>
      </rPr>
      <t xml:space="preserve">b</t>
    </r>
    <r>
      <rPr>
        <sz val="10"/>
        <color rgb="FF000000"/>
        <rFont val="Calibri"/>
        <family val="2"/>
        <charset val="1"/>
      </rPr>
      <t xml:space="preserve">, vegetables</t>
    </r>
    <r>
      <rPr>
        <vertAlign val="superscript"/>
        <sz val="10"/>
        <color rgb="FF000000"/>
        <rFont val="Calibri"/>
        <family val="2"/>
        <charset val="1"/>
      </rPr>
      <t xml:space="preserve">c</t>
    </r>
    <r>
      <rPr>
        <sz val="10"/>
        <color rgb="FF000000"/>
        <rFont val="Calibri"/>
        <family val="2"/>
        <charset val="1"/>
      </rPr>
      <t xml:space="preserve">, legumes, fruits</t>
    </r>
    <r>
      <rPr>
        <vertAlign val="superscript"/>
        <sz val="10"/>
        <color rgb="FF000000"/>
        <rFont val="Calibri"/>
        <family val="2"/>
        <charset val="1"/>
      </rPr>
      <t xml:space="preserve">d</t>
    </r>
  </si>
  <si>
    <t xml:space="preserve">Swedish Climate Certification for Food (2009), Nilsson &amp; Lindberg (2011)</t>
  </si>
  <si>
    <r>
      <rPr>
        <vertAlign val="superscript"/>
        <sz val="10"/>
        <color rgb="FF000000"/>
        <rFont val="Calibri"/>
        <family val="2"/>
        <charset val="1"/>
      </rPr>
      <t xml:space="preserve">a</t>
    </r>
    <r>
      <rPr>
        <sz val="10"/>
        <color rgb="FF000000"/>
        <rFont val="Calibri"/>
        <family val="2"/>
        <charset val="1"/>
      </rPr>
      <t xml:space="preserve">Cod (60%), mackerel (66%), saithe (60%), Northern prawn (60%), Alaska Pollock (100%), Pangasius (100%), European plaice (80%), hoki (100%) (Ziegler and Bergman, 2017).</t>
    </r>
  </si>
  <si>
    <r>
      <rPr>
        <vertAlign val="superscript"/>
        <sz val="10"/>
        <color rgb="FF000000"/>
        <rFont val="Calibri"/>
        <family val="2"/>
        <charset val="1"/>
      </rPr>
      <t xml:space="preserve">b</t>
    </r>
    <r>
      <rPr>
        <sz val="10"/>
        <color rgb="FF000000"/>
        <rFont val="Calibri"/>
        <family val="2"/>
        <charset val="1"/>
      </rPr>
      <t xml:space="preserve">Potato, onion, carrot (Olsson, 2017, Swedish Climate Certification for Food, 2009).</t>
    </r>
  </si>
  <si>
    <r>
      <rPr>
        <vertAlign val="superscript"/>
        <sz val="10"/>
        <color rgb="FF000000"/>
        <rFont val="Calibri"/>
        <family val="2"/>
        <charset val="1"/>
      </rPr>
      <t xml:space="preserve">c</t>
    </r>
    <r>
      <rPr>
        <sz val="10"/>
        <color rgb="FF000000"/>
        <rFont val="Calibri"/>
        <family val="2"/>
        <charset val="1"/>
      </rPr>
      <t xml:space="preserve">Leek, cauliflower, white cabbage, broccoli (Olsson, 2017, Swedish Climate Certification for Food, 2009).</t>
    </r>
  </si>
  <si>
    <r>
      <rPr>
        <vertAlign val="superscript"/>
        <sz val="10"/>
        <color rgb="FF000000"/>
        <rFont val="Calibri"/>
        <family val="2"/>
        <charset val="1"/>
      </rPr>
      <t xml:space="preserve">d</t>
    </r>
    <r>
      <rPr>
        <sz val="10"/>
        <color rgb="FF000000"/>
        <rFont val="Calibri"/>
        <family val="2"/>
        <charset val="1"/>
      </rPr>
      <t xml:space="preserve">Apples, pears, kiwi, citrus fruits (Olsson, 2017, Swedish Climate Certification for Food, 2009).</t>
    </r>
  </si>
  <si>
    <t xml:space="preserve">In the following, suggestions are provided on how data for calculations of the climate impact of food on the Swedish market could be updated. The suggestions are based on a report on the climate impact of air travel by the Swedish population (Kamb and Larsson, 2018).</t>
  </si>
  <si>
    <t xml:space="preserve">Ideally, a simplified update of primary data should be made every year. A more comprehensive update should made every five years and it should include all parameters listed below. For each product group, input parameters to the model, main source of data and suggested frequency of update are presented. Suggested initiatives for improvement of each data source are also presented. </t>
  </si>
  <si>
    <t xml:space="preserve"> </t>
  </si>
  <si>
    <t xml:space="preserve">Main sources of data</t>
  </si>
  <si>
    <t xml:space="preserve">Suggested update frequency</t>
  </si>
  <si>
    <t xml:space="preserve">Suggested initiative for improvement </t>
  </si>
  <si>
    <t xml:space="preserve">COMMON TO ALL FOOD CATEGORIES</t>
  </si>
  <si>
    <t xml:space="preserve">Contact with the industry, European Commission, National Food Agency, LCA papers and reports</t>
  </si>
  <si>
    <t xml:space="preserve">Yearly</t>
  </si>
  <si>
    <t xml:space="preserve">Create incentives for the industry to share data</t>
  </si>
  <si>
    <t xml:space="preserve">GWP factors</t>
  </si>
  <si>
    <t xml:space="preserve">IPCC Assessment Reports</t>
  </si>
  <si>
    <t xml:space="preserve">When new report is launched</t>
  </si>
  <si>
    <t xml:space="preserve">Soil carbon factors</t>
  </si>
  <si>
    <t xml:space="preserve">Calculations with the ICBM (Andrén and Kätterer, 1997)</t>
  </si>
  <si>
    <t xml:space="preserve">Every 5 years</t>
  </si>
  <si>
    <t xml:space="preserve">Assess soil carbon changes for several production countries</t>
  </si>
  <si>
    <t xml:space="preserve">LUC factors</t>
  </si>
  <si>
    <t xml:space="preserve">Factors retrieved from Henders et al. (2015)</t>
  </si>
  <si>
    <t xml:space="preserve">Include factors for more products. Create incentives for yearly update of values by e.g. Swedish Environmental Protection Agency.</t>
  </si>
  <si>
    <t xml:space="preserve">Emissions factors for fuels and electricity </t>
  </si>
  <si>
    <t xml:space="preserve">Report by Swedish research company Värmeforsk (now Energiforsk)</t>
  </si>
  <si>
    <t xml:space="preserve">Include emissions factors for whole life cycle of fuels in statistics from Swedish Energy Agency (now only available for combustion of fuels)</t>
  </si>
  <si>
    <t xml:space="preserve">Emissions factors for production of nitrogen fertiliser</t>
  </si>
  <si>
    <t xml:space="preserve">The industry, Ecoinvent database</t>
  </si>
  <si>
    <t xml:space="preserve">Type of nitrogen fertiliser applied</t>
  </si>
  <si>
    <t xml:space="preserve">Swedish Agency for Public Management</t>
  </si>
  <si>
    <t xml:space="preserve">Include in statistics on nitrogen application rates</t>
  </si>
  <si>
    <t xml:space="preserve">Emissions factors for production of capital goods</t>
  </si>
  <si>
    <t xml:space="preserve">Based on LCA paper</t>
  </si>
  <si>
    <t xml:space="preserve">Emissions factors for packaging </t>
  </si>
  <si>
    <t xml:space="preserve">Based on LCA reports</t>
  </si>
  <si>
    <t xml:space="preserve">Emissions factors for transportation</t>
  </si>
  <si>
    <t xml:space="preserve">Calculations with NTM (n.d.) and report by Swedish Climate Certification for Food (2010)</t>
  </si>
  <si>
    <t xml:space="preserve">Food waste</t>
  </si>
  <si>
    <t xml:space="preserve">FAO report </t>
  </si>
  <si>
    <t xml:space="preserve">Establish more detailed statistics. Include better statistics for processed products.</t>
  </si>
  <si>
    <t xml:space="preserve">Exporting countries and market shares</t>
  </si>
  <si>
    <t xml:space="preserve">Statistics Sweden</t>
  </si>
  <si>
    <t xml:space="preserve">Yearly </t>
  </si>
  <si>
    <t xml:space="preserve">Enable better tracing of origin of imported goods</t>
  </si>
  <si>
    <t xml:space="preserve">MEAT AND EGGS</t>
  </si>
  <si>
    <t xml:space="preserve">Amount of meat, milk and egg produced</t>
  </si>
  <si>
    <t xml:space="preserve">Swedish Board of Agriculture, Eurostat, FAOstat</t>
  </si>
  <si>
    <t xml:space="preserve">Production systems</t>
  </si>
  <si>
    <t xml:space="preserve">Swedish advisory service (Gårds- och djurhälsan), NIR, LCA papers and reports, other reports</t>
  </si>
  <si>
    <t xml:space="preserve">Establish more detailed statistics </t>
  </si>
  <si>
    <t xml:space="preserve">Emissions factors for feed </t>
  </si>
  <si>
    <t xml:space="preserve">Calculations with this method, SIK feed database (Flysjö et al., 2008)</t>
  </si>
  <si>
    <t xml:space="preserve">Create initiative to maintain feed database, e.g. by the Swedish Board of Agriculture. </t>
  </si>
  <si>
    <t xml:space="preserve">Enable better tracing of origin of feed ingredients. </t>
  </si>
  <si>
    <t xml:space="preserve">NIR, LCA reports</t>
  </si>
  <si>
    <t xml:space="preserve">Include statistics in databases run by Swedish Board of Agriculture, Eurostat and FAOstat </t>
  </si>
  <si>
    <t xml:space="preserve">Feed rations and ingredients</t>
  </si>
  <si>
    <t xml:space="preserve">Swedish advisory service (Gårds- och djurhälsan), Swedish Board of Agriculture, LCA reports</t>
  </si>
  <si>
    <t xml:space="preserve">Energy use in animal houses and slaughterhouses</t>
  </si>
  <si>
    <t xml:space="preserve">Swedish Board of Agriculture, other Swedish advisory service</t>
  </si>
  <si>
    <t xml:space="preserve">Slaughter age </t>
  </si>
  <si>
    <t xml:space="preserve">Swedish advisory service (Gårds- och djurhälsan), Federation of Swedish Farmers (LRF), NIR, Eurostat, LCA papers and reports</t>
  </si>
  <si>
    <t xml:space="preserve">Include more detailed statistics in databases run by Swedish Board of Agriculture, Eurostat and FAOstat</t>
  </si>
  <si>
    <t xml:space="preserve">NIR</t>
  </si>
  <si>
    <t xml:space="preserve">Yearly (with NIR update)</t>
  </si>
  <si>
    <t xml:space="preserve">Nitrogen excretion</t>
  </si>
  <si>
    <t xml:space="preserve">Emissions factors for enteric fermentation</t>
  </si>
  <si>
    <t xml:space="preserve">Emissions factors for manure </t>
  </si>
  <si>
    <t xml:space="preserve">DAIRY PRODUCTS AND OTHER PROCESSED PRODUCTS</t>
  </si>
  <si>
    <t xml:space="preserve">Share of ingredients/recipes</t>
  </si>
  <si>
    <t xml:space="preserve">RAC tables, contact with the industry, LCA papers and reports</t>
  </si>
  <si>
    <t xml:space="preserve">Establish database of recipes or create initiatives for the industry to share data  </t>
  </si>
  <si>
    <t xml:space="preserve">Electricity use for processing </t>
  </si>
  <si>
    <t xml:space="preserve">Ecoinvent database, LCA papers and reports, contact with the industry</t>
  </si>
  <si>
    <t xml:space="preserve">Include statistics in databases run by e.g. Swedish Board of Agriculture and Eurostat</t>
  </si>
  <si>
    <t xml:space="preserve">FISH AND SEAFOOD</t>
  </si>
  <si>
    <t xml:space="preserve">Landed catch</t>
  </si>
  <si>
    <t xml:space="preserve">LCA paper</t>
  </si>
  <si>
    <t xml:space="preserve">Develop database, e.g. by the Swedish Agency for Marine and Water Management </t>
  </si>
  <si>
    <t xml:space="preserve">Fuel use in vessels</t>
  </si>
  <si>
    <t xml:space="preserve">Develop database, e.g. by Swedish Agency for Marine and Water Management </t>
  </si>
  <si>
    <t xml:space="preserve">Production systems and gear type</t>
  </si>
  <si>
    <t xml:space="preserve">Reports, WWF Fiskguiden </t>
  </si>
  <si>
    <t xml:space="preserve">Edible yield of fish</t>
  </si>
  <si>
    <t xml:space="preserve">FAO, reports</t>
  </si>
  <si>
    <t xml:space="preserve">Feed consumption, feed rations and ingredients</t>
  </si>
  <si>
    <t xml:space="preserve">LCA papers and reports</t>
  </si>
  <si>
    <t xml:space="preserve">Emissions factors for storage of fish at vessels using cooling media</t>
  </si>
  <si>
    <t xml:space="preserve">LCA report</t>
  </si>
  <si>
    <t xml:space="preserve">Emissions factors and electricity use in aquaculture systems</t>
  </si>
  <si>
    <t xml:space="preserve">PLANT-BASED PRODUCTS</t>
  </si>
  <si>
    <t xml:space="preserve">Swedish Board of Agriculture, FAOstat</t>
  </si>
  <si>
    <t xml:space="preserve">Fertiliser application rates</t>
  </si>
  <si>
    <t xml:space="preserve">Statistics Sweden, Ecoinvent database, National advisory services</t>
  </si>
  <si>
    <t xml:space="preserve">Include more detailed statistics in databases run by Swedish Board of Agriculture, Eurostat, FAOstat</t>
  </si>
  <si>
    <t xml:space="preserve">IPCC, National advisory services</t>
  </si>
  <si>
    <t xml:space="preserve">Include amount of crop residues left in field in databases run by Swedish Board of Agriculture, Eurostat and FAOstat</t>
  </si>
  <si>
    <t xml:space="preserve">Diesel use in machinery</t>
  </si>
  <si>
    <t xml:space="preserve">Swedish Board of Agriculture, National advisory services, Ecoinvent database, LCA papers and reports</t>
  </si>
  <si>
    <t xml:space="preserve">Include in databases run by Swedish Board of Agriculture, Eurostat and FAOstat</t>
  </si>
  <si>
    <t xml:space="preserve">Emissions factors for field application of nitrogen</t>
  </si>
  <si>
    <t xml:space="preserve">IPCC</t>
  </si>
  <si>
    <t xml:space="preserve">Energy use for heating of greenhouses</t>
  </si>
  <si>
    <t xml:space="preserve">Swedish Board of Agriculture, National advisory service, Ecoinvent</t>
  </si>
  <si>
    <t xml:space="preserve">Other energy use on farm</t>
  </si>
  <si>
    <t xml:space="preserve">Swedish Board of Agriculture, National advisory services, LCA papers</t>
  </si>
  <si>
    <t xml:space="preserve">Recirculation of drainage water in greenhouses</t>
  </si>
  <si>
    <t xml:space="preserve">Swedish Board of Agriculture, LCA paper</t>
  </si>
  <si>
    <t xml:space="preserve">Emissions factors for methane and other data for rice cultivation</t>
  </si>
  <si>
    <t xml:space="preserve">IPCC, NIR, reports and books</t>
  </si>
  <si>
    <t xml:space="preserve">Include data on production systems in databases run by Eurostat and FAOstat</t>
  </si>
  <si>
    <r>
      <rPr>
        <sz val="10"/>
        <rFont val="Calibri"/>
        <family val="2"/>
        <charset val="1"/>
      </rPr>
      <t xml:space="preserve">ABELIOTIS, K., DETSIS, V. &amp; PAPPIA, C. 2013. Life cycle assessment of bean production in the Prespa National Park, Greece. </t>
    </r>
    <r>
      <rPr>
        <i val="true"/>
        <sz val="10"/>
        <rFont val="Calibri"/>
        <family val="2"/>
        <charset val="1"/>
      </rPr>
      <t xml:space="preserve">Journal of Cleaner Production,</t>
    </r>
    <r>
      <rPr>
        <sz val="10"/>
        <rFont val="Calibri"/>
        <family val="2"/>
        <charset val="1"/>
      </rPr>
      <t xml:space="preserve"> 41, 89-96.</t>
    </r>
  </si>
  <si>
    <r>
      <rPr>
        <sz val="10"/>
        <rFont val="Calibri"/>
        <family val="2"/>
        <charset val="1"/>
      </rPr>
      <t xml:space="preserve">AGUILERA, E., GUZMÁN, A. &amp; ALONSO, A. 2015a. Greenhouse gas emissions from conventional and organic cropping systems in Spain. I. Herbaceous crops. </t>
    </r>
    <r>
      <rPr>
        <i val="true"/>
        <sz val="10"/>
        <rFont val="Calibri"/>
        <family val="2"/>
        <charset val="1"/>
      </rPr>
      <t xml:space="preserve">Agron. Sustain. Dev.,</t>
    </r>
    <r>
      <rPr>
        <sz val="10"/>
        <rFont val="Calibri"/>
        <family val="2"/>
        <charset val="1"/>
      </rPr>
      <t xml:space="preserve"> 35, 713-724.</t>
    </r>
  </si>
  <si>
    <r>
      <rPr>
        <sz val="10"/>
        <rFont val="Calibri"/>
        <family val="2"/>
        <charset val="1"/>
      </rPr>
      <t xml:space="preserve">AGUILERA, E., GUZMÁN, A. &amp; ALONSO, A. 2015b. Greenhouse gas emissions from conventional and organic cropping systems in Spain: II. Fruit tree orchards. </t>
    </r>
    <r>
      <rPr>
        <i val="true"/>
        <sz val="10"/>
        <rFont val="Calibri"/>
        <family val="2"/>
        <charset val="1"/>
      </rPr>
      <t xml:space="preserve">Agron. Sustain. Dev</t>
    </r>
    <r>
      <rPr>
        <sz val="10"/>
        <rFont val="Calibri"/>
        <family val="2"/>
        <charset val="1"/>
      </rPr>
      <t xml:space="preserve">., 35, 725-737.</t>
    </r>
  </si>
  <si>
    <t xml:space="preserve">ANDERSSON, B. 1992. Utsädesmängder i stråsäd och oljeväxter. Swedish University of Agricultural Sciences.</t>
  </si>
  <si>
    <r>
      <rPr>
        <sz val="10"/>
        <rFont val="Calibri"/>
        <family val="2"/>
        <charset val="1"/>
      </rPr>
      <t xml:space="preserve">ANDRÉN, O. &amp; KÄTTERER, T. 1997. ICBM: the introductory carbon balance model for exploration of soil carbon balances. </t>
    </r>
    <r>
      <rPr>
        <i val="true"/>
        <sz val="10"/>
        <rFont val="Calibri"/>
        <family val="2"/>
        <charset val="1"/>
      </rPr>
      <t xml:space="preserve">Ecological Applications,</t>
    </r>
    <r>
      <rPr>
        <sz val="10"/>
        <rFont val="Calibri"/>
        <family val="2"/>
        <charset val="1"/>
      </rPr>
      <t xml:space="preserve"> 7</t>
    </r>
    <r>
      <rPr>
        <b val="true"/>
        <sz val="10"/>
        <rFont val="Calibri"/>
        <family val="2"/>
        <charset val="1"/>
      </rPr>
      <t xml:space="preserve">,</t>
    </r>
    <r>
      <rPr>
        <sz val="10"/>
        <rFont val="Calibri"/>
        <family val="2"/>
        <charset val="1"/>
      </rPr>
      <t xml:space="preserve"> 1226-1236.</t>
    </r>
  </si>
  <si>
    <r>
      <rPr>
        <sz val="10"/>
        <rFont val="Calibri"/>
        <family val="2"/>
        <charset val="1"/>
      </rPr>
      <t xml:space="preserve">ANGERVALL, T. &amp; SONESSON, U. 2011. </t>
    </r>
    <r>
      <rPr>
        <i val="true"/>
        <sz val="10"/>
        <rFont val="Calibri"/>
        <family val="2"/>
        <charset val="1"/>
      </rPr>
      <t xml:space="preserve">Förenklad metod för klimat-/GWP-beräkningar av livsmedel: slutrapport, ver 1</t>
    </r>
    <r>
      <rPr>
        <sz val="10"/>
        <rFont val="Calibri"/>
        <family val="2"/>
        <charset val="1"/>
      </rPr>
      <t xml:space="preserve">, SIK Institutet för livsmedel och bioteknik.</t>
    </r>
  </si>
  <si>
    <r>
      <rPr>
        <sz val="10"/>
        <rFont val="Calibri"/>
        <family val="2"/>
        <charset val="1"/>
      </rPr>
      <t xml:space="preserve">               ASTIER, M., MERLÍN-URIBE, Y., VILLAMIL-ECHEVERRI, L., GARCIARREAL, A., GAVITO, M.E., &amp; MASERA, O.R. 2014. Energy balance and greenhouse gas emissions in organic and conventional avocado orchards in Mexico. </t>
    </r>
    <r>
      <rPr>
        <i val="true"/>
        <sz val="10"/>
        <rFont val="Calibri"/>
        <family val="2"/>
        <charset val="1"/>
      </rPr>
      <t xml:space="preserve">Ecol Indic</t>
    </r>
    <r>
      <rPr>
        <sz val="10"/>
        <rFont val="Calibri"/>
        <family val="2"/>
        <charset val="1"/>
      </rPr>
      <t xml:space="preserve">, 43, 281-287. </t>
    </r>
  </si>
  <si>
    <r>
      <rPr>
        <sz val="10"/>
        <rFont val="Calibri"/>
        <family val="2"/>
        <charset val="1"/>
      </rPr>
      <t xml:space="preserve">BACENETTI, J., FUSI, A., NEGRI, M., BOCCHI, S. &amp; FIALA, M. 2016. Organic production systems: Sustainability assessment of rice in Italy. </t>
    </r>
    <r>
      <rPr>
        <i val="true"/>
        <sz val="10"/>
        <rFont val="Calibri"/>
        <family val="2"/>
        <charset val="1"/>
      </rPr>
      <t xml:space="preserve">Agriculture, Ecosystems &amp; Environment,</t>
    </r>
    <r>
      <rPr>
        <sz val="10"/>
        <rFont val="Calibri"/>
        <family val="2"/>
        <charset val="1"/>
      </rPr>
      <t xml:space="preserve"> 225</t>
    </r>
    <r>
      <rPr>
        <b val="true"/>
        <sz val="10"/>
        <rFont val="Calibri"/>
        <family val="2"/>
        <charset val="1"/>
      </rPr>
      <t xml:space="preserve">,</t>
    </r>
    <r>
      <rPr>
        <sz val="10"/>
        <rFont val="Calibri"/>
        <family val="2"/>
        <charset val="1"/>
      </rPr>
      <t xml:space="preserve"> 33-44.</t>
    </r>
  </si>
  <si>
    <t xml:space="preserve">               BAKY, A., SUNDBERG, M. &amp; BROWN, N. 2010. Kartläggning av jordbrukets energianvändning Ett projekt utfört på uppdrag av Jordbruksverket. JTI – Institutet för jordbruks- och miljöteknik. </t>
  </si>
  <si>
    <t xml:space="preserve">               BERGLUND, M., CEDERBERG, C., CLASON, C., HENRIKSSON, M. &amp; TÖRNER, L. 2009. Jordbrukets klimatpåverkan – underlag för att beräkna växthusgasutsläpp på gårdsnivå och nulägesanalyser av exempelgårdar. Delrapport i JoKer-proJeKtet, Hushållningssällskapet Halland.</t>
  </si>
  <si>
    <r>
      <rPr>
        <sz val="10"/>
        <rFont val="Calibri"/>
        <family val="2"/>
        <charset val="1"/>
      </rPr>
      <t xml:space="preserve">BERLIN, J. &amp; SUND, V. 2009. </t>
    </r>
    <r>
      <rPr>
        <i val="true"/>
        <sz val="10"/>
        <rFont val="Calibri"/>
        <family val="2"/>
        <charset val="1"/>
      </rPr>
      <t xml:space="preserve">Klimatpåverkan från glassprodukter</t>
    </r>
    <r>
      <rPr>
        <sz val="10"/>
        <rFont val="Calibri"/>
        <family val="2"/>
        <charset val="1"/>
      </rPr>
      <t xml:space="preserve">, SIK Institutet för livsmedel och bioteknik.</t>
    </r>
  </si>
  <si>
    <r>
      <rPr>
        <sz val="10"/>
        <rFont val="Calibri"/>
        <family val="2"/>
        <charset val="1"/>
      </rPr>
      <t xml:space="preserve">               BERLIN, J. 2002. Environmental life cycle assessment (LCA) of Swedish semi-hard cheese. </t>
    </r>
    <r>
      <rPr>
        <i val="true"/>
        <sz val="10"/>
        <rFont val="Calibri"/>
        <family val="2"/>
        <charset val="1"/>
      </rPr>
      <t xml:space="preserve">International Dairy Journal</t>
    </r>
    <r>
      <rPr>
        <sz val="10"/>
        <rFont val="Calibri"/>
        <family val="2"/>
        <charset val="1"/>
      </rPr>
      <t xml:space="preserve">, 12(11): 939–953.</t>
    </r>
  </si>
  <si>
    <r>
      <rPr>
        <sz val="10"/>
        <color rgb="FF000000"/>
        <rFont val="Calibri"/>
        <family val="2"/>
        <charset val="1"/>
      </rPr>
      <t xml:space="preserve">              BERTILSSON, J. 2016. </t>
    </r>
    <r>
      <rPr>
        <sz val="10"/>
        <color rgb="FF32322F"/>
        <rFont val="Calibri"/>
        <family val="2"/>
        <charset val="1"/>
      </rPr>
      <t xml:space="preserve">Updating Swedish emission factors for cattle to be used for calculations of greenhouse gases. Department of Animal Nutrition and Management, Swedish University of Agricultural Sciences. </t>
    </r>
  </si>
  <si>
    <r>
      <rPr>
        <sz val="10"/>
        <rFont val="Calibri"/>
        <family val="2"/>
        <charset val="1"/>
      </rPr>
      <t xml:space="preserve">BLENGINI, G. A. &amp; BUSTO, M. 2009. The life cycle of rice: LCA of alternative agri-food chain management systems in Vercelli (Italy). </t>
    </r>
    <r>
      <rPr>
        <i val="true"/>
        <sz val="10"/>
        <rFont val="Calibri"/>
        <family val="2"/>
        <charset val="1"/>
      </rPr>
      <t xml:space="preserve">Journal of environmental management,</t>
    </r>
    <r>
      <rPr>
        <sz val="10"/>
        <rFont val="Calibri"/>
        <family val="2"/>
        <charset val="1"/>
      </rPr>
      <t xml:space="preserve"> 90</t>
    </r>
    <r>
      <rPr>
        <b val="true"/>
        <sz val="10"/>
        <rFont val="Calibri"/>
        <family val="2"/>
        <charset val="1"/>
      </rPr>
      <t xml:space="preserve">,</t>
    </r>
    <r>
      <rPr>
        <sz val="10"/>
        <rFont val="Calibri"/>
        <family val="2"/>
        <charset val="1"/>
      </rPr>
      <t xml:space="preserve"> 1512-1522.</t>
    </r>
  </si>
  <si>
    <r>
      <rPr>
        <sz val="10"/>
        <rFont val="Calibri"/>
        <family val="2"/>
        <charset val="1"/>
      </rPr>
      <t xml:space="preserve">BOUMAN, B., LAMPAYAN, R.M. &amp; TUONG, T.P. 2007. </t>
    </r>
    <r>
      <rPr>
        <i val="true"/>
        <sz val="10"/>
        <rFont val="Calibri"/>
        <family val="2"/>
        <charset val="1"/>
      </rPr>
      <t xml:space="preserve">Water management in irrigated rice: coping with water scarcity</t>
    </r>
    <r>
      <rPr>
        <sz val="10"/>
        <rFont val="Calibri"/>
        <family val="2"/>
        <charset val="1"/>
      </rPr>
      <t xml:space="preserve">, Int. Rice Res. Inst.</t>
    </r>
  </si>
  <si>
    <r>
      <rPr>
        <sz val="10"/>
        <rFont val="Calibri"/>
        <family val="2"/>
        <charset val="1"/>
      </rPr>
      <t xml:space="preserve">BRANDER, M., SOOD, A., WYLIE, C., HAUGHTON, A. &amp; LOVELL, J. 2011. Technical Paper| Electricity-specific emission factors for grid electricity. </t>
    </r>
    <r>
      <rPr>
        <i val="true"/>
        <sz val="10"/>
        <rFont val="Calibri"/>
        <family val="2"/>
        <charset val="1"/>
      </rPr>
      <t xml:space="preserve">Ecometrica, Emissionfactors. com</t>
    </r>
    <r>
      <rPr>
        <sz val="10"/>
        <rFont val="Calibri"/>
        <family val="2"/>
        <charset val="1"/>
      </rPr>
      <t xml:space="preserve">.</t>
    </r>
  </si>
  <si>
    <t xml:space="preserve">BÅTH, B. 2015. Växtnäringsförsörjning. EKOLOGISK GRÖNSAKSODLING PÅ FRILAND. Swedish Board of Agriculture.</t>
  </si>
  <si>
    <r>
      <rPr>
        <sz val="10"/>
        <rFont val="Calibri"/>
        <family val="2"/>
        <charset val="1"/>
      </rPr>
      <t xml:space="preserve">CARLSSON-KANYAMA, A. &amp; BOSTRÖM-CARLSSON, K. 2001. Energy use for cooking and other stages in the life cycle of food. </t>
    </r>
    <r>
      <rPr>
        <i val="true"/>
        <sz val="10"/>
        <rFont val="Calibri"/>
        <family val="2"/>
        <charset val="1"/>
      </rPr>
      <t xml:space="preserve">Stockholm, Sweden: Stockhoms universitet</t>
    </r>
    <r>
      <rPr>
        <sz val="10"/>
        <rFont val="Calibri"/>
        <family val="2"/>
        <charset val="1"/>
      </rPr>
      <t xml:space="preserve">.</t>
    </r>
  </si>
  <si>
    <t xml:space="preserve">              CBS 2017. Statistical database. Centraal Bureau voor de Statistiek of Netherlands.</t>
  </si>
  <si>
    <r>
      <rPr>
        <sz val="10"/>
        <rFont val="Calibri"/>
        <family val="2"/>
        <charset val="1"/>
      </rPr>
      <t xml:space="preserve">CEDERBERG, C., SONESSON, U., HENRIKSSON, M., SUND, V. &amp; DAVIS, J. 2009. </t>
    </r>
    <r>
      <rPr>
        <i val="true"/>
        <sz val="10"/>
        <rFont val="Calibri"/>
        <family val="2"/>
        <charset val="1"/>
      </rPr>
      <t xml:space="preserve">Greenhouse gas emissions from Swedish production of meat, milk and eggs 1990 and 2005</t>
    </r>
    <r>
      <rPr>
        <sz val="10"/>
        <rFont val="Calibri"/>
        <family val="2"/>
        <charset val="1"/>
      </rPr>
      <t xml:space="preserve">, SIK Institutet för livsmedel och bioteknik.</t>
    </r>
  </si>
  <si>
    <t xml:space="preserve">               CEDERBERG, C. &amp; NILSSON, B. 2004. Livscykelanalys (LCA) av ekologisk nötköttsproduktion i ranchdrift. SIK-rapport Nr 718 2004. Institutet för Livsmedel och Bioteknik.</t>
  </si>
  <si>
    <t xml:space="preserve">               CLUNE, S., CROSSIN, E. &amp; VERGHESE, K. 2017. Systematic review of greenhouse gas emissions for different fresh food categories. J. Clean. Prod. 140, 766-783.</t>
  </si>
  <si>
    <r>
      <rPr>
        <sz val="10"/>
        <rFont val="Calibri"/>
        <family val="2"/>
        <charset val="1"/>
      </rPr>
      <t xml:space="preserve">COCA COLA n.d. </t>
    </r>
    <r>
      <rPr>
        <i val="true"/>
        <sz val="10"/>
        <rFont val="Calibri"/>
        <family val="2"/>
        <charset val="1"/>
      </rPr>
      <t xml:space="preserve">Socker </t>
    </r>
    <r>
      <rPr>
        <sz val="10"/>
        <rFont val="Calibri"/>
        <family val="2"/>
        <charset val="1"/>
      </rPr>
      <t xml:space="preserve">[Online]. Available: https://www.coca-cola.se/stories/Socker# [Accessed January 2018].</t>
    </r>
  </si>
  <si>
    <t xml:space="preserve">COLTRO, L. MOURAD, A. OLIVEIRA, P., BADDINI, J. &amp; KLETECKE, R. 2006. 
Environmental profile of Brazilian green coffee. Int J Life Cycle Assess 11(1):16–21.
</t>
  </si>
  <si>
    <t xml:space="preserve">DADHICH, J., SMITH, J., IELLAMO, A. &amp; SULEIMAN, A. 2015. Carbon footprint due to milk formula. A study from selected countries of the Asia-Pacific region.</t>
  </si>
  <si>
    <t xml:space="preserve">DANISH EPA 2017. DENMARK’S NATIONAL INVENTORY REPORT 2017. Emission Inventories 1990-2015 – Submitted under the United Nations Framework Convention on Climate Change and the Kyoto Protocol.</t>
  </si>
  <si>
    <t xml:space="preserve">DANISH EPA 2014. DENMARK’S NATIONAL INVENTORY REPORT 2014. Emission Inventories 1990-2012 – Submitted under the United Nations Framework Convention on Climate Change and the Kyoto Protocol.</t>
  </si>
  <si>
    <r>
      <rPr>
        <sz val="12"/>
        <color rgb="FF000000"/>
        <rFont val="Times New Roman"/>
        <family val="1"/>
        <charset val="1"/>
      </rPr>
      <t xml:space="preserve">DAVIS, J. WALLMAN, M., SUND, V., EMANUELSSON, A., CEDERBERG, C. &amp; SONESSON, U. 2011. </t>
    </r>
    <r>
      <rPr>
        <i val="true"/>
        <sz val="12"/>
        <color rgb="FF000000"/>
        <rFont val="Times New Roman"/>
        <family val="1"/>
        <charset val="1"/>
      </rPr>
      <t xml:space="preserve">Emissions of greenhouse gases from production of horticultural products: analysis of 17 products cultivated in Sweden</t>
    </r>
    <r>
      <rPr>
        <sz val="12"/>
        <color rgb="FF000000"/>
        <rFont val="Times New Roman"/>
        <family val="1"/>
        <charset val="1"/>
      </rPr>
      <t xml:space="preserve">, SIK Institutet för livsmedel och bioteknik.</t>
    </r>
  </si>
  <si>
    <r>
      <rPr>
        <sz val="10"/>
        <rFont val="Calibri"/>
        <family val="2"/>
        <charset val="1"/>
      </rPr>
      <t xml:space="preserve">DEBLITZ, C., BROMMER, J. &amp; BRUGGEMANN, D. 2008. Beef production in Germany-production systems and their spatial distribution. </t>
    </r>
    <r>
      <rPr>
        <i val="true"/>
        <sz val="10"/>
        <rFont val="Calibri"/>
        <family val="2"/>
        <charset val="1"/>
      </rPr>
      <t xml:space="preserve">LANDBAUFORSCHUNG VOLKENRODE,</t>
    </r>
    <r>
      <rPr>
        <sz val="10"/>
        <rFont val="Calibri"/>
        <family val="2"/>
        <charset val="1"/>
      </rPr>
      <t xml:space="preserve"> 58</t>
    </r>
    <r>
      <rPr>
        <b val="true"/>
        <sz val="10"/>
        <rFont val="Calibri"/>
        <family val="2"/>
        <charset val="1"/>
      </rPr>
      <t xml:space="preserve">,</t>
    </r>
    <r>
      <rPr>
        <sz val="10"/>
        <rFont val="Calibri"/>
        <family val="2"/>
        <charset val="1"/>
      </rPr>
      <t xml:space="preserve"> 29.</t>
    </r>
  </si>
  <si>
    <r>
      <rPr>
        <sz val="10"/>
        <rFont val="Calibri"/>
        <family val="2"/>
        <charset val="1"/>
      </rPr>
      <t xml:space="preserve">DEBLITZ, C., CHARRY, A. &amp; PARTON, K. 2005. Beef farming systems across the world: an expert assessment from an international co-operative research project (IFCN). </t>
    </r>
    <r>
      <rPr>
        <i val="true"/>
        <sz val="10"/>
        <rFont val="Calibri"/>
        <family val="2"/>
        <charset val="1"/>
      </rPr>
      <t xml:space="preserve">Extension Farming Systems Journal,</t>
    </r>
    <r>
      <rPr>
        <sz val="10"/>
        <rFont val="Calibri"/>
        <family val="2"/>
        <charset val="1"/>
      </rPr>
      <t xml:space="preserve"> 1</t>
    </r>
    <r>
      <rPr>
        <b val="true"/>
        <sz val="10"/>
        <rFont val="Calibri"/>
        <family val="2"/>
        <charset val="1"/>
      </rPr>
      <t xml:space="preserve">,</t>
    </r>
    <r>
      <rPr>
        <sz val="10"/>
        <rFont val="Calibri"/>
        <family val="2"/>
        <charset val="1"/>
      </rPr>
      <t xml:space="preserve"> 1.</t>
    </r>
  </si>
  <si>
    <r>
      <rPr>
        <sz val="10"/>
        <rFont val="Calibri"/>
        <family val="2"/>
        <charset val="1"/>
      </rPr>
      <t xml:space="preserve">               DJEKIC, I., MIOCINOVIC, J., TOMASEVIC, I., SMIGIC, N. &amp; TOMIC, N. 2014. Environmental life-cycle assessment of various dairy products. </t>
    </r>
    <r>
      <rPr>
        <i val="true"/>
        <sz val="10"/>
        <rFont val="Calibri"/>
        <family val="2"/>
        <charset val="1"/>
      </rPr>
      <t xml:space="preserve">Journal of Cleaner Production</t>
    </r>
    <r>
      <rPr>
        <sz val="10"/>
        <rFont val="Calibri"/>
        <family val="2"/>
        <charset val="1"/>
      </rPr>
      <t xml:space="preserve">, 68, 64-72. </t>
    </r>
  </si>
  <si>
    <t xml:space="preserve">ECOINVENT CENTRE 2016. Ecoinvent Database Version 3.3. Dübendorf, Switzerland: Swiss Centre for Life Cycle Inventories.</t>
  </si>
  <si>
    <t xml:space="preserve">ECOINVENT CENTRE 2018. Ecoinvent Database Version 3.5. Dübendorf, Switzerland: Swiss Centre for Life Cycle Inventories.</t>
  </si>
  <si>
    <t xml:space="preserve">               EDSTRÖM, M., PETTERSSON, O., NILSSON, L. &amp; HÖRNDAHL, T. 2005. Jordbrukssektorns energianvändning. JTI-rapport Lantbruk &amp; Industri 342. JTI – Institutet för jordbruks- och miljöteknik.</t>
  </si>
  <si>
    <r>
      <rPr>
        <sz val="10"/>
        <rFont val="Calibri"/>
        <family val="2"/>
        <charset val="1"/>
      </rPr>
      <t xml:space="preserve">EEA 2017. Overview of electricity production and use in Europe. </t>
    </r>
    <r>
      <rPr>
        <i val="true"/>
        <sz val="10"/>
        <rFont val="Calibri"/>
        <family val="2"/>
        <charset val="1"/>
      </rPr>
      <t xml:space="preserve">In:</t>
    </r>
    <r>
      <rPr>
        <sz val="10"/>
        <rFont val="Calibri"/>
        <family val="2"/>
        <charset val="1"/>
      </rPr>
      <t xml:space="preserve"> AGENCY, E. E. (ed.).</t>
    </r>
  </si>
  <si>
    <t xml:space="preserve">               ELMQUIST, H., NEUMAN, L., HÅRSMAR, D. &amp; HELMERSSON, N. (2015). Energinyckeltal inom lantbruket och potentialen att spara energi utifrån energikartläggningar.</t>
  </si>
  <si>
    <t xml:space="preserve">               EPA, IRELAND 2017. Ireland’s National Inventory Report 2017. Greenhouse Gas Emissions 1990-2015. Environmental Protection Agency, Ireland. </t>
  </si>
  <si>
    <t xml:space="preserve">EUROPEAN COMMISSION 2017. Statistical Database.</t>
  </si>
  <si>
    <t xml:space="preserve">EUROPEAN COMMISSION 2016. REPORT FROM THE COMMISSION TO THE EUROPEAN PARLIAMENT, THE COUNCIL, THE EUROPEAN ECONOMIC AND SOCIAL COMMITTEE AND THE COMMITTEE OF THE REGIONS. Energy prices and costs in Europe. Brussels, Belgium.</t>
  </si>
  <si>
    <t xml:space="preserve">FAO 2017. FAOSTAT Statistical Database. Food and Agricultural Organization of the United Nations.</t>
  </si>
  <si>
    <r>
      <rPr>
        <sz val="10"/>
        <rFont val="Calibri"/>
        <family val="2"/>
        <charset val="1"/>
      </rPr>
      <t xml:space="preserve">FAO 1989. Yield and Nutritional Value of the Commercially More Important Fish Species. </t>
    </r>
    <r>
      <rPr>
        <i val="true"/>
        <sz val="10"/>
        <rFont val="Calibri"/>
        <family val="2"/>
        <charset val="1"/>
      </rPr>
      <t xml:space="preserve">FAO Fisheries Technical Paper No. 309.</t>
    </r>
    <r>
      <rPr>
        <sz val="10"/>
        <rFont val="Calibri"/>
        <family val="2"/>
        <charset val="1"/>
      </rPr>
      <t xml:space="preserve"> Rome, Italy: Food and Agriculture Organization of the United Nations.</t>
    </r>
  </si>
  <si>
    <r>
      <rPr>
        <sz val="10"/>
        <rFont val="Calibri"/>
        <family val="2"/>
        <charset val="1"/>
      </rPr>
      <t xml:space="preserve">FLYSJÖ, A., THRANE, M. &amp; HERMANSEN, J. E. 2014. Method to assess the carbon footprint at product level in the dairy industry. </t>
    </r>
    <r>
      <rPr>
        <i val="true"/>
        <sz val="10"/>
        <rFont val="Calibri"/>
        <family val="2"/>
        <charset val="1"/>
      </rPr>
      <t xml:space="preserve">International Dairy Journal,</t>
    </r>
    <r>
      <rPr>
        <sz val="10"/>
        <rFont val="Calibri"/>
        <family val="2"/>
        <charset val="1"/>
      </rPr>
      <t xml:space="preserve"> 34</t>
    </r>
    <r>
      <rPr>
        <b val="true"/>
        <sz val="10"/>
        <rFont val="Calibri"/>
        <family val="2"/>
        <charset val="1"/>
      </rPr>
      <t xml:space="preserve">,</t>
    </r>
    <r>
      <rPr>
        <sz val="10"/>
        <rFont val="Calibri"/>
        <family val="2"/>
        <charset val="1"/>
      </rPr>
      <t xml:space="preserve"> 86-92.</t>
    </r>
  </si>
  <si>
    <r>
      <rPr>
        <sz val="10"/>
        <rFont val="Calibri"/>
        <family val="2"/>
        <charset val="1"/>
      </rPr>
      <t xml:space="preserve">FLYSJÖ, A., CEDERBERG, C. &amp; STRID, I. 2008. </t>
    </r>
    <r>
      <rPr>
        <i val="true"/>
        <sz val="10"/>
        <rFont val="Calibri"/>
        <family val="2"/>
        <charset val="1"/>
      </rPr>
      <t xml:space="preserve">LCA-databas för konventionella fodermedel: miljöpåverkan i samband med produktion</t>
    </r>
    <r>
      <rPr>
        <sz val="10"/>
        <rFont val="Calibri"/>
        <family val="2"/>
        <charset val="1"/>
      </rPr>
      <t xml:space="preserve">, SIK Institutet för livsmedel och bioteknik.</t>
    </r>
  </si>
  <si>
    <r>
      <rPr>
        <sz val="10"/>
        <rFont val="Calibri"/>
        <family val="2"/>
        <charset val="1"/>
      </rPr>
      <t xml:space="preserve">FRISCHKNECHT, R., ALTHAUS, H.-J., BAUER, C., DOKA, G., HECK, T., JUNGBLUTH, N., KELLENBERGER, D. &amp; NEMECEK, T. 2007. The environmental relevance of capital goods in life cycle assessments of products and services. </t>
    </r>
    <r>
      <rPr>
        <i val="true"/>
        <sz val="10"/>
        <rFont val="Calibri"/>
        <family val="2"/>
        <charset val="1"/>
      </rPr>
      <t xml:space="preserve">International Journal of Life Cycle Assessment,</t>
    </r>
    <r>
      <rPr>
        <sz val="10"/>
        <rFont val="Calibri"/>
        <family val="2"/>
        <charset val="1"/>
      </rPr>
      <t xml:space="preserve"> 12</t>
    </r>
    <r>
      <rPr>
        <b val="true"/>
        <sz val="10"/>
        <rFont val="Calibri"/>
        <family val="2"/>
        <charset val="1"/>
      </rPr>
      <t xml:space="preserve">,</t>
    </r>
    <r>
      <rPr>
        <sz val="10"/>
        <rFont val="Calibri"/>
        <family val="2"/>
        <charset val="1"/>
      </rPr>
      <t xml:space="preserve"> 7-17.</t>
    </r>
  </si>
  <si>
    <r>
      <rPr>
        <sz val="10"/>
        <rFont val="Calibri"/>
        <family val="2"/>
        <charset val="1"/>
      </rPr>
      <t xml:space="preserve">FUSI, A., BACENETTI, J., GONZÁLEZ-GARCÍA, S., VERCESI, A., BOCCHI, S. &amp; FIALA, M. 2014. Environmental profile of paddy rice cultivation with different straw management. </t>
    </r>
    <r>
      <rPr>
        <i val="true"/>
        <sz val="10"/>
        <rFont val="Calibri"/>
        <family val="2"/>
        <charset val="1"/>
      </rPr>
      <t xml:space="preserve">Science of the Total Environment,</t>
    </r>
    <r>
      <rPr>
        <sz val="10"/>
        <rFont val="Calibri"/>
        <family val="2"/>
        <charset val="1"/>
      </rPr>
      <t xml:space="preserve"> 494</t>
    </r>
    <r>
      <rPr>
        <b val="true"/>
        <sz val="10"/>
        <rFont val="Calibri"/>
        <family val="2"/>
        <charset val="1"/>
      </rPr>
      <t xml:space="preserve">,</t>
    </r>
    <r>
      <rPr>
        <sz val="10"/>
        <rFont val="Calibri"/>
        <family val="2"/>
        <charset val="1"/>
      </rPr>
      <t xml:space="preserve"> 119-128.</t>
    </r>
  </si>
  <si>
    <r>
      <rPr>
        <sz val="10"/>
        <rFont val="Calibri"/>
        <family val="2"/>
        <charset val="1"/>
      </rPr>
      <t xml:space="preserve">GODE, J., MARTINSSON, F., HAGBERG, L., ÖMAN, A., HÖGLUND, J. &amp; PALM, D. 2011. Miljöfaktaboken 2011—estimated emission factors for fuels, electricity, heat and transport in Sweden. </t>
    </r>
    <r>
      <rPr>
        <i val="true"/>
        <sz val="10"/>
        <rFont val="Calibri"/>
        <family val="2"/>
        <charset val="1"/>
      </rPr>
      <t xml:space="preserve">Värmeforsk, Stockholm</t>
    </r>
    <r>
      <rPr>
        <sz val="10"/>
        <rFont val="Calibri"/>
        <family val="2"/>
        <charset val="1"/>
      </rPr>
      <t xml:space="preserve">.</t>
    </r>
  </si>
  <si>
    <t xml:space="preserve">               GOULDING (n.d.). Grass Intake of Dairy Cows. [Online] Available: http://www.gouldings.ie/ni/grass-growth/research-on-grazing/grass-intake-of-dairy-cows/ [Accessed April 2018].</t>
  </si>
  <si>
    <r>
      <rPr>
        <sz val="10"/>
        <rFont val="Calibri"/>
        <family val="2"/>
        <charset val="1"/>
      </rPr>
      <t xml:space="preserve">GUSTAVSSON, J., CEDERBERG, C., SONESSON, U., VAN OTTERDIJK, R. &amp; MEYBECK, A. 2011. </t>
    </r>
    <r>
      <rPr>
        <i val="true"/>
        <sz val="10"/>
        <rFont val="Calibri"/>
        <family val="2"/>
        <charset val="1"/>
      </rPr>
      <t xml:space="preserve">Global food losses and food waste</t>
    </r>
    <r>
      <rPr>
        <sz val="10"/>
        <rFont val="Calibri"/>
        <family val="2"/>
        <charset val="1"/>
      </rPr>
      <t xml:space="preserve">, FAO, Rome.</t>
    </r>
  </si>
  <si>
    <t xml:space="preserve">GÅRDS- OCH DJURHÄLSAN. 2016. Genomsnittligt kvalitetsutfall för nötkreatur slaktade under 2015. </t>
  </si>
  <si>
    <t xml:space="preserve">GÅRDS- OCH DJURHÄLSAN. 2015. Genomsnittligt kvalitetsutfall för nötkreatur slaktade under 2014. </t>
  </si>
  <si>
    <t xml:space="preserve">GÅRDS- OCH DJURHÄLSAN. 2014. Genomsnittligt kvalitetsutfall för nötkreatur slaktade under 2013. </t>
  </si>
  <si>
    <t xml:space="preserve">GÅRDS- OCH DJURHÄLSAN. 2013. Genomsnittligt kvalitetsutfall för nötkreatur slaktade under 2012. </t>
  </si>
  <si>
    <t xml:space="preserve">GÅRDS- OCH DJURHÄLSAN. 2012. Genomsnittligt kvalitetsutfall för nötkreatur slaktade under 2011. </t>
  </si>
  <si>
    <r>
      <rPr>
        <sz val="10"/>
        <rFont val="Calibri"/>
        <family val="2"/>
        <charset val="1"/>
      </rPr>
      <t xml:space="preserve">HALLSTRÖM, E., RÖÖS, E. &amp; BÖRJESSON, P. 2014. Sustainable meat consumption: A quantitative analysis of nutritional intake, greenhouse gas emissions and land use from a Swedish perspective. </t>
    </r>
    <r>
      <rPr>
        <i val="true"/>
        <sz val="10"/>
        <rFont val="Calibri"/>
        <family val="2"/>
        <charset val="1"/>
      </rPr>
      <t xml:space="preserve">Food Policy,</t>
    </r>
    <r>
      <rPr>
        <sz val="10"/>
        <rFont val="Calibri"/>
        <family val="2"/>
        <charset val="1"/>
      </rPr>
      <t xml:space="preserve"> 47</t>
    </r>
    <r>
      <rPr>
        <b val="true"/>
        <sz val="10"/>
        <rFont val="Calibri"/>
        <family val="2"/>
        <charset val="1"/>
      </rPr>
      <t xml:space="preserve">,</t>
    </r>
    <r>
      <rPr>
        <sz val="10"/>
        <rFont val="Calibri"/>
        <family val="2"/>
        <charset val="1"/>
      </rPr>
      <t xml:space="preserve"> 81-90.</t>
    </r>
  </si>
  <si>
    <r>
      <rPr>
        <sz val="10"/>
        <rFont val="Calibri"/>
        <family val="2"/>
        <charset val="1"/>
      </rPr>
      <t xml:space="preserve">HENDERS, S., PERSSON, U. M. &amp; KASTNER, T. 2015. Trading forests: land-use change and carbon emissions embodied in production and exports of forest-risk commodities. </t>
    </r>
    <r>
      <rPr>
        <i val="true"/>
        <sz val="10"/>
        <rFont val="Calibri"/>
        <family val="2"/>
        <charset val="1"/>
      </rPr>
      <t xml:space="preserve">Environmental Research Letters,</t>
    </r>
    <r>
      <rPr>
        <sz val="10"/>
        <rFont val="Calibri"/>
        <family val="2"/>
        <charset val="1"/>
      </rPr>
      <t xml:space="preserve"> 10</t>
    </r>
    <r>
      <rPr>
        <b val="true"/>
        <sz val="10"/>
        <rFont val="Calibri"/>
        <family val="2"/>
        <charset val="1"/>
      </rPr>
      <t xml:space="preserve">,</t>
    </r>
    <r>
      <rPr>
        <sz val="10"/>
        <rFont val="Calibri"/>
        <family val="2"/>
        <charset val="1"/>
      </rPr>
      <t xml:space="preserve"> 125012.</t>
    </r>
  </si>
  <si>
    <r>
      <rPr>
        <sz val="10"/>
        <rFont val="Calibri"/>
        <family val="2"/>
        <charset val="1"/>
      </rPr>
      <t xml:space="preserve">HENRIKSSON, P., ZHANG, W., NAHID, S., NEWTON, R., PHAN, L., DAO, H., ZHANG, Z., JAITHIANG, J., ANDONG, R. &amp; CHAIMANUSKUL, K. 2014. Final LCA case study report—results of LCA studies of Asian aquaculture systems for tilapia, catfish, shrimp, and freshwater prawn. </t>
    </r>
    <r>
      <rPr>
        <i val="true"/>
        <sz val="10"/>
        <rFont val="Calibri"/>
        <family val="2"/>
        <charset val="1"/>
      </rPr>
      <t xml:space="preserve">SEAT Deliverable D,</t>
    </r>
    <r>
      <rPr>
        <sz val="10"/>
        <rFont val="Calibri"/>
        <family val="2"/>
        <charset val="1"/>
      </rPr>
      <t xml:space="preserve"> 3.</t>
    </r>
  </si>
  <si>
    <t xml:space="preserve">HOGNES, E. S., NILSSON, K., SUND, V. &amp; ZIEGLER, F. 2014. LCA of Norwegian salmon production 2012. SINTEF Fiskeri og havbruk.
</t>
  </si>
  <si>
    <t xml:space="preserve">INTERPIG 2016. Internationella rapporten 2015. Gårds- och djurhälsan. </t>
  </si>
  <si>
    <t xml:space="preserve">INTERPIG 2015. Internationella rapporten 2014. Gårds- och djurhälsan. </t>
  </si>
  <si>
    <t xml:space="preserve">INTERPIG 2014. Internationella rapporten 2013. Gårds- och djurhälsan. </t>
  </si>
  <si>
    <t xml:space="preserve">INTERPIG 2013. Internationella rapporten 2012. Gårds- och djurhälsan. </t>
  </si>
  <si>
    <t xml:space="preserve">INTERPIG 2012. Internationella rapporten 2011. Gårds- och djurhälsan. </t>
  </si>
  <si>
    <t xml:space="preserve">IPCC 2006. IPCC Guidelines for National Greenhouse Gas Inventories. Volume 4. Agriculture, Forestry and Other Land Use. Geneva, Switzerland.</t>
  </si>
  <si>
    <r>
      <rPr>
        <sz val="10"/>
        <rFont val="Calibri"/>
        <family val="2"/>
        <charset val="1"/>
      </rPr>
      <t xml:space="preserve">IPCC 2000. CH4 EMISSIONS FROM RICE AGRICULTURE. </t>
    </r>
    <r>
      <rPr>
        <i val="true"/>
        <sz val="10"/>
        <rFont val="Calibri"/>
        <family val="2"/>
        <charset val="1"/>
      </rPr>
      <t xml:space="preserve">Good Practice Guidance and Uncertainty Management in National Greenhouse Gas Inventories.</t>
    </r>
  </si>
  <si>
    <t xml:space="preserve">ISPRA 2017. Italian Greenhouse Gas Inventory 1990 - 2015. National Inventory Report 2017. .</t>
  </si>
  <si>
    <t xml:space="preserve">              JONSSON, I. 1987. Gödsling av frilandsodlade grönsaker. Trädgårdsrådgivningen informerar. Nr 21. Lantbruksstyrelsen (LBS) (now Swedish Board of Agriculture).</t>
  </si>
  <si>
    <t xml:space="preserve">              KAILIS, S. &amp; HARRIS, J.H. 2007. Producing Table Olives. Landlinks Press, Melbourne, Australia. </t>
  </si>
  <si>
    <r>
      <rPr>
        <sz val="12"/>
        <color rgb="FF000000"/>
        <rFont val="Times New Roman"/>
        <family val="1"/>
        <charset val="1"/>
      </rPr>
      <t xml:space="preserve">KALTSAS, A. M., MAMOLOS, A. P., TSATSARELIS, C. A., NANOS, G. D. &amp; KALBURTJI, K. L. 2007. Energy budget in organic and conventional olive groves. </t>
    </r>
    <r>
      <rPr>
        <i val="true"/>
        <sz val="12"/>
        <color rgb="FF000000"/>
        <rFont val="Times New Roman"/>
        <family val="1"/>
        <charset val="1"/>
      </rPr>
      <t xml:space="preserve">Agriculture, ecosystems &amp; environment,</t>
    </r>
    <r>
      <rPr>
        <sz val="12"/>
        <color rgb="FF000000"/>
        <rFont val="Times New Roman"/>
        <family val="1"/>
        <charset val="1"/>
      </rPr>
      <t xml:space="preserve"> 122</t>
    </r>
    <r>
      <rPr>
        <b val="true"/>
        <sz val="12"/>
        <color rgb="FF000000"/>
        <rFont val="Times New Roman"/>
        <family val="1"/>
        <charset val="1"/>
      </rPr>
      <t xml:space="preserve">,</t>
    </r>
    <r>
      <rPr>
        <sz val="12"/>
        <color rgb="FF000000"/>
        <rFont val="Times New Roman"/>
        <family val="1"/>
        <charset val="1"/>
      </rPr>
      <t xml:space="preserve"> 243-251.</t>
    </r>
  </si>
  <si>
    <t xml:space="preserve">              KAMB, A. &amp; LARSSON, J. 2018. Klimatpåverkan från svenska befolkningens flygresor 1990 – 2017.  Institutionen för Rymd-, geo- och miljövetenskap, Avdelningen för fysisk resursteori, Chalmers tekniska högskola. </t>
  </si>
  <si>
    <t xml:space="preserve">              KAVANAGH, S. n.d. Feeding the Dairy Cow. Animal &amp; Grassland Research &amp; Innovation Programme. TEAGASC, The Agriculture and Food Development Authority, Ireland.</t>
  </si>
  <si>
    <r>
      <rPr>
        <sz val="10"/>
        <rFont val="Calibri"/>
        <family val="2"/>
        <charset val="1"/>
      </rPr>
      <t xml:space="preserve">KNUDSEN, M. T. 2011. </t>
    </r>
    <r>
      <rPr>
        <i val="true"/>
        <sz val="10"/>
        <rFont val="Calibri"/>
        <family val="2"/>
        <charset val="1"/>
      </rPr>
      <t xml:space="preserve">Environmental assessment of imported organic products-focusing on orange juice from Brazil and soybeans from China</t>
    </r>
    <r>
      <rPr>
        <sz val="10"/>
        <rFont val="Calibri"/>
        <family val="2"/>
        <charset val="1"/>
      </rPr>
      <t xml:space="preserve">, Faculty of Life Sciences, University of Copenhagen.</t>
    </r>
  </si>
  <si>
    <t xml:space="preserve">KRAV 2010. Klimatsmart KRAV-fisk. Utsläpp av växthusgaser från 400 gr torskblock. En jämförelse mellan KRAV-godkända torskblock och genomsnittliga block. Uppsala, Sweden.</t>
  </si>
  <si>
    <r>
      <rPr>
        <sz val="10"/>
        <rFont val="Calibri"/>
        <family val="2"/>
        <charset val="1"/>
      </rPr>
      <t xml:space="preserve">KUNG MARKATTA 2018. </t>
    </r>
    <r>
      <rPr>
        <i val="true"/>
        <sz val="10"/>
        <rFont val="Calibri"/>
        <family val="2"/>
        <charset val="1"/>
      </rPr>
      <t xml:space="preserve">Ingredients list "Chokladdryck 310 g" </t>
    </r>
    <r>
      <rPr>
        <sz val="10"/>
        <rFont val="Calibri"/>
        <family val="2"/>
        <charset val="1"/>
      </rPr>
      <t xml:space="preserve">[Online]. Available: https://www.kungmarkatta.se/produkter/visa-produkt/chokladdryck-310g-500407/ [Accessed January 2018]</t>
    </r>
  </si>
  <si>
    <r>
      <rPr>
        <sz val="10"/>
        <rFont val="Calibri"/>
        <family val="2"/>
        <charset val="1"/>
      </rPr>
      <t xml:space="preserve">LANTMÄNNEN CEREALIA AB 2018. </t>
    </r>
    <r>
      <rPr>
        <i val="true"/>
        <sz val="10"/>
        <rFont val="Calibri"/>
        <family val="2"/>
        <charset val="1"/>
      </rPr>
      <t xml:space="preserve">Produktionsanläggningen</t>
    </r>
    <r>
      <rPr>
        <sz val="10"/>
        <rFont val="Calibri"/>
        <family val="2"/>
        <charset val="1"/>
      </rPr>
      <t xml:space="preserve">[Online]. Available: http://nordmills.se/om-oss/produktionen/produktionsanläggningen/ [Accessed January 2018]</t>
    </r>
  </si>
  <si>
    <r>
      <rPr>
        <sz val="10"/>
        <color rgb="FF000000"/>
        <rFont val="Calibri"/>
        <family val="2"/>
        <charset val="1"/>
      </rPr>
      <t xml:space="preserve">LARK, T. J., SALMON, J. M. &amp; GIBBS, H. K. 2015. Cropland expansion outpaces agricultural and biofuel policies in the United States. </t>
    </r>
    <r>
      <rPr>
        <i val="true"/>
        <sz val="10"/>
        <color rgb="FF000000"/>
        <rFont val="Calibri"/>
        <family val="2"/>
        <charset val="1"/>
      </rPr>
      <t xml:space="preserve">Environmental Research Letters,</t>
    </r>
    <r>
      <rPr>
        <sz val="10"/>
        <color rgb="FF000000"/>
        <rFont val="Calibri"/>
        <family val="2"/>
        <charset val="1"/>
      </rPr>
      <t xml:space="preserve"> 10</t>
    </r>
    <r>
      <rPr>
        <b val="true"/>
        <sz val="10"/>
        <color rgb="FF000000"/>
        <rFont val="Calibri"/>
        <family val="2"/>
        <charset val="1"/>
      </rPr>
      <t xml:space="preserve">,</t>
    </r>
    <r>
      <rPr>
        <sz val="10"/>
        <color rgb="FF000000"/>
        <rFont val="Calibri"/>
        <family val="2"/>
        <charset val="1"/>
      </rPr>
      <t xml:space="preserve"> 044003.</t>
    </r>
  </si>
  <si>
    <t xml:space="preserve">LEIP, A., WEISS, F., WASSENAAR, T., PEREZ, I., FELLMANN, T., LOUDJANI, P., TUBIELLO, F., GRANDGIRARD, D., MONNI, S. &amp; BIALA, K. 2010. Evaluation of the livestock sector's contribution to the EU greenhouse gas emissions (GGELS).</t>
  </si>
  <si>
    <t xml:space="preserve">              LINDH, C. &amp; NEUMAN, L. 2010. Tillverkning av gårdsbaserad RME. Ekonomisk rapport med känslighetsanalys. LRF KONSULT AB.</t>
  </si>
  <si>
    <t xml:space="preserve">              LRF 2017. Statistikplattform kött. The Federation of Swedish Farmers. </t>
  </si>
  <si>
    <t xml:space="preserve">LRF MJÖLK 2016. Mjölk i siffror 2016. The Federation of Swedish Farmers. </t>
  </si>
  <si>
    <r>
      <rPr>
        <sz val="10"/>
        <rFont val="Calibri"/>
        <family val="2"/>
        <charset val="1"/>
      </rPr>
      <t xml:space="preserve">MACLEAN, J. L. 2002. </t>
    </r>
    <r>
      <rPr>
        <i val="true"/>
        <sz val="10"/>
        <rFont val="Calibri"/>
        <family val="2"/>
        <charset val="1"/>
      </rPr>
      <t xml:space="preserve">Rice almanac: Source book for the most important economic activity on earth</t>
    </r>
    <r>
      <rPr>
        <sz val="10"/>
        <rFont val="Calibri"/>
        <family val="2"/>
        <charset val="1"/>
      </rPr>
      <t xml:space="preserve">, Int. Rice Res. Inst.</t>
    </r>
  </si>
  <si>
    <r>
      <rPr>
        <sz val="10"/>
        <rFont val="Calibri"/>
        <family val="2"/>
        <charset val="1"/>
      </rPr>
      <t xml:space="preserve">MAGNUSSON, M. 1995. Frilandsodlade grönsaker. Växtnäringsstudier. </t>
    </r>
    <r>
      <rPr>
        <i val="true"/>
        <sz val="10"/>
        <rFont val="Calibri"/>
        <family val="2"/>
        <charset val="1"/>
      </rPr>
      <t xml:space="preserve">Fakta Trädgård. Swedish University of Agricultural Sciences.</t>
    </r>
  </si>
  <si>
    <t xml:space="preserve">MAPAMA 2016. Esyrce. Encuesta sobre Superficies y Rendimientos. Ministerio de Agricultura y Pesca, Alimentación y Medio Ambiente, España.</t>
  </si>
  <si>
    <t xml:space="preserve">MAPAMA 2015. Esyrce. Encuesta sobre Superficies y Rendimientos. Ministerio de Agricultura y Pesca, Alimentación y Medio Ambiente, España.</t>
  </si>
  <si>
    <t xml:space="preserve">MAPAMA 2014. Esyrce. Encuesta sobre Superficies y Rendimientos. Ministerio de Agricultura y Pesca, Alimentación y Medio Ambiente, España.</t>
  </si>
  <si>
    <t xml:space="preserve">MAPAMA 2013. Esyrce. Encuesta sobre Superficies y Rendimientos. Ministerio de Agricultura y Pesca, Alimentación y Medio Ambiente, España.</t>
  </si>
  <si>
    <t xml:space="preserve">MAPAMA 2012. Esyrce. Encuesta sobre Superficies y Rendimientos. Ministerio de Agricultura y Pesca, Alimentación y Medio Ambiente, España.</t>
  </si>
  <si>
    <t xml:space="preserve">MAPAMA n.d. GUÍA PRÁCTICA DE LA FERTILIZACIÓN RACIONAL DE LOS CULTIVOS EN ESPAÑA. Abonado de los principales cultivos en España. Ministerio de Agricultura y Pesca, Alimentación y Medio Ambiente, España.</t>
  </si>
  <si>
    <r>
      <rPr>
        <sz val="10"/>
        <rFont val="Calibri"/>
        <family val="2"/>
        <charset val="1"/>
      </rPr>
      <t xml:space="preserve">MARABOU, n.d. </t>
    </r>
    <r>
      <rPr>
        <i val="true"/>
        <sz val="10"/>
        <rFont val="Calibri"/>
        <family val="2"/>
        <charset val="1"/>
      </rPr>
      <t xml:space="preserve">FAQ</t>
    </r>
    <r>
      <rPr>
        <sz val="10"/>
        <rFont val="Calibri"/>
        <family val="2"/>
        <charset val="1"/>
      </rPr>
      <t xml:space="preserve"> [Online] Available: http://www.marabou.se/faq [Accessed January 2018].</t>
    </r>
  </si>
  <si>
    <t xml:space="preserve">              MARMOLIN, C. &amp; BJÖRKHOLM, A-M. n.d. Växtnäringsrekommendationer till frilandsgrönsaker En sammanställning av rekommendationer som ges i Sverige, Norge, Finland, Tyskland, Holland och UK. Hushållningssällskapet. </t>
  </si>
  <si>
    <r>
      <rPr>
        <sz val="10"/>
        <rFont val="Calibri"/>
        <family val="2"/>
        <charset val="1"/>
      </rPr>
      <t xml:space="preserve">MBIE 2017. Annual emission factors data table. </t>
    </r>
    <r>
      <rPr>
        <i val="true"/>
        <sz val="10"/>
        <rFont val="Calibri"/>
        <family val="2"/>
        <charset val="1"/>
      </rPr>
      <t xml:space="preserve">In:</t>
    </r>
    <r>
      <rPr>
        <sz val="10"/>
        <rFont val="Calibri"/>
        <family val="2"/>
        <charset val="1"/>
      </rPr>
      <t xml:space="preserve"> MINISTRY OF BUSINESS, I. E., NEW ZEELAND (ed.).</t>
    </r>
  </si>
  <si>
    <t xml:space="preserve">MILJØ- OG FØDEVAREMINISTERIET 2015. Bekendtgørelse om jordbrugets anvendelse af gødning i planperioden 2015/2016 og om plantedække. BEKENDTGØRELSE nr 929 af 29/07/2015.</t>
  </si>
  <si>
    <t xml:space="preserve">MILJØ- OG FØDEVAREMINISTERIET 2014. Bekendtgørelse om jordbrugets anvendelse af gødning i planperioden 2014/2015 og om plantedække. BEKENDTGØRELSE nr 903 af 29/07/2014.</t>
  </si>
  <si>
    <t xml:space="preserve">MILJØ- OG FØDEVAREMINISTERIET 2013. Bekendtgørelse om jordbrugets anvendelse af gødning i planperioden 2013/2014 og om plantedække. BEKENDTGØRELSE nr 1092 af 06/09/2013. </t>
  </si>
  <si>
    <t xml:space="preserve">MILJØ- OG FØDEVAREMINISTERIET 2012. Bekendtgørelse om jordbrugets anvendelse af gødning i planperioden 2012/2013 og om plantedække. BEKENDTGØRELSE nr 804 af 18/07/2012. </t>
  </si>
  <si>
    <t xml:space="preserve">              MINISTRY OF ENVIRONMENT AND FOOD OF DENMARK 2017. Bekæmpelsesmiddelstatistik 2015. Behandlingshyppighed og pesticidbelastning, baseret på salgsstatistik og sprøjtejournaldata. Orientering fra Miljøstyrelsen nr. 17 Januar 2017. </t>
  </si>
  <si>
    <t xml:space="preserve">              MITHRARATNE, N., MCLAREN, S. &amp; BARBER, A. 2008. Carbon footprinting for the Kiwifruit supply chain—report on methodology and scoping study. Landcare research Contract Report LC0708/156, prepared for New Zealand Ministry of Agriculture and Forestry. </t>
  </si>
  <si>
    <t xml:space="preserve">MONTERO, J., BAPTISTA, F., GIUFFRIDA, F., MUNOZ, P., KEMPKES, F., GILLI, C., STEPOWSKA, A. &amp; STANGHELLINI, C. 2016. Energy use for greenhouse heating in organic production in southern European countries.  III International Symposium on Organic Greenhouse Horticulture 1164, 2016. 439-444.</t>
  </si>
  <si>
    <t xml:space="preserve">              MUTUA, J. 2000. POST HARVEST HANDLING AND PROCESSING OF COFFEE IN AFRICAN COUNTRIES. FOOD AND AGRICULTURE ORGANIZATION OF THE UNITED NATIONS, FAO. </t>
  </si>
  <si>
    <r>
      <rPr>
        <sz val="10"/>
        <rFont val="Calibri"/>
        <family val="2"/>
        <charset val="1"/>
      </rPr>
      <t xml:space="preserve">MYHRE, G., SHINDELL, D., BRÉON, F.-M., COLLINS, W., FUGLESTVEDT, J., HUANG, J., KOCH, D., LAMARQUE, J.-F., LEE, D., MENDOZA, B., NAKAJIMA, T., ROBOCK, A., STEPHENS, G., TAKEMURA, T. &amp; ZHANG, H. 2013. Anthropogenic and Natural Radiative Forcing. In: Climate Change 2013: The Physical Science Basis. Contribution of Working Group I to the Fifth Assessment Report of the Intergovernmental Panel on Climate Change. </t>
    </r>
    <r>
      <rPr>
        <i val="true"/>
        <sz val="10"/>
        <rFont val="Calibri"/>
        <family val="2"/>
        <charset val="1"/>
      </rPr>
      <t xml:space="preserve">In:</t>
    </r>
    <r>
      <rPr>
        <sz val="10"/>
        <rFont val="Calibri"/>
        <family val="2"/>
        <charset val="1"/>
      </rPr>
      <t xml:space="preserve"> STOCKER, T. F., QIN, D., PLATTNER, G.-K., TIGNOR, M., ALLEN, S. K., BOSCHUNG, J., NAUELS, A., XIA, Y., BEX, V. &amp; MIDGLEY, P. M. (eds.).</t>
    </r>
  </si>
  <si>
    <t xml:space="preserve">NATIONAL FOOD AGENCY, SWEDEN. 2017. The food database. 2017 ed. Uppsala, Sweden: National Food Agency, Sweden.</t>
  </si>
  <si>
    <t xml:space="preserve">NATIONAL FOOD AGENCY, SWEDEN. 2009. Livsmedelsverkets författningssamling, Livsmedelsverkets föreskrifter om cider, LIVSFS 2005: 11.</t>
  </si>
  <si>
    <t xml:space="preserve">NATIONAL FOOD AGENCY, SWEDEN. n.d. Aminosyror i livsmedel, mg per 100 g ätlig del.</t>
  </si>
  <si>
    <t xml:space="preserve">NESTLÉ n.d. [Online]. Available: https://www.nestlebarnmat.se [Accessed March 2018].</t>
  </si>
  <si>
    <r>
      <rPr>
        <sz val="10"/>
        <rFont val="Calibri"/>
        <family val="2"/>
        <charset val="1"/>
      </rPr>
      <t xml:space="preserve">NILSSON, K. &amp; LINDBERG, U. 2011b. Klimatpåverkan i kylkedjan–från livsmedelsindustri till konsument. </t>
    </r>
    <r>
      <rPr>
        <i val="true"/>
        <sz val="10"/>
        <rFont val="Calibri"/>
        <family val="2"/>
        <charset val="1"/>
      </rPr>
      <t xml:space="preserve">Sweden: Livsmedelsverket</t>
    </r>
    <r>
      <rPr>
        <sz val="10"/>
        <rFont val="Calibri"/>
        <family val="2"/>
        <charset val="1"/>
      </rPr>
      <t xml:space="preserve">.</t>
    </r>
  </si>
  <si>
    <t xml:space="preserve">NILSSON, K., FLORÉN, B. &amp; SONESSON, U. 2009. KLIMATPÅVERKAN FRÅN PRIMÄRFÖRPACKNINGAR FÖR OLIKA LIVSMEDELSGRUPPER. UNDERLAG TILL KLIMATCERTIFIERING.</t>
  </si>
  <si>
    <r>
      <rPr>
        <sz val="10"/>
        <rFont val="Calibri"/>
        <family val="2"/>
        <charset val="1"/>
      </rPr>
      <t xml:space="preserve">NILSSON, K., FLYSJÖ, A., DAVIS, J., SIM, S., UNGER, N. &amp; BELL, S. 2010. Comparative life cycle assessment of margarine and butter consumed in the UK, Germany and France. </t>
    </r>
    <r>
      <rPr>
        <i val="true"/>
        <sz val="10"/>
        <rFont val="Calibri"/>
        <family val="2"/>
        <charset val="1"/>
      </rPr>
      <t xml:space="preserve">The International Journal of Life Cycle Assessment,</t>
    </r>
    <r>
      <rPr>
        <sz val="10"/>
        <rFont val="Calibri"/>
        <family val="2"/>
        <charset val="1"/>
      </rPr>
      <t xml:space="preserve"> 15</t>
    </r>
    <r>
      <rPr>
        <b val="true"/>
        <sz val="10"/>
        <rFont val="Calibri"/>
        <family val="2"/>
        <charset val="1"/>
      </rPr>
      <t xml:space="preserve">,</t>
    </r>
    <r>
      <rPr>
        <sz val="10"/>
        <rFont val="Calibri"/>
        <family val="2"/>
        <charset val="1"/>
      </rPr>
      <t xml:space="preserve"> 916-926.</t>
    </r>
  </si>
  <si>
    <r>
      <rPr>
        <sz val="10"/>
        <rFont val="Calibri"/>
        <family val="2"/>
        <charset val="1"/>
      </rPr>
      <t xml:space="preserve">NILSSON, K., SUND, V. &amp; FLORÉN, B. 2011a. </t>
    </r>
    <r>
      <rPr>
        <i val="true"/>
        <sz val="10"/>
        <rFont val="Calibri"/>
        <family val="2"/>
        <charset val="1"/>
      </rPr>
      <t xml:space="preserve">The environmental impact of the consumption of sweets, crisps and soft drinks</t>
    </r>
    <r>
      <rPr>
        <sz val="10"/>
        <rFont val="Calibri"/>
        <family val="2"/>
        <charset val="1"/>
      </rPr>
      <t xml:space="preserve">, Nordic Council of Ministers.</t>
    </r>
  </si>
  <si>
    <r>
      <rPr>
        <sz val="10"/>
        <rFont val="Calibri"/>
        <family val="2"/>
        <charset val="1"/>
      </rPr>
      <t xml:space="preserve">              NILSSON, T. 2011. Gödsling av hallon. LTJ-fakultetens faktablad. Fakta från Tillväxt Trädgård, nr 8.</t>
    </r>
    <r>
      <rPr>
        <i val="true"/>
        <sz val="10"/>
        <rFont val="Calibri"/>
        <family val="2"/>
        <charset val="1"/>
      </rPr>
      <t xml:space="preserve"> </t>
    </r>
    <r>
      <rPr>
        <sz val="10"/>
        <rFont val="Calibri"/>
        <family val="2"/>
        <charset val="1"/>
      </rPr>
      <t xml:space="preserve">Fakulteten för landskapsplanering, trädgårds- och jordbruksvetenskap 2011. Swedish University of Agricultural Sciences.</t>
    </r>
  </si>
  <si>
    <t xml:space="preserve">NTM n.d. NTMCalc Basic 4.0. Environmental Performance Calculator. Network for Transport and Environment, NTM Road transport.</t>
  </si>
  <si>
    <r>
      <rPr>
        <sz val="10"/>
        <rFont val="Calibri"/>
        <family val="2"/>
        <charset val="1"/>
      </rPr>
      <t xml:space="preserve">              O'BOY 2018. </t>
    </r>
    <r>
      <rPr>
        <i val="true"/>
        <sz val="10"/>
        <rFont val="Calibri"/>
        <family val="2"/>
        <charset val="1"/>
      </rPr>
      <t xml:space="preserve">Ingredients list "O'boy original" </t>
    </r>
    <r>
      <rPr>
        <sz val="10"/>
        <rFont val="Calibri"/>
        <family val="2"/>
        <charset val="1"/>
      </rPr>
      <t xml:space="preserve">[Online]. Available: http://www.oboy.se/produkter/oboy-original [Accessed January 2018].</t>
    </r>
  </si>
  <si>
    <r>
      <rPr>
        <sz val="10"/>
        <rFont val="Calibri"/>
        <family val="2"/>
        <charset val="1"/>
      </rPr>
      <t xml:space="preserve">              PACHANAWAN, A. CHUAN-UDOM, S., SAENGPRACHATANARUG, K. &amp; WONGPICHET, S. 2017. Electrical Energy Consumption and Energy Conservation of Rice Mills in the Northeastern of Thailand. </t>
    </r>
    <r>
      <rPr>
        <i val="true"/>
        <sz val="10"/>
        <rFont val="Calibri"/>
        <family val="2"/>
        <charset val="1"/>
      </rPr>
      <t xml:space="preserve">Engineering Journal, </t>
    </r>
    <r>
      <rPr>
        <sz val="10"/>
        <rFont val="Calibri"/>
        <family val="2"/>
        <charset val="1"/>
      </rPr>
      <t xml:space="preserve">21(4), 73-82. </t>
    </r>
  </si>
  <si>
    <r>
      <rPr>
        <sz val="10"/>
        <rFont val="Calibri"/>
        <family val="2"/>
        <charset val="1"/>
      </rPr>
      <t xml:space="preserve">PARKER, R. W., BLANCHARD, J. L., GARDNER, C., GREEN, B. S., HARTMANN, K., TYEDMERS, P. H. &amp; WATSON, R. A. 2018. Fuel use and greenhouse gas emissions of world fisheries. </t>
    </r>
    <r>
      <rPr>
        <i val="true"/>
        <sz val="10"/>
        <rFont val="Calibri"/>
        <family val="2"/>
        <charset val="1"/>
      </rPr>
      <t xml:space="preserve">Nature Climate Change,</t>
    </r>
    <r>
      <rPr>
        <sz val="10"/>
        <rFont val="Calibri"/>
        <family val="2"/>
        <charset val="1"/>
      </rPr>
      <t xml:space="preserve"> 8</t>
    </r>
    <r>
      <rPr>
        <b val="true"/>
        <sz val="10"/>
        <rFont val="Calibri"/>
        <family val="2"/>
        <charset val="1"/>
      </rPr>
      <t xml:space="preserve">,</t>
    </r>
    <r>
      <rPr>
        <sz val="10"/>
        <rFont val="Calibri"/>
        <family val="2"/>
        <charset val="1"/>
      </rPr>
      <t xml:space="preserve"> 333.</t>
    </r>
  </si>
  <si>
    <r>
      <rPr>
        <sz val="10"/>
        <rFont val="Calibri"/>
        <family val="2"/>
        <charset val="1"/>
      </rPr>
      <t xml:space="preserve">PARKER, R. W. &amp; TYEDMERS, P. H. 2015. Fuel consumption of global fishing fleets: current understanding and knowledge gaps. </t>
    </r>
    <r>
      <rPr>
        <i val="true"/>
        <sz val="10"/>
        <rFont val="Calibri"/>
        <family val="2"/>
        <charset val="1"/>
      </rPr>
      <t xml:space="preserve">Fish and Fisheries,</t>
    </r>
    <r>
      <rPr>
        <sz val="10"/>
        <rFont val="Calibri"/>
        <family val="2"/>
        <charset val="1"/>
      </rPr>
      <t xml:space="preserve"> 16</t>
    </r>
    <r>
      <rPr>
        <b val="true"/>
        <sz val="10"/>
        <rFont val="Calibri"/>
        <family val="2"/>
        <charset val="1"/>
      </rPr>
      <t xml:space="preserve">,</t>
    </r>
    <r>
      <rPr>
        <sz val="10"/>
        <rFont val="Calibri"/>
        <family val="2"/>
        <charset val="1"/>
      </rPr>
      <t xml:space="preserve"> 684-696.</t>
    </r>
  </si>
  <si>
    <r>
      <rPr>
        <sz val="10"/>
        <rFont val="Calibri"/>
        <family val="2"/>
        <charset val="1"/>
      </rPr>
      <t xml:space="preserve">PERSSON, U. M., JOHANSSON, D. J., CEDERBERG, C., HEDENUS, F. &amp; BRYNGELSSON, D. 2015. Climate metrics and the carbon footprint of livestock products: where’s the beef? </t>
    </r>
    <r>
      <rPr>
        <i val="true"/>
        <sz val="10"/>
        <rFont val="Calibri"/>
        <family val="2"/>
        <charset val="1"/>
      </rPr>
      <t xml:space="preserve">Environmental Research Letters,</t>
    </r>
    <r>
      <rPr>
        <sz val="10"/>
        <rFont val="Calibri"/>
        <family val="2"/>
        <charset val="1"/>
      </rPr>
      <t xml:space="preserve"> 10</t>
    </r>
    <r>
      <rPr>
        <b val="true"/>
        <sz val="10"/>
        <rFont val="Calibri"/>
        <family val="2"/>
        <charset val="1"/>
      </rPr>
      <t xml:space="preserve">,</t>
    </r>
    <r>
      <rPr>
        <sz val="10"/>
        <rFont val="Calibri"/>
        <family val="2"/>
        <charset val="1"/>
      </rPr>
      <t xml:space="preserve"> 034005.</t>
    </r>
  </si>
  <si>
    <r>
      <rPr>
        <sz val="10"/>
        <rFont val="Calibri"/>
        <family val="2"/>
        <charset val="1"/>
      </rPr>
      <t xml:space="preserve">RECANATI, F., MARVEGGIO, D. &amp; DOTELLI, G. 2018. From beans to bar: A life cycle assessment towards sustainable chocolate supply chain. </t>
    </r>
    <r>
      <rPr>
        <i val="true"/>
        <sz val="10"/>
        <rFont val="Calibri"/>
        <family val="2"/>
        <charset val="1"/>
      </rPr>
      <t xml:space="preserve">Science of The Total Environment,</t>
    </r>
    <r>
      <rPr>
        <sz val="10"/>
        <rFont val="Calibri"/>
        <family val="2"/>
        <charset val="1"/>
      </rPr>
      <t xml:space="preserve"> 613</t>
    </r>
    <r>
      <rPr>
        <b val="true"/>
        <sz val="10"/>
        <rFont val="Calibri"/>
        <family val="2"/>
        <charset val="1"/>
      </rPr>
      <t xml:space="preserve">,</t>
    </r>
    <r>
      <rPr>
        <sz val="10"/>
        <rFont val="Calibri"/>
        <family val="2"/>
        <charset val="1"/>
      </rPr>
      <t xml:space="preserve"> 1013-1023.</t>
    </r>
  </si>
  <si>
    <r>
      <rPr>
        <sz val="10"/>
        <rFont val="Calibri"/>
        <family val="2"/>
        <charset val="1"/>
      </rPr>
      <t xml:space="preserve">               RODRIGUES, CI., MAIA, R. &amp; MÁGUAS, C. 2010. Comparing total nitrogen and crude protein content of green coffee beans (</t>
    </r>
    <r>
      <rPr>
        <i val="true"/>
        <sz val="10"/>
        <rFont val="Calibri"/>
        <family val="2"/>
        <charset val="1"/>
      </rPr>
      <t xml:space="preserve">coffea</t>
    </r>
    <r>
      <rPr>
        <sz val="10"/>
        <rFont val="Calibri"/>
        <family val="2"/>
        <charset val="1"/>
      </rPr>
      <t xml:space="preserve"> spp.) from different geographical origins. </t>
    </r>
    <r>
      <rPr>
        <i val="true"/>
        <sz val="10"/>
        <rFont val="Calibri"/>
        <family val="2"/>
        <charset val="1"/>
      </rPr>
      <t xml:space="preserve">Coffee Science</t>
    </r>
    <r>
      <rPr>
        <sz val="10"/>
        <rFont val="Calibri"/>
        <family val="2"/>
        <charset val="1"/>
      </rPr>
      <t xml:space="preserve">, 5:197–205.</t>
    </r>
  </si>
  <si>
    <r>
      <rPr>
        <sz val="12"/>
        <color rgb="FF000000"/>
        <rFont val="Times New Roman"/>
        <family val="1"/>
        <charset val="1"/>
      </rPr>
      <t xml:space="preserve">RÖÖS, E. &amp; KARLSSON, H. 2013. Effect of eating seasonal on the carbon footprint of Swedish vegetable consumption. </t>
    </r>
    <r>
      <rPr>
        <i val="true"/>
        <sz val="12"/>
        <color rgb="FF000000"/>
        <rFont val="Times New Roman"/>
        <family val="1"/>
        <charset val="1"/>
      </rPr>
      <t xml:space="preserve">Journal of Cleaner Production,</t>
    </r>
    <r>
      <rPr>
        <sz val="12"/>
        <color rgb="FF000000"/>
        <rFont val="Times New Roman"/>
        <family val="1"/>
        <charset val="1"/>
      </rPr>
      <t xml:space="preserve"> 59</t>
    </r>
    <r>
      <rPr>
        <b val="true"/>
        <sz val="12"/>
        <color rgb="FF000000"/>
        <rFont val="Times New Roman"/>
        <family val="1"/>
        <charset val="1"/>
      </rPr>
      <t xml:space="preserve">,</t>
    </r>
    <r>
      <rPr>
        <sz val="12"/>
        <color rgb="FF000000"/>
        <rFont val="Times New Roman"/>
        <family val="1"/>
        <charset val="1"/>
      </rPr>
      <t xml:space="preserve"> 63-72.</t>
    </r>
  </si>
  <si>
    <r>
      <rPr>
        <sz val="10"/>
        <rFont val="Calibri"/>
        <family val="2"/>
        <charset val="1"/>
      </rPr>
      <t xml:space="preserve">RÖÖS, E., SUNDBERG, C. &amp; HANSSON, P.-A. 2011. Uncertainties in the carbon footprint of refined wheat products: a case study on Swedish pasta. </t>
    </r>
    <r>
      <rPr>
        <i val="true"/>
        <sz val="10"/>
        <rFont val="Calibri"/>
        <family val="2"/>
        <charset val="1"/>
      </rPr>
      <t xml:space="preserve">The International Journal of Life Cycle Assessment,</t>
    </r>
    <r>
      <rPr>
        <sz val="10"/>
        <rFont val="Calibri"/>
        <family val="2"/>
        <charset val="1"/>
      </rPr>
      <t xml:space="preserve"> 16</t>
    </r>
    <r>
      <rPr>
        <b val="true"/>
        <sz val="10"/>
        <rFont val="Calibri"/>
        <family val="2"/>
        <charset val="1"/>
      </rPr>
      <t xml:space="preserve">,</t>
    </r>
    <r>
      <rPr>
        <sz val="10"/>
        <rFont val="Calibri"/>
        <family val="2"/>
        <charset val="1"/>
      </rPr>
      <t xml:space="preserve"> 338.</t>
    </r>
  </si>
  <si>
    <t xml:space="preserve">SBA, 2017a. Price Indices and Prices in the Food Sector – Annual and Monthly Statistics – 2017:03. Swedish Board of Agriculture. </t>
  </si>
  <si>
    <t xml:space="preserve">SBA, 2017b. Statistical Database. Swedish Board of Agriculture.</t>
  </si>
  <si>
    <r>
      <rPr>
        <sz val="10"/>
        <rFont val="Calibri"/>
        <family val="2"/>
        <charset val="1"/>
      </rPr>
      <t xml:space="preserve">               SBA, 2016a.</t>
    </r>
    <r>
      <rPr>
        <b val="true"/>
        <sz val="10"/>
        <rFont val="Calibri"/>
        <family val="2"/>
        <charset val="1"/>
      </rPr>
      <t xml:space="preserve"> </t>
    </r>
    <r>
      <rPr>
        <sz val="10"/>
        <rFont val="Calibri"/>
        <family val="2"/>
        <charset val="1"/>
      </rPr>
      <t xml:space="preserve">Hur stor andel av livsmedlen som säljs på marknaden är producerade i Sverige? På tal om jordbruk och fiske – fördjupning om aktuella frågor. Swedish Board of Agriculture. </t>
    </r>
  </si>
  <si>
    <t xml:space="preserve">               SBA, 2016b. Marknadsöversikt – mjölk och mejeriprodukter. Rapport 2016:11. Swedish Board of Agriculture.</t>
  </si>
  <si>
    <r>
      <rPr>
        <sz val="10"/>
        <rFont val="Calibri"/>
        <family val="2"/>
        <charset val="1"/>
      </rPr>
      <t xml:space="preserve">               SBA, 2016c. Marknadsöversikt 2016 Frukt och grönsaker</t>
    </r>
    <r>
      <rPr>
        <i val="true"/>
        <sz val="10"/>
        <rFont val="Calibri"/>
        <family val="2"/>
        <charset val="1"/>
      </rPr>
      <t xml:space="preserve">. </t>
    </r>
    <r>
      <rPr>
        <sz val="10"/>
        <rFont val="Calibri"/>
        <family val="2"/>
        <charset val="1"/>
      </rPr>
      <t xml:space="preserve">Rapport 2016:22. Swedish Board of Agriculture. </t>
    </r>
  </si>
  <si>
    <t xml:space="preserve">SBA, 2016d. Foderstatistik 2015. Råvaror ingående i foderblandningar för samtliga djurslag. Swedish Board of Agriculture.</t>
  </si>
  <si>
    <r>
      <rPr>
        <sz val="10"/>
        <rFont val="Calibri"/>
        <family val="2"/>
        <charset val="1"/>
      </rPr>
      <t xml:space="preserve">               SBA, 2015a. Marknadsöversikt potatis till mat och stärkelseproduktion 2015 Fredagsmys och husmanskost</t>
    </r>
    <r>
      <rPr>
        <i val="true"/>
        <sz val="10"/>
        <rFont val="Calibri"/>
        <family val="2"/>
        <charset val="1"/>
      </rPr>
      <t xml:space="preserve">. </t>
    </r>
    <r>
      <rPr>
        <sz val="10"/>
        <rFont val="Calibri"/>
        <family val="2"/>
        <charset val="1"/>
      </rPr>
      <t xml:space="preserve">Rapport 2015:9. Swedish Board of Agriculture. </t>
    </r>
  </si>
  <si>
    <t xml:space="preserve">SBA 2015b. Trädgårdsproduktion 2014. The 2014 Horticultural Census. JO 33 SM 1501. Swedish Board of Agriculture.
</t>
  </si>
  <si>
    <t xml:space="preserve">SBA 2015c. Energianvändning i växthus 2014. Tomat, gurka och prydnadsväxter. Greenhouse energy use in 2014. Statistikrapport 2015:04. Swedish Board of Agriculture.
</t>
  </si>
  <si>
    <t xml:space="preserve">SBA, 2015d. Foderstatistik 2014. Råvaror ingående i foderblandningar för samtliga djurslag. Swedish Board of Agriculture.</t>
  </si>
  <si>
    <t xml:space="preserve">SBA, 2014a. Price Indices and Prices in the Food Sector – Annual and Monthly Statistics – 2014:03. Swedish Board of Agriculture. </t>
  </si>
  <si>
    <t xml:space="preserve">SBA, 2014b. Marknadsöversikt – Spannmål. Rapport 2014:08. Swedish Board of Agriculture. </t>
  </si>
  <si>
    <t xml:space="preserve">SBA, 2014c. Foderstatistik 2013. Råvaror ingående i foderblandningar för samtliga djurslag. Swedish Board of Agriculture.</t>
  </si>
  <si>
    <t xml:space="preserve">SBA, 2013. Foderstatistik 2012. Råvaror ingående i foderblandningar för samtliga djurslag. Swedish Board of Agriculture.</t>
  </si>
  <si>
    <t xml:space="preserve">SBA, 2012. Foderstatistik 2011. Råvaror ingående i foderblandningar för samtliga djurslag. Swedish Board of Agriculture.</t>
  </si>
  <si>
    <t xml:space="preserve">               SBA 2011. Ekonomi i bärodling Kalkyler för jordgubbar och hallon. Jordbruksinformation 13 – 2011. Swedish Board of Agriculture.</t>
  </si>
  <si>
    <t xml:space="preserve">               SBA 2010a. Energikartläggning av de areella näringarna. Regeringsuppdrag Jo 2009/1596. Rapport 2010:16. Swedish Board of Agriculture. </t>
  </si>
  <si>
    <t xml:space="preserve">               SBA 2010b. Olivolja och bordsoliver. Rapport 2010:34. Swedish Board of Agriculture.  </t>
  </si>
  <si>
    <t xml:space="preserve">               SBA 2004. Gödslings- och kalkningsråd för fruktodling 2004. Jordbruksinformation 5 – 2004. Swedish Board of Agriculture. </t>
  </si>
  <si>
    <t xml:space="preserve">               SBA n.d. Miljöersättning för bruna bönor på Öland programperiod 2007-2013. [Online]. Available: https://www.jordbruksverket.se/amnesomraden/stod/jordbrukarstod/stodochersattningar2018/miljoersattningar/miljoersattningar20072013/brunabonorpaoland20072013.4.7850716f11cd786b52d8000802.html [Accessed January 2019].</t>
  </si>
  <si>
    <t xml:space="preserve">SEPA 2017. National Inventory Report Sweden 2017. Greenhouse Gas Emission Inventories 1990-2015. Submitted under the United Nations Framework Convention on Climate Change and the Kyoto Protocol. Stockholm, Sweden.</t>
  </si>
  <si>
    <t xml:space="preserve">               SEPA 2014. National Inventory Report Sweden 2014. Greenhouse Gas Emission Inventories 1990-2012. Submitted under the United Nations Framework Convention on Climate Change and the Kyoto Protocol. Swedish Environmental Protection Agency. 
</t>
  </si>
  <si>
    <t xml:space="preserve">SIK 2011. Klimatpåverkan från bröd – kommunikationsunderlag. P80427. Utdrag ur rapport till Brödinstitutet januari 2009. SIK Institutet för livsmedel och bioteknik.</t>
  </si>
  <si>
    <t xml:space="preserve">SPAWN, S., LARK, T. &amp; GIBBS, H. High carbon losses due to recent cropland expansion in the United States.  AGU Fall Meeting Abstracts, 2017.</t>
  </si>
  <si>
    <t xml:space="preserve">SPENDRUPS 2017. Spendrups hållbarhetsredovisning 2016.</t>
  </si>
  <si>
    <t xml:space="preserve">               SPRUIJT, J. &amp; VAN DER VOORT, M. 2015. Kwantitatieve Informatie Akkerbouw en Vollegrondsgroenteteelt 2015. Wageningen, the Netherlands: Wageningen University &amp; Research.</t>
  </si>
  <si>
    <t xml:space="preserve">SS, 2017a. Statistical Database. Statistics Sweden.</t>
  </si>
  <si>
    <t xml:space="preserve">               SS 2017b. Gödselmedel i jordbruket 2015/16. Mineral- och stallgödsel till olika grödor samt hantering och lagring av stallgödsel. Use of fertilisers and animal manure in agriculture in 2015/16. MI 30 SM 1702. Statistics Sweden. </t>
  </si>
  <si>
    <t xml:space="preserve">               SS 2011. Växtskyddsmedel i jord- och trädgårdsbruket 2010 Användning i grödor. Plant protection products in agriculture and horticulture. Use in crops. MI 31 SM 1101. Statistics Sweden. </t>
  </si>
  <si>
    <r>
      <rPr>
        <sz val="10"/>
        <rFont val="Calibri"/>
        <family val="2"/>
        <charset val="1"/>
      </rPr>
      <t xml:space="preserve">STANGHELLINI, C., KEMPKES, F., PARDOSSI, A. &amp; INCROCCI, L. 2005. Closed water loop in greenhouses: effect of water quality and value of produce. </t>
    </r>
    <r>
      <rPr>
        <i val="true"/>
        <sz val="10"/>
        <rFont val="Calibri"/>
        <family val="2"/>
        <charset val="1"/>
      </rPr>
      <t xml:space="preserve">Acta Horticulturae,</t>
    </r>
    <r>
      <rPr>
        <sz val="10"/>
        <rFont val="Calibri"/>
        <family val="2"/>
        <charset val="1"/>
      </rPr>
      <t xml:space="preserve"> 691</t>
    </r>
    <r>
      <rPr>
        <b val="true"/>
        <sz val="10"/>
        <rFont val="Calibri"/>
        <family val="2"/>
        <charset val="1"/>
      </rPr>
      <t xml:space="preserve">,</t>
    </r>
    <r>
      <rPr>
        <sz val="10"/>
        <rFont val="Calibri"/>
        <family val="2"/>
        <charset val="1"/>
      </rPr>
      <t xml:space="preserve"> 233-242.</t>
    </r>
  </si>
  <si>
    <r>
      <rPr>
        <sz val="12"/>
        <color rgb="FF000000"/>
        <rFont val="Times New Roman"/>
        <family val="1"/>
        <charset val="1"/>
      </rPr>
      <t xml:space="preserve">STOESSEL, F., JURASKE, R., PFISTER, S. &amp; HELLWEG, S. 2012. Life cycle inventory and carbon and water FoodPrint of fruits and vegetables: Application to a Swiss retailer. </t>
    </r>
    <r>
      <rPr>
        <i val="true"/>
        <sz val="12"/>
        <color rgb="FF000000"/>
        <rFont val="Times New Roman"/>
        <family val="1"/>
        <charset val="1"/>
      </rPr>
      <t xml:space="preserve">Environmental science &amp; technology,</t>
    </r>
    <r>
      <rPr>
        <sz val="12"/>
        <color rgb="FF000000"/>
        <rFont val="Times New Roman"/>
        <family val="1"/>
        <charset val="1"/>
      </rPr>
      <t xml:space="preserve"> 46</t>
    </r>
    <r>
      <rPr>
        <b val="true"/>
        <sz val="12"/>
        <color rgb="FF000000"/>
        <rFont val="Times New Roman"/>
        <family val="1"/>
        <charset val="1"/>
      </rPr>
      <t xml:space="preserve">,</t>
    </r>
    <r>
      <rPr>
        <sz val="12"/>
        <color rgb="FF000000"/>
        <rFont val="Times New Roman"/>
        <family val="1"/>
        <charset val="1"/>
      </rPr>
      <t xml:space="preserve"> 3253-3262.</t>
    </r>
  </si>
  <si>
    <t xml:space="preserve">STRIPPLE, H., ALMEMARK, M., WRANNE, J. &amp; ERIKSSON, E. 2014. Livscykelanalys av glasflaskor, PET-flaskor och aluminiumburkar i det svenska distributionssystemet för drycker. En uppföljning av studierna från år 2008. För Sveriges Bryggerier. Stockholm, Sweden: IVL Svenska Miljöinstitutet.</t>
  </si>
  <si>
    <r>
      <rPr>
        <sz val="10"/>
        <rFont val="Calibri"/>
        <family val="2"/>
        <charset val="1"/>
      </rPr>
      <t xml:space="preserve">SVENSK FÅGEL n.d. </t>
    </r>
    <r>
      <rPr>
        <i val="true"/>
        <sz val="10"/>
        <rFont val="Calibri"/>
        <family val="2"/>
        <charset val="1"/>
      </rPr>
      <t xml:space="preserve">Produktionskedjan </t>
    </r>
    <r>
      <rPr>
        <sz val="10"/>
        <rFont val="Calibri"/>
        <family val="2"/>
        <charset val="1"/>
      </rPr>
      <t xml:space="preserve">[Online]. Available: https://svenskfagel.se/produktionskedjan/ [Accessed November 2017].</t>
    </r>
  </si>
  <si>
    <t xml:space="preserve">SWEDISH AGENCY FOR PUBLIC MANAGEMENT 2010. Effekter på priset för handelsgödsel när skatten på kväve i handelsgödsel avskaffas.</t>
  </si>
  <si>
    <t xml:space="preserve">SWEDISH CLIMATE CERTIFICATION FOR FOOD 2010. KLIMATPÅVERKAN FRÅN LIVSMEDELSTRANSPORTER UNDERLAG TILL KLIMATCERTIFIERING.</t>
  </si>
  <si>
    <t xml:space="preserve">SWEDISH CLIMATE CERTIFICATION FOR FOOD 2009. LAGRING av färska frukter och grönsaker samt spannmålsprodukter. Underlag till regler för minskad klimatpåverkan inom livsmedelsproduktionen.</t>
  </si>
  <si>
    <t xml:space="preserve">              SWEDISH ENERGY AGENCY 2014. Energianvändning inom jordbruket 2013 Energy use in the agricultural sector 2013. ES 2014:07. Eskilstuna, Sweden. </t>
  </si>
  <si>
    <t xml:space="preserve">SYSTEMBOLAGET 2016. Lanseringsplan 2017.</t>
  </si>
  <si>
    <t xml:space="preserve">               TEAGASC 2015. Beef Production System guidelines. Animal &amp; Grassland Research &amp; Innovation Programme.  The Agriculture and Food Development Authority, Ireland. </t>
  </si>
  <si>
    <r>
      <rPr>
        <sz val="10"/>
        <rFont val="Calibri"/>
        <family val="2"/>
        <charset val="1"/>
      </rPr>
      <t xml:space="preserve">TSIROPOULOS, I., COK, B. &amp; PATEL, M. K. 2013. Energy and greenhouse gas assessment of European glucose production from corn–a multiple allocation approach for a key ingredient of the bio-based economy. </t>
    </r>
    <r>
      <rPr>
        <i val="true"/>
        <sz val="10"/>
        <rFont val="Calibri"/>
        <family val="2"/>
        <charset val="1"/>
      </rPr>
      <t xml:space="preserve">Journal of cleaner production,</t>
    </r>
    <r>
      <rPr>
        <sz val="10"/>
        <rFont val="Calibri"/>
        <family val="2"/>
        <charset val="1"/>
      </rPr>
      <t xml:space="preserve"> 43</t>
    </r>
    <r>
      <rPr>
        <b val="true"/>
        <sz val="10"/>
        <rFont val="Calibri"/>
        <family val="2"/>
        <charset val="1"/>
      </rPr>
      <t xml:space="preserve">,</t>
    </r>
    <r>
      <rPr>
        <sz val="10"/>
        <rFont val="Calibri"/>
        <family val="2"/>
        <charset val="1"/>
      </rPr>
      <t xml:space="preserve"> 182-190.</t>
    </r>
  </si>
  <si>
    <t xml:space="preserve">UBA 2017. National Inventory Report for the German Greenhouse Gas Inventory 1990 – 2015. Federal Environment Agency Submission under the United Nations Framework Convention on Climate Change and the Kyoto Protocol 2017.</t>
  </si>
  <si>
    <t xml:space="preserve">VELDEN, N. &amp; SMIT, P. 2016. Energiemonitor van de Nederlandse glastuinbouw 2015. Wageningen University &amp; Research. Wageningen, the Netherlands.</t>
  </si>
  <si>
    <t xml:space="preserve">VELDEN, N. &amp; SMIT, P. 2015. Energiemonitor van de Nederlandse glastuinbouw 2014. Wageningen University &amp; Research. Wageningen, the Netherlands.</t>
  </si>
  <si>
    <t xml:space="preserve">VELDEN, N. &amp; SMIT, P. 2014. Energiemonitor van de Nederlandse glastuinbouw 2013. Wageningen University &amp; Research. Wageningen, the Netherlands.</t>
  </si>
  <si>
    <t xml:space="preserve">VELDEN, N. &amp; SMIT, P. 2013. Energiemonitor van de Nederlandse glastuinbouw 2012. Wageningen University &amp; Research. Wageningen, the Netherlands.</t>
  </si>
  <si>
    <t xml:space="preserve">VELDEN, N. &amp; SMIT, P. 2012. Energiemonitor van de Nederlandse glastuinbouw 2011. Wageningen University &amp; Research. Wageningen, the Netherlands.</t>
  </si>
  <si>
    <t xml:space="preserve">WALLMAN, M. &amp; NILSSON, K. 2011. Klimatpåverkan och energianvändning från livsmedelsförpackningar.</t>
  </si>
  <si>
    <r>
      <rPr>
        <sz val="10"/>
        <rFont val="Calibri"/>
        <family val="2"/>
        <charset val="1"/>
      </rPr>
      <t xml:space="preserve">   VICENTE-VICENTE, J.L., GARCÍA-RUIZ, R., FRANCAVIGLIA, R., AGUILERA, E. &amp; SMITH, P. 2016. Soil carbon sequestration rates under Mediterranean woody crops using recommended management practices: A meta-analysis. </t>
    </r>
    <r>
      <rPr>
        <i val="true"/>
        <sz val="10"/>
        <rFont val="Calibri"/>
        <family val="2"/>
        <charset val="1"/>
      </rPr>
      <t xml:space="preserve">Agriculture, Ecosystems and Environment.</t>
    </r>
    <r>
      <rPr>
        <sz val="10"/>
        <rFont val="Calibri"/>
        <family val="2"/>
        <charset val="1"/>
      </rPr>
      <t xml:space="preserve"> 235, 204-214.</t>
    </r>
  </si>
  <si>
    <r>
      <rPr>
        <sz val="10"/>
        <rFont val="Calibri"/>
        <family val="2"/>
        <charset val="1"/>
      </rPr>
      <t xml:space="preserve">WINTHER, U., ZIEGLER, F., HOGNES, E. S., EMANUELSSON, A., SUND, V. &amp; ELLINGSEN, H. 2009. Carbon footprint and energy use of Norwegian seafood products. </t>
    </r>
    <r>
      <rPr>
        <i val="true"/>
        <sz val="10"/>
        <rFont val="Calibri"/>
        <family val="2"/>
        <charset val="1"/>
      </rPr>
      <t xml:space="preserve">SINTEF Fisheries and aquaculture,</t>
    </r>
    <r>
      <rPr>
        <sz val="10"/>
        <rFont val="Calibri"/>
        <family val="2"/>
        <charset val="1"/>
      </rPr>
      <t xml:space="preserve"> 32.</t>
    </r>
  </si>
  <si>
    <r>
      <rPr>
        <sz val="10"/>
        <rFont val="Calibri"/>
        <family val="2"/>
        <charset val="1"/>
      </rPr>
      <t xml:space="preserve">WWF n.d. </t>
    </r>
    <r>
      <rPr>
        <i val="true"/>
        <sz val="10"/>
        <rFont val="Calibri"/>
        <family val="2"/>
        <charset val="1"/>
      </rPr>
      <t xml:space="preserve">Fiskguiden. </t>
    </r>
    <r>
      <rPr>
        <sz val="10"/>
        <rFont val="Calibri"/>
        <family val="2"/>
        <charset val="1"/>
      </rPr>
      <t xml:space="preserve">World Wildlife Fund.</t>
    </r>
  </si>
  <si>
    <t xml:space="preserve">YARA INTERNATIONAL 2010. Klimatavtryck. Gödslingens klimatpåverkan och möjliga förbättringar.</t>
  </si>
  <si>
    <t xml:space="preserve">ZIEGLER, F. &amp; BERGMAN, K. 2017. Svensk konsumtion av sjömat - en växande mångfald. Gothenburg, Sweden: RISE Research Institutes of Sweden.</t>
  </si>
  <si>
    <t xml:space="preserve">Personal communication</t>
  </si>
  <si>
    <r>
      <rPr>
        <sz val="10"/>
        <rFont val="Calibri"/>
        <family val="2"/>
        <charset val="1"/>
      </rPr>
      <t xml:space="preserve">               ANDERSSON, P. 2018. </t>
    </r>
    <r>
      <rPr>
        <i val="true"/>
        <sz val="10"/>
        <rFont val="Calibri"/>
        <family val="2"/>
        <charset val="1"/>
      </rPr>
      <t xml:space="preserve">Kalmar-Ölands Trädgårdsprodukter.</t>
    </r>
  </si>
  <si>
    <t xml:space="preserve">               ARLA FORUM KONSUMENTKONTAKT. 2018</t>
  </si>
  <si>
    <t xml:space="preserve">              BJÖRKHOLM, A-M. 2019. Rådgivning grönsaker, bär och frukt, växtodling/Advisor vegetables, berries and fruits, plant production. Hushållningssällskapet.</t>
  </si>
  <si>
    <r>
      <rPr>
        <sz val="10"/>
        <rFont val="Calibri"/>
        <family val="2"/>
        <charset val="1"/>
      </rPr>
      <t xml:space="preserve">               DANIELSSON, R. 2018. </t>
    </r>
    <r>
      <rPr>
        <i val="true"/>
        <sz val="10"/>
        <rFont val="Calibri"/>
        <family val="2"/>
        <charset val="1"/>
      </rPr>
      <t xml:space="preserve">Researcher, Institutionen för husdjurens utfodring och vård, Swedish University of Agricultural Sciences.</t>
    </r>
  </si>
  <si>
    <t xml:space="preserve">                DANSUKKER Kundforum, 2018</t>
  </si>
  <si>
    <r>
      <rPr>
        <sz val="10"/>
        <rFont val="Calibri"/>
        <family val="2"/>
        <charset val="1"/>
      </rPr>
      <t xml:space="preserve">DUGGE ENGSTRÖM, M. 2018. </t>
    </r>
    <r>
      <rPr>
        <i val="true"/>
        <sz val="10"/>
        <rFont val="Calibri"/>
        <family val="2"/>
        <charset val="1"/>
      </rPr>
      <t xml:space="preserve">CEO, Dugges Bryggeri AB.</t>
    </r>
  </si>
  <si>
    <r>
      <rPr>
        <sz val="10"/>
        <rFont val="Calibri"/>
        <family val="2"/>
        <charset val="1"/>
      </rPr>
      <t xml:space="preserve">ERIKSSON, I. 2017. </t>
    </r>
    <r>
      <rPr>
        <i val="true"/>
        <sz val="10"/>
        <rFont val="Calibri"/>
        <family val="2"/>
        <charset val="1"/>
      </rPr>
      <t xml:space="preserve">Husdjursagronom/Pet agronomist. Affärsområdeschef - gris. Produktionsrådgivare - gris/Production advisor - pigs. Gårds- och djurhälsan. </t>
    </r>
  </si>
  <si>
    <r>
      <rPr>
        <sz val="10"/>
        <rFont val="Calibri"/>
        <family val="2"/>
        <charset val="1"/>
      </rPr>
      <t xml:space="preserve">              HANSSON, T. 2017.</t>
    </r>
    <r>
      <rPr>
        <i val="true"/>
        <sz val="10"/>
        <rFont val="Calibri"/>
        <family val="2"/>
        <charset val="1"/>
      </rPr>
      <t xml:space="preserve"> Grön Kompetens AB. </t>
    </r>
  </si>
  <si>
    <r>
      <rPr>
        <sz val="10"/>
        <rFont val="Calibri"/>
        <family val="2"/>
        <charset val="1"/>
      </rPr>
      <t xml:space="preserve">              HESSLE, A. 2018. </t>
    </r>
    <r>
      <rPr>
        <i val="true"/>
        <sz val="10"/>
        <rFont val="Calibri"/>
        <family val="2"/>
        <charset val="1"/>
      </rPr>
      <t xml:space="preserve">Researcher, FLK vid Institutionen för husdjurens miljö och hälsa, Swedish University of Agricultural Sciences.</t>
    </r>
  </si>
  <si>
    <r>
      <rPr>
        <sz val="10"/>
        <rFont val="Calibri"/>
        <family val="2"/>
        <charset val="1"/>
      </rPr>
      <t xml:space="preserve">              LARSSON, G. 2017. </t>
    </r>
    <r>
      <rPr>
        <i val="true"/>
        <sz val="10"/>
        <rFont val="Calibri"/>
        <family val="2"/>
        <charset val="1"/>
      </rPr>
      <t xml:space="preserve">Svensk Raps AB. </t>
    </r>
  </si>
  <si>
    <r>
      <rPr>
        <sz val="10"/>
        <rFont val="Calibri"/>
        <family val="2"/>
        <charset val="1"/>
      </rPr>
      <t xml:space="preserve">              LINDBERG, H. 2018. </t>
    </r>
    <r>
      <rPr>
        <i val="true"/>
        <sz val="10"/>
        <rFont val="Calibri"/>
        <family val="2"/>
        <charset val="1"/>
      </rPr>
      <t xml:space="preserve">Produktionsrådgivare/Production advisor, Växa Sverige.</t>
    </r>
  </si>
  <si>
    <r>
      <rPr>
        <sz val="10"/>
        <rFont val="Calibri"/>
        <family val="2"/>
        <charset val="1"/>
      </rPr>
      <t xml:space="preserve">LÖFGREN, R. 2017.</t>
    </r>
    <r>
      <rPr>
        <i val="true"/>
        <sz val="10"/>
        <rFont val="Calibri"/>
        <family val="2"/>
        <charset val="1"/>
      </rPr>
      <t xml:space="preserve"> R&amp;D, Skånemejerier.</t>
    </r>
  </si>
  <si>
    <r>
      <rPr>
        <sz val="10"/>
        <rFont val="Calibri"/>
        <family val="2"/>
        <charset val="1"/>
      </rPr>
      <t xml:space="preserve">MALMROS, H. 2017. </t>
    </r>
    <r>
      <rPr>
        <i val="true"/>
        <sz val="10"/>
        <rFont val="Calibri"/>
        <family val="2"/>
        <charset val="1"/>
      </rPr>
      <t xml:space="preserve">Technical Product Manager, Aarhus Karlshamn (AAK) </t>
    </r>
  </si>
  <si>
    <r>
      <rPr>
        <sz val="10"/>
        <rFont val="Calibri"/>
        <family val="2"/>
        <charset val="1"/>
      </rPr>
      <t xml:space="preserve">NILSSON, A. 2017. </t>
    </r>
    <r>
      <rPr>
        <i val="true"/>
        <sz val="10"/>
        <rFont val="Calibri"/>
        <family val="2"/>
        <charset val="1"/>
      </rPr>
      <t xml:space="preserve">Utvecklingschef/Manager R&amp;D, KIVIKS MUSTERI AB.</t>
    </r>
  </si>
  <si>
    <r>
      <rPr>
        <sz val="10"/>
        <rFont val="Calibri"/>
        <family val="2"/>
        <charset val="1"/>
      </rPr>
      <t xml:space="preserve">OLSSON, H. 2017. </t>
    </r>
    <r>
      <rPr>
        <i val="true"/>
        <sz val="10"/>
        <rFont val="Calibri"/>
        <family val="2"/>
        <charset val="1"/>
      </rPr>
      <t xml:space="preserve">Quality and Environment, Everfresh.</t>
    </r>
  </si>
  <si>
    <t xml:space="preserve">   ORKLA FOODS SVERIGE Konsumentkontakt. 2019</t>
  </si>
  <si>
    <r>
      <rPr>
        <sz val="10"/>
        <rFont val="Calibri"/>
        <family val="2"/>
        <charset val="1"/>
      </rPr>
      <t xml:space="preserve">              POULSEN, J.H. 2019.</t>
    </r>
    <r>
      <rPr>
        <i val="true"/>
        <sz val="10"/>
        <rFont val="Calibri"/>
        <family val="2"/>
        <charset val="1"/>
      </rPr>
      <t xml:space="preserve"> Nordic Development Director Professional Baking &amp; B2B, Sales &amp; Marketing Director B2B Denmark, Lantmännen Cerealia.</t>
    </r>
    <r>
      <rPr>
        <sz val="10"/>
        <rFont val="Calibri"/>
        <family val="2"/>
        <charset val="1"/>
      </rPr>
      <t xml:space="preserve"> </t>
    </r>
  </si>
  <si>
    <r>
      <rPr>
        <sz val="10"/>
        <rFont val="Calibri"/>
        <family val="2"/>
        <charset val="1"/>
      </rPr>
      <t xml:space="preserve">              RAMVALL, C. 2017.</t>
    </r>
    <r>
      <rPr>
        <i val="true"/>
        <sz val="10"/>
        <rFont val="Calibri"/>
        <family val="2"/>
        <charset val="1"/>
      </rPr>
      <t xml:space="preserve"> Quality and Environment, Norvida. </t>
    </r>
  </si>
  <si>
    <r>
      <rPr>
        <sz val="10"/>
        <rFont val="Calibri"/>
        <family val="2"/>
        <charset val="1"/>
      </rPr>
      <t xml:space="preserve">SEMPER. 2018. Kons</t>
    </r>
    <r>
      <rPr>
        <i val="true"/>
        <sz val="10"/>
        <rFont val="Calibri"/>
        <family val="2"/>
        <charset val="1"/>
      </rPr>
      <t xml:space="preserve">umentrådgivare/Consumer advisor, Semper Konsumentkontakt.</t>
    </r>
  </si>
  <si>
    <r>
      <rPr>
        <sz val="10"/>
        <rFont val="Calibri"/>
        <family val="2"/>
        <charset val="1"/>
      </rPr>
      <t xml:space="preserve">ZIEGLER, F. 2017. </t>
    </r>
    <r>
      <rPr>
        <i val="true"/>
        <sz val="10"/>
        <rFont val="Calibri"/>
        <family val="2"/>
        <charset val="1"/>
      </rPr>
      <t xml:space="preserve">Senior scientist, Agrifood and Bioscience, Research Institutes of Sweden (RISE).</t>
    </r>
  </si>
  <si>
    <r>
      <rPr>
        <sz val="10"/>
        <rFont val="Calibri"/>
        <family val="2"/>
        <charset val="1"/>
      </rPr>
      <t xml:space="preserve">              ÖGREN, E. 2017. </t>
    </r>
    <r>
      <rPr>
        <i val="true"/>
        <sz val="10"/>
        <rFont val="Calibri"/>
        <family val="2"/>
        <charset val="1"/>
      </rPr>
      <t xml:space="preserve">Advisor, organic production, Rådgivningsenheten Norr, Swedish Board of Agriculture. </t>
    </r>
  </si>
</sst>
</file>

<file path=xl/styles.xml><?xml version="1.0" encoding="utf-8"?>
<styleSheet xmlns="http://schemas.openxmlformats.org/spreadsheetml/2006/main">
  <numFmts count="16">
    <numFmt numFmtId="164" formatCode="General"/>
    <numFmt numFmtId="165" formatCode="0.00"/>
    <numFmt numFmtId="166" formatCode="0.00000"/>
    <numFmt numFmtId="167" formatCode="0.0"/>
    <numFmt numFmtId="168" formatCode="0"/>
    <numFmt numFmtId="169" formatCode="General"/>
    <numFmt numFmtId="170" formatCode="@"/>
    <numFmt numFmtId="171" formatCode="0.000"/>
    <numFmt numFmtId="172" formatCode="0.00E+00"/>
    <numFmt numFmtId="173" formatCode="0.0000"/>
    <numFmt numFmtId="174" formatCode="0.0000000"/>
    <numFmt numFmtId="175" formatCode="0.00000000"/>
    <numFmt numFmtId="176" formatCode="#,##0"/>
    <numFmt numFmtId="177" formatCode="#,##0.00"/>
    <numFmt numFmtId="178" formatCode="0.000000"/>
    <numFmt numFmtId="179" formatCode="#,##0.0"/>
  </numFmts>
  <fonts count="4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4"/>
      <color rgb="FF000000"/>
      <name val="Calibri"/>
      <family val="2"/>
      <charset val="1"/>
    </font>
    <font>
      <sz val="14"/>
      <color rgb="FF000000"/>
      <name val="Calibri"/>
      <family val="2"/>
      <charset val="1"/>
    </font>
    <font>
      <sz val="14"/>
      <name val="Calibri"/>
      <family val="2"/>
      <charset val="1"/>
    </font>
    <font>
      <sz val="12"/>
      <color rgb="FF000000"/>
      <name val="Times New Roman"/>
      <family val="1"/>
      <charset val="1"/>
    </font>
    <font>
      <u val="single"/>
      <sz val="11"/>
      <color rgb="FF0563C1"/>
      <name val="Calibri"/>
      <family val="2"/>
      <charset val="1"/>
    </font>
    <font>
      <u val="single"/>
      <sz val="11"/>
      <color rgb="FF2E75B6"/>
      <name val="Calibri"/>
      <family val="2"/>
      <charset val="1"/>
    </font>
    <font>
      <b val="true"/>
      <sz val="11"/>
      <color rgb="FF000000"/>
      <name val="Calibri"/>
      <family val="2"/>
      <charset val="1"/>
    </font>
    <font>
      <sz val="10"/>
      <color rgb="FF000000"/>
      <name val="Calibri"/>
      <family val="2"/>
      <charset val="1"/>
    </font>
    <font>
      <i val="true"/>
      <sz val="10"/>
      <color rgb="FF000000"/>
      <name val="Calibri"/>
      <family val="2"/>
      <charset val="1"/>
    </font>
    <font>
      <b val="true"/>
      <sz val="10"/>
      <color rgb="FF000000"/>
      <name val="Calibri"/>
      <family val="2"/>
      <charset val="1"/>
    </font>
    <font>
      <b val="true"/>
      <sz val="24"/>
      <color rgb="FF000000"/>
      <name val="Calibri"/>
      <family val="2"/>
      <charset val="1"/>
    </font>
    <font>
      <b val="true"/>
      <sz val="13"/>
      <color rgb="FF000000"/>
      <name val="Calibri"/>
      <family val="2"/>
      <charset val="1"/>
    </font>
    <font>
      <sz val="13"/>
      <color rgb="FF000000"/>
      <name val="Calibri"/>
      <family val="2"/>
      <charset val="1"/>
    </font>
    <font>
      <sz val="24"/>
      <color rgb="FF000000"/>
      <name val="Calibri"/>
      <family val="2"/>
      <charset val="1"/>
    </font>
    <font>
      <sz val="11"/>
      <name val="Calibri"/>
      <family val="2"/>
      <charset val="1"/>
    </font>
    <font>
      <sz val="10"/>
      <name val="Calibri"/>
      <family val="2"/>
      <charset val="1"/>
    </font>
    <font>
      <b val="true"/>
      <sz val="10"/>
      <name val="Calibri"/>
      <family val="2"/>
      <charset val="1"/>
    </font>
    <font>
      <b val="true"/>
      <sz val="11"/>
      <name val="Calibri"/>
      <family val="2"/>
      <charset val="1"/>
    </font>
    <font>
      <b val="true"/>
      <sz val="13"/>
      <name val="Calibri"/>
      <family val="2"/>
      <charset val="1"/>
    </font>
    <font>
      <b val="true"/>
      <sz val="18"/>
      <color rgb="FF000000"/>
      <name val="Calibri"/>
      <family val="2"/>
      <charset val="1"/>
    </font>
    <font>
      <sz val="8"/>
      <color rgb="FF000000"/>
      <name val="Trebuchet MS"/>
      <family val="2"/>
      <charset val="1"/>
    </font>
    <font>
      <sz val="10"/>
      <color rgb="FFFF0000"/>
      <name val="Calibri"/>
      <family val="2"/>
      <charset val="1"/>
    </font>
    <font>
      <sz val="8"/>
      <color rgb="FFFF0000"/>
      <name val="Trebuchet MS"/>
      <family val="2"/>
      <charset val="1"/>
    </font>
    <font>
      <b val="true"/>
      <vertAlign val="superscript"/>
      <sz val="10"/>
      <color rgb="FF000000"/>
      <name val="Calibri"/>
      <family val="2"/>
      <charset val="1"/>
    </font>
    <font>
      <vertAlign val="superscript"/>
      <sz val="10"/>
      <color rgb="FF000000"/>
      <name val="Calibri"/>
      <family val="2"/>
      <charset val="1"/>
    </font>
    <font>
      <sz val="10"/>
      <color rgb="FF222222"/>
      <name val="Calibri"/>
      <family val="2"/>
      <charset val="1"/>
    </font>
    <font>
      <u val="single"/>
      <sz val="10"/>
      <color rgb="FF0563C1"/>
      <name val="Calibri"/>
      <family val="2"/>
      <charset val="1"/>
    </font>
    <font>
      <i val="true"/>
      <sz val="10"/>
      <name val="Calibri"/>
      <family val="2"/>
      <charset val="1"/>
    </font>
    <font>
      <b val="true"/>
      <sz val="10"/>
      <color rgb="FF5B9BD5"/>
      <name val="Calibri"/>
      <family val="2"/>
      <charset val="1"/>
    </font>
    <font>
      <b val="true"/>
      <i val="true"/>
      <sz val="10"/>
      <color rgb="FF000000"/>
      <name val="Calibri"/>
      <family val="2"/>
      <charset val="1"/>
    </font>
    <font>
      <sz val="10"/>
      <color rgb="FF333333"/>
      <name val="Calibri"/>
      <family val="2"/>
      <charset val="1"/>
    </font>
    <font>
      <b val="true"/>
      <sz val="16"/>
      <color rgb="FF000000"/>
      <name val="Calibri"/>
      <family val="2"/>
      <charset val="1"/>
    </font>
    <font>
      <b val="true"/>
      <sz val="18"/>
      <name val="Calibri"/>
      <family val="2"/>
      <charset val="1"/>
    </font>
    <font>
      <sz val="10"/>
      <color rgb="FF32322F"/>
      <name val="Calibri"/>
      <family val="2"/>
      <charset val="1"/>
    </font>
    <font>
      <i val="true"/>
      <sz val="12"/>
      <color rgb="FF000000"/>
      <name val="Times New Roman"/>
      <family val="1"/>
      <charset val="1"/>
    </font>
    <font>
      <sz val="11"/>
      <color rgb="FF0000FF"/>
      <name val="Calibri"/>
      <family val="2"/>
      <charset val="1"/>
    </font>
    <font>
      <b val="true"/>
      <sz val="12"/>
      <color rgb="FF000000"/>
      <name val="Times New Roman"/>
      <family val="1"/>
      <charset val="1"/>
    </font>
    <font>
      <sz val="10"/>
      <color rgb="FF0000FF"/>
      <name val="Calibri"/>
      <family val="2"/>
      <charset val="1"/>
    </font>
    <font>
      <b val="true"/>
      <sz val="14"/>
      <name val="Calibri"/>
      <family val="2"/>
      <charset val="1"/>
    </font>
  </fonts>
  <fills count="7">
    <fill>
      <patternFill patternType="none"/>
    </fill>
    <fill>
      <patternFill patternType="gray125"/>
    </fill>
    <fill>
      <patternFill patternType="solid">
        <fgColor rgb="FF9DC3E6"/>
        <bgColor rgb="FFBDD7EE"/>
      </patternFill>
    </fill>
    <fill>
      <patternFill patternType="solid">
        <fgColor rgb="FFDEEBF7"/>
        <bgColor rgb="FFCCFFFF"/>
      </patternFill>
    </fill>
    <fill>
      <patternFill patternType="solid">
        <fgColor rgb="FFFFFF00"/>
        <bgColor rgb="FFFFFF00"/>
      </patternFill>
    </fill>
    <fill>
      <patternFill patternType="solid">
        <fgColor rgb="FFBDD7EE"/>
        <bgColor rgb="FFD0CECE"/>
      </patternFill>
    </fill>
    <fill>
      <patternFill patternType="solid">
        <fgColor rgb="FFD0CECE"/>
        <bgColor rgb="FFBDD7EE"/>
      </patternFill>
    </fill>
  </fills>
  <borders count="2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bottom style="thin"/>
      <diagonal/>
    </border>
    <border diagonalUp="false" diagonalDown="false">
      <left style="medium"/>
      <right/>
      <top/>
      <bottom/>
      <diagonal/>
    </border>
    <border diagonalUp="false" diagonalDown="false">
      <left/>
      <right style="medium"/>
      <top/>
      <bottom/>
      <diagonal/>
    </border>
    <border diagonalUp="false" diagonalDown="false">
      <left/>
      <right style="thin"/>
      <top/>
      <bottom style="thin"/>
      <diagonal/>
    </border>
    <border diagonalUp="false" diagonalDown="false">
      <left style="thin"/>
      <right/>
      <top/>
      <bottom style="thin"/>
      <diagonal/>
    </border>
    <border diagonalUp="false" diagonalDown="false">
      <left style="medium"/>
      <right/>
      <top style="thin"/>
      <bottom/>
      <diagonal/>
    </border>
    <border diagonalUp="false" diagonalDown="false">
      <left/>
      <right style="medium"/>
      <top style="thin"/>
      <bottom/>
      <diagonal/>
    </border>
    <border diagonalUp="false" diagonalDown="false">
      <left style="thin"/>
      <right/>
      <top/>
      <bottom/>
      <diagonal/>
    </border>
    <border diagonalUp="false" diagonalDown="false">
      <left style="medium"/>
      <right/>
      <top/>
      <bottom style="thin"/>
      <diagonal/>
    </border>
    <border diagonalUp="false" diagonalDown="false">
      <left/>
      <right style="medium"/>
      <top/>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bottom/>
      <diagonal/>
    </border>
    <border diagonalUp="false" diagonalDown="false">
      <left/>
      <right style="medium"/>
      <top style="thin"/>
      <bottom style="thin"/>
      <diagonal/>
    </border>
    <border diagonalUp="false" diagonalDown="false">
      <left style="medium"/>
      <right/>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1"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9" fillId="0" borderId="0" xfId="20" applyFont="true" applyBorder="true" applyAlignment="true" applyProtection="true">
      <alignment horizontal="center" vertical="bottom" textRotation="0" wrapText="false" indent="0" shrinkToFit="false"/>
      <protection locked="true" hidden="false"/>
    </xf>
    <xf numFmtId="164" fontId="10" fillId="0" borderId="0" xfId="20" applyFont="true" applyBorder="true" applyAlignment="true" applyProtection="true">
      <alignment horizontal="center"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center" vertical="center" textRotation="0" wrapText="false" indent="0" shrinkToFit="false"/>
      <protection locked="true" hidden="false"/>
    </xf>
    <xf numFmtId="164" fontId="9" fillId="0" borderId="0" xfId="2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9" fillId="0" borderId="0" xfId="20" applyFont="true" applyBorder="true" applyAlignment="true" applyProtection="true">
      <alignment horizontal="center" vertical="center" textRotation="0" wrapText="fals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5" fontId="17"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16" fillId="0" borderId="3" xfId="0" applyFont="true" applyBorder="true" applyAlignment="true" applyProtection="false">
      <alignment horizontal="left" vertical="center" textRotation="0" wrapText="false" indent="0" shrinkToFit="false"/>
      <protection locked="true" hidden="false"/>
    </xf>
    <xf numFmtId="164" fontId="16" fillId="0" borderId="4" xfId="0" applyFont="true" applyBorder="true" applyAlignment="true" applyProtection="false">
      <alignment horizontal="left" vertical="center" textRotation="0" wrapText="false" indent="0" shrinkToFit="false"/>
      <protection locked="true" hidden="false"/>
    </xf>
    <xf numFmtId="164" fontId="16" fillId="0" borderId="5" xfId="0" applyFont="true" applyBorder="true" applyAlignment="true" applyProtection="false">
      <alignment horizontal="left" vertical="center" textRotation="0" wrapText="false" indent="0" shrinkToFit="false"/>
      <protection locked="true" hidden="false"/>
    </xf>
    <xf numFmtId="164" fontId="16" fillId="0" borderId="6" xfId="0" applyFont="true" applyBorder="true" applyAlignment="true" applyProtection="false">
      <alignment horizontal="center" vertical="center" textRotation="0" wrapText="true" indent="0" shrinkToFit="false"/>
      <protection locked="true" hidden="false"/>
    </xf>
    <xf numFmtId="164" fontId="16" fillId="0" borderId="7" xfId="0" applyFont="true" applyBorder="true" applyAlignment="true" applyProtection="false">
      <alignment horizontal="center" vertical="center" textRotation="0" wrapText="false" indent="0" shrinkToFit="false"/>
      <protection locked="true" hidden="false"/>
    </xf>
    <xf numFmtId="164" fontId="17" fillId="0" borderId="6"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1" fillId="0" borderId="9" xfId="0" applyFont="true" applyBorder="true" applyAlignment="true" applyProtection="false">
      <alignment horizontal="center" vertical="center" textRotation="0" wrapText="false" indent="0" shrinkToFit="false"/>
      <protection locked="true" hidden="false"/>
    </xf>
    <xf numFmtId="164" fontId="16" fillId="0" borderId="9" xfId="0" applyFont="true" applyBorder="true" applyAlignment="true" applyProtection="false">
      <alignment horizontal="center" vertical="center" textRotation="0" wrapText="false" indent="0" shrinkToFit="false"/>
      <protection locked="true" hidden="false"/>
    </xf>
    <xf numFmtId="164" fontId="16" fillId="0" borderId="9" xfId="0" applyFont="true" applyBorder="true" applyAlignment="true" applyProtection="false">
      <alignment horizontal="center" vertical="center" textRotation="0" wrapText="true" indent="0" shrinkToFit="false"/>
      <protection locked="true" hidden="false"/>
    </xf>
    <xf numFmtId="164" fontId="16" fillId="0" borderId="1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16" fillId="0" borderId="12" xfId="0" applyFont="true" applyBorder="true" applyAlignment="true" applyProtection="false">
      <alignment horizontal="center" vertical="center" textRotation="0" wrapText="true" indent="0" shrinkToFit="false"/>
      <protection locked="true" hidden="false"/>
    </xf>
    <xf numFmtId="164" fontId="16" fillId="0" borderId="13" xfId="0" applyFont="true" applyBorder="true" applyAlignment="true" applyProtection="false">
      <alignment horizontal="center" vertical="center" textRotation="0" wrapText="tru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11" fillId="2" borderId="13" xfId="0" applyFont="true" applyBorder="true" applyAlignment="true" applyProtection="false">
      <alignment horizontal="center" vertical="center" textRotation="0" wrapText="false" indent="0" shrinkToFit="false"/>
      <protection locked="true" hidden="false"/>
    </xf>
    <xf numFmtId="164" fontId="11" fillId="2" borderId="9" xfId="0" applyFont="true" applyBorder="true" applyAlignment="true" applyProtection="false">
      <alignment horizontal="center" vertical="center" textRotation="0" wrapText="false" indent="0" shrinkToFit="false"/>
      <protection locked="true" hidden="false"/>
    </xf>
    <xf numFmtId="165" fontId="0" fillId="2" borderId="9" xfId="0" applyFont="false" applyBorder="true" applyAlignment="true" applyProtection="false">
      <alignment horizontal="center" vertical="center" textRotation="0" wrapText="false" indent="0" shrinkToFit="false"/>
      <protection locked="true" hidden="false"/>
    </xf>
    <xf numFmtId="164" fontId="0" fillId="2" borderId="9" xfId="0" applyFont="false" applyBorder="true" applyAlignment="true" applyProtection="false">
      <alignment horizontal="center" vertical="center" textRotation="0" wrapText="false" indent="0" shrinkToFit="false"/>
      <protection locked="true" hidden="false"/>
    </xf>
    <xf numFmtId="165" fontId="11" fillId="2" borderId="14" xfId="0" applyFont="true" applyBorder="true" applyAlignment="true" applyProtection="false">
      <alignment horizontal="center" vertical="center" textRotation="0" wrapText="false" indent="0" shrinkToFit="false"/>
      <protection locked="true" hidden="false"/>
    </xf>
    <xf numFmtId="165" fontId="11" fillId="2" borderId="2" xfId="0" applyFont="true" applyBorder="true" applyAlignment="true" applyProtection="false">
      <alignment horizontal="center" vertical="center" textRotation="0" wrapText="false" indent="0" shrinkToFit="false"/>
      <protection locked="true" hidden="false"/>
    </xf>
    <xf numFmtId="165" fontId="11" fillId="2" borderId="15" xfId="0" applyFont="true" applyBorder="true" applyAlignment="true" applyProtection="false">
      <alignment horizontal="center" vertical="center" textRotation="0" wrapText="false" indent="0" shrinkToFit="false"/>
      <protection locked="true" hidden="false"/>
    </xf>
    <xf numFmtId="165" fontId="0" fillId="2" borderId="6" xfId="0" applyFont="false" applyBorder="true" applyAlignment="true" applyProtection="false">
      <alignment horizontal="center" vertical="center" textRotation="0" wrapText="false" indent="0" shrinkToFit="false"/>
      <protection locked="true" hidden="false"/>
    </xf>
    <xf numFmtId="165" fontId="0" fillId="2" borderId="6" xfId="0" applyFont="true" applyBorder="true" applyAlignment="true" applyProtection="false">
      <alignment horizontal="center" vertical="center" textRotation="0" wrapText="false" indent="0" shrinkToFit="false"/>
      <protection locked="true" hidden="false"/>
    </xf>
    <xf numFmtId="165" fontId="0" fillId="2" borderId="9" xfId="0" applyFont="true" applyBorder="true" applyAlignment="true" applyProtection="false">
      <alignment horizontal="center" vertical="center"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12" fillId="2" borderId="9" xfId="0" applyFont="true" applyBorder="true" applyAlignment="true" applyProtection="false">
      <alignment horizontal="center" vertical="center" textRotation="0" wrapText="tru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5" fontId="19" fillId="3" borderId="0" xfId="0" applyFont="true" applyBorder="true" applyAlignment="true" applyProtection="false">
      <alignment horizontal="center" vertical="bottom"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5" fontId="11" fillId="3" borderId="14" xfId="0" applyFont="true" applyBorder="true" applyAlignment="true" applyProtection="false">
      <alignment horizontal="center" vertical="center" textRotation="0" wrapText="false" indent="0" shrinkToFit="false"/>
      <protection locked="true" hidden="false"/>
    </xf>
    <xf numFmtId="165" fontId="11" fillId="3" borderId="2" xfId="0" applyFont="true" applyBorder="true" applyAlignment="true" applyProtection="false">
      <alignment horizontal="center" vertical="center" textRotation="0" wrapText="false" indent="0" shrinkToFit="false"/>
      <protection locked="true" hidden="false"/>
    </xf>
    <xf numFmtId="165" fontId="11" fillId="3" borderId="15"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0" fillId="0" borderId="10" xfId="0" applyFont="false" applyBorder="true" applyAlignment="true" applyProtection="false">
      <alignment horizontal="center" vertical="center" textRotation="0" wrapText="false" indent="0" shrinkToFit="false"/>
      <protection locked="true" hidden="false"/>
    </xf>
    <xf numFmtId="165" fontId="0" fillId="0" borderId="0" xfId="0" applyFont="false" applyBorder="true" applyAlignment="true" applyProtection="false">
      <alignment horizontal="center" vertical="center" textRotation="0" wrapText="false" indent="0" shrinkToFit="false"/>
      <protection locked="true" hidden="false"/>
    </xf>
    <xf numFmtId="165" fontId="0" fillId="0" borderId="11"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6" fontId="0" fillId="0" borderId="16" xfId="0" applyFont="false" applyBorder="true" applyAlignment="false" applyProtection="false">
      <alignment horizontal="general" vertical="bottom" textRotation="0" wrapText="false" indent="0" shrinkToFit="false"/>
      <protection locked="true" hidden="false"/>
    </xf>
    <xf numFmtId="164" fontId="11" fillId="0" borderId="16"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5" fontId="19" fillId="0" borderId="0" xfId="0" applyFont="true" applyBorder="true" applyAlignment="true" applyProtection="false">
      <alignment horizontal="center" vertical="center" textRotation="0" wrapText="false" indent="0" shrinkToFit="false"/>
      <protection locked="true" hidden="false"/>
    </xf>
    <xf numFmtId="165" fontId="11" fillId="3" borderId="10" xfId="0" applyFont="true" applyBorder="true" applyAlignment="true" applyProtection="false">
      <alignment horizontal="center" vertical="center" textRotation="0" wrapText="false" indent="0" shrinkToFit="false"/>
      <protection locked="true" hidden="false"/>
    </xf>
    <xf numFmtId="165" fontId="11" fillId="3" borderId="0" xfId="0" applyFont="true" applyBorder="true" applyAlignment="true" applyProtection="false">
      <alignment horizontal="center" vertical="center" textRotation="0" wrapText="false" indent="0" shrinkToFit="false"/>
      <protection locked="true" hidden="false"/>
    </xf>
    <xf numFmtId="165" fontId="11" fillId="3" borderId="11" xfId="0" applyFont="true" applyBorder="true" applyAlignment="true" applyProtection="false">
      <alignment horizontal="center" vertical="center" textRotation="0" wrapText="false" indent="0" shrinkToFit="false"/>
      <protection locked="true" hidden="false"/>
    </xf>
    <xf numFmtId="165" fontId="0" fillId="3" borderId="0" xfId="0" applyFont="false" applyBorder="true" applyAlignment="true" applyProtection="false">
      <alignment horizontal="center" vertical="center" textRotation="0" wrapText="false" indent="0" shrinkToFit="false"/>
      <protection locked="true" hidden="false"/>
    </xf>
    <xf numFmtId="165" fontId="0" fillId="3" borderId="0" xfId="0" applyFont="tru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20" fillId="0" borderId="16" xfId="22" applyFont="true" applyBorder="true" applyAlignment="true" applyProtection="false">
      <alignment horizontal="center" vertical="center" textRotation="0" wrapText="false" indent="0" shrinkToFit="false"/>
      <protection locked="true" hidden="false"/>
    </xf>
    <xf numFmtId="164" fontId="20" fillId="0" borderId="0" xfId="22" applyFont="true" applyBorder="true" applyAlignment="true" applyProtection="false">
      <alignment horizontal="center" vertical="center" textRotation="0" wrapText="false" indent="0" shrinkToFit="false"/>
      <protection locked="true" hidden="false"/>
    </xf>
    <xf numFmtId="165" fontId="12" fillId="0" borderId="0" xfId="0" applyFont="true" applyBorder="true" applyAlignment="true" applyProtection="false">
      <alignment horizontal="center" vertical="center" textRotation="0" wrapText="true" indent="0" shrinkToFit="false"/>
      <protection locked="true" hidden="false"/>
    </xf>
    <xf numFmtId="165" fontId="20" fillId="0" borderId="0" xfId="22" applyFont="true" applyBorder="true" applyAlignment="true" applyProtection="false">
      <alignment horizontal="center" vertical="center" textRotation="0" wrapText="false" indent="0" shrinkToFit="false"/>
      <protection locked="true" hidden="false"/>
    </xf>
    <xf numFmtId="165" fontId="0" fillId="0" borderId="17" xfId="0" applyFont="false" applyBorder="true" applyAlignment="true" applyProtection="false">
      <alignment horizontal="center" vertical="center" textRotation="0" wrapText="false" indent="0" shrinkToFit="false"/>
      <protection locked="true" hidden="false"/>
    </xf>
    <xf numFmtId="165" fontId="0" fillId="0" borderId="9" xfId="0" applyFont="false" applyBorder="true" applyAlignment="true" applyProtection="false">
      <alignment horizontal="center" vertical="center" textRotation="0" wrapText="false" indent="0" shrinkToFit="false"/>
      <protection locked="true" hidden="false"/>
    </xf>
    <xf numFmtId="165" fontId="0" fillId="0" borderId="18" xfId="0" applyFont="true" applyBorder="true" applyAlignment="true" applyProtection="false">
      <alignment horizontal="center" vertical="center" textRotation="0" wrapText="false" indent="0" shrinkToFit="false"/>
      <protection locked="true" hidden="false"/>
    </xf>
    <xf numFmtId="164" fontId="11" fillId="2" borderId="19" xfId="0" applyFont="true" applyBorder="true" applyAlignment="true" applyProtection="false">
      <alignment horizontal="center" vertical="center" textRotation="0" wrapText="false" indent="0" shrinkToFit="false"/>
      <protection locked="true" hidden="false"/>
    </xf>
    <xf numFmtId="164" fontId="11" fillId="2" borderId="6" xfId="0" applyFont="true" applyBorder="true" applyAlignment="true" applyProtection="false">
      <alignment horizontal="center" vertical="center"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5" fontId="11" fillId="2" borderId="10" xfId="0" applyFont="true" applyBorder="true" applyAlignment="true" applyProtection="false">
      <alignment horizontal="center" vertical="center" textRotation="0" wrapText="false" indent="0" shrinkToFit="false"/>
      <protection locked="true" hidden="false"/>
    </xf>
    <xf numFmtId="165" fontId="11" fillId="2" borderId="0" xfId="0" applyFont="true" applyBorder="true" applyAlignment="true" applyProtection="false">
      <alignment horizontal="center" vertical="center" textRotation="0" wrapText="false" indent="0" shrinkToFit="false"/>
      <protection locked="true" hidden="false"/>
    </xf>
    <xf numFmtId="165" fontId="11" fillId="2" borderId="11" xfId="0" applyFont="true" applyBorder="true" applyAlignment="true" applyProtection="false">
      <alignment horizontal="center" vertical="center"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12" fillId="2"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1" fillId="0" borderId="16"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5" fontId="0" fillId="0" borderId="11" xfId="0" applyFont="fals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5" fontId="19"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0" fillId="0" borderId="0" xfId="22"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5" fontId="0" fillId="0" borderId="9" xfId="0" applyFont="true" applyBorder="true" applyAlignment="true" applyProtection="false">
      <alignment horizontal="center"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1" fillId="2" borderId="2" xfId="0" applyFont="true" applyBorder="true" applyAlignment="true" applyProtection="false">
      <alignment horizontal="center" vertical="center" textRotation="0" wrapText="false" indent="0" shrinkToFit="false"/>
      <protection locked="true" hidden="false"/>
    </xf>
    <xf numFmtId="165" fontId="0" fillId="2" borderId="2" xfId="0" applyFont="false" applyBorder="true" applyAlignment="true" applyProtection="false">
      <alignment horizontal="center"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5" fontId="0" fillId="2" borderId="2" xfId="0" applyFont="true" applyBorder="true" applyAlignment="true" applyProtection="false">
      <alignment horizontal="center" vertical="center"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12" fillId="2" borderId="2"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5" fontId="19" fillId="3" borderId="2" xfId="0" applyFont="true" applyBorder="true" applyAlignment="true" applyProtection="false">
      <alignment horizontal="center" vertical="bottom" textRotation="0" wrapText="false" indent="0" shrinkToFit="false"/>
      <protection locked="true" hidden="false"/>
    </xf>
    <xf numFmtId="164" fontId="11" fillId="3" borderId="2" xfId="0" applyFont="true" applyBorder="true" applyAlignment="true" applyProtection="false">
      <alignment horizontal="center" vertical="center" textRotation="0" wrapText="false" indent="0" shrinkToFit="false"/>
      <protection locked="true" hidden="false"/>
    </xf>
    <xf numFmtId="167" fontId="11" fillId="3" borderId="14" xfId="0" applyFont="true" applyBorder="true" applyAlignment="true" applyProtection="false">
      <alignment horizontal="center" vertical="center" textRotation="0" wrapText="false" indent="0" shrinkToFit="false"/>
      <protection locked="true" hidden="false"/>
    </xf>
    <xf numFmtId="167" fontId="11" fillId="3" borderId="2" xfId="0" applyFont="true" applyBorder="true" applyAlignment="true" applyProtection="false">
      <alignment horizontal="center" vertical="center" textRotation="0" wrapText="false" indent="0" shrinkToFit="false"/>
      <protection locked="true" hidden="false"/>
    </xf>
    <xf numFmtId="167" fontId="11" fillId="3" borderId="15" xfId="0" applyFont="true" applyBorder="true" applyAlignment="true" applyProtection="false">
      <alignment horizontal="center" vertical="center" textRotation="0" wrapText="false" indent="0" shrinkToFit="false"/>
      <protection locked="true" hidden="false"/>
    </xf>
    <xf numFmtId="167" fontId="11" fillId="3" borderId="2" xfId="0" applyFont="true" applyBorder="true" applyAlignment="true" applyProtection="false">
      <alignment horizontal="center" vertical="center" textRotation="0" wrapText="true" indent="0" shrinkToFit="false"/>
      <protection locked="true" hidden="false"/>
    </xf>
    <xf numFmtId="167" fontId="0" fillId="3" borderId="2" xfId="0" applyFont="fals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7" fontId="0" fillId="0" borderId="10" xfId="0" applyFont="false" applyBorder="true" applyAlignment="true" applyProtection="false">
      <alignment horizontal="center" vertical="center" textRotation="0" wrapText="false" indent="0" shrinkToFit="false"/>
      <protection locked="true" hidden="false"/>
    </xf>
    <xf numFmtId="167" fontId="0" fillId="0" borderId="0" xfId="0" applyFont="false" applyBorder="true" applyAlignment="true" applyProtection="false">
      <alignment horizontal="center" vertical="center" textRotation="0" wrapText="false" indent="0" shrinkToFit="false"/>
      <protection locked="true" hidden="false"/>
    </xf>
    <xf numFmtId="167" fontId="0" fillId="0" borderId="11" xfId="0" applyFont="false" applyBorder="true" applyAlignment="true" applyProtection="false">
      <alignment horizontal="center" vertical="center" textRotation="0" wrapText="false" indent="0" shrinkToFit="false"/>
      <protection locked="true" hidden="false"/>
    </xf>
    <xf numFmtId="167" fontId="11" fillId="3" borderId="10" xfId="0" applyFont="true" applyBorder="true" applyAlignment="true" applyProtection="false">
      <alignment horizontal="center" vertical="center" textRotation="0" wrapText="false" indent="0" shrinkToFit="false"/>
      <protection locked="true" hidden="false"/>
    </xf>
    <xf numFmtId="167" fontId="11" fillId="3" borderId="0" xfId="0" applyFont="true" applyBorder="true" applyAlignment="true" applyProtection="false">
      <alignment horizontal="center" vertical="center" textRotation="0" wrapText="false" indent="0" shrinkToFit="false"/>
      <protection locked="true" hidden="false"/>
    </xf>
    <xf numFmtId="167" fontId="11" fillId="3" borderId="11" xfId="0" applyFont="true" applyBorder="true" applyAlignment="true" applyProtection="false">
      <alignment horizontal="center" vertical="center" textRotation="0" wrapText="false" indent="0" shrinkToFit="false"/>
      <protection locked="true" hidden="false"/>
    </xf>
    <xf numFmtId="167" fontId="0" fillId="0" borderId="11" xfId="0" applyFont="true" applyBorder="true" applyAlignment="true" applyProtection="false">
      <alignment horizontal="center" vertical="center" textRotation="0" wrapText="false" indent="0" shrinkToFit="false"/>
      <protection locked="true" hidden="false"/>
    </xf>
    <xf numFmtId="165" fontId="0" fillId="0" borderId="16" xfId="0" applyFont="false" applyBorder="true" applyAlignment="true" applyProtection="false">
      <alignment horizontal="center" vertical="center"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11" fillId="3" borderId="10" xfId="0" applyFont="true" applyBorder="true" applyAlignment="true" applyProtection="false">
      <alignment horizontal="center" vertical="center" textRotation="0" wrapText="false" indent="0" shrinkToFit="false"/>
      <protection locked="true" hidden="false"/>
    </xf>
    <xf numFmtId="168" fontId="11" fillId="3" borderId="0" xfId="0" applyFont="true" applyBorder="true" applyAlignment="true" applyProtection="false">
      <alignment horizontal="center" vertical="center" textRotation="0" wrapText="false" indent="0" shrinkToFit="false"/>
      <protection locked="true" hidden="false"/>
    </xf>
    <xf numFmtId="168" fontId="11" fillId="3" borderId="11" xfId="0" applyFont="true" applyBorder="true" applyAlignment="true" applyProtection="false">
      <alignment horizontal="center" vertical="center" textRotation="0" wrapText="false" indent="0" shrinkToFit="false"/>
      <protection locked="true" hidden="false"/>
    </xf>
    <xf numFmtId="168" fontId="0" fillId="0" borderId="10" xfId="0" applyFont="false" applyBorder="true" applyAlignment="true" applyProtection="false">
      <alignment horizontal="center" vertical="center" textRotation="0" wrapText="false" indent="0" shrinkToFit="false"/>
      <protection locked="true" hidden="false"/>
    </xf>
    <xf numFmtId="168" fontId="20" fillId="0" borderId="0" xfId="22" applyFont="true" applyBorder="true" applyAlignment="true" applyProtection="false">
      <alignment horizontal="center" vertical="center" textRotation="0" wrapText="false" indent="0" shrinkToFit="false"/>
      <protection locked="true" hidden="false"/>
    </xf>
    <xf numFmtId="168" fontId="0" fillId="0" borderId="11"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true" applyAlignment="true" applyProtection="false">
      <alignment horizontal="center" vertical="center" textRotation="0" wrapText="false" indent="0" shrinkToFit="false"/>
      <protection locked="true" hidden="false"/>
    </xf>
    <xf numFmtId="164" fontId="12" fillId="3" borderId="16"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8" fontId="0" fillId="0" borderId="0" xfId="0" applyFont="true" applyBorder="true" applyAlignment="true" applyProtection="false">
      <alignment horizontal="center" vertical="center" textRotation="0" wrapText="false" indent="0" shrinkToFit="false"/>
      <protection locked="true" hidden="false"/>
    </xf>
    <xf numFmtId="168" fontId="19" fillId="0" borderId="0" xfId="22" applyFont="true" applyBorder="true" applyAlignment="true" applyProtection="false">
      <alignment horizontal="center" vertical="center" textRotation="0" wrapText="false" indent="0" shrinkToFit="false"/>
      <protection locked="true" hidden="false"/>
    </xf>
    <xf numFmtId="164" fontId="21" fillId="0" borderId="16" xfId="22" applyFont="true" applyBorder="true" applyAlignment="true" applyProtection="false">
      <alignment horizontal="center" vertical="center" textRotation="0" wrapText="false" indent="0" shrinkToFit="false"/>
      <protection locked="true" hidden="false"/>
    </xf>
    <xf numFmtId="164" fontId="21" fillId="0" borderId="0" xfId="22"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8" fontId="19" fillId="0" borderId="0"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center" vertical="center" textRotation="0" wrapText="false" indent="0" shrinkToFit="false"/>
      <protection locked="true" hidden="false"/>
    </xf>
    <xf numFmtId="164" fontId="20" fillId="3" borderId="0" xfId="22" applyFont="true" applyBorder="true" applyAlignment="true" applyProtection="false">
      <alignment horizontal="center" vertical="center" textRotation="0" wrapText="false" indent="0" shrinkToFit="false"/>
      <protection locked="true" hidden="false"/>
    </xf>
    <xf numFmtId="165" fontId="20" fillId="3" borderId="0" xfId="22" applyFont="true" applyBorder="true" applyAlignment="true" applyProtection="false">
      <alignment horizontal="center" vertical="center" textRotation="0" wrapText="false" indent="0" shrinkToFit="false"/>
      <protection locked="true" hidden="false"/>
    </xf>
    <xf numFmtId="165" fontId="20" fillId="0" borderId="16" xfId="22" applyFont="true" applyBorder="true" applyAlignment="true" applyProtection="false">
      <alignment horizontal="center" vertical="center" textRotation="0" wrapText="false" indent="0" shrinkToFit="false"/>
      <protection locked="true" hidden="false"/>
    </xf>
    <xf numFmtId="165" fontId="20" fillId="0" borderId="0" xfId="22" applyFont="true" applyBorder="true" applyAlignment="false" applyProtection="false">
      <alignment horizontal="general" vertical="bottom" textRotation="0" wrapText="false" indent="0" shrinkToFit="false"/>
      <protection locked="true" hidden="false"/>
    </xf>
    <xf numFmtId="168" fontId="20" fillId="0" borderId="16" xfId="22" applyFont="true" applyBorder="true" applyAlignment="true" applyProtection="false">
      <alignment horizontal="center" vertical="center" textRotation="0" wrapText="false" indent="0" shrinkToFit="false"/>
      <protection locked="true" hidden="false"/>
    </xf>
    <xf numFmtId="168" fontId="20" fillId="0" borderId="0" xfId="22" applyFont="true" applyBorder="true" applyAlignment="true" applyProtection="false">
      <alignment horizontal="center" vertical="bottom" textRotation="0" wrapText="false" indent="0" shrinkToFit="false"/>
      <protection locked="true" hidden="false"/>
    </xf>
    <xf numFmtId="164" fontId="0" fillId="3" borderId="16" xfId="0" applyFont="fals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center" vertical="center" textRotation="0" wrapText="false" indent="0" shrinkToFit="false"/>
      <protection locked="true" hidden="false"/>
    </xf>
    <xf numFmtId="168" fontId="11" fillId="3" borderId="0" xfId="0" applyFont="true" applyBorder="true" applyAlignment="true" applyProtection="false">
      <alignment horizontal="center" vertical="center" textRotation="0" wrapText="true" indent="0" shrinkToFit="false"/>
      <protection locked="true" hidden="false"/>
    </xf>
    <xf numFmtId="168" fontId="0" fillId="3" borderId="0" xfId="0" applyFont="false" applyBorder="true" applyAlignment="true" applyProtection="false">
      <alignment horizontal="center" vertical="center" textRotation="0" wrapText="false" indent="0" shrinkToFit="false"/>
      <protection locked="true" hidden="false"/>
    </xf>
    <xf numFmtId="167" fontId="0" fillId="3" borderId="0" xfId="0" applyFont="false" applyBorder="true" applyAlignment="true" applyProtection="false">
      <alignment horizontal="center" vertical="center" textRotation="0" wrapText="false" indent="0" shrinkToFit="false"/>
      <protection locked="true" hidden="false"/>
    </xf>
    <xf numFmtId="167"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20" fillId="3" borderId="16" xfId="22" applyFont="true" applyBorder="true" applyAlignment="true" applyProtection="false">
      <alignment horizontal="center" vertical="center" textRotation="0" wrapText="false" indent="0" shrinkToFit="false"/>
      <protection locked="true" hidden="false"/>
    </xf>
    <xf numFmtId="164" fontId="19" fillId="3" borderId="16" xfId="22" applyFont="true" applyBorder="true" applyAlignment="true" applyProtection="false">
      <alignment horizontal="center" vertical="center"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7" fontId="0" fillId="3" borderId="0" xfId="0" applyFont="true" applyBorder="true" applyAlignment="true" applyProtection="false">
      <alignment horizontal="center" vertical="center" textRotation="0" wrapText="false" indent="0" shrinkToFit="false"/>
      <protection locked="true" hidden="false"/>
    </xf>
    <xf numFmtId="164" fontId="19" fillId="0" borderId="16" xfId="22" applyFont="true" applyBorder="true" applyAlignment="true" applyProtection="false">
      <alignment horizontal="center" vertical="center" textRotation="0" wrapText="false" indent="0" shrinkToFit="false"/>
      <protection locked="true" hidden="false"/>
    </xf>
    <xf numFmtId="165" fontId="19" fillId="3"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9" fillId="0" borderId="0" xfId="22"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5" fontId="0" fillId="3" borderId="16"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5" fontId="0" fillId="0" borderId="20" xfId="0" applyFont="false" applyBorder="true" applyAlignment="true" applyProtection="false">
      <alignment horizontal="center" vertical="center" textRotation="0" wrapText="false" indent="0" shrinkToFit="false"/>
      <protection locked="true" hidden="false"/>
    </xf>
    <xf numFmtId="165" fontId="0" fillId="0" borderId="21" xfId="0" applyFont="false" applyBorder="true" applyAlignment="true" applyProtection="false">
      <alignment horizontal="center" vertical="center" textRotation="0" wrapText="false" indent="0" shrinkToFit="false"/>
      <protection locked="true" hidden="false"/>
    </xf>
    <xf numFmtId="165" fontId="0" fillId="0" borderId="22" xfId="0" applyFont="true" applyBorder="true" applyAlignment="true" applyProtection="false">
      <alignment horizontal="center" vertical="center" textRotation="0" wrapText="false" indent="0" shrinkToFit="false"/>
      <protection locked="true" hidden="false"/>
    </xf>
    <xf numFmtId="167" fontId="0" fillId="0" borderId="9" xfId="0" applyFont="false" applyBorder="true" applyAlignment="true" applyProtection="false">
      <alignment horizontal="center" vertical="center" textRotation="0" wrapText="false" indent="0" shrinkToFit="false"/>
      <protection locked="true" hidden="false"/>
    </xf>
    <xf numFmtId="164" fontId="17" fillId="0" borderId="4" xfId="0" applyFont="true" applyBorder="true" applyAlignment="true" applyProtection="false">
      <alignment horizontal="center" vertical="center" textRotation="0" wrapText="false" indent="0" shrinkToFit="false"/>
      <protection locked="true" hidden="false"/>
    </xf>
    <xf numFmtId="164" fontId="17" fillId="0" borderId="5"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16" fillId="0" borderId="19" xfId="0" applyFont="true" applyBorder="true" applyAlignment="true" applyProtection="false">
      <alignment horizontal="center" vertical="center" textRotation="0" wrapText="true" indent="0" shrinkToFit="false"/>
      <protection locked="true" hidden="false"/>
    </xf>
    <xf numFmtId="164" fontId="16" fillId="0" borderId="13" xfId="0" applyFont="true" applyBorder="true" applyAlignment="true" applyProtection="false">
      <alignment horizontal="center" vertical="center" textRotation="0" wrapText="false" indent="0" shrinkToFit="false"/>
      <protection locked="true" hidden="false"/>
    </xf>
    <xf numFmtId="164" fontId="16" fillId="0" borderId="7"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center" vertical="center" textRotation="0" wrapText="false" indent="0" shrinkToFit="false"/>
      <protection locked="true" hidden="false"/>
    </xf>
    <xf numFmtId="164" fontId="22" fillId="2" borderId="13" xfId="0" applyFont="true" applyBorder="true" applyAlignment="true" applyProtection="false">
      <alignment horizontal="left" vertical="center" textRotation="0" wrapText="false" indent="0" shrinkToFit="false"/>
      <protection locked="true" hidden="false"/>
    </xf>
    <xf numFmtId="164" fontId="23" fillId="2" borderId="9" xfId="0" applyFont="true" applyBorder="true" applyAlignment="true" applyProtection="false">
      <alignment horizontal="center" vertical="center" textRotation="0" wrapText="true" indent="0" shrinkToFit="false"/>
      <protection locked="true" hidden="false"/>
    </xf>
    <xf numFmtId="164" fontId="22" fillId="2" borderId="14" xfId="0" applyFont="true" applyBorder="true" applyAlignment="true" applyProtection="false">
      <alignment horizontal="center" vertical="center" textRotation="0" wrapText="true" indent="0" shrinkToFit="false"/>
      <protection locked="true" hidden="false"/>
    </xf>
    <xf numFmtId="164" fontId="22" fillId="2" borderId="2" xfId="0" applyFont="true" applyBorder="true" applyAlignment="true" applyProtection="false">
      <alignment horizontal="center" vertical="center" textRotation="0" wrapText="true" indent="0" shrinkToFit="false"/>
      <protection locked="true" hidden="false"/>
    </xf>
    <xf numFmtId="164" fontId="23" fillId="2" borderId="15" xfId="0" applyFont="true" applyBorder="true" applyAlignment="true" applyProtection="false">
      <alignment horizontal="center" vertical="center" textRotation="0" wrapText="true" indent="0" shrinkToFit="false"/>
      <protection locked="true" hidden="false"/>
    </xf>
    <xf numFmtId="164" fontId="23" fillId="2" borderId="6" xfId="0" applyFont="true" applyBorder="true" applyAlignment="true" applyProtection="false">
      <alignment horizontal="center" vertical="center" textRotation="0" wrapText="false" indent="0" shrinkToFit="false"/>
      <protection locked="true" hidden="false"/>
    </xf>
    <xf numFmtId="164" fontId="23" fillId="2" borderId="6" xfId="0" applyFont="true" applyBorder="true" applyAlignment="true" applyProtection="false">
      <alignment horizontal="center" vertical="center" textRotation="0" wrapText="true" indent="0" shrinkToFit="false"/>
      <protection locked="true" hidden="false"/>
    </xf>
    <xf numFmtId="165" fontId="0" fillId="0" borderId="1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true" applyAlignment="true" applyProtection="false">
      <alignment horizontal="center" vertical="center" textRotation="0" wrapText="true" indent="0" shrinkToFit="false"/>
      <protection locked="true" hidden="false"/>
    </xf>
    <xf numFmtId="165" fontId="0" fillId="0" borderId="17" xfId="0" applyFont="true" applyBorder="true" applyAlignment="true" applyProtection="false">
      <alignment horizontal="center" vertical="center" textRotation="0" wrapText="false" indent="0" shrinkToFit="false"/>
      <protection locked="true" hidden="false"/>
    </xf>
    <xf numFmtId="164" fontId="22" fillId="2" borderId="19" xfId="0" applyFont="true" applyBorder="true" applyAlignment="true" applyProtection="false">
      <alignment horizontal="center" vertical="center" textRotation="0" wrapText="false" indent="0" shrinkToFit="false"/>
      <protection locked="true" hidden="false"/>
    </xf>
    <xf numFmtId="164" fontId="22" fillId="2" borderId="10" xfId="0" applyFont="true" applyBorder="true" applyAlignment="true" applyProtection="false">
      <alignment horizontal="center" vertical="center" textRotation="0" wrapText="true" indent="0" shrinkToFit="false"/>
      <protection locked="true" hidden="false"/>
    </xf>
    <xf numFmtId="164" fontId="22" fillId="2" borderId="0" xfId="0" applyFont="true" applyBorder="true" applyAlignment="true" applyProtection="false">
      <alignment horizontal="center" vertical="center" textRotation="0" wrapText="true" indent="0" shrinkToFit="false"/>
      <protection locked="true" hidden="false"/>
    </xf>
    <xf numFmtId="164" fontId="22" fillId="2" borderId="11" xfId="0" applyFont="true" applyBorder="true" applyAlignment="true" applyProtection="false">
      <alignment horizontal="center" vertical="center" textRotation="0" wrapText="true" indent="0" shrinkToFit="false"/>
      <protection locked="true" hidden="false"/>
    </xf>
    <xf numFmtId="165" fontId="12" fillId="2" borderId="6" xfId="0" applyFont="true" applyBorder="true" applyAlignment="true" applyProtection="false">
      <alignment horizontal="center" vertical="center" textRotation="0" wrapText="tru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5" fontId="0" fillId="0" borderId="20" xfId="0" applyFont="true" applyBorder="true" applyAlignment="true" applyProtection="false">
      <alignment horizontal="center" vertical="center" textRotation="0" wrapText="false" indent="0" shrinkToFit="false"/>
      <protection locked="true" hidden="false"/>
    </xf>
    <xf numFmtId="165" fontId="0" fillId="0" borderId="21" xfId="0" applyFont="true" applyBorder="true" applyAlignment="true" applyProtection="false">
      <alignment horizontal="center" vertical="center" textRotation="0" wrapText="false" indent="0" shrinkToFit="false"/>
      <protection locked="true" hidden="false"/>
    </xf>
    <xf numFmtId="165" fontId="12" fillId="0" borderId="9"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8"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16" fillId="0" borderId="23" xfId="0" applyFont="true" applyBorder="true" applyAlignment="true" applyProtection="false">
      <alignment horizontal="center" vertical="center" textRotation="0" wrapText="true" indent="0" shrinkToFit="false"/>
      <protection locked="true" hidden="false"/>
    </xf>
    <xf numFmtId="164" fontId="16" fillId="0" borderId="23" xfId="0" applyFont="true" applyBorder="true" applyAlignment="true" applyProtection="false">
      <alignment horizontal="center" vertical="center"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5" fontId="11" fillId="3" borderId="14" xfId="0" applyFont="true" applyBorder="true" applyAlignment="true" applyProtection="false">
      <alignment horizontal="center" vertical="center" textRotation="0" wrapText="true" indent="0" shrinkToFit="false"/>
      <protection locked="true" hidden="false"/>
    </xf>
    <xf numFmtId="165" fontId="11" fillId="3" borderId="2" xfId="0" applyFont="true" applyBorder="true" applyAlignment="true" applyProtection="false">
      <alignment horizontal="center" vertical="center" textRotation="0" wrapText="true" indent="0" shrinkToFit="false"/>
      <protection locked="true" hidden="false"/>
    </xf>
    <xf numFmtId="165" fontId="11" fillId="3" borderId="15" xfId="0" applyFont="true" applyBorder="true" applyAlignment="true" applyProtection="false">
      <alignment horizontal="center" vertical="center" textRotation="0" wrapText="tru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5" fontId="0" fillId="0" borderId="10" xfId="0" applyFont="false" applyBorder="true" applyAlignment="true" applyProtection="false">
      <alignment horizontal="center" vertical="center" textRotation="0" wrapText="true" indent="0" shrinkToFit="false"/>
      <protection locked="true" hidden="false"/>
    </xf>
    <xf numFmtId="165" fontId="0" fillId="0" borderId="11" xfId="0" applyFont="false" applyBorder="true" applyAlignment="true" applyProtection="false">
      <alignment horizontal="center" vertical="center" textRotation="0" wrapText="true" indent="0" shrinkToFit="false"/>
      <protection locked="true" hidden="false"/>
    </xf>
    <xf numFmtId="165" fontId="0" fillId="0" borderId="23" xfId="0" applyFont="false" applyBorder="true" applyAlignment="true" applyProtection="false">
      <alignment horizontal="center" vertical="bottom" textRotation="0" wrapText="false" indent="0" shrinkToFit="false"/>
      <protection locked="true" hidden="false"/>
    </xf>
    <xf numFmtId="164" fontId="20" fillId="0" borderId="13" xfId="22" applyFont="true" applyBorder="true" applyAlignment="true" applyProtection="false">
      <alignment horizontal="center" vertical="center" textRotation="0" wrapText="false" indent="0" shrinkToFit="false"/>
      <protection locked="true" hidden="false"/>
    </xf>
    <xf numFmtId="164" fontId="20" fillId="0" borderId="9" xfId="22" applyFont="true" applyBorder="true" applyAlignment="true" applyProtection="false">
      <alignment horizontal="center" vertical="center" textRotation="0" wrapText="false" indent="0" shrinkToFit="false"/>
      <protection locked="true" hidden="false"/>
    </xf>
    <xf numFmtId="165" fontId="0" fillId="0" borderId="17" xfId="0" applyFont="false" applyBorder="true" applyAlignment="true" applyProtection="false">
      <alignment horizontal="center" vertical="center" textRotation="0" wrapText="true" indent="0" shrinkToFit="false"/>
      <protection locked="true" hidden="false"/>
    </xf>
    <xf numFmtId="165" fontId="0" fillId="0" borderId="9" xfId="0" applyFont="false" applyBorder="true" applyAlignment="true" applyProtection="false">
      <alignment horizontal="center" vertical="center" textRotation="0" wrapText="true" indent="0" shrinkToFit="false"/>
      <protection locked="true" hidden="false"/>
    </xf>
    <xf numFmtId="165" fontId="0" fillId="0" borderId="18" xfId="0" applyFont="false" applyBorder="true" applyAlignment="true" applyProtection="false">
      <alignment horizontal="center" vertical="center" textRotation="0" wrapText="true" indent="0" shrinkToFit="false"/>
      <protection locked="true" hidden="false"/>
    </xf>
    <xf numFmtId="165" fontId="0" fillId="0" borderId="9" xfId="0" applyFont="false" applyBorder="true" applyAlignment="true" applyProtection="false">
      <alignment horizontal="center" vertical="bottom" textRotation="0" wrapText="false" indent="0" shrinkToFit="false"/>
      <protection locked="true" hidden="false"/>
    </xf>
    <xf numFmtId="165" fontId="0" fillId="0" borderId="12" xfId="0" applyFont="false" applyBorder="true" applyAlignment="true" applyProtection="false">
      <alignment horizontal="center" vertical="bottom" textRotation="0" wrapText="false" indent="0" shrinkToFit="false"/>
      <protection locked="true" hidden="false"/>
    </xf>
    <xf numFmtId="165" fontId="0" fillId="2" borderId="0"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center" vertical="center" textRotation="0" wrapText="tru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5" fontId="0" fillId="0" borderId="10" xfId="0" applyFont="false" applyBorder="true" applyAlignment="true" applyProtection="false">
      <alignment horizontal="center" vertical="bottom" textRotation="0" wrapText="false" indent="0" shrinkToFit="false"/>
      <protection locked="true" hidden="false"/>
    </xf>
    <xf numFmtId="165" fontId="0" fillId="0" borderId="11" xfId="0" applyFont="false" applyBorder="true" applyAlignment="true" applyProtection="false">
      <alignment horizontal="center" vertical="bottom" textRotation="0" wrapText="false" indent="0" shrinkToFit="false"/>
      <protection locked="true" hidden="false"/>
    </xf>
    <xf numFmtId="165" fontId="0" fillId="0" borderId="17" xfId="0" applyFont="false" applyBorder="true" applyAlignment="true" applyProtection="false">
      <alignment horizontal="center" vertical="bottom" textRotation="0" wrapText="false" indent="0" shrinkToFit="false"/>
      <protection locked="true" hidden="false"/>
    </xf>
    <xf numFmtId="165" fontId="0" fillId="0" borderId="18" xfId="0" applyFont="false" applyBorder="true" applyAlignment="true" applyProtection="false">
      <alignment horizontal="center" vertical="bottom" textRotation="0" wrapText="false" indent="0" shrinkToFit="false"/>
      <protection locked="true" hidden="false"/>
    </xf>
    <xf numFmtId="164" fontId="11" fillId="2" borderId="16" xfId="0" applyFont="true" applyBorder="true" applyAlignment="true" applyProtection="false">
      <alignment horizontal="center" vertical="center" textRotation="0" wrapText="false" indent="0" shrinkToFit="false"/>
      <protection locked="true" hidden="false"/>
    </xf>
    <xf numFmtId="164" fontId="11" fillId="2"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11" fillId="3" borderId="2" xfId="0" applyFont="true" applyBorder="true" applyAlignment="true" applyProtection="false">
      <alignment horizontal="center" vertical="center" textRotation="0" wrapText="tru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8" xfId="0" applyFont="false" applyBorder="true" applyAlignment="true" applyProtection="false">
      <alignment horizontal="center" vertical="bottom" textRotation="0" wrapText="false" indent="0" shrinkToFit="false"/>
      <protection locked="true" hidden="false"/>
    </xf>
    <xf numFmtId="165" fontId="0" fillId="0" borderId="23" xfId="0" applyFont="false" applyBorder="true" applyAlignment="true" applyProtection="false">
      <alignment horizontal="center" vertical="center" textRotation="0" wrapText="false" indent="0" shrinkToFit="false"/>
      <protection locked="true" hidden="false"/>
    </xf>
    <xf numFmtId="165" fontId="11" fillId="3" borderId="10" xfId="0" applyFont="true" applyBorder="true" applyAlignment="true" applyProtection="false">
      <alignment horizontal="center" vertical="center" textRotation="0" wrapText="true" indent="0" shrinkToFit="false"/>
      <protection locked="true" hidden="false"/>
    </xf>
    <xf numFmtId="165" fontId="11" fillId="3" borderId="0" xfId="0" applyFont="true" applyBorder="true" applyAlignment="true" applyProtection="false">
      <alignment horizontal="center" vertical="center" textRotation="0" wrapText="true" indent="0" shrinkToFit="false"/>
      <protection locked="true" hidden="false"/>
    </xf>
    <xf numFmtId="165" fontId="11" fillId="3" borderId="11"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23" xfId="0" applyFont="fals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true" indent="0" shrinkToFit="false"/>
      <protection locked="true" hidden="false"/>
    </xf>
    <xf numFmtId="165" fontId="12" fillId="0" borderId="0" xfId="0" applyFont="true" applyBorder="true" applyAlignment="true" applyProtection="false">
      <alignment horizontal="center" vertical="bottom" textRotation="0" wrapText="true" indent="0" shrinkToFit="false"/>
      <protection locked="true" hidden="false"/>
    </xf>
    <xf numFmtId="165" fontId="0" fillId="0" borderId="9" xfId="0" applyFont="true" applyBorder="true" applyAlignment="true" applyProtection="false">
      <alignment horizontal="center"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11" fillId="3" borderId="2" xfId="0" applyFont="true" applyBorder="true" applyAlignment="true" applyProtection="false">
      <alignment horizontal="center" vertical="bottom" textRotation="0" wrapText="false" indent="0" shrinkToFit="false"/>
      <protection locked="true" hidden="false"/>
    </xf>
    <xf numFmtId="169" fontId="12" fillId="3" borderId="0" xfId="0" applyFont="true" applyBorder="true" applyAlignment="true" applyProtection="false">
      <alignment horizontal="center" vertical="center" textRotation="0" wrapText="true" indent="0" shrinkToFit="false"/>
      <protection locked="true" hidden="false"/>
    </xf>
    <xf numFmtId="165" fontId="12"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5" fontId="0" fillId="0" borderId="18" xfId="0" applyFont="false" applyBorder="true" applyAlignment="true" applyProtection="false">
      <alignment horizontal="center" vertical="center" textRotation="0" wrapText="false" indent="0" shrinkToFit="false"/>
      <protection locked="true" hidden="false"/>
    </xf>
    <xf numFmtId="164" fontId="0" fillId="2" borderId="24" xfId="0" applyFont="false" applyBorder="true" applyAlignment="true" applyProtection="false">
      <alignment horizontal="center" vertical="center" textRotation="0" wrapText="false" indent="0" shrinkToFit="false"/>
      <protection locked="true" hidden="false"/>
    </xf>
    <xf numFmtId="165" fontId="0" fillId="2" borderId="25" xfId="0" applyFont="false" applyBorder="true" applyAlignment="true" applyProtection="false">
      <alignment horizontal="center" vertical="center" textRotation="0" wrapText="false" indent="0" shrinkToFit="false"/>
      <protection locked="true" hidden="false"/>
    </xf>
    <xf numFmtId="168" fontId="0" fillId="0" borderId="23"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0" fillId="0" borderId="0" xfId="0" applyFont="tru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center" vertical="bottom" textRotation="0" wrapText="false" indent="0" shrinkToFit="false"/>
      <protection locked="true" hidden="false"/>
    </xf>
    <xf numFmtId="164" fontId="0" fillId="0" borderId="23" xfId="0" applyFont="false" applyBorder="true" applyAlignment="true" applyProtection="false">
      <alignment horizontal="center" vertical="bottom" textRotation="0" wrapText="false" indent="0" shrinkToFit="false"/>
      <protection locked="true" hidden="false"/>
    </xf>
    <xf numFmtId="165" fontId="0" fillId="0" borderId="12" xfId="0" applyFont="false" applyBorder="true" applyAlignment="true" applyProtection="false">
      <alignment horizontal="center" vertical="center" textRotation="0" wrapText="false" indent="0" shrinkToFit="false"/>
      <protection locked="true" hidden="false"/>
    </xf>
    <xf numFmtId="164" fontId="12" fillId="3" borderId="2" xfId="0" applyFont="true" applyBorder="true" applyAlignment="true" applyProtection="false">
      <alignment horizontal="center" vertical="center" textRotation="0" wrapText="false" indent="0" shrinkToFit="false"/>
      <protection locked="true" hidden="false"/>
    </xf>
    <xf numFmtId="165" fontId="12" fillId="3" borderId="2" xfId="0" applyFont="true" applyBorder="true" applyAlignment="true" applyProtection="false">
      <alignment horizontal="center" vertical="center" textRotation="0" wrapText="tru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2" borderId="8" xfId="0" applyFont="false" applyBorder="true" applyAlignment="true" applyProtection="false">
      <alignment horizontal="center" vertical="bottom" textRotation="0" wrapText="false" indent="0" shrinkToFit="false"/>
      <protection locked="true" hidden="false"/>
    </xf>
    <xf numFmtId="165" fontId="0" fillId="0" borderId="21" xfId="0" applyFont="false" applyBorder="true" applyAlignment="true" applyProtection="false">
      <alignment horizontal="center" vertical="bottom" textRotation="0" wrapText="false" indent="0" shrinkToFit="false"/>
      <protection locked="true" hidden="false"/>
    </xf>
    <xf numFmtId="165" fontId="0" fillId="0" borderId="22" xfId="0" applyFont="fals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7" fillId="0" borderId="16" xfId="0" applyFont="true" applyBorder="true" applyAlignment="true" applyProtection="false">
      <alignment horizontal="center" vertical="center" textRotation="0" wrapText="false" indent="0" shrinkToFit="false"/>
      <protection locked="true" hidden="false"/>
    </xf>
    <xf numFmtId="164" fontId="17" fillId="0" borderId="9"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5" fontId="19" fillId="3" borderId="2" xfId="0" applyFont="true" applyBorder="true" applyAlignment="true" applyProtection="false">
      <alignment horizontal="center" vertical="center" textRotation="0" wrapText="false" indent="0" shrinkToFit="false"/>
      <protection locked="true" hidden="false"/>
    </xf>
    <xf numFmtId="164" fontId="17" fillId="3" borderId="2" xfId="0" applyFont="true" applyBorder="true" applyAlignment="true" applyProtection="false">
      <alignment horizontal="center" vertical="center" textRotation="0" wrapText="false" indent="0" shrinkToFit="false"/>
      <protection locked="true" hidden="false"/>
    </xf>
    <xf numFmtId="164" fontId="11" fillId="0" borderId="16" xfId="0" applyFont="true" applyBorder="true" applyAlignment="true" applyProtection="false">
      <alignment horizontal="center" vertical="bottom" textRotation="0" wrapText="false" indent="0" shrinkToFit="false"/>
      <protection locked="true" hidden="false"/>
    </xf>
    <xf numFmtId="164" fontId="17" fillId="2" borderId="2"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5" fontId="0" fillId="0" borderId="23" xfId="0" applyFont="true" applyBorder="true" applyAlignment="true" applyProtection="false">
      <alignment horizontal="center" vertical="center" textRotation="0" wrapText="false" indent="0" shrinkToFit="false"/>
      <protection locked="true" hidden="false"/>
    </xf>
    <xf numFmtId="164" fontId="11" fillId="5" borderId="16"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true" applyAlignment="true" applyProtection="false">
      <alignment horizontal="center" vertical="center" textRotation="0" wrapText="false" indent="0" shrinkToFit="false"/>
      <protection locked="true" hidden="false"/>
    </xf>
    <xf numFmtId="165" fontId="0" fillId="5" borderId="0" xfId="0" applyFont="false" applyBorder="true" applyAlignment="true" applyProtection="false">
      <alignment horizontal="center" vertical="center"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5" fontId="0" fillId="5" borderId="10" xfId="0" applyFont="true" applyBorder="true" applyAlignment="true" applyProtection="false">
      <alignment horizontal="center" vertical="center" textRotation="0" wrapText="false" indent="0" shrinkToFit="false"/>
      <protection locked="true" hidden="false"/>
    </xf>
    <xf numFmtId="165" fontId="0" fillId="5" borderId="0" xfId="0" applyFont="true" applyBorder="true" applyAlignment="true" applyProtection="false">
      <alignment horizontal="center" vertical="center" textRotation="0" wrapText="false" indent="0" shrinkToFit="false"/>
      <protection locked="true" hidden="false"/>
    </xf>
    <xf numFmtId="165" fontId="0" fillId="5" borderId="11" xfId="0" applyFont="true" applyBorder="true" applyAlignment="true" applyProtection="false">
      <alignment horizontal="center" vertical="center"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12" fillId="5" borderId="0" xfId="0" applyFont="true" applyBorder="true" applyAlignment="true" applyProtection="false">
      <alignment horizontal="center" vertical="center" textRotation="0" wrapText="tru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17" fillId="5" borderId="0" xfId="0" applyFont="true" applyBorder="true" applyAlignment="true" applyProtection="false">
      <alignment horizontal="center" vertical="center" textRotation="0" wrapText="false" indent="0" shrinkToFit="false"/>
      <protection locked="true" hidden="false"/>
    </xf>
    <xf numFmtId="164" fontId="0" fillId="3" borderId="16"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17" fillId="3"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7" fillId="2" borderId="6" xfId="0" applyFont="true" applyBorder="true" applyAlignment="true" applyProtection="false">
      <alignment horizontal="center" vertical="center" textRotation="0" wrapText="false" indent="0" shrinkToFit="false"/>
      <protection locked="true" hidden="false"/>
    </xf>
    <xf numFmtId="165" fontId="11" fillId="2" borderId="6" xfId="0" applyFont="true" applyBorder="true" applyAlignment="true" applyProtection="false">
      <alignment horizontal="center" vertical="center" textRotation="0" wrapText="false" indent="0" shrinkToFit="false"/>
      <protection locked="true" hidden="false"/>
    </xf>
    <xf numFmtId="164" fontId="11" fillId="3" borderId="2" xfId="0" applyFont="true" applyBorder="true" applyAlignment="false" applyProtection="false">
      <alignment horizontal="general" vertical="bottom" textRotation="0" wrapText="false" indent="0" shrinkToFit="false"/>
      <protection locked="true" hidden="false"/>
    </xf>
    <xf numFmtId="165" fontId="0" fillId="0" borderId="1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6" fillId="0" borderId="19" xfId="0" applyFont="true" applyBorder="true" applyAlignment="true" applyProtection="false">
      <alignment horizontal="center" vertical="center" textRotation="0" wrapText="false" indent="0" shrinkToFit="false"/>
      <protection locked="true" hidden="false"/>
    </xf>
    <xf numFmtId="164" fontId="17" fillId="0" borderId="7" xfId="0" applyFont="true" applyBorder="true" applyAlignment="false" applyProtection="false">
      <alignment horizontal="general" vertical="bottom" textRotation="0" wrapText="false" indent="0" shrinkToFit="false"/>
      <protection locked="true" hidden="false"/>
    </xf>
    <xf numFmtId="164" fontId="17" fillId="0" borderId="7" xfId="0" applyFont="true" applyBorder="true" applyAlignment="true" applyProtection="false">
      <alignment horizontal="general" vertical="bottom" textRotation="0" wrapText="tru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16" fillId="0" borderId="17" xfId="0" applyFont="true" applyBorder="true" applyAlignment="true" applyProtection="false">
      <alignment horizontal="center" vertical="center" textRotation="0" wrapText="true" indent="0" shrinkToFit="false"/>
      <protection locked="true" hidden="false"/>
    </xf>
    <xf numFmtId="164" fontId="16" fillId="0" borderId="18"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center" vertical="center" textRotation="0" wrapText="false" indent="0" shrinkToFit="false"/>
      <protection locked="true" hidden="false"/>
    </xf>
    <xf numFmtId="164" fontId="11" fillId="2" borderId="11" xfId="0" applyFont="true" applyBorder="true" applyAlignment="true" applyProtection="false">
      <alignment horizontal="center" vertical="center" textRotation="0" wrapText="false" indent="0" shrinkToFit="false"/>
      <protection locked="true" hidden="false"/>
    </xf>
    <xf numFmtId="164" fontId="11" fillId="2" borderId="0" xfId="0" applyFont="true" applyBorder="true" applyAlignment="true" applyProtection="false">
      <alignment horizontal="center" vertical="center" textRotation="0" wrapText="true" indent="0" shrinkToFit="false"/>
      <protection locked="true" hidden="false"/>
    </xf>
    <xf numFmtId="164" fontId="11" fillId="3" borderId="14" xfId="0" applyFont="true" applyBorder="true" applyAlignment="true" applyProtection="false">
      <alignment horizontal="center" vertical="center" textRotation="0" wrapText="false" indent="0" shrinkToFit="false"/>
      <protection locked="true" hidden="false"/>
    </xf>
    <xf numFmtId="164" fontId="19" fillId="0" borderId="10"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11" fillId="3" borderId="10" xfId="0" applyFont="true" applyBorder="true" applyAlignment="true" applyProtection="false">
      <alignment horizontal="center" vertical="center" textRotation="0" wrapText="false" indent="0" shrinkToFit="false"/>
      <protection locked="true" hidden="false"/>
    </xf>
    <xf numFmtId="164" fontId="0" fillId="0" borderId="17" xfId="0" applyFont="false" applyBorder="true" applyAlignment="true" applyProtection="false">
      <alignment horizontal="center" vertical="center" textRotation="0" wrapText="false" indent="0" shrinkToFit="false"/>
      <protection locked="true" hidden="false"/>
    </xf>
    <xf numFmtId="167" fontId="0" fillId="0" borderId="18" xfId="0" applyFont="true" applyBorder="true" applyAlignment="true" applyProtection="false">
      <alignment horizontal="center" vertical="center" textRotation="0" wrapText="false" indent="0" shrinkToFit="false"/>
      <protection locked="true" hidden="false"/>
    </xf>
    <xf numFmtId="167" fontId="11" fillId="2" borderId="11" xfId="0" applyFont="true" applyBorder="true" applyAlignment="true" applyProtection="false">
      <alignment horizontal="center" vertical="center" textRotation="0" wrapText="false" indent="0" shrinkToFit="false"/>
      <protection locked="true" hidden="false"/>
    </xf>
    <xf numFmtId="165" fontId="0" fillId="3" borderId="2"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5" fontId="0" fillId="3" borderId="8" xfId="0" applyFont="true" applyBorder="true" applyAlignment="true" applyProtection="false">
      <alignment horizontal="center" vertical="center" textRotation="0" wrapText="false" indent="0" shrinkToFit="false"/>
      <protection locked="true" hidden="false"/>
    </xf>
    <xf numFmtId="165" fontId="19" fillId="0" borderId="10" xfId="0" applyFont="true" applyBorder="true" applyAlignment="true" applyProtection="false">
      <alignment horizontal="center" vertical="center" textRotation="0" wrapText="false" indent="0" shrinkToFit="false"/>
      <protection locked="true" hidden="false"/>
    </xf>
    <xf numFmtId="165" fontId="19" fillId="0" borderId="11" xfId="0" applyFont="true" applyBorder="true" applyAlignment="true" applyProtection="false">
      <alignment horizontal="center" vertical="center" textRotation="0" wrapText="false" indent="0" shrinkToFit="false"/>
      <protection locked="true" hidden="false"/>
    </xf>
    <xf numFmtId="165" fontId="19" fillId="0" borderId="23" xfId="0" applyFont="true" applyBorder="true" applyAlignment="true" applyProtection="false">
      <alignment horizontal="center" vertical="center" textRotation="0" wrapText="false" indent="0" shrinkToFit="false"/>
      <protection locked="true" hidden="false"/>
    </xf>
    <xf numFmtId="165" fontId="0" fillId="3" borderId="23" xfId="0" applyFont="tru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4" fontId="0" fillId="0" borderId="21" xfId="0" applyFont="fals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70" fontId="12" fillId="0" borderId="16"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12" fillId="0" borderId="23"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2" fillId="0" borderId="23" xfId="0" applyFont="true" applyBorder="true" applyAlignment="true" applyProtection="false">
      <alignment horizontal="center" vertical="center" textRotation="0" wrapText="false" indent="0" shrinkToFit="false"/>
      <protection locked="true" hidden="false"/>
    </xf>
    <xf numFmtId="164" fontId="12" fillId="0" borderId="23" xfId="0" applyFont="true" applyBorder="true" applyAlignment="true" applyProtection="false">
      <alignment horizontal="center" vertical="center" textRotation="0" wrapText="false" indent="0" shrinkToFit="false"/>
      <protection locked="true" hidden="false"/>
    </xf>
    <xf numFmtId="170" fontId="12" fillId="0" borderId="13"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false">
      <alignment horizontal="center" vertical="center" textRotation="0" wrapText="false" indent="0" shrinkToFit="false"/>
      <protection locked="true" hidden="false"/>
    </xf>
    <xf numFmtId="168" fontId="12" fillId="0" borderId="9" xfId="0" applyFont="true" applyBorder="true" applyAlignment="true" applyProtection="false">
      <alignment horizontal="center" vertical="center" textRotation="0" wrapText="false" indent="0" shrinkToFit="false"/>
      <protection locked="true" hidden="false"/>
    </xf>
    <xf numFmtId="168" fontId="12" fillId="0" borderId="12"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5" fontId="12"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4" fillId="0" borderId="16" xfId="0" applyFont="true" applyBorder="true" applyAlignment="true" applyProtection="false">
      <alignment horizontal="center" vertical="top" textRotation="0" wrapText="true" indent="0" shrinkToFit="false"/>
      <protection locked="true" hidden="false"/>
    </xf>
    <xf numFmtId="165" fontId="12" fillId="0" borderId="0" xfId="0" applyFont="true" applyBorder="true" applyAlignment="true" applyProtection="false">
      <alignment horizontal="center" vertical="center" textRotation="0" wrapText="true" indent="0" shrinkToFit="false"/>
      <protection locked="true" hidden="false"/>
    </xf>
    <xf numFmtId="165" fontId="12" fillId="0" borderId="23"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13" xfId="0" applyFont="true" applyBorder="true" applyAlignment="true" applyProtection="false">
      <alignment horizontal="center" vertical="top" textRotation="0" wrapText="true" indent="0" shrinkToFit="false"/>
      <protection locked="true" hidden="false"/>
    </xf>
    <xf numFmtId="165" fontId="12" fillId="0" borderId="9" xfId="0" applyFont="true" applyBorder="true" applyAlignment="true" applyProtection="false">
      <alignment horizontal="center" vertical="center" textRotation="0" wrapText="false" indent="0" shrinkToFit="false"/>
      <protection locked="true" hidden="false"/>
    </xf>
    <xf numFmtId="165" fontId="12" fillId="0" borderId="1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7" fontId="12" fillId="0" borderId="9" xfId="0" applyFont="true" applyBorder="true" applyAlignment="true" applyProtection="false">
      <alignment horizontal="center" vertical="center" textRotation="0" wrapText="true" indent="0" shrinkToFit="false"/>
      <protection locked="true" hidden="false"/>
    </xf>
    <xf numFmtId="167" fontId="12" fillId="0" borderId="12" xfId="0" applyFont="true" applyBorder="true" applyAlignment="true" applyProtection="false">
      <alignment horizontal="center" vertical="center" textRotation="0" wrapText="tru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8" xfId="0" applyFont="true" applyBorder="true" applyAlignment="true" applyProtection="false">
      <alignment horizontal="center" vertical="bottom" textRotation="0" wrapText="true" indent="0" shrinkToFit="false"/>
      <protection locked="true" hidden="false"/>
    </xf>
    <xf numFmtId="164" fontId="12" fillId="0" borderId="16"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9" fontId="12" fillId="0" borderId="0" xfId="0" applyFont="true" applyBorder="true" applyAlignment="true" applyProtection="false">
      <alignment horizontal="center" vertical="bottom" textRotation="0" wrapText="false" indent="0" shrinkToFit="false"/>
      <protection locked="true" hidden="false"/>
    </xf>
    <xf numFmtId="171" fontId="12" fillId="0" borderId="23"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5" fontId="12" fillId="0" borderId="0" xfId="0" applyFont="true" applyBorder="true" applyAlignment="true" applyProtection="false">
      <alignment horizontal="center" vertical="bottom" textRotation="0" wrapText="true" indent="0" shrinkToFit="false"/>
      <protection locked="true" hidden="false"/>
    </xf>
    <xf numFmtId="165" fontId="12" fillId="0" borderId="23" xfId="0" applyFont="true" applyBorder="true" applyAlignment="true" applyProtection="false">
      <alignment horizontal="center" vertical="bottom" textRotation="0" wrapText="true" indent="0" shrinkToFit="false"/>
      <protection locked="true" hidden="false"/>
    </xf>
    <xf numFmtId="165" fontId="12"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72" fontId="12" fillId="0" borderId="0" xfId="0" applyFont="true" applyBorder="true" applyAlignment="true" applyProtection="false">
      <alignment horizontal="general" vertical="center" textRotation="0" wrapText="false" indent="0" shrinkToFit="false"/>
      <protection locked="true" hidden="false"/>
    </xf>
    <xf numFmtId="165" fontId="20" fillId="0" borderId="0" xfId="22" applyFont="true" applyBorder="true" applyAlignment="true" applyProtection="false">
      <alignment horizontal="center" vertical="bottom" textRotation="0" wrapText="false" indent="0" shrinkToFit="false"/>
      <protection locked="true" hidden="false"/>
    </xf>
    <xf numFmtId="164" fontId="12" fillId="0" borderId="23" xfId="0" applyFont="true" applyBorder="true" applyAlignment="true" applyProtection="false">
      <alignment horizontal="center" vertical="bottom" textRotation="0" wrapText="true" indent="0" shrinkToFit="false"/>
      <protection locked="true" hidden="false"/>
    </xf>
    <xf numFmtId="164" fontId="12" fillId="0" borderId="13"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2" fillId="0" borderId="12" xfId="0" applyFont="true" applyBorder="true" applyAlignment="true" applyProtection="false">
      <alignment horizontal="center" vertical="bottom" textRotation="0" wrapText="false" indent="0" shrinkToFit="false"/>
      <protection locked="true" hidden="false"/>
    </xf>
    <xf numFmtId="165" fontId="12" fillId="0" borderId="0"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73" fontId="12" fillId="0" borderId="0"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5" fontId="12" fillId="0" borderId="23"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5" fontId="12" fillId="0" borderId="9" xfId="0" applyFont="true" applyBorder="true" applyAlignment="true" applyProtection="false">
      <alignment horizontal="center" vertical="center" textRotation="0" wrapText="false" indent="0" shrinkToFit="false"/>
      <protection locked="true" hidden="false"/>
    </xf>
    <xf numFmtId="164" fontId="12" fillId="0" borderId="12"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5" fontId="12"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71" fontId="12" fillId="0" borderId="0" xfId="0" applyFont="true" applyBorder="true" applyAlignment="true" applyProtection="false">
      <alignment horizontal="general" vertical="center" textRotation="0" wrapText="true" indent="0" shrinkToFit="false"/>
      <protection locked="true" hidden="false"/>
    </xf>
    <xf numFmtId="171" fontId="12" fillId="0" borderId="0" xfId="0" applyFont="true" applyBorder="fals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2" fillId="0" borderId="13" xfId="0" applyFont="true" applyBorder="true" applyAlignment="true" applyProtection="false">
      <alignment horizontal="center" vertical="center" textRotation="0" wrapText="false" indent="0" shrinkToFit="false"/>
      <protection locked="true" hidden="false"/>
    </xf>
    <xf numFmtId="167" fontId="12" fillId="0" borderId="9" xfId="0" applyFont="true" applyBorder="true" applyAlignment="true" applyProtection="false">
      <alignment horizontal="center" vertical="center" textRotation="0" wrapText="false" indent="0" shrinkToFit="false"/>
      <protection locked="true" hidden="false"/>
    </xf>
    <xf numFmtId="167" fontId="12" fillId="0" borderId="12" xfId="0" applyFont="true" applyBorder="true" applyAlignment="true" applyProtection="false">
      <alignment horizontal="center" vertical="center" textRotation="0" wrapText="false" indent="0" shrinkToFit="false"/>
      <protection locked="true" hidden="false"/>
    </xf>
    <xf numFmtId="165" fontId="12" fillId="0" borderId="9" xfId="0" applyFont="true" applyBorder="true" applyAlignment="true" applyProtection="false">
      <alignment horizontal="center" vertical="center" textRotation="0" wrapText="true" indent="0" shrinkToFit="false"/>
      <protection locked="true" hidden="false"/>
    </xf>
    <xf numFmtId="165" fontId="12" fillId="0" borderId="12"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72" fontId="26" fillId="0" borderId="0" xfId="0" applyFont="true" applyBorder="true" applyAlignment="true" applyProtection="false">
      <alignment horizontal="general"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5" fontId="12" fillId="0" borderId="23"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5" fontId="26" fillId="0" borderId="0" xfId="0" applyFont="true" applyBorder="true" applyAlignment="true" applyProtection="false">
      <alignment horizontal="center" vertical="center" textRotation="0" wrapText="true" indent="0" shrinkToFit="false"/>
      <protection locked="true" hidden="false"/>
    </xf>
    <xf numFmtId="165" fontId="12" fillId="0" borderId="23" xfId="0" applyFont="true" applyBorder="true" applyAlignment="true" applyProtection="false">
      <alignment horizontal="center" vertical="bottom" textRotation="0" wrapText="false" indent="0" shrinkToFit="false"/>
      <protection locked="true" hidden="false"/>
    </xf>
    <xf numFmtId="165" fontId="26" fillId="0" borderId="0" xfId="0" applyFont="true" applyBorder="true" applyAlignment="true" applyProtection="false">
      <alignment horizontal="center" vertical="bottom" textRotation="0" wrapText="false" indent="0" shrinkToFit="false"/>
      <protection locked="true" hidden="false"/>
    </xf>
    <xf numFmtId="172" fontId="27" fillId="0" borderId="0" xfId="0" applyFont="true" applyBorder="true" applyAlignment="false" applyProtection="false">
      <alignment horizontal="general" vertical="bottom" textRotation="0" wrapText="false" indent="0" shrinkToFit="false"/>
      <protection locked="true" hidden="false"/>
    </xf>
    <xf numFmtId="165" fontId="12" fillId="0" borderId="9" xfId="0" applyFont="true" applyBorder="true" applyAlignment="true" applyProtection="false">
      <alignment horizontal="center" vertical="bottom" textRotation="0" wrapText="false" indent="0" shrinkToFit="false"/>
      <protection locked="true" hidden="false"/>
    </xf>
    <xf numFmtId="165" fontId="12" fillId="0" borderId="12"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7" fontId="20" fillId="0" borderId="23"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false" indent="0" shrinkToFit="false"/>
      <protection locked="true" hidden="false"/>
    </xf>
    <xf numFmtId="167" fontId="20" fillId="0" borderId="1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8"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0" borderId="12"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2" fillId="0" borderId="23" xfId="0" applyFont="true" applyBorder="true" applyAlignment="true" applyProtection="false">
      <alignment horizontal="center" vertical="center" textRotation="0" wrapText="true" indent="0" shrinkToFit="false"/>
      <protection locked="true" hidden="false"/>
    </xf>
    <xf numFmtId="164" fontId="14" fillId="0" borderId="9" xfId="0" applyFont="true" applyBorder="true" applyAlignment="true" applyProtection="false">
      <alignment horizontal="center" vertical="center" textRotation="0" wrapText="false" indent="0" shrinkToFit="false"/>
      <protection locked="true" hidden="false"/>
    </xf>
    <xf numFmtId="164" fontId="29"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71" fontId="12" fillId="0" borderId="0" xfId="0" applyFont="true" applyBorder="true" applyAlignment="true" applyProtection="false">
      <alignment horizontal="general" vertical="center" textRotation="0" wrapText="false" indent="0" shrinkToFit="false"/>
      <protection locked="true" hidden="false"/>
    </xf>
    <xf numFmtId="164" fontId="14" fillId="0" borderId="9" xfId="0" applyFont="true" applyBorder="true" applyAlignment="true" applyProtection="false">
      <alignment horizontal="center" vertical="center" textRotation="0" wrapText="true" indent="0" shrinkToFit="false"/>
      <protection locked="true" hidden="false"/>
    </xf>
    <xf numFmtId="165" fontId="12" fillId="0" borderId="12"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true" applyAlignment="true" applyProtection="false">
      <alignment horizontal="general" vertical="center" textRotation="0" wrapText="fals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true" applyProtection="false">
      <alignment horizontal="center" vertical="center" textRotation="0" wrapText="fals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14" fillId="2" borderId="2" xfId="0" applyFont="true" applyBorder="true" applyAlignment="true" applyProtection="false">
      <alignment horizontal="center" vertical="center" textRotation="0" wrapText="true" indent="0" shrinkToFit="false"/>
      <protection locked="true" hidden="false"/>
    </xf>
    <xf numFmtId="164" fontId="14" fillId="2" borderId="8" xfId="0" applyFont="true" applyBorder="true" applyAlignment="true" applyProtection="false">
      <alignment horizontal="center" vertical="center" textRotation="0" wrapText="true" indent="0" shrinkToFit="false"/>
      <protection locked="true" hidden="false"/>
    </xf>
    <xf numFmtId="164" fontId="12" fillId="3" borderId="16" xfId="0" applyFont="true" applyBorder="true" applyAlignment="true" applyProtection="false">
      <alignment horizontal="center" vertical="center" textRotation="0" wrapText="true" indent="0" shrinkToFit="false"/>
      <protection locked="true" hidden="false"/>
    </xf>
    <xf numFmtId="165" fontId="12" fillId="3" borderId="23"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5" fontId="12" fillId="0" borderId="23" xfId="0" applyFont="true" applyBorder="true" applyAlignment="true" applyProtection="false">
      <alignment horizontal="center" vertical="center" textRotation="0" wrapText="false" indent="0" shrinkToFit="false"/>
      <protection locked="true" hidden="false"/>
    </xf>
    <xf numFmtId="164" fontId="31" fillId="0" borderId="0" xfId="20" applyFont="true" applyBorder="true" applyAlignment="true" applyProtection="true">
      <alignment horizontal="center" vertical="center" textRotation="0" wrapText="true" indent="0" shrinkToFit="false"/>
      <protection locked="true" hidden="false"/>
    </xf>
    <xf numFmtId="165" fontId="12" fillId="3" borderId="23" xfId="0" applyFont="true" applyBorder="true" applyAlignment="true" applyProtection="false">
      <alignment horizontal="center" vertical="center" textRotation="0" wrapText="fals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7" fontId="12" fillId="0" borderId="0" xfId="0" applyFont="true" applyBorder="true" applyAlignment="true" applyProtection="false">
      <alignment horizontal="center" vertical="center" textRotation="0" wrapText="false" indent="0" shrinkToFit="false"/>
      <protection locked="true" hidden="false"/>
    </xf>
    <xf numFmtId="165" fontId="12" fillId="0" borderId="8" xfId="0" applyFont="true" applyBorder="true" applyAlignment="true" applyProtection="false">
      <alignment horizontal="center" vertical="center" textRotation="0" wrapText="true" indent="0" shrinkToFit="false"/>
      <protection locked="true" hidden="false"/>
    </xf>
    <xf numFmtId="164" fontId="21" fillId="0" borderId="0" xfId="22" applyFont="true" applyBorder="true" applyAlignment="false" applyProtection="false">
      <alignment horizontal="general" vertical="bottom" textRotation="0" wrapText="false" indent="0" shrinkToFit="false"/>
      <protection locked="true" hidden="false"/>
    </xf>
    <xf numFmtId="164" fontId="21" fillId="0" borderId="0" xfId="22" applyFont="true" applyBorder="true" applyAlignment="true" applyProtection="false">
      <alignment horizontal="center" vertical="bottom" textRotation="0" wrapText="false" indent="0" shrinkToFit="false"/>
      <protection locked="true" hidden="false"/>
    </xf>
    <xf numFmtId="165" fontId="21" fillId="0" borderId="0" xfId="22" applyFont="true" applyBorder="true" applyAlignment="false" applyProtection="false">
      <alignment horizontal="general" vertical="bottom" textRotation="0" wrapText="false" indent="0" shrinkToFit="false"/>
      <protection locked="true" hidden="false"/>
    </xf>
    <xf numFmtId="165" fontId="21" fillId="0" borderId="0" xfId="22" applyFont="true" applyBorder="true" applyAlignment="true" applyProtection="false">
      <alignment horizontal="center" vertical="bottom" textRotation="0" wrapText="false" indent="0" shrinkToFit="false"/>
      <protection locked="true" hidden="false"/>
    </xf>
    <xf numFmtId="164" fontId="20" fillId="0" borderId="0" xfId="22" applyFont="true" applyBorder="true" applyAlignment="true" applyProtection="false">
      <alignment horizontal="left" vertical="center" textRotation="0" wrapText="false" indent="0" shrinkToFit="false"/>
      <protection locked="true" hidden="false"/>
    </xf>
    <xf numFmtId="164" fontId="20" fillId="0" borderId="0" xfId="22" applyFont="true" applyBorder="true" applyAlignment="false" applyProtection="false">
      <alignment horizontal="general" vertical="bottom" textRotation="0" wrapText="false" indent="0" shrinkToFit="false"/>
      <protection locked="true" hidden="false"/>
    </xf>
    <xf numFmtId="164" fontId="12" fillId="0" borderId="13" xfId="0" applyFont="true" applyBorder="true" applyAlignment="true" applyProtection="false">
      <alignment horizontal="center" vertical="center" textRotation="0" wrapText="false" indent="0" shrinkToFit="false"/>
      <protection locked="true" hidden="false"/>
    </xf>
    <xf numFmtId="165" fontId="19" fillId="0" borderId="9" xfId="0" applyFont="true" applyBorder="true" applyAlignment="true" applyProtection="false">
      <alignment horizontal="center" vertical="center" textRotation="0" wrapText="false" indent="0" shrinkToFit="false"/>
      <protection locked="true" hidden="false"/>
    </xf>
    <xf numFmtId="165" fontId="19" fillId="0" borderId="12"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left" vertical="center" textRotation="0" wrapText="false" indent="0" shrinkToFit="false"/>
      <protection locked="true" hidden="false"/>
    </xf>
    <xf numFmtId="164" fontId="20" fillId="0" borderId="0" xfId="22" applyFont="true" applyBorder="true" applyAlignment="true" applyProtection="false">
      <alignment horizontal="left" vertical="center" textRotation="0" wrapText="false" indent="0" shrinkToFit="false"/>
      <protection locked="true" hidden="false"/>
    </xf>
    <xf numFmtId="165" fontId="20" fillId="0" borderId="0" xfId="22"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74" fontId="12" fillId="0" borderId="0" xfId="0" applyFont="true" applyBorder="true" applyAlignment="true" applyProtection="false">
      <alignment horizontal="center" vertical="center" textRotation="0" wrapText="false" indent="0" shrinkToFit="false"/>
      <protection locked="true" hidden="false"/>
    </xf>
    <xf numFmtId="165" fontId="12" fillId="0" borderId="12"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75" fontId="12" fillId="0" borderId="0" xfId="0" applyFont="true" applyBorder="true" applyAlignment="true" applyProtection="false">
      <alignment horizontal="center" vertical="center" textRotation="0" wrapText="false" indent="0" shrinkToFit="false"/>
      <protection locked="true" hidden="false"/>
    </xf>
    <xf numFmtId="164" fontId="21" fillId="0" borderId="0" xfId="22" applyFont="true" applyBorder="false" applyAlignment="true" applyProtection="false">
      <alignment horizontal="center" vertical="center" textRotation="0" wrapText="false" indent="0" shrinkToFit="false"/>
      <protection locked="true" hidden="false"/>
    </xf>
    <xf numFmtId="164" fontId="20" fillId="0" borderId="0" xfId="22" applyFont="true" applyBorder="false" applyAlignment="true" applyProtection="false">
      <alignment horizontal="center" vertical="center" textRotation="0" wrapText="false" indent="0" shrinkToFit="false"/>
      <protection locked="true" hidden="false"/>
    </xf>
    <xf numFmtId="164" fontId="21" fillId="0" borderId="0" xfId="22" applyFont="true" applyBorder="true" applyAlignment="true" applyProtection="false">
      <alignment horizontal="center" vertical="center" textRotation="0" wrapText="false" indent="0" shrinkToFit="false"/>
      <protection locked="true" hidden="false"/>
    </xf>
    <xf numFmtId="168" fontId="21" fillId="0" borderId="2" xfId="22" applyFont="true" applyBorder="true" applyAlignment="true" applyProtection="false">
      <alignment horizontal="center" vertical="center" textRotation="0" wrapText="false" indent="0" shrinkToFit="false"/>
      <protection locked="true" hidden="false"/>
    </xf>
    <xf numFmtId="168" fontId="21" fillId="0" borderId="0" xfId="22"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16" xfId="0" applyFont="true" applyBorder="true" applyAlignment="true" applyProtection="false">
      <alignment horizontal="center" vertical="center" textRotation="0" wrapText="false" indent="0" shrinkToFit="false"/>
      <protection locked="true" hidden="false"/>
    </xf>
    <xf numFmtId="165" fontId="32" fillId="0" borderId="0" xfId="22" applyFont="true" applyBorder="true" applyAlignment="true" applyProtection="false">
      <alignment horizontal="center" vertical="center" textRotation="0" wrapText="false" indent="0" shrinkToFit="false"/>
      <protection locked="true" hidden="false"/>
    </xf>
    <xf numFmtId="165" fontId="13" fillId="0" borderId="0" xfId="0" applyFont="true" applyBorder="true" applyAlignment="true" applyProtection="false">
      <alignment horizontal="center" vertical="center" textRotation="0" wrapText="false" indent="0" shrinkToFit="false"/>
      <protection locked="true" hidden="false"/>
    </xf>
    <xf numFmtId="165" fontId="32" fillId="0" borderId="0" xfId="22" applyFont="true" applyBorder="true" applyAlignment="true" applyProtection="false">
      <alignment horizontal="center" vertical="bottom" textRotation="0" wrapText="false" indent="0" shrinkToFit="false"/>
      <protection locked="true" hidden="false"/>
    </xf>
    <xf numFmtId="165" fontId="13" fillId="0" borderId="23"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false" indent="0" shrinkToFit="false"/>
      <protection locked="true" hidden="false"/>
    </xf>
    <xf numFmtId="165" fontId="32" fillId="0" borderId="9" xfId="22" applyFont="true" applyBorder="true" applyAlignment="true" applyProtection="false">
      <alignment horizontal="center" vertical="center" textRotation="0" wrapText="false" indent="0" shrinkToFit="false"/>
      <protection locked="true" hidden="false"/>
    </xf>
    <xf numFmtId="165" fontId="13" fillId="0" borderId="9" xfId="0" applyFont="true" applyBorder="true" applyAlignment="true" applyProtection="false">
      <alignment horizontal="center" vertical="center" textRotation="0" wrapText="false" indent="0" shrinkToFit="false"/>
      <protection locked="true" hidden="false"/>
    </xf>
    <xf numFmtId="165" fontId="32" fillId="0" borderId="9" xfId="22" applyFont="true" applyBorder="true" applyAlignment="true" applyProtection="false">
      <alignment horizontal="center" vertical="bottom" textRotation="0" wrapText="false" indent="0" shrinkToFit="false"/>
      <protection locked="true" hidden="false"/>
    </xf>
    <xf numFmtId="165" fontId="13" fillId="0" borderId="12" xfId="0" applyFont="true" applyBorder="true" applyAlignment="true" applyProtection="false">
      <alignment horizontal="center" vertical="center"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14" fillId="0" borderId="16" xfId="0" applyFont="true" applyBorder="true" applyAlignment="true" applyProtection="false">
      <alignment horizontal="center" vertical="center" textRotation="0" wrapText="false" indent="0" shrinkToFit="false"/>
      <protection locked="true" hidden="false"/>
    </xf>
    <xf numFmtId="165" fontId="20" fillId="0" borderId="0" xfId="22" applyFont="true" applyBorder="true" applyAlignment="true" applyProtection="false">
      <alignment horizontal="left" vertical="center" textRotation="0" wrapText="false" indent="0" shrinkToFit="false"/>
      <protection locked="true" hidden="false"/>
    </xf>
    <xf numFmtId="164" fontId="20" fillId="0" borderId="0" xfId="22" applyFont="true" applyBorder="false" applyAlignment="true" applyProtection="false">
      <alignment horizontal="center" vertical="bottom" textRotation="0" wrapText="false" indent="0" shrinkToFit="false"/>
      <protection locked="true" hidden="false"/>
    </xf>
    <xf numFmtId="164" fontId="20" fillId="0" borderId="23" xfId="22"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7" fontId="20" fillId="0" borderId="0" xfId="22" applyFont="true" applyBorder="true" applyAlignment="true" applyProtection="false">
      <alignment horizontal="center" vertical="center" textRotation="0" wrapText="false" indent="0" shrinkToFit="false"/>
      <protection locked="true" hidden="false"/>
    </xf>
    <xf numFmtId="168" fontId="12" fillId="0" borderId="23" xfId="0" applyFont="true" applyBorder="true" applyAlignment="true" applyProtection="false">
      <alignment horizontal="center" vertical="center" textRotation="0" wrapText="false" indent="0" shrinkToFit="false"/>
      <protection locked="true" hidden="false"/>
    </xf>
    <xf numFmtId="167" fontId="20" fillId="0" borderId="9" xfId="22" applyFont="true" applyBorder="true" applyAlignment="true" applyProtection="false">
      <alignment horizontal="center" vertical="center" textRotation="0" wrapText="false" indent="0" shrinkToFit="false"/>
      <protection locked="true" hidden="false"/>
    </xf>
    <xf numFmtId="167" fontId="20" fillId="0" borderId="12" xfId="22" applyFont="true" applyBorder="true" applyAlignment="true" applyProtection="false">
      <alignment horizontal="center" vertical="center" textRotation="0" wrapText="false" indent="0" shrinkToFit="false"/>
      <protection locked="true" hidden="false"/>
    </xf>
    <xf numFmtId="167" fontId="20" fillId="0" borderId="0" xfId="22" applyFont="true" applyBorder="false" applyAlignment="false" applyProtection="false">
      <alignment horizontal="general" vertical="bottom" textRotation="0" wrapText="false" indent="0" shrinkToFit="false"/>
      <protection locked="true" hidden="false"/>
    </xf>
    <xf numFmtId="164" fontId="20" fillId="0" borderId="0" xfId="22" applyFont="true" applyBorder="false" applyAlignment="false" applyProtection="false">
      <alignment horizontal="general" vertical="bottom" textRotation="0" wrapText="false" indent="0" shrinkToFit="false"/>
      <protection locked="true" hidden="false"/>
    </xf>
    <xf numFmtId="168" fontId="20" fillId="0" borderId="0" xfId="22" applyFont="true" applyBorder="true" applyAlignment="false" applyProtection="false">
      <alignment horizontal="general" vertical="bottom" textRotation="0" wrapText="false" indent="0" shrinkToFit="false"/>
      <protection locked="true" hidden="false"/>
    </xf>
    <xf numFmtId="167" fontId="12" fillId="0" borderId="23" xfId="0" applyFont="true" applyBorder="true" applyAlignment="true" applyProtection="false">
      <alignment horizontal="center" vertical="center" textRotation="0" wrapText="false" indent="0" shrinkToFit="false"/>
      <protection locked="true" hidden="false"/>
    </xf>
    <xf numFmtId="164" fontId="20" fillId="0" borderId="0" xfId="22"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20" fillId="0" borderId="1" xfId="22" applyFont="true" applyBorder="true" applyAlignment="true" applyProtection="false">
      <alignment horizontal="center" vertical="center" textRotation="0" wrapText="false" indent="0" shrinkToFit="false"/>
      <protection locked="true" hidden="false"/>
    </xf>
    <xf numFmtId="168" fontId="12" fillId="0" borderId="2"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21" fillId="0" borderId="0" xfId="22"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14" fillId="0" borderId="23" xfId="0" applyFont="true" applyBorder="true" applyAlignment="true" applyProtection="false">
      <alignment horizontal="center" vertical="center" textRotation="0" wrapText="false" indent="0" shrinkToFit="false"/>
      <protection locked="true" hidden="false"/>
    </xf>
    <xf numFmtId="168" fontId="21" fillId="0" borderId="0" xfId="0" applyFont="true" applyBorder="true" applyAlignment="true" applyProtection="false">
      <alignment horizontal="center" vertical="bottom" textRotation="0" wrapText="false" indent="0" shrinkToFit="false"/>
      <protection locked="true" hidden="false"/>
    </xf>
    <xf numFmtId="168" fontId="20"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7" fontId="20" fillId="0" borderId="0" xfId="22" applyFont="true" applyBorder="true" applyAlignment="false" applyProtection="false">
      <alignment horizontal="general" vertical="bottom" textRotation="0" wrapText="false" indent="0" shrinkToFit="false"/>
      <protection locked="true" hidden="false"/>
    </xf>
    <xf numFmtId="168" fontId="20" fillId="0" borderId="23" xfId="0" applyFont="true" applyBorder="true" applyAlignment="true" applyProtection="false">
      <alignment horizontal="center" vertical="center" textRotation="0" wrapText="false" indent="0" shrinkToFit="false"/>
      <protection locked="true" hidden="false"/>
    </xf>
    <xf numFmtId="165" fontId="20" fillId="0" borderId="23" xfId="22" applyFont="true" applyBorder="true" applyAlignment="true" applyProtection="false">
      <alignment horizontal="center" vertical="center" textRotation="0" wrapText="false" indent="0" shrinkToFit="false"/>
      <protection locked="true" hidden="false"/>
    </xf>
    <xf numFmtId="176" fontId="12" fillId="0" borderId="0" xfId="0" applyFont="true" applyBorder="true" applyAlignment="true" applyProtection="false">
      <alignment horizontal="center" vertical="center" textRotation="0" wrapText="false" indent="0" shrinkToFit="false"/>
      <protection locked="true" hidden="false"/>
    </xf>
    <xf numFmtId="168" fontId="20" fillId="0" borderId="23" xfId="22" applyFont="true" applyBorder="true" applyAlignment="true" applyProtection="false">
      <alignment horizontal="center" vertical="center" textRotation="0" wrapText="false" indent="0" shrinkToFit="false"/>
      <protection locked="true" hidden="false"/>
    </xf>
    <xf numFmtId="164" fontId="21" fillId="0" borderId="16" xfId="22" applyFont="true" applyBorder="true" applyAlignment="true" applyProtection="false">
      <alignment horizontal="left" vertical="center" textRotation="0" wrapText="false" indent="0" shrinkToFit="false"/>
      <protection locked="true" hidden="false"/>
    </xf>
    <xf numFmtId="168" fontId="21" fillId="0" borderId="23" xfId="22" applyFont="true" applyBorder="true" applyAlignment="true" applyProtection="false">
      <alignment horizontal="center" vertical="center" textRotation="0" wrapText="false" indent="0" shrinkToFit="false"/>
      <protection locked="true" hidden="false"/>
    </xf>
    <xf numFmtId="176" fontId="20" fillId="0" borderId="0" xfId="22" applyFont="true" applyBorder="true" applyAlignment="true" applyProtection="false">
      <alignment horizontal="center" vertical="center" textRotation="0" wrapText="false" indent="0" shrinkToFit="false"/>
      <protection locked="true" hidden="false"/>
    </xf>
    <xf numFmtId="167" fontId="20" fillId="0" borderId="23" xfId="22" applyFont="true" applyBorder="true" applyAlignment="true" applyProtection="false">
      <alignment horizontal="center" vertical="center" textRotation="0" wrapText="false" indent="0" shrinkToFit="false"/>
      <protection locked="true" hidden="false"/>
    </xf>
    <xf numFmtId="164" fontId="21" fillId="0" borderId="23" xfId="22" applyFont="true" applyBorder="true" applyAlignment="true" applyProtection="false">
      <alignment horizontal="center" vertical="center" textRotation="0" wrapText="false" indent="0" shrinkToFit="false"/>
      <protection locked="true" hidden="false"/>
    </xf>
    <xf numFmtId="177" fontId="20" fillId="0" borderId="0" xfId="22" applyFont="true" applyBorder="true" applyAlignment="true" applyProtection="false">
      <alignment horizontal="center" vertical="center" textRotation="0" wrapText="false" indent="0" shrinkToFit="false"/>
      <protection locked="true" hidden="false"/>
    </xf>
    <xf numFmtId="164" fontId="20" fillId="0" borderId="23" xfId="22" applyFont="true" applyBorder="true" applyAlignment="true" applyProtection="false">
      <alignment horizontal="center" vertical="center" textRotation="0" wrapText="false" indent="0" shrinkToFit="false"/>
      <protection locked="true" hidden="false"/>
    </xf>
    <xf numFmtId="164" fontId="34" fillId="0" borderId="16"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3" fillId="0" borderId="23" xfId="0" applyFont="true" applyBorder="true" applyAlignment="true" applyProtection="false">
      <alignment horizontal="center" vertical="center" textRotation="0" wrapText="false" indent="0" shrinkToFit="false"/>
      <protection locked="true" hidden="false"/>
    </xf>
    <xf numFmtId="165" fontId="14" fillId="0" borderId="23" xfId="0" applyFont="true" applyBorder="true" applyAlignment="true" applyProtection="false">
      <alignment horizontal="center" vertical="center" textRotation="0" wrapText="false" indent="0" shrinkToFit="false"/>
      <protection locked="true" hidden="false"/>
    </xf>
    <xf numFmtId="177" fontId="20" fillId="0" borderId="23" xfId="22" applyFont="true" applyBorder="true" applyAlignment="true" applyProtection="false">
      <alignment horizontal="center" vertical="center" textRotation="0" wrapText="false" indent="0" shrinkToFit="false"/>
      <protection locked="true" hidden="false"/>
    </xf>
    <xf numFmtId="165" fontId="32" fillId="0" borderId="23" xfId="22" applyFont="true" applyBorder="true" applyAlignment="true" applyProtection="false">
      <alignment horizontal="center" vertical="center" textRotation="0" wrapText="false" indent="0" shrinkToFit="false"/>
      <protection locked="true" hidden="false"/>
    </xf>
    <xf numFmtId="164" fontId="32" fillId="0" borderId="16" xfId="22" applyFont="true" applyBorder="true" applyAlignment="true" applyProtection="false">
      <alignment horizontal="center" vertical="center" textRotation="0" wrapText="false" indent="0" shrinkToFit="false"/>
      <protection locked="true" hidden="false"/>
    </xf>
    <xf numFmtId="168" fontId="32" fillId="0" borderId="0" xfId="22" applyFont="true" applyBorder="true" applyAlignment="true" applyProtection="false">
      <alignment horizontal="center" vertical="center" textRotation="0" wrapText="false" indent="0" shrinkToFit="false"/>
      <protection locked="true" hidden="false"/>
    </xf>
    <xf numFmtId="168" fontId="32" fillId="0" borderId="23" xfId="22" applyFont="true" applyBorder="true" applyAlignment="true" applyProtection="false">
      <alignment horizontal="center" vertical="center" textRotation="0" wrapText="false" indent="0" shrinkToFit="false"/>
      <protection locked="true" hidden="false"/>
    </xf>
    <xf numFmtId="168" fontId="32" fillId="0" borderId="0" xfId="22" applyFont="true" applyBorder="false" applyAlignment="true" applyProtection="false">
      <alignment horizontal="center" vertical="center" textRotation="0" wrapText="false" indent="0" shrinkToFit="false"/>
      <protection locked="true" hidden="false"/>
    </xf>
    <xf numFmtId="168" fontId="20" fillId="0" borderId="0" xfId="22" applyFont="true" applyBorder="true" applyAlignment="false" applyProtection="false">
      <alignment horizontal="general" vertical="bottom" textRotation="0" wrapText="false" indent="0" shrinkToFit="false"/>
      <protection locked="true" hidden="false"/>
    </xf>
    <xf numFmtId="168" fontId="20" fillId="0" borderId="0" xfId="22" applyFont="true" applyBorder="false" applyAlignment="false" applyProtection="false">
      <alignment horizontal="general" vertical="bottom" textRotation="0" wrapText="false" indent="0" shrinkToFit="false"/>
      <protection locked="true" hidden="false"/>
    </xf>
    <xf numFmtId="164" fontId="14" fillId="0" borderId="23" xfId="0" applyFont="true" applyBorder="true" applyAlignment="true" applyProtection="false">
      <alignment horizontal="center" vertical="center" textRotation="0" wrapText="false" indent="0" shrinkToFit="false"/>
      <protection locked="true" hidden="false"/>
    </xf>
    <xf numFmtId="168" fontId="20" fillId="0" borderId="0" xfId="22" applyFont="true" applyBorder="false" applyAlignment="false" applyProtection="false">
      <alignment horizontal="general" vertical="bottom" textRotation="0" wrapText="false" indent="0" shrinkToFit="false"/>
      <protection locked="true" hidden="false"/>
    </xf>
    <xf numFmtId="164" fontId="32" fillId="0" borderId="0" xfId="22" applyFont="true" applyBorder="true" applyAlignment="false" applyProtection="false">
      <alignment horizontal="general" vertical="bottom" textRotation="0" wrapText="false" indent="0" shrinkToFit="false"/>
      <protection locked="true" hidden="false"/>
    </xf>
    <xf numFmtId="165" fontId="20" fillId="0" borderId="0" xfId="22" applyFont="true" applyBorder="false" applyAlignment="true" applyProtection="false">
      <alignment horizontal="center" vertical="bottom" textRotation="0" wrapText="false" indent="0" shrinkToFit="false"/>
      <protection locked="true" hidden="false"/>
    </xf>
    <xf numFmtId="168" fontId="32" fillId="0" borderId="0" xfId="22" applyFont="true" applyBorder="true" applyAlignment="false" applyProtection="false">
      <alignment horizontal="general" vertical="bottom" textRotation="0" wrapText="false" indent="0" shrinkToFit="false"/>
      <protection locked="true" hidden="false"/>
    </xf>
    <xf numFmtId="165" fontId="20" fillId="0" borderId="0" xfId="22" applyFont="true" applyBorder="false" applyAlignment="true" applyProtection="false">
      <alignment horizontal="center" vertical="center" textRotation="0" wrapText="false" indent="0" shrinkToFit="false"/>
      <protection locked="true" hidden="false"/>
    </xf>
    <xf numFmtId="168" fontId="20" fillId="0" borderId="9" xfId="22" applyFont="true" applyBorder="true" applyAlignment="true" applyProtection="false">
      <alignment horizontal="center" vertical="center" textRotation="0" wrapText="false" indent="0" shrinkToFit="false"/>
      <protection locked="true" hidden="false"/>
    </xf>
    <xf numFmtId="168" fontId="20" fillId="0" borderId="12" xfId="22" applyFont="true" applyBorder="true" applyAlignment="true" applyProtection="false">
      <alignment horizontal="center" vertical="center" textRotation="0" wrapText="false" indent="0" shrinkToFit="false"/>
      <protection locked="true" hidden="false"/>
    </xf>
    <xf numFmtId="168" fontId="20" fillId="0" borderId="0" xfId="22" applyFont="true" applyBorder="false" applyAlignment="true" applyProtection="false">
      <alignment horizontal="center" vertical="center" textRotation="0" wrapText="false" indent="0" shrinkToFit="false"/>
      <protection locked="true" hidden="false"/>
    </xf>
    <xf numFmtId="164" fontId="21" fillId="0" borderId="1" xfId="22" applyFont="true" applyBorder="true" applyAlignment="true" applyProtection="false">
      <alignment horizontal="center" vertical="center" textRotation="0" wrapText="false" indent="0" shrinkToFit="false"/>
      <protection locked="true" hidden="false"/>
    </xf>
    <xf numFmtId="165" fontId="21" fillId="0" borderId="2" xfId="22" applyFont="true" applyBorder="true" applyAlignment="true" applyProtection="false">
      <alignment horizontal="center" vertical="center" textRotation="0" wrapText="false" indent="0" shrinkToFit="false"/>
      <protection locked="true" hidden="false"/>
    </xf>
    <xf numFmtId="165" fontId="21" fillId="0" borderId="0" xfId="22" applyFont="true" applyBorder="true" applyAlignment="false" applyProtection="false">
      <alignment horizontal="general" vertical="bottom" textRotation="0" wrapText="false" indent="0" shrinkToFit="false"/>
      <protection locked="true" hidden="false"/>
    </xf>
    <xf numFmtId="168" fontId="21" fillId="0" borderId="0" xfId="22" applyFont="true" applyBorder="true" applyAlignment="false" applyProtection="false">
      <alignment horizontal="general" vertical="bottom" textRotation="0" wrapText="false" indent="0" shrinkToFit="false"/>
      <protection locked="true" hidden="false"/>
    </xf>
    <xf numFmtId="178" fontId="20" fillId="0" borderId="0" xfId="22" applyFont="true" applyBorder="true" applyAlignment="false" applyProtection="false">
      <alignment horizontal="general" vertical="bottom" textRotation="0" wrapText="false" indent="0" shrinkToFit="false"/>
      <protection locked="true" hidden="false"/>
    </xf>
    <xf numFmtId="176" fontId="20" fillId="0" borderId="0" xfId="22" applyFont="true" applyBorder="true" applyAlignment="false" applyProtection="false">
      <alignment horizontal="general" vertical="bottom" textRotation="0" wrapText="false" indent="0" shrinkToFit="false"/>
      <protection locked="true" hidden="false"/>
    </xf>
    <xf numFmtId="168" fontId="12" fillId="0" borderId="0" xfId="0" applyFont="true" applyBorder="true" applyAlignment="true" applyProtection="false">
      <alignment horizontal="right" vertical="center" textRotation="0" wrapText="false" indent="0" shrinkToFit="false"/>
      <protection locked="true" hidden="false"/>
    </xf>
    <xf numFmtId="164" fontId="21" fillId="0" borderId="0" xfId="22" applyFont="true" applyBorder="false" applyAlignment="true" applyProtection="false">
      <alignment horizontal="center" vertical="bottom" textRotation="0" wrapText="false" indent="0" shrinkToFit="false"/>
      <protection locked="true" hidden="false"/>
    </xf>
    <xf numFmtId="171" fontId="20" fillId="0" borderId="0" xfId="22" applyFont="true" applyBorder="true" applyAlignment="false" applyProtection="false">
      <alignment horizontal="general" vertical="bottom" textRotation="0" wrapText="false" indent="0" shrinkToFit="false"/>
      <protection locked="true" hidden="false"/>
    </xf>
    <xf numFmtId="168" fontId="21" fillId="0" borderId="0" xfId="22" applyFont="true" applyBorder="true" applyAlignment="false" applyProtection="false">
      <alignment horizontal="general" vertical="bottom" textRotation="0" wrapText="false" indent="0" shrinkToFit="false"/>
      <protection locked="true" hidden="false"/>
    </xf>
    <xf numFmtId="165" fontId="20" fillId="0" borderId="0" xfId="22" applyFont="true" applyBorder="true" applyAlignment="false" applyProtection="false">
      <alignment horizontal="general" vertical="bottom" textRotation="0" wrapText="false" indent="0" shrinkToFit="false"/>
      <protection locked="true" hidden="false"/>
    </xf>
    <xf numFmtId="165" fontId="20" fillId="0" borderId="0" xfId="22" applyFont="true" applyBorder="false" applyAlignment="false" applyProtection="false">
      <alignment horizontal="general" vertical="bottom" textRotation="0" wrapText="false" indent="0" shrinkToFit="false"/>
      <protection locked="true" hidden="false"/>
    </xf>
    <xf numFmtId="166" fontId="20" fillId="0" borderId="0" xfId="22" applyFont="true" applyBorder="true" applyAlignment="false" applyProtection="false">
      <alignment horizontal="general" vertical="bottom" textRotation="0" wrapText="false" indent="0" shrinkToFit="false"/>
      <protection locked="true" hidden="false"/>
    </xf>
    <xf numFmtId="168" fontId="12"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3" fillId="0" borderId="23" xfId="0" applyFont="true" applyBorder="true" applyAlignment="true" applyProtection="false">
      <alignment horizontal="center" vertical="center" textRotation="0" wrapText="false" indent="0" shrinkToFit="false"/>
      <protection locked="true" hidden="false"/>
    </xf>
    <xf numFmtId="171" fontId="20" fillId="0" borderId="23" xfId="22" applyFont="true" applyBorder="true" applyAlignment="true" applyProtection="false">
      <alignment horizontal="center" vertical="center" textRotation="0" wrapText="false" indent="0" shrinkToFit="false"/>
      <protection locked="true" hidden="false"/>
    </xf>
    <xf numFmtId="164" fontId="30" fillId="0" borderId="16" xfId="0" applyFont="true" applyBorder="true" applyAlignment="true" applyProtection="false">
      <alignment horizontal="center" vertical="center" textRotation="0" wrapText="true" indent="0" shrinkToFit="false"/>
      <protection locked="true" hidden="false"/>
    </xf>
    <xf numFmtId="176" fontId="12" fillId="0" borderId="23" xfId="0" applyFont="true" applyBorder="true" applyAlignment="true" applyProtection="false">
      <alignment horizontal="center" vertical="center" textRotation="0" wrapText="false" indent="0" shrinkToFit="false"/>
      <protection locked="true" hidden="false"/>
    </xf>
    <xf numFmtId="179" fontId="20" fillId="0" borderId="23" xfId="22" applyFont="true" applyBorder="true" applyAlignment="true" applyProtection="false">
      <alignment horizontal="center" vertical="center" textRotation="0" wrapText="false" indent="0" shrinkToFit="false"/>
      <protection locked="true" hidden="false"/>
    </xf>
    <xf numFmtId="164" fontId="14" fillId="0" borderId="19" xfId="0" applyFont="true" applyBorder="true" applyAlignment="true" applyProtection="false">
      <alignment horizontal="center" vertical="center" textRotation="0" wrapText="false" indent="0" shrinkToFit="false"/>
      <protection locked="true" hidden="false"/>
    </xf>
    <xf numFmtId="168" fontId="21" fillId="0" borderId="0" xfId="22" applyFont="true" applyBorder="true" applyAlignment="true" applyProtection="false">
      <alignment horizontal="center" vertical="bottom" textRotation="0" wrapText="false" indent="0" shrinkToFit="false"/>
      <protection locked="true" hidden="false"/>
    </xf>
    <xf numFmtId="164" fontId="14" fillId="0" borderId="19" xfId="0" applyFont="true" applyBorder="true" applyAlignment="true" applyProtection="false">
      <alignment horizontal="center" vertical="center" textRotation="0" wrapText="true" indent="0" shrinkToFit="false"/>
      <protection locked="true" hidden="false"/>
    </xf>
    <xf numFmtId="165" fontId="12" fillId="0" borderId="7" xfId="0" applyFont="true" applyBorder="true" applyAlignment="true" applyProtection="false">
      <alignment horizontal="center" vertical="center" textRotation="0" wrapText="false" indent="0" shrinkToFit="false"/>
      <protection locked="true" hidden="false"/>
    </xf>
    <xf numFmtId="168" fontId="20" fillId="0" borderId="8" xfId="22" applyFont="true" applyBorder="true" applyAlignment="true" applyProtection="false">
      <alignment horizontal="center" vertical="bottom" textRotation="0" wrapText="false" indent="0" shrinkToFit="false"/>
      <protection locked="true" hidden="false"/>
    </xf>
    <xf numFmtId="168" fontId="20" fillId="0" borderId="12" xfId="22" applyFont="true" applyBorder="true" applyAlignment="true" applyProtection="false">
      <alignment horizontal="center" vertical="bottom" textRotation="0" wrapText="false" indent="0" shrinkToFit="false"/>
      <protection locked="true" hidden="false"/>
    </xf>
    <xf numFmtId="164" fontId="21" fillId="0" borderId="13" xfId="22" applyFont="true" applyBorder="true" applyAlignment="true" applyProtection="false">
      <alignment horizontal="center" vertical="center" textRotation="0" wrapText="false" indent="0" shrinkToFit="false"/>
      <protection locked="true" hidden="false"/>
    </xf>
    <xf numFmtId="164" fontId="14" fillId="0" borderId="9" xfId="0" applyFont="true" applyBorder="true" applyAlignment="true" applyProtection="false">
      <alignment horizontal="center" vertical="center" textRotation="0" wrapText="false" indent="0" shrinkToFit="false"/>
      <protection locked="true" hidden="false"/>
    </xf>
    <xf numFmtId="164" fontId="21" fillId="0" borderId="2" xfId="22"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4" fillId="0" borderId="16" xfId="0" applyFont="true" applyBorder="true" applyAlignment="true" applyProtection="false">
      <alignment horizontal="left" vertical="center" textRotation="0" wrapText="false" indent="0" shrinkToFit="false"/>
      <protection locked="true" hidden="false"/>
    </xf>
    <xf numFmtId="177" fontId="20" fillId="0" borderId="0" xfId="22" applyFont="true" applyBorder="true" applyAlignment="false" applyProtection="false">
      <alignment horizontal="general" vertical="bottom" textRotation="0" wrapText="false" indent="0" shrinkToFit="false"/>
      <protection locked="true" hidden="false"/>
    </xf>
    <xf numFmtId="165" fontId="35" fillId="0" borderId="0" xfId="0" applyFont="true" applyBorder="true" applyAlignment="false" applyProtection="false">
      <alignment horizontal="general" vertical="bottom" textRotation="0" wrapText="false" indent="0" shrinkToFit="false"/>
      <protection locked="true" hidden="false"/>
    </xf>
    <xf numFmtId="178" fontId="20" fillId="0" borderId="0" xfId="22"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8" fontId="20" fillId="0" borderId="13" xfId="22" applyFont="true" applyBorder="true" applyAlignment="true" applyProtection="false">
      <alignment horizontal="center" vertical="center" textRotation="0" wrapText="false" indent="0" shrinkToFit="false"/>
      <protection locked="true" hidden="false"/>
    </xf>
    <xf numFmtId="166" fontId="20" fillId="0" borderId="12" xfId="22"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4" fillId="2" borderId="6" xfId="0" applyFont="true" applyBorder="true" applyAlignment="true" applyProtection="false">
      <alignment horizontal="center" vertical="center" textRotation="0" wrapText="true" indent="0" shrinkToFit="false"/>
      <protection locked="true" hidden="false"/>
    </xf>
    <xf numFmtId="164" fontId="14" fillId="2" borderId="7" xfId="0" applyFont="true" applyBorder="true" applyAlignment="true" applyProtection="false">
      <alignment horizontal="center" vertical="center" textRotation="0" wrapText="true" indent="0" shrinkToFit="false"/>
      <protection locked="tru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12" fillId="3" borderId="2" xfId="0" applyFont="true" applyBorder="true" applyAlignment="true" applyProtection="false">
      <alignment horizontal="center" vertical="center" textRotation="0" wrapText="true" indent="0" shrinkToFit="false"/>
      <protection locked="true" hidden="false"/>
    </xf>
    <xf numFmtId="167" fontId="12" fillId="3" borderId="8"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5" fontId="12" fillId="3" borderId="0" xfId="0" applyFont="true" applyBorder="true" applyAlignment="true" applyProtection="false">
      <alignment horizontal="center" vertical="center" textRotation="0" wrapText="true" indent="0" shrinkToFit="false"/>
      <protection locked="true" hidden="false"/>
    </xf>
    <xf numFmtId="167" fontId="12" fillId="3" borderId="23" xfId="0" applyFont="true" applyBorder="true" applyAlignment="true" applyProtection="false">
      <alignment horizontal="center" vertical="center" textRotation="0" wrapText="true" indent="0" shrinkToFit="false"/>
      <protection locked="true" hidden="false"/>
    </xf>
    <xf numFmtId="165" fontId="12" fillId="3" borderId="0" xfId="0" applyFont="true" applyBorder="true" applyAlignment="true" applyProtection="false">
      <alignment horizontal="center" vertical="bottom" textRotation="0" wrapText="false" indent="0" shrinkToFit="false"/>
      <protection locked="true" hidden="false"/>
    </xf>
    <xf numFmtId="165" fontId="12" fillId="3" borderId="0" xfId="0" applyFont="true" applyBorder="true" applyAlignment="true" applyProtection="false">
      <alignment horizontal="center" vertical="center" textRotation="0" wrapText="false" indent="0" shrinkToFit="false"/>
      <protection locked="true" hidden="false"/>
    </xf>
    <xf numFmtId="167" fontId="12" fillId="3" borderId="23" xfId="0" applyFont="true" applyBorder="true" applyAlignment="true" applyProtection="false">
      <alignment horizontal="center" vertical="center" textRotation="0" wrapText="false" indent="0" shrinkToFit="false"/>
      <protection locked="true" hidden="false"/>
    </xf>
    <xf numFmtId="167" fontId="12" fillId="0" borderId="12"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4" fillId="0" borderId="16"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13" xfId="0" applyFont="true" applyBorder="true" applyAlignment="true" applyProtection="false">
      <alignment horizontal="center" vertical="bottom" textRotation="0" wrapText="false" indent="0" shrinkToFit="false"/>
      <protection locked="true" hidden="false"/>
    </xf>
    <xf numFmtId="165" fontId="12" fillId="0" borderId="9" xfId="0" applyFont="true" applyBorder="true" applyAlignment="true" applyProtection="false">
      <alignment horizontal="center" vertical="bottom" textRotation="0" wrapText="fals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20" fillId="3" borderId="0" xfId="0" applyFont="true" applyBorder="true" applyAlignment="true" applyProtection="false">
      <alignment horizontal="center" vertical="center" textRotation="0" wrapText="false" indent="0" shrinkToFit="false"/>
      <protection locked="true" hidden="false"/>
    </xf>
    <xf numFmtId="164" fontId="12" fillId="3" borderId="23"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true" applyAlignment="true" applyProtection="false">
      <alignment horizontal="center" vertical="bottom" textRotation="0" wrapText="false" indent="0" shrinkToFit="false"/>
      <protection locked="true" hidden="false"/>
    </xf>
    <xf numFmtId="168" fontId="12" fillId="3" borderId="23" xfId="0" applyFont="true" applyBorder="true" applyAlignment="true" applyProtection="false">
      <alignment horizontal="center" vertical="center" textRotation="0" wrapText="true" indent="0" shrinkToFit="false"/>
      <protection locked="true" hidden="false"/>
    </xf>
    <xf numFmtId="168" fontId="12" fillId="0" borderId="23" xfId="0" applyFont="true" applyBorder="true" applyAlignment="true" applyProtection="false">
      <alignment horizontal="center" vertical="center" textRotation="0" wrapText="true" indent="0" shrinkToFit="false"/>
      <protection locked="true" hidden="false"/>
    </xf>
    <xf numFmtId="164" fontId="12" fillId="3" borderId="9" xfId="0" applyFont="true" applyBorder="true" applyAlignment="true" applyProtection="false">
      <alignment horizontal="center" vertical="center" textRotation="0" wrapText="false" indent="0" shrinkToFit="false"/>
      <protection locked="true" hidden="false"/>
    </xf>
    <xf numFmtId="164" fontId="12" fillId="3" borderId="9" xfId="0" applyFont="true" applyBorder="true" applyAlignment="true" applyProtection="false">
      <alignment horizontal="center" vertical="bottom" textRotation="0" wrapText="false" indent="0" shrinkToFit="false"/>
      <protection locked="true" hidden="false"/>
    </xf>
    <xf numFmtId="164" fontId="12" fillId="3" borderId="9" xfId="0" applyFont="true" applyBorder="true" applyAlignment="true" applyProtection="false">
      <alignment horizontal="center" vertical="center" textRotation="0" wrapText="true" indent="0" shrinkToFit="false"/>
      <protection locked="true" hidden="false"/>
    </xf>
    <xf numFmtId="164" fontId="12" fillId="3" borderId="1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5" fontId="12" fillId="0" borderId="8" xfId="0" applyFont="true" applyBorder="true" applyAlignment="true" applyProtection="false">
      <alignment horizontal="center" vertical="center" textRotation="0" wrapText="false" indent="0" shrinkToFit="false"/>
      <protection locked="true" hidden="false"/>
    </xf>
    <xf numFmtId="164" fontId="12" fillId="0" borderId="19" xfId="0" applyFont="true" applyBorder="true" applyAlignment="true" applyProtection="false">
      <alignment horizontal="center" vertical="center" textRotation="0" wrapText="false" indent="0" shrinkToFit="false"/>
      <protection locked="true" hidden="false"/>
    </xf>
    <xf numFmtId="164" fontId="12" fillId="0" borderId="7"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78" fontId="12"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2" fillId="3" borderId="2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8" fontId="12" fillId="3" borderId="0"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8" fontId="12" fillId="0" borderId="0" xfId="0" applyFont="true" applyBorder="true" applyAlignment="true" applyProtection="false">
      <alignment horizontal="center" vertical="center" textRotation="0" wrapText="false" indent="0" shrinkToFit="false"/>
      <protection locked="true" hidden="false"/>
    </xf>
    <xf numFmtId="168" fontId="12" fillId="3" borderId="0" xfId="0" applyFont="true" applyBorder="true" applyAlignment="true" applyProtection="false">
      <alignment horizontal="center" vertical="center" textRotation="0" wrapText="true" indent="0" shrinkToFit="false"/>
      <protection locked="true" hidden="false"/>
    </xf>
    <xf numFmtId="176" fontId="12" fillId="0" borderId="0" xfId="0" applyFont="true" applyBorder="true" applyAlignment="true" applyProtection="false">
      <alignment horizontal="center" vertical="center" textRotation="0" wrapText="true" indent="0" shrinkToFit="false"/>
      <protection locked="true" hidden="false"/>
    </xf>
    <xf numFmtId="168" fontId="12" fillId="3" borderId="0" xfId="0" applyFont="true" applyBorder="true" applyAlignment="true" applyProtection="false">
      <alignment horizontal="center" vertical="bottom" textRotation="0" wrapText="false" indent="0" shrinkToFit="false"/>
      <protection locked="true" hidden="false"/>
    </xf>
    <xf numFmtId="168" fontId="19" fillId="3" borderId="0" xfId="0" applyFont="true" applyBorder="true" applyAlignment="true" applyProtection="false">
      <alignment horizontal="center" vertical="bottom" textRotation="0" wrapText="false" indent="0" shrinkToFit="false"/>
      <protection locked="true" hidden="false"/>
    </xf>
    <xf numFmtId="167" fontId="12"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8" fontId="19" fillId="0" borderId="0" xfId="0" applyFont="true" applyBorder="true" applyAlignment="true" applyProtection="false">
      <alignment horizontal="center" vertical="bottom" textRotation="0" wrapText="false" indent="0" shrinkToFit="false"/>
      <protection locked="true" hidden="false"/>
    </xf>
    <xf numFmtId="176" fontId="12" fillId="3"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8" xfId="0" applyFont="true" applyBorder="true" applyAlignment="true" applyProtection="false">
      <alignment horizontal="left" vertical="center" textRotation="0" wrapText="false" indent="0" shrinkToFit="false"/>
      <protection locked="true" hidden="false"/>
    </xf>
    <xf numFmtId="164" fontId="12" fillId="0" borderId="1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tru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9"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7" fontId="12" fillId="0" borderId="12" xfId="0" applyFont="true" applyBorder="true" applyAlignment="true" applyProtection="false">
      <alignment horizontal="center" vertical="center" textRotation="0" wrapText="true" indent="0" shrinkToFit="false"/>
      <protection locked="true" hidden="false"/>
    </xf>
    <xf numFmtId="164" fontId="31" fillId="0" borderId="0" xfId="20" applyFont="true" applyBorder="true" applyAlignment="true" applyProtection="true">
      <alignment horizontal="general" vertical="bottom" textRotation="0" wrapText="false" indent="0" shrinkToFit="false"/>
      <protection locked="true" hidden="false"/>
    </xf>
    <xf numFmtId="167" fontId="12" fillId="0" borderId="9" xfId="0" applyFont="true" applyBorder="true" applyAlignment="true" applyProtection="false">
      <alignment horizontal="center" vertical="bottom" textRotation="0" wrapText="false" indent="0" shrinkToFit="false"/>
      <protection locked="true" hidden="false"/>
    </xf>
    <xf numFmtId="167" fontId="12" fillId="0" borderId="12"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8" fontId="12" fillId="0" borderId="0"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true" applyAlignment="false" applyProtection="false">
      <alignment horizontal="general" vertical="bottom" textRotation="0" wrapText="false" indent="0" shrinkToFit="false"/>
      <protection locked="true" hidden="false"/>
    </xf>
    <xf numFmtId="168" fontId="12" fillId="0" borderId="23"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center"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5" fontId="12" fillId="0" borderId="9" xfId="0" applyFont="true" applyBorder="true" applyAlignment="false" applyProtection="false">
      <alignment horizontal="general" vertical="bottom" textRotation="0" wrapText="false" indent="0" shrinkToFit="false"/>
      <protection locked="true" hidden="false"/>
    </xf>
    <xf numFmtId="165" fontId="12" fillId="0" borderId="9" xfId="0" applyFont="true" applyBorder="true" applyAlignment="false" applyProtection="false">
      <alignment horizontal="general" vertical="bottom" textRotation="0" wrapText="false" indent="0" shrinkToFit="false"/>
      <protection locked="true" hidden="false"/>
    </xf>
    <xf numFmtId="168" fontId="12" fillId="0" borderId="9" xfId="0" applyFont="true" applyBorder="true" applyAlignment="false" applyProtection="false">
      <alignment horizontal="general" vertical="bottom" textRotation="0" wrapText="false" indent="0" shrinkToFit="false"/>
      <protection locked="true" hidden="false"/>
    </xf>
    <xf numFmtId="168" fontId="12" fillId="0" borderId="12"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7" fontId="12"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5" fontId="12" fillId="3" borderId="8" xfId="0" applyFont="true" applyBorder="true" applyAlignment="true" applyProtection="false">
      <alignment horizontal="center" vertical="center" textRotation="0" wrapText="true" indent="0" shrinkToFit="false"/>
      <protection locked="true" hidden="false"/>
    </xf>
    <xf numFmtId="165" fontId="12" fillId="3" borderId="2" xfId="0" applyFont="true" applyBorder="true" applyAlignment="true" applyProtection="false">
      <alignment horizontal="center" vertical="center" textRotation="0" wrapText="false" indent="0" shrinkToFit="false"/>
      <protection locked="true" hidden="false"/>
    </xf>
    <xf numFmtId="165" fontId="12" fillId="3" borderId="8"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left" vertical="center" textRotation="0" wrapText="false" indent="0" shrinkToFit="false"/>
      <protection locked="true" hidden="false"/>
    </xf>
    <xf numFmtId="165" fontId="13" fillId="3" borderId="0" xfId="0" applyFont="true" applyBorder="true" applyAlignment="true" applyProtection="false">
      <alignment horizontal="center" vertical="center" textRotation="0" wrapText="false" indent="0" shrinkToFit="false"/>
      <protection locked="true" hidden="false"/>
    </xf>
    <xf numFmtId="165" fontId="14" fillId="3" borderId="0" xfId="0" applyFont="true" applyBorder="true" applyAlignment="true" applyProtection="false">
      <alignment horizontal="center" vertical="center" textRotation="0" wrapText="false" indent="0" shrinkToFit="false"/>
      <protection locked="true" hidden="false"/>
    </xf>
    <xf numFmtId="165" fontId="14" fillId="0" borderId="0"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true" applyAlignment="true" applyProtection="false">
      <alignment horizontal="left" vertical="center" textRotation="0" wrapText="false" indent="0" shrinkToFit="false"/>
      <protection locked="true" hidden="false"/>
    </xf>
    <xf numFmtId="174" fontId="12" fillId="0" borderId="0" xfId="0" applyFont="true" applyBorder="true" applyAlignment="false" applyProtection="false">
      <alignment horizontal="general" vertical="bottom" textRotation="0" wrapText="false" indent="0" shrinkToFit="false"/>
      <protection locked="true" hidden="false"/>
    </xf>
    <xf numFmtId="175" fontId="12" fillId="0" borderId="0" xfId="0" applyFont="true" applyBorder="true" applyAlignment="true" applyProtection="false">
      <alignment horizontal="center" vertical="center" textRotation="0" wrapText="true" indent="0" shrinkToFit="false"/>
      <protection locked="true" hidden="false"/>
    </xf>
    <xf numFmtId="164" fontId="12" fillId="3" borderId="13" xfId="0" applyFont="true" applyBorder="true" applyAlignment="true" applyProtection="false">
      <alignment horizontal="center" vertical="center" textRotation="0" wrapText="false" indent="0" shrinkToFit="false"/>
      <protection locked="true" hidden="false"/>
    </xf>
    <xf numFmtId="165" fontId="12" fillId="3" borderId="12" xfId="0" applyFont="true" applyBorder="true" applyAlignment="true" applyProtection="false">
      <alignment horizontal="center" vertical="center" textRotation="0" wrapText="true" indent="0" shrinkToFit="false"/>
      <protection locked="true" hidden="false"/>
    </xf>
    <xf numFmtId="165" fontId="12" fillId="3" borderId="9" xfId="0" applyFont="true" applyBorder="true" applyAlignment="true" applyProtection="false">
      <alignment horizontal="center" vertical="center" textRotation="0" wrapText="true" indent="0" shrinkToFit="false"/>
      <protection locked="true" hidden="false"/>
    </xf>
    <xf numFmtId="165" fontId="12" fillId="3" borderId="9" xfId="0" applyFont="true" applyBorder="true" applyAlignment="true" applyProtection="false">
      <alignment horizontal="center" vertical="center" textRotation="0" wrapText="false" indent="0" shrinkToFit="false"/>
      <protection locked="true" hidden="false"/>
    </xf>
    <xf numFmtId="165" fontId="12" fillId="3" borderId="12" xfId="0" applyFont="true" applyBorder="true" applyAlignment="true" applyProtection="false">
      <alignment horizontal="center" vertical="center" textRotation="0" wrapText="false" indent="0" shrinkToFit="false"/>
      <protection locked="true" hidden="false"/>
    </xf>
    <xf numFmtId="165" fontId="21" fillId="0" borderId="0" xfId="0" applyFont="true" applyBorder="true" applyAlignment="true" applyProtection="false">
      <alignment horizontal="left" vertical="center" textRotation="0" wrapText="false" indent="0" shrinkToFit="false"/>
      <protection locked="true" hidden="false"/>
    </xf>
    <xf numFmtId="167" fontId="20" fillId="0" borderId="0" xfId="0" applyFont="true" applyBorder="true" applyAlignment="true" applyProtection="false">
      <alignment horizontal="center" vertical="center" textRotation="0" wrapText="false" indent="0" shrinkToFit="false"/>
      <protection locked="true" hidden="false"/>
    </xf>
    <xf numFmtId="167" fontId="12"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7" fontId="12" fillId="0" borderId="9" xfId="0" applyFont="true" applyBorder="true" applyAlignment="true" applyProtection="false">
      <alignment horizontal="center" vertical="center" textRotation="0" wrapText="false" indent="0" shrinkToFit="false"/>
      <protection locked="true" hidden="false"/>
    </xf>
    <xf numFmtId="167" fontId="20" fillId="0" borderId="9" xfId="0" applyFont="true" applyBorder="true" applyAlignment="true" applyProtection="false">
      <alignment horizontal="center" vertical="center" textRotation="0" wrapText="false" indent="0" shrinkToFit="false"/>
      <protection locked="true" hidden="false"/>
    </xf>
    <xf numFmtId="165" fontId="20"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7" fontId="12" fillId="0" borderId="0" xfId="0" applyFont="true" applyBorder="false" applyAlignment="false" applyProtection="false">
      <alignment horizontal="general" vertical="bottom" textRotation="0" wrapText="false" indent="0" shrinkToFit="false"/>
      <protection locked="true" hidden="false"/>
    </xf>
    <xf numFmtId="171" fontId="12"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left"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13" xfId="0" applyFont="true" applyBorder="true" applyAlignment="false" applyProtection="false">
      <alignment horizontal="general" vertical="bottom" textRotation="0" wrapText="false" indent="0" shrinkToFit="false"/>
      <protection locked="true" hidden="false"/>
    </xf>
    <xf numFmtId="164" fontId="12" fillId="0" borderId="12"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19" xfId="0" applyFont="tru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true" applyProtection="false">
      <alignment horizontal="center" vertical="center" textRotation="0" wrapText="false" indent="0" shrinkToFit="false"/>
      <protection locked="true" hidden="false"/>
    </xf>
    <xf numFmtId="164" fontId="14" fillId="0" borderId="9" xfId="0" applyFont="true" applyBorder="true" applyAlignment="true" applyProtection="false">
      <alignment horizontal="general" vertical="center" textRotation="0" wrapText="false" indent="0" shrinkToFit="false"/>
      <protection locked="true" hidden="false"/>
    </xf>
    <xf numFmtId="164" fontId="14" fillId="0" borderId="16" xfId="0" applyFont="true" applyBorder="true" applyAlignment="true" applyProtection="false">
      <alignment horizontal="general" vertical="center" textRotation="0" wrapText="true" indent="0" shrinkToFit="false"/>
      <protection locked="true" hidden="false"/>
    </xf>
    <xf numFmtId="164" fontId="14" fillId="0" borderId="13"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8" xfId="0" applyFont="true" applyBorder="true" applyAlignment="true" applyProtection="false">
      <alignment horizontal="general" vertical="center" textRotation="0" wrapText="true" indent="0" shrinkToFit="false"/>
      <protection locked="true" hidden="false"/>
    </xf>
    <xf numFmtId="164" fontId="12" fillId="0" borderId="13" xfId="0" applyFont="true" applyBorder="true" applyAlignment="true" applyProtection="false">
      <alignment horizontal="general" vertical="center" textRotation="0" wrapText="tru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36" fillId="0" borderId="0" xfId="0" applyFont="true" applyBorder="false" applyAlignment="true" applyProtection="false">
      <alignment horizontal="center" vertical="bottom" textRotation="0" wrapText="false" indent="0" shrinkToFit="false"/>
      <protection locked="true" hidden="false"/>
    </xf>
    <xf numFmtId="164" fontId="14" fillId="0" borderId="26" xfId="0" applyFont="true" applyBorder="true" applyAlignment="true" applyProtection="false">
      <alignment horizontal="general" vertical="center" textRotation="0" wrapText="true" indent="0" shrinkToFit="false"/>
      <protection locked="true" hidden="false"/>
    </xf>
    <xf numFmtId="164" fontId="14" fillId="0" borderId="27" xfId="0" applyFont="true" applyBorder="true" applyAlignment="true" applyProtection="false">
      <alignment horizontal="general" vertical="center" textRotation="0" wrapText="true" indent="0" shrinkToFit="false"/>
      <protection locked="true" hidden="false"/>
    </xf>
    <xf numFmtId="164" fontId="14" fillId="6" borderId="28" xfId="0" applyFont="true" applyBorder="true" applyAlignment="true" applyProtection="false">
      <alignment horizontal="general" vertical="center" textRotation="0" wrapText="true" indent="0" shrinkToFit="false"/>
      <protection locked="true" hidden="false"/>
    </xf>
    <xf numFmtId="164" fontId="12" fillId="6" borderId="22" xfId="0" applyFont="true" applyBorder="true" applyAlignment="true" applyProtection="false">
      <alignment horizontal="general" vertical="center" textRotation="0" wrapText="true" indent="0" shrinkToFit="false"/>
      <protection locked="true" hidden="false"/>
    </xf>
    <xf numFmtId="164" fontId="12" fillId="0" borderId="28" xfId="0" applyFont="true" applyBorder="true" applyAlignment="true" applyProtection="false">
      <alignment horizontal="general" vertical="center" textRotation="0" wrapText="true" indent="0" shrinkToFit="false"/>
      <protection locked="true" hidden="false"/>
    </xf>
    <xf numFmtId="164" fontId="12" fillId="0" borderId="22" xfId="0" applyFont="true" applyBorder="true" applyAlignment="true" applyProtection="false">
      <alignment horizontal="general" vertical="center" textRotation="0" wrapText="true" indent="0" shrinkToFit="false"/>
      <protection locked="true" hidden="false"/>
    </xf>
    <xf numFmtId="164" fontId="12" fillId="0" borderId="26" xfId="0" applyFont="true" applyBorder="true" applyAlignment="true" applyProtection="false">
      <alignment horizontal="general" vertical="center" textRotation="0" wrapText="true" indent="0" shrinkToFit="false"/>
      <protection locked="true" hidden="false"/>
    </xf>
    <xf numFmtId="164" fontId="12" fillId="0" borderId="11"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7"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0" borderId="0" xfId="20" applyFont="true" applyBorder="true" applyAlignment="true" applyProtection="true">
      <alignment horizontal="left" vertical="center" textRotation="0" wrapText="false" indent="7" shrinkToFit="false"/>
      <protection locked="true" hidden="false"/>
    </xf>
    <xf numFmtId="164" fontId="20" fillId="0" borderId="0" xfId="20" applyFont="true" applyBorder="true" applyAlignment="true" applyProtection="true">
      <alignment horizontal="left" vertical="center" textRotation="0" wrapText="true" indent="7" shrinkToFit="false"/>
      <protection locked="true" hidden="false"/>
    </xf>
    <xf numFmtId="164" fontId="8" fillId="0" borderId="0" xfId="0" applyFont="true" applyBorder="false" applyAlignment="true" applyProtection="false">
      <alignment horizontal="left" vertical="center" textRotation="0" wrapText="false" indent="7" shrinkToFit="false"/>
      <protection locked="true" hidden="false"/>
    </xf>
    <xf numFmtId="164" fontId="40" fillId="0" borderId="0" xfId="2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true" indent="7" shrinkToFit="false"/>
      <protection locked="true" hidden="false"/>
    </xf>
    <xf numFmtId="164" fontId="12" fillId="0" borderId="0" xfId="0" applyFont="true" applyBorder="false" applyAlignment="true" applyProtection="false">
      <alignment horizontal="left" vertical="center" textRotation="0" wrapText="false" indent="7" shrinkToFit="false"/>
      <protection locked="true" hidden="false"/>
    </xf>
    <xf numFmtId="164" fontId="42" fillId="0" borderId="0" xfId="20" applyFont="true" applyBorder="true" applyAlignment="true" applyProtection="true">
      <alignment horizontal="left" vertical="center" textRotation="0" wrapText="false" indent="7" shrinkToFit="false"/>
      <protection locked="true" hidden="false"/>
    </xf>
    <xf numFmtId="164" fontId="20" fillId="0" borderId="0" xfId="2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D0CECE"/>
      <rgbColor rgb="FF808080"/>
      <rgbColor rgb="FF5B9BD5"/>
      <rgbColor rgb="FF7030A0"/>
      <rgbColor rgb="FFFFFF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222222"/>
      <rgbColor rgb="FF32322F"/>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externalLink" Target="externalLinks/externalLink1.xml"/><Relationship Id="rId21" Type="http://schemas.openxmlformats.org/officeDocument/2006/relationships/externalLink" Target="externalLinks/externalLink3.xml"/><Relationship Id="rId22" Type="http://schemas.openxmlformats.org/officeDocument/2006/relationships/externalLink" Target="externalLinks/externalLink2.xml"/><Relationship Id="rId23"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ile://mvm-lager/home/eamg0002/Documents/Projekt%201/Artiklar%20och%20rapporter/LUC%20+%20CS/Henders%20et%20al%20-%20SI%20calculation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elinro/AppData/Local/Microsoft/Windows/INetCache/Content.Outlook/AB3XRMBK/Gammalt/Gammalt/Supplementary%20materials%20-%20EM%2020180424.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elinro/AppData/Local/Microsoft/Windows/INetCache/Content.Outlook/AB3XRMBK/Gammalt/Supplementary%20materials%20-%20EM%202018042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Base case results"/>
      <sheetName val="Top export flows"/>
      <sheetName val="Figures"/>
      <sheetName val="Argentina"/>
      <sheetName val="Bolivia"/>
      <sheetName val="Brazil"/>
      <sheetName val="Paraguay"/>
      <sheetName val="Indonesia"/>
      <sheetName val="Malaysia"/>
      <sheetName val="PNG"/>
      <sheetName val="Trade data"/>
      <sheetName val="Uträknat LUC Emma 2018"/>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unktionella enheter"/>
      <sheetName val="Dairy products wo allocation"/>
      <sheetName val="Table of contents"/>
      <sheetName val="Meat and eggs"/>
      <sheetName val="Dairy products"/>
      <sheetName val="Fish and seafood"/>
      <sheetName val="Grains, oil crops, sugar"/>
      <sheetName val="Vegetables, roots, legumes"/>
      <sheetName val="Fruits, berries, cocoa, coffee"/>
      <sheetName val="Processed products"/>
      <sheetName val="SNI"/>
      <sheetName val="Common input data"/>
      <sheetName val="Input data meat and eggs"/>
      <sheetName val="Input data milk and dairy"/>
      <sheetName val="Input data fish and seafood"/>
      <sheetName val="Input data plant-based products"/>
      <sheetName val="Input data processed products"/>
      <sheetName val="Reference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Funktionella enheter"/>
      <sheetName val="Dairy products wo allocation"/>
      <sheetName val="Table of contents"/>
      <sheetName val="Meat and eggs"/>
      <sheetName val="Dairy products"/>
      <sheetName val="Fish and seafood"/>
      <sheetName val="Grains, oil crops, sugar"/>
      <sheetName val="Vegetables, roots, legumes"/>
      <sheetName val="Fruits, berries, cocoa, coffee"/>
      <sheetName val="Processed products"/>
      <sheetName val="SNI"/>
      <sheetName val="Common input data"/>
      <sheetName val="Input data meat and eggs"/>
      <sheetName val="Input data milk and dairy"/>
      <sheetName val="Input data fish and seafood"/>
      <sheetName val="Input data plant-based products"/>
      <sheetName val="Input data processed products"/>
      <sheetName val="Reference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worksheets/_rels/sheet18.xml.rels><?xml version="1.0" encoding="UTF-8"?>
<Relationships xmlns="http://schemas.openxmlformats.org/package/2006/relationships"><Relationship Id="rId1" Type="http://schemas.openxmlformats.org/officeDocument/2006/relationships/hyperlink" Target="http://www.gouldings.ie/ni/grass-growth/research-on-grazing/grass-intake-of-dairy-cows/" TargetMode="External"/><Relationship Id="rId2" Type="http://schemas.openxmlformats.org/officeDocument/2006/relationships/hyperlink" Target="http://ww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4609375" defaultRowHeight="14.4" zeroHeight="false" outlineLevelRow="0" outlineLevelCol="0"/>
  <cols>
    <col collapsed="false" customWidth="true" hidden="false" outlineLevel="0" max="1" min="1" style="0" width="255.66"/>
  </cols>
  <sheetData>
    <row r="1" customFormat="false" ht="100.95" hidden="false" customHeight="true" outlineLevel="0" collapsed="false">
      <c r="A1" s="1" t="s">
        <v>0</v>
      </c>
    </row>
    <row r="2" customFormat="false" ht="409.2" hidden="false" customHeight="true" outlineLevel="0" collapsed="false">
      <c r="A2" s="2" t="s">
        <v>1</v>
      </c>
    </row>
    <row r="3" customFormat="false" ht="18" hidden="false" customHeight="false" outlineLevel="0" collapsed="false">
      <c r="A3" s="3"/>
    </row>
    <row r="4" customFormat="false" ht="15.6" hidden="false" customHeight="false" outlineLevel="0" collapsed="false">
      <c r="A4" s="4"/>
    </row>
    <row r="5" customFormat="false" ht="15.6" hidden="false" customHeight="false" outlineLevel="0" collapsed="false">
      <c r="A5" s="4"/>
    </row>
    <row r="6" customFormat="false" ht="15.6" hidden="false" customHeight="false" outlineLevel="0" collapsed="false">
      <c r="A6" s="4"/>
    </row>
    <row r="7" customFormat="false" ht="15.6" hidden="false" customHeight="false" outlineLevel="0" collapsed="false">
      <c r="A7" s="4"/>
    </row>
    <row r="8" customFormat="false" ht="15.6" hidden="false" customHeight="false" outlineLevel="0" collapsed="false">
      <c r="A8" s="5"/>
    </row>
    <row r="9" customFormat="false" ht="15.6" hidden="false" customHeight="false" outlineLevel="0" collapsed="false">
      <c r="A9" s="4"/>
    </row>
    <row r="10" customFormat="false" ht="15.6" hidden="false" customHeight="false" outlineLevel="0" collapsed="false">
      <c r="A10" s="4"/>
    </row>
    <row r="11" customFormat="false" ht="15.6" hidden="false" customHeight="false" outlineLevel="0" collapsed="false">
      <c r="A11" s="4"/>
    </row>
    <row r="12" customFormat="false" ht="15.6" hidden="false" customHeight="false" outlineLevel="0" collapsed="false">
      <c r="A12" s="4"/>
    </row>
    <row r="13" customFormat="false" ht="15.6" hidden="false" customHeight="false" outlineLevel="0" collapsed="false">
      <c r="A13" s="5"/>
    </row>
    <row r="14" customFormat="false" ht="15.6" hidden="false" customHeight="false" outlineLevel="0" collapsed="false">
      <c r="A14" s="6"/>
    </row>
    <row r="15" customFormat="false" ht="15.6" hidden="false" customHeight="false" outlineLevel="0" collapsed="false">
      <c r="A15"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8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4609375" defaultRowHeight="14.4" zeroHeight="false" outlineLevelRow="0" outlineLevelCol="0"/>
  <cols>
    <col collapsed="false" customWidth="true" hidden="false" outlineLevel="0" max="1" min="1" style="0" width="29.66"/>
    <col collapsed="false" customWidth="true" hidden="false" outlineLevel="0" max="2" min="2" style="0" width="19.11"/>
    <col collapsed="false" customWidth="true" hidden="false" outlineLevel="0" max="3" min="3" style="0" width="19"/>
    <col collapsed="false" customWidth="true" hidden="false" outlineLevel="0" max="4" min="4" style="0" width="21.66"/>
    <col collapsed="false" customWidth="true" hidden="false" outlineLevel="0" max="7" min="5" style="0" width="30.66"/>
    <col collapsed="false" customWidth="true" hidden="false" outlineLevel="0" max="8" min="8" style="8" width="25.56"/>
  </cols>
  <sheetData>
    <row r="1" customFormat="false" ht="18" hidden="false" customHeight="false" outlineLevel="0" collapsed="false">
      <c r="A1" s="9" t="s">
        <v>2</v>
      </c>
      <c r="B1" s="10" t="s">
        <v>3</v>
      </c>
      <c r="C1" s="11" t="s">
        <v>4</v>
      </c>
      <c r="D1" s="10" t="s">
        <v>5</v>
      </c>
      <c r="E1" s="11" t="s">
        <v>6</v>
      </c>
      <c r="F1" s="12" t="s">
        <v>7</v>
      </c>
      <c r="G1" s="12" t="s">
        <v>8</v>
      </c>
      <c r="H1" s="11" t="s">
        <v>9</v>
      </c>
    </row>
    <row r="2" customFormat="false" ht="14.4" hidden="false" customHeight="false" outlineLevel="0" collapsed="false">
      <c r="A2" s="13" t="s">
        <v>10</v>
      </c>
      <c r="B2" s="14" t="s">
        <v>11</v>
      </c>
      <c r="C2" s="15" t="s">
        <v>12</v>
      </c>
      <c r="D2" s="14" t="s">
        <v>13</v>
      </c>
      <c r="E2" s="14" t="s">
        <v>14</v>
      </c>
      <c r="F2" s="15" t="s">
        <v>15</v>
      </c>
      <c r="G2" s="13" t="s">
        <v>16</v>
      </c>
      <c r="H2" s="14" t="s">
        <v>17</v>
      </c>
    </row>
    <row r="3" customFormat="false" ht="14.4" hidden="false" customHeight="false" outlineLevel="0" collapsed="false">
      <c r="A3" s="16" t="s">
        <v>18</v>
      </c>
      <c r="B3" s="14" t="s">
        <v>19</v>
      </c>
      <c r="C3" s="14" t="s">
        <v>19</v>
      </c>
      <c r="D3" s="14" t="s">
        <v>19</v>
      </c>
      <c r="E3" s="14" t="s">
        <v>19</v>
      </c>
      <c r="F3" s="14" t="s">
        <v>19</v>
      </c>
      <c r="G3" s="14" t="s">
        <v>19</v>
      </c>
      <c r="H3" s="14" t="s">
        <v>19</v>
      </c>
    </row>
    <row r="4" customFormat="false" ht="14.4" hidden="false" customHeight="false" outlineLevel="0" collapsed="false">
      <c r="A4" s="17" t="s">
        <v>20</v>
      </c>
      <c r="B4" s="18" t="s">
        <v>21</v>
      </c>
      <c r="C4" s="18" t="s">
        <v>21</v>
      </c>
      <c r="D4" s="18" t="s">
        <v>21</v>
      </c>
      <c r="E4" s="18" t="s">
        <v>21</v>
      </c>
      <c r="F4" s="18" t="s">
        <v>21</v>
      </c>
      <c r="G4" s="18" t="s">
        <v>21</v>
      </c>
      <c r="H4" s="19" t="s">
        <v>21</v>
      </c>
    </row>
    <row r="5" customFormat="false" ht="14.4" hidden="false" customHeight="false" outlineLevel="0" collapsed="false">
      <c r="A5" s="13" t="s">
        <v>22</v>
      </c>
      <c r="B5" s="13" t="s">
        <v>23</v>
      </c>
      <c r="C5" s="13" t="s">
        <v>24</v>
      </c>
      <c r="D5" s="15" t="s">
        <v>25</v>
      </c>
      <c r="E5" s="20" t="s">
        <v>26</v>
      </c>
      <c r="F5" s="21" t="s">
        <v>27</v>
      </c>
      <c r="G5" s="21" t="s">
        <v>28</v>
      </c>
      <c r="H5" s="13" t="s">
        <v>29</v>
      </c>
    </row>
    <row r="6" customFormat="false" ht="14.4" hidden="false" customHeight="false" outlineLevel="0" collapsed="false">
      <c r="B6" s="13" t="s">
        <v>30</v>
      </c>
      <c r="C6" s="13" t="s">
        <v>31</v>
      </c>
      <c r="D6" s="13" t="s">
        <v>32</v>
      </c>
      <c r="E6" s="21" t="s">
        <v>33</v>
      </c>
      <c r="F6" s="21" t="s">
        <v>34</v>
      </c>
      <c r="G6" s="21" t="s">
        <v>35</v>
      </c>
      <c r="H6" s="13" t="s">
        <v>36</v>
      </c>
    </row>
    <row r="7" customFormat="false" ht="14.4" hidden="false" customHeight="false" outlineLevel="0" collapsed="false">
      <c r="B7" s="13" t="s">
        <v>37</v>
      </c>
      <c r="C7" s="13" t="s">
        <v>38</v>
      </c>
      <c r="D7" s="13" t="s">
        <v>39</v>
      </c>
      <c r="E7" s="21" t="s">
        <v>40</v>
      </c>
      <c r="F7" s="21" t="s">
        <v>41</v>
      </c>
      <c r="G7" s="21" t="s">
        <v>42</v>
      </c>
      <c r="H7" s="13" t="s">
        <v>43</v>
      </c>
    </row>
    <row r="8" customFormat="false" ht="14.4" hidden="false" customHeight="false" outlineLevel="0" collapsed="false">
      <c r="B8" s="13" t="s">
        <v>44</v>
      </c>
      <c r="C8" s="13" t="s">
        <v>45</v>
      </c>
      <c r="D8" s="13" t="s">
        <v>46</v>
      </c>
      <c r="E8" s="21" t="s">
        <v>47</v>
      </c>
      <c r="F8" s="21" t="s">
        <v>48</v>
      </c>
      <c r="G8" s="21" t="s">
        <v>49</v>
      </c>
      <c r="H8" s="13" t="s">
        <v>50</v>
      </c>
    </row>
    <row r="9" customFormat="false" ht="14.4" hidden="false" customHeight="false" outlineLevel="0" collapsed="false">
      <c r="C9" s="13" t="s">
        <v>51</v>
      </c>
      <c r="D9" s="13" t="s">
        <v>52</v>
      </c>
      <c r="E9" s="21" t="s">
        <v>53</v>
      </c>
      <c r="F9" s="21" t="s">
        <v>54</v>
      </c>
      <c r="G9" s="21" t="s">
        <v>55</v>
      </c>
      <c r="H9" s="13" t="s">
        <v>56</v>
      </c>
    </row>
    <row r="10" customFormat="false" ht="14.4" hidden="false" customHeight="false" outlineLevel="0" collapsed="false">
      <c r="C10" s="13" t="s">
        <v>57</v>
      </c>
      <c r="D10" s="13" t="s">
        <v>58</v>
      </c>
      <c r="E10" s="21" t="s">
        <v>59</v>
      </c>
      <c r="F10" s="21" t="s">
        <v>60</v>
      </c>
      <c r="G10" s="21" t="s">
        <v>61</v>
      </c>
      <c r="H10" s="13" t="s">
        <v>62</v>
      </c>
    </row>
    <row r="11" customFormat="false" ht="14.4" hidden="false" customHeight="false" outlineLevel="0" collapsed="false">
      <c r="C11" s="13" t="s">
        <v>63</v>
      </c>
      <c r="D11" s="13" t="s">
        <v>64</v>
      </c>
      <c r="E11" s="21" t="s">
        <v>65</v>
      </c>
      <c r="F11" s="21" t="s">
        <v>66</v>
      </c>
      <c r="G11" s="21" t="s">
        <v>67</v>
      </c>
      <c r="H11" s="13" t="s">
        <v>68</v>
      </c>
    </row>
    <row r="12" customFormat="false" ht="14.4" hidden="false" customHeight="false" outlineLevel="0" collapsed="false">
      <c r="C12" s="13" t="s">
        <v>69</v>
      </c>
      <c r="D12" s="13" t="s">
        <v>70</v>
      </c>
      <c r="E12" s="13" t="s">
        <v>71</v>
      </c>
      <c r="F12" s="21" t="s">
        <v>72</v>
      </c>
      <c r="G12" s="21" t="s">
        <v>73</v>
      </c>
      <c r="H12" s="13" t="s">
        <v>74</v>
      </c>
    </row>
    <row r="13" customFormat="false" ht="14.4" hidden="false" customHeight="false" outlineLevel="0" collapsed="false">
      <c r="C13" s="13" t="s">
        <v>75</v>
      </c>
      <c r="D13" s="13" t="s">
        <v>76</v>
      </c>
      <c r="E13" s="21" t="s">
        <v>77</v>
      </c>
      <c r="F13" s="21" t="s">
        <v>78</v>
      </c>
      <c r="G13" s="21" t="s">
        <v>79</v>
      </c>
      <c r="H13" s="13" t="s">
        <v>80</v>
      </c>
    </row>
    <row r="14" customFormat="false" ht="14.4" hidden="false" customHeight="false" outlineLevel="0" collapsed="false">
      <c r="C14" s="22"/>
      <c r="D14" s="13" t="s">
        <v>81</v>
      </c>
      <c r="F14" s="21" t="s">
        <v>82</v>
      </c>
      <c r="G14" s="21" t="s">
        <v>83</v>
      </c>
      <c r="H14" s="13" t="s">
        <v>84</v>
      </c>
    </row>
    <row r="15" customFormat="false" ht="14.4" hidden="false" customHeight="false" outlineLevel="0" collapsed="false">
      <c r="C15" s="22"/>
      <c r="D15" s="13" t="s">
        <v>85</v>
      </c>
      <c r="F15" s="21" t="s">
        <v>86</v>
      </c>
      <c r="G15" s="13" t="s">
        <v>87</v>
      </c>
      <c r="H15" s="13" t="s">
        <v>88</v>
      </c>
    </row>
    <row r="16" customFormat="false" ht="14.4" hidden="false" customHeight="false" outlineLevel="0" collapsed="false">
      <c r="C16" s="22"/>
      <c r="D16" s="13" t="s">
        <v>89</v>
      </c>
      <c r="F16" s="21" t="s">
        <v>90</v>
      </c>
      <c r="G16" s="21" t="s">
        <v>91</v>
      </c>
      <c r="H16" s="13" t="s">
        <v>92</v>
      </c>
    </row>
    <row r="17" customFormat="false" ht="14.4" hidden="false" customHeight="false" outlineLevel="0" collapsed="false">
      <c r="C17" s="23"/>
      <c r="D17" s="13" t="s">
        <v>93</v>
      </c>
      <c r="F17" s="21" t="s">
        <v>94</v>
      </c>
      <c r="H17" s="13" t="s">
        <v>95</v>
      </c>
    </row>
    <row r="18" customFormat="false" ht="14.4" hidden="false" customHeight="false" outlineLevel="0" collapsed="false">
      <c r="B18" s="22"/>
      <c r="C18" s="24"/>
      <c r="H18" s="13" t="s">
        <v>96</v>
      </c>
    </row>
    <row r="19" customFormat="false" ht="14.4" hidden="false" customHeight="false" outlineLevel="0" collapsed="false">
      <c r="B19" s="22"/>
      <c r="C19" s="24"/>
      <c r="E19" s="23"/>
      <c r="F19" s="23"/>
      <c r="G19" s="23"/>
      <c r="H19" s="13" t="s">
        <v>97</v>
      </c>
    </row>
    <row r="20" customFormat="false" ht="14.4" hidden="false" customHeight="false" outlineLevel="0" collapsed="false">
      <c r="B20" s="22"/>
      <c r="C20" s="24"/>
      <c r="D20" s="22"/>
      <c r="E20" s="23"/>
      <c r="F20" s="25"/>
      <c r="G20" s="23"/>
      <c r="H20" s="13" t="s">
        <v>98</v>
      </c>
    </row>
    <row r="21" customFormat="false" ht="14.4" hidden="false" customHeight="false" outlineLevel="0" collapsed="false">
      <c r="B21" s="22"/>
      <c r="C21" s="24"/>
      <c r="E21" s="23"/>
      <c r="F21" s="23"/>
      <c r="G21" s="23"/>
      <c r="H21" s="13" t="s">
        <v>99</v>
      </c>
    </row>
    <row r="22" customFormat="false" ht="28.8" hidden="false" customHeight="false" outlineLevel="0" collapsed="false">
      <c r="B22" s="22"/>
      <c r="C22" s="24"/>
      <c r="D22" s="22"/>
      <c r="E22" s="23"/>
      <c r="F22" s="23"/>
      <c r="G22" s="23"/>
      <c r="H22" s="26" t="s">
        <v>100</v>
      </c>
    </row>
    <row r="23" customFormat="false" ht="14.4" hidden="false" customHeight="false" outlineLevel="0" collapsed="false">
      <c r="B23" s="22"/>
      <c r="C23" s="24"/>
      <c r="D23" s="22"/>
      <c r="E23" s="23"/>
      <c r="F23" s="23"/>
      <c r="G23" s="23"/>
      <c r="H23" s="21" t="s">
        <v>101</v>
      </c>
    </row>
    <row r="24" customFormat="false" ht="14.4" hidden="false" customHeight="false" outlineLevel="0" collapsed="false">
      <c r="B24" s="22"/>
      <c r="C24" s="23"/>
      <c r="E24" s="23"/>
      <c r="F24" s="23"/>
      <c r="G24" s="23"/>
      <c r="H24" s="26" t="s">
        <v>102</v>
      </c>
    </row>
    <row r="25" customFormat="false" ht="14.4" hidden="false" customHeight="false" outlineLevel="0" collapsed="false">
      <c r="B25" s="22"/>
      <c r="C25" s="23"/>
      <c r="E25" s="23"/>
      <c r="F25" s="23"/>
      <c r="G25" s="23"/>
      <c r="H25" s="26" t="s">
        <v>103</v>
      </c>
    </row>
    <row r="26" customFormat="false" ht="14.4" hidden="false" customHeight="false" outlineLevel="0" collapsed="false">
      <c r="B26" s="22"/>
      <c r="C26" s="27"/>
      <c r="D26" s="22"/>
      <c r="E26" s="23"/>
      <c r="F26" s="23"/>
      <c r="G26" s="23"/>
    </row>
    <row r="27" customFormat="false" ht="14.4" hidden="false" customHeight="false" outlineLevel="0" collapsed="false">
      <c r="B27" s="22"/>
      <c r="C27" s="23"/>
      <c r="D27" s="22"/>
      <c r="E27" s="23"/>
      <c r="F27" s="23"/>
      <c r="G27" s="23"/>
    </row>
    <row r="28" customFormat="false" ht="14.4" hidden="false" customHeight="false" outlineLevel="0" collapsed="false">
      <c r="B28" s="22"/>
      <c r="C28" s="23"/>
      <c r="E28" s="23"/>
      <c r="F28" s="23"/>
      <c r="G28" s="23"/>
    </row>
    <row r="29" customFormat="false" ht="14.4" hidden="false" customHeight="false" outlineLevel="0" collapsed="false">
      <c r="B29" s="22"/>
      <c r="C29" s="23"/>
      <c r="E29" s="23"/>
      <c r="F29" s="23"/>
      <c r="G29" s="23"/>
      <c r="H29" s="28"/>
    </row>
    <row r="30" customFormat="false" ht="14.4" hidden="false" customHeight="false" outlineLevel="0" collapsed="false">
      <c r="B30" s="22"/>
      <c r="D30" s="23"/>
      <c r="E30" s="23"/>
      <c r="F30" s="23"/>
      <c r="G30" s="23"/>
      <c r="H30" s="28"/>
    </row>
    <row r="31" customFormat="false" ht="14.4" hidden="false" customHeight="false" outlineLevel="0" collapsed="false">
      <c r="B31" s="22"/>
      <c r="D31" s="23"/>
      <c r="E31" s="23"/>
      <c r="F31" s="27"/>
      <c r="G31" s="23"/>
      <c r="H31" s="28"/>
    </row>
    <row r="32" customFormat="false" ht="14.4" hidden="false" customHeight="false" outlineLevel="0" collapsed="false">
      <c r="B32" s="22"/>
      <c r="C32" s="22"/>
      <c r="D32" s="23"/>
      <c r="E32" s="25"/>
      <c r="F32" s="23"/>
      <c r="H32" s="28"/>
    </row>
    <row r="33" customFormat="false" ht="14.4" hidden="false" customHeight="false" outlineLevel="0" collapsed="false">
      <c r="A33" s="29"/>
      <c r="B33" s="29"/>
      <c r="C33" s="29"/>
      <c r="D33" s="22"/>
      <c r="E33" s="23"/>
      <c r="H33" s="28"/>
    </row>
    <row r="34" customFormat="false" ht="14.4" hidden="false" customHeight="false" outlineLevel="0" collapsed="false">
      <c r="B34" s="28"/>
      <c r="C34" s="27"/>
      <c r="D34" s="22"/>
      <c r="E34" s="23"/>
      <c r="H34" s="28"/>
    </row>
    <row r="35" customFormat="false" ht="14.4" hidden="false" customHeight="false" outlineLevel="0" collapsed="false">
      <c r="B35" s="28"/>
      <c r="C35" s="27"/>
      <c r="D35" s="22"/>
      <c r="E35" s="23"/>
      <c r="H35" s="28"/>
    </row>
    <row r="36" customFormat="false" ht="14.4" hidden="false" customHeight="false" outlineLevel="0" collapsed="false">
      <c r="B36" s="28"/>
      <c r="C36" s="27"/>
      <c r="D36" s="22"/>
      <c r="E36" s="23"/>
      <c r="H36" s="28"/>
    </row>
    <row r="37" customFormat="false" ht="14.4" hidden="false" customHeight="false" outlineLevel="0" collapsed="false">
      <c r="B37" s="22"/>
      <c r="C37" s="28"/>
      <c r="D37" s="22"/>
      <c r="E37" s="23"/>
      <c r="H37" s="28"/>
    </row>
    <row r="38" customFormat="false" ht="14.4" hidden="false" customHeight="false" outlineLevel="0" collapsed="false">
      <c r="E38" s="23"/>
    </row>
    <row r="39" customFormat="false" ht="14.4" hidden="false" customHeight="false" outlineLevel="0" collapsed="false">
      <c r="E39" s="23"/>
    </row>
    <row r="40" customFormat="false" ht="14.4" hidden="false" customHeight="false" outlineLevel="0" collapsed="false">
      <c r="E40" s="23"/>
    </row>
    <row r="41" customFormat="false" ht="14.4" hidden="false" customHeight="false" outlineLevel="0" collapsed="false">
      <c r="E41" s="23"/>
    </row>
    <row r="42" customFormat="false" ht="14.4" hidden="false" customHeight="false" outlineLevel="0" collapsed="false">
      <c r="E42" s="23"/>
    </row>
    <row r="43" customFormat="false" ht="14.4" hidden="false" customHeight="false" outlineLevel="0" collapsed="false">
      <c r="E43" s="27"/>
    </row>
    <row r="44" customFormat="false" ht="14.4" hidden="false" customHeight="false" outlineLevel="0" collapsed="false">
      <c r="E44" s="23"/>
    </row>
    <row r="51" customFormat="false" ht="14.4" hidden="false" customHeight="false" outlineLevel="0" collapsed="false">
      <c r="F51" s="23"/>
    </row>
    <row r="52" customFormat="false" ht="14.4" hidden="false" customHeight="false" outlineLevel="0" collapsed="false">
      <c r="F52" s="23"/>
    </row>
    <row r="53" customFormat="false" ht="14.4" hidden="false" customHeight="false" outlineLevel="0" collapsed="false">
      <c r="F53" s="23"/>
    </row>
    <row r="54" customFormat="false" ht="14.4" hidden="false" customHeight="false" outlineLevel="0" collapsed="false">
      <c r="F54" s="23"/>
    </row>
    <row r="55" customFormat="false" ht="14.4" hidden="false" customHeight="false" outlineLevel="0" collapsed="false">
      <c r="F55" s="23"/>
    </row>
    <row r="56" customFormat="false" ht="14.4" hidden="false" customHeight="false" outlineLevel="0" collapsed="false">
      <c r="F56" s="23"/>
    </row>
    <row r="57" customFormat="false" ht="14.4" hidden="false" customHeight="false" outlineLevel="0" collapsed="false">
      <c r="F57" s="23"/>
    </row>
    <row r="63" customFormat="false" ht="14.4" hidden="false" customHeight="false" outlineLevel="0" collapsed="false">
      <c r="E63" s="23"/>
      <c r="G63" s="23"/>
    </row>
    <row r="64" customFormat="false" ht="14.4" hidden="false" customHeight="false" outlineLevel="0" collapsed="false">
      <c r="E64" s="23"/>
      <c r="G64" s="23"/>
    </row>
    <row r="65" customFormat="false" ht="14.4" hidden="false" customHeight="false" outlineLevel="0" collapsed="false">
      <c r="E65" s="23"/>
      <c r="G65" s="23"/>
    </row>
    <row r="66" customFormat="false" ht="14.4" hidden="false" customHeight="false" outlineLevel="0" collapsed="false">
      <c r="E66" s="23"/>
      <c r="G66" s="23"/>
    </row>
    <row r="67" customFormat="false" ht="14.4" hidden="false" customHeight="false" outlineLevel="0" collapsed="false">
      <c r="E67" s="23"/>
      <c r="G67" s="23"/>
    </row>
    <row r="68" customFormat="false" ht="14.4" hidden="false" customHeight="false" outlineLevel="0" collapsed="false">
      <c r="E68" s="23"/>
      <c r="G68" s="23"/>
    </row>
    <row r="69" customFormat="false" ht="14.4" hidden="false" customHeight="false" outlineLevel="0" collapsed="false">
      <c r="E69" s="23"/>
      <c r="G69" s="23"/>
    </row>
    <row r="70" customFormat="false" ht="14.4" hidden="false" customHeight="false" outlineLevel="0" collapsed="false">
      <c r="E70" s="23"/>
      <c r="F70" s="23"/>
      <c r="G70" s="23"/>
    </row>
    <row r="71" customFormat="false" ht="14.4" hidden="false" customHeight="false" outlineLevel="0" collapsed="false">
      <c r="E71" s="23"/>
      <c r="F71" s="23"/>
      <c r="G71" s="23"/>
    </row>
    <row r="72" customFormat="false" ht="14.4" hidden="false" customHeight="false" outlineLevel="0" collapsed="false">
      <c r="E72" s="23"/>
      <c r="F72" s="23"/>
      <c r="G72" s="23"/>
    </row>
    <row r="73" customFormat="false" ht="14.4" hidden="false" customHeight="false" outlineLevel="0" collapsed="false">
      <c r="E73" s="23"/>
      <c r="F73" s="23"/>
      <c r="G73" s="23"/>
    </row>
    <row r="74" customFormat="false" ht="14.4" hidden="false" customHeight="false" outlineLevel="0" collapsed="false">
      <c r="E74" s="23"/>
      <c r="F74" s="23"/>
      <c r="G74" s="23"/>
    </row>
    <row r="75" customFormat="false" ht="14.4" hidden="false" customHeight="false" outlineLevel="0" collapsed="false">
      <c r="E75" s="23"/>
      <c r="F75" s="23"/>
      <c r="G75" s="23"/>
    </row>
    <row r="76" customFormat="false" ht="14.4" hidden="false" customHeight="false" outlineLevel="0" collapsed="false">
      <c r="E76" s="23"/>
      <c r="F76" s="23"/>
      <c r="G76" s="23"/>
    </row>
    <row r="77" customFormat="false" ht="14.4" hidden="false" customHeight="false" outlineLevel="0" collapsed="false">
      <c r="E77" s="23"/>
      <c r="F77" s="23"/>
      <c r="G77" s="23"/>
    </row>
    <row r="78" customFormat="false" ht="14.4" hidden="false" customHeight="false" outlineLevel="0" collapsed="false">
      <c r="E78" s="23"/>
      <c r="F78" s="23"/>
      <c r="G78" s="23"/>
    </row>
    <row r="79" customFormat="false" ht="14.4" hidden="false" customHeight="false" outlineLevel="0" collapsed="false">
      <c r="E79" s="23"/>
      <c r="F79" s="23"/>
      <c r="G79" s="23"/>
    </row>
    <row r="80" customFormat="false" ht="14.4" hidden="false" customHeight="false" outlineLevel="0" collapsed="false">
      <c r="E80" s="23"/>
      <c r="F80" s="23"/>
      <c r="G80" s="23"/>
    </row>
    <row r="81" customFormat="false" ht="14.4" hidden="false" customHeight="false" outlineLevel="0" collapsed="false">
      <c r="E81" s="23"/>
      <c r="F81" s="23"/>
      <c r="G81" s="23"/>
    </row>
  </sheetData>
  <hyperlinks>
    <hyperlink ref="A2" location="'Reference list'!A1" display="Reference list"/>
    <hyperlink ref="B2" location="MeatAndEggs" display="Results meat and eggs"/>
    <hyperlink ref="C2" location="'Dairy products'!A1" display="Results dairy products"/>
    <hyperlink ref="D2" location="FishAndSeafood" display="Results fish and seafood"/>
    <hyperlink ref="E2" location="PlantBasedProducts" display="Results grains, oil crops and sugar"/>
    <hyperlink ref="F2" location="'Vegetables, roots, legumes'!PlantBasedProducts" display="Results vegetables, root crops and legumes"/>
    <hyperlink ref="G2" location="FruitsBerriesCocoaAndCoffee" display="Results fruits, berries, cocoa and coffee"/>
    <hyperlink ref="H2" location="ProcessedProducts" display="Results processed products"/>
    <hyperlink ref="A3" location="'Common input data'!A1" display="Common input data sheet"/>
    <hyperlink ref="B3" location="'Input data meat and eggs'!A1" display="Input data sheet "/>
    <hyperlink ref="C3" location="InputMilkAndDairy" display="Input data sheet "/>
    <hyperlink ref="D3" location="InputFishAndSeafood" display="Input data sheet "/>
    <hyperlink ref="E3" location="InputPlantBasedProducts" display="Input data sheet "/>
    <hyperlink ref="F3" location="InputPlantBasedProducts" display="Input data sheet "/>
    <hyperlink ref="G3" location="InputPlantBasedProducts" display="Input data sheet "/>
    <hyperlink ref="H3" location="InputProcessedProducts" display="Input data sheet "/>
    <hyperlink ref="A4" location="'Excluded data'!A1" display="Additional motivation to excluded data "/>
    <hyperlink ref="A5" location="Maintenance_of_data" display="Maintenance of data"/>
    <hyperlink ref="B5" location="PorkMeat" display="Pork meat"/>
    <hyperlink ref="C5" location="'Dairy products'!RawMilk" display="Raw milk"/>
    <hyperlink ref="D5" location="AverageFishAndSeafood" display="Average of fish and seafood"/>
    <hyperlink ref="E5" location="GrainsAverage" display="Average grains"/>
    <hyperlink ref="F5" location="Tomato" display="Tomato"/>
    <hyperlink ref="G5" location="Apple" display="Apple"/>
    <hyperlink ref="H5" location="Pasta" display="Pasta"/>
    <hyperlink ref="B6" location="ChickenMeat" display="Chicken meat"/>
    <hyperlink ref="C6" location="'Dairy products'!PastMilk" display="Pasteurized milk"/>
    <hyperlink ref="D6" location="Salmon" display="Salmon"/>
    <hyperlink ref="E6" location="Wheat" display="Wheat"/>
    <hyperlink ref="F6" location="Cucumber" display="Cucumber"/>
    <hyperlink ref="G6" location="Pear" display="Pear"/>
    <hyperlink ref="H6" location="Buns" display="Buns"/>
    <hyperlink ref="B7" location="Eggs" display="Eggs"/>
    <hyperlink ref="C7" location="'Dairy products'!Butter" display="Butter"/>
    <hyperlink ref="D7" location="Cod" display="Cod"/>
    <hyperlink ref="E7" location="Rye" display="Rye"/>
    <hyperlink ref="F7" location="BellPepper" display="Bell pepper"/>
    <hyperlink ref="G7" location="Melon" display="Melon"/>
    <hyperlink ref="H7" location="Biscuits" display="Biscuits"/>
    <hyperlink ref="B8" location="Beef" display="Beef"/>
    <hyperlink ref="C8" location="'Dairy products'!Yogurt" display="Yogurt"/>
    <hyperlink ref="D8" location="Herring" display="Herring"/>
    <hyperlink ref="E8" location="Barley" display="Barley"/>
    <hyperlink ref="F8" location="IcebergLettuce" display="Iceberg lettuce"/>
    <hyperlink ref="G8" location="Banana" display="Banana"/>
    <hyperlink ref="H8" location="Pastries" display="Pastry"/>
    <hyperlink ref="C9" location="'Dairy products'!Cream" display="Cream"/>
    <hyperlink ref="D9" location="Mackerel" display="Mackerel"/>
    <hyperlink ref="E9" location="Oats" display="Oats"/>
    <hyperlink ref="F9" location="Potato" display="Potato"/>
    <hyperlink ref="G9" location="Orange" display="Orange"/>
    <hyperlink ref="H9" location="Rusks" display="Rusks"/>
    <hyperlink ref="C10" location="'Dairy products'!HardCheese" display="Hard cheese"/>
    <hyperlink ref="D10" location="Saithe" display="Saithe"/>
    <hyperlink ref="E10" location="Rice" display="Rice"/>
    <hyperlink ref="F10" location="Carrot" display="Carrot"/>
    <hyperlink ref="G10" location="Lemon" display="Lemon"/>
    <hyperlink ref="H10" location="WheatBread" display="Wheat bread"/>
    <hyperlink ref="C11" location="'Dairy products'!DessertCheese" display="Dessert cheese"/>
    <hyperlink ref="D11" location="NorthernPrawn" display="Northern Prawn "/>
    <hyperlink ref="E11" location="Rapeseed" display="Rapeseed/rapeseed oil"/>
    <hyperlink ref="F11" location="Onion" display="Onion"/>
    <hyperlink ref="G11" location="Avocado" display="Avocado"/>
    <hyperlink ref="H11" location="WheatRyeBread" display="Wheat-rye bread"/>
    <hyperlink ref="C12" location="'Dairy products'!CremeFraiche" display="Crème fraiche"/>
    <hyperlink ref="D12" location="AlaskaPollock" display="Alaska pollock "/>
    <hyperlink ref="E12" location="Olive" display="Olives/Olive oil"/>
    <hyperlink ref="F12" location="Leek" display="Leek"/>
    <hyperlink ref="G12" location="Kiwifruit" display="Kiwifruit"/>
    <hyperlink ref="H12" location="CrispBread" display="Crisp bread"/>
    <hyperlink ref="C13" location="'Dairy products'!MilkPowder" display="Milk powder"/>
    <hyperlink ref="D13" location="RainbowTrout" display="Rainbow trout "/>
    <hyperlink ref="E13" location="Sugar" display="Sugar beet/sugar"/>
    <hyperlink ref="F13" location="Broccoli" display="Broccoli"/>
    <hyperlink ref="G13" location="Strawberry" display="Strawberry"/>
    <hyperlink ref="H13" location="FollowUpFormula" display="Follow-up formula"/>
    <hyperlink ref="D14" location="SaltedRoe" display="Roe (from cod fish)"/>
    <hyperlink ref="F14" location="WhiteCabbage" display="White cabbage"/>
    <hyperlink ref="G14" location="Raspberry" display="Raspberry"/>
    <hyperlink ref="H14" location="Margarine" display="Margarine"/>
    <hyperlink ref="D15" location="Pangasius" display="Pangasius "/>
    <hyperlink ref="F15" location="Cauliflower" display="Cauliflower"/>
    <hyperlink ref="G15" location="Cocoa" display="Cocoa/Cocoa powder/Cocoa butter"/>
    <hyperlink ref="H15" location="LowFatMargarine" display="Low fat margarine"/>
    <hyperlink ref="D16" location="EuropeanPlaice" display="European plaice "/>
    <hyperlink ref="F16" location="Peas" display="Peas"/>
    <hyperlink ref="G16" location="Coffee" display="Coffee"/>
    <hyperlink ref="H16" location="CocoaDrinkPowder" display="Cocoa drink powder"/>
    <hyperlink ref="D17" location="Hoki" display="Hoki"/>
    <hyperlink ref="F17" location="Beans" display="Beans"/>
    <hyperlink ref="H17" location="Soda" display="Soda"/>
    <hyperlink ref="H18" location="Cider" display="Cider (non-alcoholic)"/>
    <hyperlink ref="H19" location="Beer" display="Beer (regular)"/>
    <hyperlink ref="H20" location="MineralWater" display="Mineral water"/>
    <hyperlink ref="H21" location="Juice" display="Juice of orange and apple"/>
    <hyperlink ref="H22" location="SquashDrink" display="Squash drink of strawberry and raspberry"/>
    <hyperlink ref="H23" location="MilkChocolate" display="Milk chocolate"/>
    <hyperlink ref="H24" location="PotatoCrisps" display="Potato crisps"/>
    <hyperlink ref="H25" location="IceCream" display="Ice cream (dairy-bas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4B183"/>
    <pageSetUpPr fitToPage="false"/>
  </sheetPr>
  <dimension ref="A1:OM212"/>
  <sheetViews>
    <sheetView showFormulas="false" showGridLines="true" showRowColHeaders="true" showZeros="true" rightToLeft="false" tabSelected="false" showOutlineSymbols="true" defaultGridColor="true" view="normal" topLeftCell="A184" colorId="64" zoomScale="60" zoomScaleNormal="60" zoomScalePageLayoutView="100" workbookViewId="0">
      <selection pane="topLeft" activeCell="A8" activeCellId="0" sqref="A8"/>
    </sheetView>
  </sheetViews>
  <sheetFormatPr defaultColWidth="8.90234375" defaultRowHeight="14.4" zeroHeight="false" outlineLevelRow="0" outlineLevelCol="0"/>
  <cols>
    <col collapsed="false" customWidth="true" hidden="false" outlineLevel="0" max="1" min="1" style="30" width="37.66"/>
    <col collapsed="false" customWidth="true" hidden="false" outlineLevel="0" max="2" min="2" style="31" width="67"/>
    <col collapsed="false" customWidth="true" hidden="false" outlineLevel="0" max="3" min="3" style="30" width="19.89"/>
    <col collapsed="false" customWidth="true" hidden="false" outlineLevel="0" max="4" min="4" style="30" width="27.99"/>
    <col collapsed="false" customWidth="true" hidden="false" outlineLevel="0" max="6" min="5" style="30" width="38.89"/>
    <col collapsed="false" customWidth="true" hidden="false" outlineLevel="0" max="7" min="7" style="30" width="41.56"/>
    <col collapsed="false" customWidth="true" hidden="false" outlineLevel="0" max="8" min="8" style="30" width="54.56"/>
    <col collapsed="false" customWidth="true" hidden="false" outlineLevel="0" max="9" min="9" style="30" width="26"/>
    <col collapsed="false" customWidth="true" hidden="false" outlineLevel="0" max="10" min="10" style="30" width="36.66"/>
    <col collapsed="false" customWidth="true" hidden="false" outlineLevel="0" max="11" min="11" style="30" width="32.66"/>
    <col collapsed="false" customWidth="true" hidden="false" outlineLevel="0" max="12" min="12" style="30" width="37.89"/>
    <col collapsed="false" customWidth="true" hidden="false" outlineLevel="0" max="13" min="13" style="30" width="38.33"/>
    <col collapsed="false" customWidth="true" hidden="false" outlineLevel="0" max="14" min="14" style="30" width="26"/>
    <col collapsed="false" customWidth="true" hidden="false" outlineLevel="0" max="15" min="15" style="30" width="37.11"/>
    <col collapsed="false" customWidth="true" hidden="false" outlineLevel="0" max="16" min="16" style="30" width="41.56"/>
    <col collapsed="false" customWidth="true" hidden="false" outlineLevel="0" max="17" min="17" style="30" width="39.33"/>
    <col collapsed="false" customWidth="true" hidden="false" outlineLevel="0" max="18" min="18" style="30" width="19.66"/>
    <col collapsed="false" customWidth="true" hidden="false" outlineLevel="0" max="19" min="19" style="30" width="41.34"/>
    <col collapsed="false" customWidth="true" hidden="false" outlineLevel="0" max="20" min="20" style="30" width="36.33"/>
    <col collapsed="false" customWidth="true" hidden="false" outlineLevel="0" max="21" min="21" style="30" width="62.11"/>
    <col collapsed="false" customWidth="true" hidden="false" outlineLevel="0" max="22" min="22" style="30" width="23.34"/>
    <col collapsed="false" customWidth="true" hidden="false" outlineLevel="0" max="23" min="23" style="30" width="17.89"/>
    <col collapsed="false" customWidth="true" hidden="false" outlineLevel="0" max="24" min="24" style="30" width="27.56"/>
    <col collapsed="false" customWidth="false" hidden="false" outlineLevel="0" max="30" min="25" style="30" width="8.89"/>
    <col collapsed="false" customWidth="true" hidden="false" outlineLevel="0" max="31" min="31" style="30" width="33.89"/>
    <col collapsed="false" customWidth="true" hidden="false" outlineLevel="0" max="32" min="32" style="30" width="27.66"/>
    <col collapsed="false" customWidth="true" hidden="false" outlineLevel="0" max="33" min="33" style="30" width="19"/>
    <col collapsed="false" customWidth="true" hidden="false" outlineLevel="0" max="34" min="34" style="30" width="17.67"/>
    <col collapsed="false" customWidth="false" hidden="false" outlineLevel="0" max="35" min="35" style="30" width="8.89"/>
    <col collapsed="false" customWidth="true" hidden="false" outlineLevel="0" max="36" min="36" style="30" width="28.66"/>
    <col collapsed="false" customWidth="true" hidden="false" outlineLevel="0" max="37" min="37" style="30" width="27.66"/>
    <col collapsed="false" customWidth="false" hidden="false" outlineLevel="0" max="1025" min="38" style="30" width="8.89"/>
  </cols>
  <sheetData>
    <row r="1" customFormat="false" ht="31.2" hidden="false" customHeight="false" outlineLevel="0" collapsed="false">
      <c r="A1" s="32" t="s">
        <v>11</v>
      </c>
      <c r="E1" s="33" t="s">
        <v>104</v>
      </c>
      <c r="F1" s="34" t="s">
        <v>105</v>
      </c>
    </row>
    <row r="2" customFormat="false" ht="31.2" hidden="false" customHeight="false" outlineLevel="0" collapsed="false">
      <c r="B2" s="35"/>
      <c r="E2" s="33" t="s">
        <v>106</v>
      </c>
      <c r="F2" s="34" t="s">
        <v>107</v>
      </c>
      <c r="G2" s="36"/>
      <c r="H2" s="37"/>
    </row>
    <row r="3" customFormat="false" ht="69.6" hidden="false" customHeight="false" outlineLevel="0" collapsed="false">
      <c r="E3" s="38" t="s">
        <v>108</v>
      </c>
      <c r="F3" s="34" t="s">
        <v>107</v>
      </c>
      <c r="G3" s="34"/>
    </row>
    <row r="4" customFormat="false" ht="15" hidden="false" customHeight="false" outlineLevel="0" collapsed="false">
      <c r="H4" s="39"/>
      <c r="I4" s="39"/>
      <c r="J4" s="40"/>
    </row>
    <row r="5" s="52" customFormat="true" ht="17.4" hidden="false" customHeight="false" outlineLevel="0" collapsed="false">
      <c r="A5" s="41"/>
      <c r="B5" s="42"/>
      <c r="C5" s="42"/>
      <c r="D5" s="42"/>
      <c r="E5" s="43" t="s">
        <v>109</v>
      </c>
      <c r="F5" s="44"/>
      <c r="G5" s="45"/>
      <c r="H5" s="46" t="s">
        <v>110</v>
      </c>
      <c r="I5" s="47"/>
      <c r="J5" s="46" t="s">
        <v>111</v>
      </c>
      <c r="K5" s="48"/>
      <c r="L5" s="49"/>
      <c r="M5" s="50"/>
      <c r="N5" s="50"/>
      <c r="O5" s="50"/>
      <c r="P5" s="50"/>
      <c r="Q5" s="50"/>
      <c r="R5" s="50"/>
      <c r="S5" s="51"/>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row>
    <row r="6" s="31" customFormat="true" ht="61.2" hidden="false" customHeight="true" outlineLevel="0" collapsed="false">
      <c r="A6" s="53"/>
      <c r="B6" s="54" t="s">
        <v>112</v>
      </c>
      <c r="C6" s="55" t="s">
        <v>113</v>
      </c>
      <c r="D6" s="55" t="s">
        <v>114</v>
      </c>
      <c r="E6" s="56" t="s">
        <v>115</v>
      </c>
      <c r="F6" s="57" t="s">
        <v>116</v>
      </c>
      <c r="G6" s="58" t="s">
        <v>117</v>
      </c>
      <c r="H6" s="57" t="s">
        <v>118</v>
      </c>
      <c r="I6" s="59" t="s">
        <v>119</v>
      </c>
      <c r="J6" s="57" t="s">
        <v>120</v>
      </c>
      <c r="K6" s="55" t="s">
        <v>121</v>
      </c>
      <c r="L6" s="60" t="s">
        <v>122</v>
      </c>
      <c r="M6" s="54" t="s">
        <v>123</v>
      </c>
      <c r="N6" s="54" t="s">
        <v>124</v>
      </c>
      <c r="O6" s="55" t="s">
        <v>125</v>
      </c>
      <c r="P6" s="55" t="s">
        <v>126</v>
      </c>
      <c r="Q6" s="54" t="s">
        <v>127</v>
      </c>
      <c r="R6" s="54" t="s">
        <v>128</v>
      </c>
      <c r="S6" s="61" t="s">
        <v>129</v>
      </c>
    </row>
    <row r="7" s="72" customFormat="true" ht="13.2" hidden="false" customHeight="true" outlineLevel="0" collapsed="false">
      <c r="A7" s="62" t="s">
        <v>130</v>
      </c>
      <c r="B7" s="63"/>
      <c r="C7" s="64"/>
      <c r="D7" s="65"/>
      <c r="E7" s="66" t="s">
        <v>131</v>
      </c>
      <c r="F7" s="67" t="s">
        <v>131</v>
      </c>
      <c r="G7" s="68" t="s">
        <v>131</v>
      </c>
      <c r="H7" s="69"/>
      <c r="I7" s="69"/>
      <c r="J7" s="69"/>
      <c r="K7" s="70"/>
      <c r="L7" s="71"/>
      <c r="O7" s="73"/>
      <c r="T7" s="74"/>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row>
    <row r="8" s="83" customFormat="true" ht="14.4" hidden="false" customHeight="false" outlineLevel="0" collapsed="false">
      <c r="A8" s="75" t="s">
        <v>132</v>
      </c>
      <c r="B8" s="76"/>
      <c r="C8" s="77" t="n">
        <f aca="false">SUM(C12:C26)</f>
        <v>1</v>
      </c>
      <c r="D8" s="78" t="s">
        <v>133</v>
      </c>
      <c r="E8" s="79" t="n">
        <f aca="false">IF($F$1="GWP100 without fb",E9+E10*'Common input data'!$C$5+E11*'Common input data'!$D$5,IF($F$1="GWP100 with fb",E9+E10*'Common input data'!$C$6+E11*'Common input data'!$D$6,IF($F$1="GTP100 without fb",E9+E10*'Common input data'!$C$7+E11*'Common input data'!$D$7,IF($F$1="GTP100 with fb",E9+E10*'Common input data'!$C$8+E11*'Common input data'!$D$8,E9+E10*'Common input data'!$C$9+E11*'Common input data'!$D$9))))</f>
        <v>2.27078262925997</v>
      </c>
      <c r="F8" s="80" t="n">
        <f aca="false">IF($F$1="GWP100 without fb",F9+F10*'Common input data'!$C$5+F11*'Common input data'!$D$5,IF($F$1="GWP100 with fb",F9+F10*'Common input data'!$C$6+F11*'Common input data'!$D$6,IF($F$1="GTP100 without fb",F9+F10*'Common input data'!$C$7+F11*'Common input data'!$D$7,IF($F$1="GTP100 with fb",F9+F10*'Common input data'!$C$8+F11*'Common input data'!$D$8,F9+F10*'Common input data'!$C$9+F11*'Common input data'!$D$9))))</f>
        <v>3.7764119805052</v>
      </c>
      <c r="G8" s="81" t="n">
        <f aca="false">IF($F$1="GWP100 without fb",G9+G10*'Common input data'!$C$5+G11*'Common input data'!$D$5,IF($F$1="GWP100 with fb",G9+G10*'Common input data'!$C$6+G11*'Common input data'!$D$6,IF($F$1="GTP100 without fb",G9+G10*'Common input data'!$C$7+G11*'Common input data'!$D$7,IF($F$1="GTP100 with fb",G9+G10*'Common input data'!$C$8+G11*'Common input data'!$D$8,G9+G10*'Common input data'!$C$9+G11*'Common input data'!$D$9))))</f>
        <v>4.6214844232524</v>
      </c>
      <c r="H8" s="82"/>
      <c r="I8" s="82"/>
      <c r="J8" s="82"/>
      <c r="K8" s="78"/>
      <c r="L8" s="78"/>
      <c r="O8" s="84"/>
      <c r="T8" s="74"/>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row>
    <row r="9" customFormat="false" ht="14.4" hidden="false" customHeight="false" outlineLevel="0" collapsed="false">
      <c r="A9" s="74"/>
      <c r="D9" s="85" t="s">
        <v>134</v>
      </c>
      <c r="E9" s="86" t="n">
        <f aca="false">$C$12*E13+$C$16*E17+$C$20*E21+$C$24*E25</f>
        <v>0.471407979650223</v>
      </c>
      <c r="F9" s="87" t="n">
        <f aca="false">$C$12*F13+$C$16*F17+$C$20*F21+$C$24*F25</f>
        <v>1.61096562229977</v>
      </c>
      <c r="G9" s="88" t="n">
        <f aca="false">$C$12*G13+$C$16*G17+$C$20*G21+$C$24*G25</f>
        <v>2.24385096475125</v>
      </c>
      <c r="H9" s="87" t="n">
        <f aca="false">$C$12*H13+$C$16*H17+$C$20*H21+$C$24*H25</f>
        <v>1.00817683746795</v>
      </c>
      <c r="I9" s="87" t="n">
        <f aca="false">$C$12*I13+$C$16*I17+$C$20*I21+$C$24*I25</f>
        <v>0</v>
      </c>
      <c r="J9" s="87" t="n">
        <f aca="false">$C$12*J13+$C$16*J17+$C$20*J21+$C$24*J25</f>
        <v>0</v>
      </c>
      <c r="K9" s="87" t="n">
        <f aca="false">$C$12*K13+$C$16*K17+$C$20*K21+$C$24*K25</f>
        <v>0</v>
      </c>
      <c r="L9" s="87" t="n">
        <f aca="false">$C$12*L13+$C$16*L17+$C$20*L21+$C$24*L25</f>
        <v>0</v>
      </c>
      <c r="M9" s="87" t="n">
        <f aca="false">$C$12*M13+$C$16*M17+$C$20*M21+$C$24*M25</f>
        <v>0.415001154532394</v>
      </c>
      <c r="N9" s="87" t="n">
        <f aca="false">$C$12*N13+$C$16*N17+$C$20*N21+$C$24*N25</f>
        <v>0.0564068251178295</v>
      </c>
      <c r="O9" s="87" t="n">
        <f aca="false">$C$12*O13+$C$16*O17+$C$20*O21+$C$24*O25</f>
        <v>0.131380805181605</v>
      </c>
      <c r="P9" s="87" t="n">
        <f aca="false">$C$12*P13+$C$16*P17+$C$20*P21+$C$24*P25</f>
        <v>0.273265059162025</v>
      </c>
      <c r="Q9" s="87" t="n">
        <f aca="false">$C$12*Q13+$C$16*Q17+$C$20*Q21+$C$24*Q25</f>
        <v>1.8842306814618</v>
      </c>
      <c r="R9" s="89" t="n">
        <f aca="false">$C$12*R13+$C$16*R17+$C$20*R21+$C$24*R25</f>
        <v>0.1</v>
      </c>
      <c r="S9" s="89" t="n">
        <f aca="false">$C$12*S13+$C$16*S17+$C$20*S21+$C$24*S25</f>
        <v>0.0621613983913456</v>
      </c>
      <c r="T9" s="90"/>
      <c r="U9" s="89"/>
    </row>
    <row r="10" customFormat="false" ht="14.4" hidden="false" customHeight="false" outlineLevel="0" collapsed="false">
      <c r="A10" s="91"/>
      <c r="B10" s="92"/>
      <c r="C10" s="93"/>
      <c r="D10" s="85" t="s">
        <v>135</v>
      </c>
      <c r="E10" s="86" t="n">
        <f aca="false">$C$12*E14+$C$16*E18+$C$20*E22+$C$24*E26</f>
        <v>0.0208136743560416</v>
      </c>
      <c r="F10" s="87" t="n">
        <f aca="false">$C$12*F14+$C$16*F18+$C$20*F22+$C$24*F26</f>
        <v>0.0211306822079727</v>
      </c>
      <c r="G10" s="88" t="n">
        <f aca="false">$C$12*G14+$C$16*G18+$C$20*G22+$C$24*G26</f>
        <v>0.0232220600994653</v>
      </c>
      <c r="H10" s="87" t="n">
        <f aca="false">$C$12*H14+$C$16*H18+$C$20*H22+$C$24*H26</f>
        <v>0.000317007851931044</v>
      </c>
      <c r="I10" s="87" t="n">
        <f aca="false">$C$12*I14+$C$16*I18+$C$20*I22+$C$24*I26</f>
        <v>0</v>
      </c>
      <c r="J10" s="87" t="n">
        <f aca="false">$C$12*J14+$C$16*J18+$C$20*J22+$C$24*J26</f>
        <v>0.0121852835856487</v>
      </c>
      <c r="K10" s="87" t="n">
        <f aca="false">$C$12*K14+$C$16*K18+$C$20*K22+$C$24*K26</f>
        <v>0</v>
      </c>
      <c r="L10" s="87" t="n">
        <f aca="false">$C$12*L14+$C$16*L18+$C$20*L22+$C$24*L26</f>
        <v>0.00862839077039287</v>
      </c>
      <c r="M10" s="87" t="n">
        <f aca="false">$C$12*M14+$C$16*M18+$C$20*M22+$C$24*M26</f>
        <v>0</v>
      </c>
      <c r="N10" s="87" t="n">
        <f aca="false">$C$12*N14+$C$16*N18+$C$20*N22+$C$24*N26</f>
        <v>0</v>
      </c>
      <c r="O10" s="87" t="n">
        <f aca="false">$C$12*O14+$C$16*O18+$C$20*O22+$C$24*O26</f>
        <v>0</v>
      </c>
      <c r="P10" s="87" t="n">
        <f aca="false">$C$12*P14+$C$16*P18+$C$20*P22+$C$24*P26</f>
        <v>4.7836602739726E-005</v>
      </c>
      <c r="Q10" s="87" t="n">
        <f aca="false">$C$12*Q14+$C$16*Q18+$C$20*Q22+$C$24*Q26</f>
        <v>0.0211785188107124</v>
      </c>
      <c r="R10" s="89" t="n">
        <f aca="false">$C$12*R14+$C$16*R18+$C$20*R22+$C$24*R26</f>
        <v>0</v>
      </c>
      <c r="S10" s="89" t="n">
        <f aca="false">$C$12*S14+$C$16*S18+$C$20*S22+$C$24*S26</f>
        <v>0</v>
      </c>
      <c r="T10" s="90"/>
      <c r="U10" s="89"/>
    </row>
    <row r="11" customFormat="false" ht="14.4" hidden="false" customHeight="false" outlineLevel="0" collapsed="false">
      <c r="A11" s="91"/>
      <c r="B11" s="92"/>
      <c r="C11" s="87"/>
      <c r="D11" s="31" t="s">
        <v>136</v>
      </c>
      <c r="E11" s="86" t="n">
        <f aca="false">$C$12*E15+$C$16*E19+$C$20*E23+$C$24*E27</f>
        <v>0.00366345544128971</v>
      </c>
      <c r="F11" s="87" t="n">
        <f aca="false">$C$12*F15+$C$16*F19+$C$20*F23+$C$24*F27</f>
        <v>0.00485571531253139</v>
      </c>
      <c r="G11" s="88" t="n">
        <f aca="false">$C$12*G15+$C$16*G19+$C$20*G23+$C$24*G27</f>
        <v>0.00532913897691047</v>
      </c>
      <c r="H11" s="87" t="n">
        <f aca="false">$C$12*H15+$C$16*H19+$C$20*H23+$C$24*H27</f>
        <v>0.00119225987124169</v>
      </c>
      <c r="I11" s="87" t="n">
        <f aca="false">$C$12*I15+$C$16*I19+$C$20*I23+$C$24*I27</f>
        <v>0.0030135523963737</v>
      </c>
      <c r="J11" s="87" t="n">
        <f aca="false">$C$12*J15+$C$16*J19+$C$20*J23+$C$24*J27</f>
        <v>0.000437171478780216</v>
      </c>
      <c r="K11" s="87" t="n">
        <f aca="false">$C$12*K15+$C$16*K19+$C$20*K23+$C$24*K27</f>
        <v>0.000212731566135794</v>
      </c>
      <c r="L11" s="87" t="n">
        <f aca="false">$C$12*L15+$C$16*L19+$C$20*L23+$C$24*L27</f>
        <v>0</v>
      </c>
      <c r="M11" s="87" t="n">
        <f aca="false">$C$12*M15+$C$16*M19+$C$20*M23+$C$24*M27</f>
        <v>0</v>
      </c>
      <c r="N11" s="87" t="n">
        <f aca="false">$C$12*N15+$C$16*N19+$C$20*N23+$C$24*N27</f>
        <v>0</v>
      </c>
      <c r="O11" s="87" t="n">
        <f aca="false">$C$12*O15+$C$16*O19+$C$20*O23+$C$24*O27</f>
        <v>0</v>
      </c>
      <c r="P11" s="87" t="n">
        <f aca="false">$C$12*P15+$C$16*P19+$C$20*P23+$C$24*P27</f>
        <v>4.45943441095891E-006</v>
      </c>
      <c r="Q11" s="87" t="n">
        <f aca="false">$C$12*Q15+$C$16*Q19+$C$20*Q23+$C$24*Q27</f>
        <v>0.00486017474694235</v>
      </c>
      <c r="R11" s="89" t="n">
        <f aca="false">$C$12*R15+$C$16*R19+$C$20*R23+$C$24*R27</f>
        <v>0</v>
      </c>
      <c r="S11" s="89" t="n">
        <f aca="false">$C$12*S15+$C$16*S19+$C$20*S23+$C$24*S27</f>
        <v>0</v>
      </c>
      <c r="T11" s="90"/>
      <c r="U11" s="89"/>
    </row>
    <row r="12" s="83" customFormat="true" ht="14.4" hidden="false" customHeight="false" outlineLevel="0" collapsed="false">
      <c r="A12" s="75" t="s">
        <v>137</v>
      </c>
      <c r="B12" s="76" t="s">
        <v>138</v>
      </c>
      <c r="C12" s="77" t="n">
        <f aca="false">'Input data meat and eggs'!D15</f>
        <v>0.6938</v>
      </c>
      <c r="D12" s="78" t="s">
        <v>133</v>
      </c>
      <c r="E12" s="94" t="n">
        <f aca="false">IF($F$1="GWP100 without fb",E13+E14*'Common input data'!$C$5+E15*'Common input data'!$D$5,IF($F$1="GWP100 with fb",E13+E14*'Common input data'!$C$6+E15*'Common input data'!$D$6,IF($F$1="GTP100 without fb",E13+E14*'Common input data'!$C$7+E15*'Common input data'!$D$7,IF($F$1="GTP100 with fb",E13+E14*'Common input data'!$C$8+E15*'Common input data'!$D$8,E13+E14*'Common input data'!$C$9+E15*'Common input data'!$D$9))))</f>
        <v>2.04539899504828</v>
      </c>
      <c r="F12" s="95" t="n">
        <f aca="false">IF($F$1="GWP100 without fb",F13+F14*'Common input data'!$C$5+F15*'Common input data'!$D$5,IF($F$1="GWP100 with fb",F13+F14*'Common input data'!$C$6+F15*'Common input data'!$D$6,IF($F$1="GTP100 without fb",F13+F14*'Common input data'!$C$7+F15*'Common input data'!$D$7,IF($F$1="GTP100 with fb",F13+F14*'Common input data'!$C$8+F15*'Common input data'!$D$8,F13+F14*'Common input data'!$C$9+F15*'Common input data'!$D$9))))</f>
        <v>3.49214302790279</v>
      </c>
      <c r="G12" s="96" t="n">
        <f aca="false">IF($F$1="GWP100 without fb",G13+G14*'Common input data'!$C$5+G15*'Common input data'!$D$5,IF($F$1="GWP100 with fb",G13+G14*'Common input data'!$C$6+G15*'Common input data'!$D$6,IF($F$1="GTP100 without fb",G13+G14*'Common input data'!$C$7+G15*'Common input data'!$D$7,IF($F$1="GTP100 with fb",G13+G14*'Common input data'!$C$8+G15*'Common input data'!$D$8,G13+G14*'Common input data'!$C$9+G15*'Common input data'!$D$9))))</f>
        <v>4.22910041488043</v>
      </c>
      <c r="H12" s="97"/>
      <c r="I12" s="97"/>
      <c r="J12" s="97"/>
      <c r="K12" s="98"/>
      <c r="L12" s="98"/>
      <c r="T12" s="74"/>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row>
    <row r="13" customFormat="false" ht="14.4" hidden="false" customHeight="false" outlineLevel="0" collapsed="false">
      <c r="A13" s="99"/>
      <c r="D13" s="85" t="s">
        <v>134</v>
      </c>
      <c r="E13" s="86" t="n">
        <f aca="false">IF(AND($F$2="No",$F$3="No"),SUM(I13:L13),IF(AND($F$2="Yes", $F$3="No"), SUM(I13:L13)+N13, IF(AND($F$2="No", $F$3="Yes"),SUM(I13:L13)+M13, SUM(I13:L13)+N13+M13)))</f>
        <v>0.463879293650221</v>
      </c>
      <c r="F13" s="87" t="n">
        <f aca="false">IF(AND($F$2="No",$F$3="No"),SUM(H13:L13,O13),IF(AND($F$2="Yes", $F$3="No"), SUM(H13:L13,O13)+N13, IF(AND($F$2="No", $F$3="Yes"),SUM(H13:L13,O13)+M13, SUM(H13:L13,O13)+N13+M13)))</f>
        <v>1.55039801649896</v>
      </c>
      <c r="G13" s="88" t="n">
        <f aca="false">SUM(Q13:S13)/(1-'Common input data'!B$126)</f>
        <v>2.09675352085473</v>
      </c>
      <c r="H13" s="87" t="n">
        <f aca="false">'Input data meat and eggs'!$B$123*('Input data meat and eggs'!B62*'Input data meat and eggs'!B35+'Input data meat and eggs'!B63*'Input data meat and eggs'!B36+'Input data meat and eggs'!B64*SUMPRODUCT('Input data meat and eggs'!B37:B46,'Input data meat and eggs'!B65:B74))*'Input data meat and eggs'!B56</f>
        <v>0.992075610570168</v>
      </c>
      <c r="I13" s="87" t="n">
        <f aca="false">'Input data meat and eggs'!$B$123*('Input data meat and eggs'!B62*'Input data meat and eggs'!B35+'Input data meat and eggs'!B63*'Input data meat and eggs'!B36+'Input data meat and eggs'!B64*SUMPRODUCT('Input data meat and eggs'!B37:B46,'Input data meat and eggs'!B65:B74))*'Input data meat and eggs'!C56</f>
        <v>0</v>
      </c>
      <c r="J13" s="87" t="n">
        <v>0</v>
      </c>
      <c r="K13" s="87" t="n">
        <v>0</v>
      </c>
      <c r="L13" s="87" t="n">
        <v>0</v>
      </c>
      <c r="M13" s="87" t="n">
        <f aca="false">'Input data meat and eggs'!B123*(('Input data meat and eggs'!B62*'Common input data'!B13)+('Input data meat and eggs'!B64*('Input data meat and eggs'!B65*'Common input data'!B13*'Common input data'!G28/'Common input data'!F28+'Input data meat and eggs'!B69*'Common input data'!D13*'Common input data'!G26/'Common input data'!F26+'Input data meat and eggs'!B71*'Common input data'!C13*'Common input data'!G30/'Common input data'!F30+'Input data meat and eggs'!B72*'Common input data'!C13)))</f>
        <v>0.408373321493948</v>
      </c>
      <c r="N13" s="87" t="n">
        <f aca="false">'Input data meat and eggs'!B123*'Input data meat and eggs'!B64*'Input data meat and eggs'!B71*'Common input data'!B21*'Common input data'!G30/'Common input data'!F30</f>
        <v>0.0555059721562733</v>
      </c>
      <c r="O13" s="87" t="n">
        <f aca="false">(('Input data meat and eggs'!B78*'Input data meat and eggs'!B101+'Input data meat and eggs'!B79*'Input data meat and eggs'!B110)*'Common input data'!B63)/'Input data meat and eggs'!B101</f>
        <v>0.0944431122785757</v>
      </c>
      <c r="P13" s="87" t="n">
        <f aca="false">'Input data meat and eggs'!B90*'Common input data'!B63+'Input data meat and eggs'!C90*3.6*'Common input data'!B49</f>
        <v>0.231841194520548</v>
      </c>
      <c r="Q13" s="87" t="n">
        <f aca="false">F13+P13</f>
        <v>1.78223921101951</v>
      </c>
      <c r="R13" s="89" t="n">
        <f aca="false">'Common input data'!B92</f>
        <v>0.1</v>
      </c>
      <c r="S13" s="89" t="n">
        <f aca="false">'Common input data'!C98</f>
        <v>0.03</v>
      </c>
      <c r="T13" s="90"/>
    </row>
    <row r="14" customFormat="false" ht="14.4" hidden="false" customHeight="false" outlineLevel="0" collapsed="false">
      <c r="A14" s="99"/>
      <c r="C14" s="93"/>
      <c r="D14" s="85" t="s">
        <v>135</v>
      </c>
      <c r="E14" s="86" t="n">
        <f aca="false">SUM(I14:L14)</f>
        <v>0.0158066907791274</v>
      </c>
      <c r="F14" s="87" t="n">
        <f aca="false">SUM(H14:L14,O14)</f>
        <v>0.0161186358135421</v>
      </c>
      <c r="G14" s="88" t="n">
        <f aca="false">SUM(Q14:S14)/(1-'Common input data'!B$126)</f>
        <v>0.0177263951932915</v>
      </c>
      <c r="H14" s="87" t="n">
        <f aca="false">'Input data meat and eggs'!$B$123*('Input data meat and eggs'!B62*'Input data meat and eggs'!C35+'Input data meat and eggs'!B63*'Input data meat and eggs'!C36+'Input data meat and eggs'!B64*SUMPRODUCT('Input data meat and eggs'!C37:C46,'Input data meat and eggs'!B65:B74))*'Input data meat and eggs'!B57</f>
        <v>0.000311945034414686</v>
      </c>
      <c r="I14" s="87" t="n">
        <f aca="false">'Input data meat and eggs'!$B$123*('Input data meat and eggs'!B62*'Input data meat and eggs'!C35+'Input data meat and eggs'!B63*'Input data meat and eggs'!C36+'Input data meat and eggs'!B64*SUMPRODUCT('Input data meat and eggs'!C37:C46,'Input data meat and eggs'!B65:B74))*'Input data meat and eggs'!C57</f>
        <v>0</v>
      </c>
      <c r="J14" s="87" t="n">
        <f aca="false">('Input data meat and eggs'!B191*'Input data meat and eggs'!B192*'Input data meat and eggs'!B193*('Input data meat and eggs'!B132*'Input data meat and eggs'!B182+'Input data meat and eggs'!B133*'Input data meat and eggs'!B183+'Input data meat and eggs'!B134*'Input data meat and eggs'!B184))/'Input data meat and eggs'!B101</f>
        <v>0.0066774907893057</v>
      </c>
      <c r="K14" s="87" t="n">
        <v>0</v>
      </c>
      <c r="L14" s="87" t="n">
        <f aca="false">('Input data meat and eggs'!B114*('Input data meat and eggs'!B107+'Input data meat and eggs'!B108)+'Input data meat and eggs'!B115*'Input data meat and eggs'!B109*'Input data meat and eggs'!B97/365+'Input data meat and eggs'!B116*'Input data meat and eggs'!B110*'Input data meat and eggs'!B96/365)/'Input data meat and eggs'!B101</f>
        <v>0.00912919998982171</v>
      </c>
      <c r="M14" s="87" t="n">
        <v>0</v>
      </c>
      <c r="N14" s="87" t="n">
        <v>0</v>
      </c>
      <c r="O14" s="87" t="n">
        <v>0</v>
      </c>
      <c r="P14" s="87" t="n">
        <f aca="false">'Input data meat and eggs'!C90*3.6*'Common input data'!B50</f>
        <v>4.7836602739726E-005</v>
      </c>
      <c r="Q14" s="87" t="n">
        <f aca="false">F14+P14</f>
        <v>0.0161664724162818</v>
      </c>
      <c r="R14" s="89" t="n">
        <v>0</v>
      </c>
      <c r="S14" s="89" t="n">
        <v>0</v>
      </c>
      <c r="T14" s="90"/>
    </row>
    <row r="15" customFormat="false" ht="14.4" hidden="false" customHeight="false" outlineLevel="0" collapsed="false">
      <c r="A15" s="100"/>
      <c r="B15" s="101"/>
      <c r="C15" s="87"/>
      <c r="D15" s="31" t="s">
        <v>136</v>
      </c>
      <c r="E15" s="86" t="n">
        <f aca="false">SUM(I15:L15)</f>
        <v>0.00350366515069706</v>
      </c>
      <c r="F15" s="87" t="n">
        <f aca="false">SUM(H15:L15,O15)</f>
        <v>0.00467688387162212</v>
      </c>
      <c r="G15" s="88" t="n">
        <f aca="false">SUM(Q15:S15)/(1-'Common input data'!B$126)</f>
        <v>0.0051330518706503</v>
      </c>
      <c r="H15" s="87" t="n">
        <f aca="false">'Input data meat and eggs'!$B$123*('Input data meat and eggs'!B62*'Input data meat and eggs'!D35+'Input data meat and eggs'!B63*'Input data meat and eggs'!D36+'Input data meat and eggs'!B64*SUMPRODUCT('Input data meat and eggs'!D37:D46,'Input data meat and eggs'!B65:B74))*'Input data meat and eggs'!B58</f>
        <v>0.00117321872092505</v>
      </c>
      <c r="I15" s="87" t="n">
        <f aca="false">'Input data meat and eggs'!$B$123*('Input data meat and eggs'!B62*'Input data meat and eggs'!D35+'Input data meat and eggs'!B63*'Input data meat and eggs'!D36+'Input data meat and eggs'!B64*SUMPRODUCT('Input data meat and eggs'!D37:D46,'Input data meat and eggs'!B65:B74))*'Input data meat and eggs'!C58</f>
        <v>0.0029654240431929</v>
      </c>
      <c r="J15" s="87" t="n">
        <f aca="false">((SUM('Input data meat and eggs'!B165:B168)*'Input data meat and eggs'!B187+SUM('Input data meat and eggs'!B170:B173)*'Input data meat and eggs'!B188+SUM('Input data meat and eggs'!B175:B178)*'Input data meat and eggs'!B189)*44/28)/'Input data meat and eggs'!B101</f>
        <v>0.000388243255336023</v>
      </c>
      <c r="K15" s="87" t="n">
        <f aca="false">SUM('Input data meat and eggs'!B216:B229)*'Input data meat and eggs'!B190*44/28/'Input data meat and eggs'!B101</f>
        <v>0.000149997852168138</v>
      </c>
      <c r="L15" s="87" t="n">
        <v>0</v>
      </c>
      <c r="M15" s="87" t="n">
        <v>0</v>
      </c>
      <c r="N15" s="87" t="n">
        <v>0</v>
      </c>
      <c r="O15" s="87" t="n">
        <v>0</v>
      </c>
      <c r="P15" s="87" t="n">
        <f aca="false">'Input data meat and eggs'!C90*3.6*'Common input data'!B51</f>
        <v>4.4594344109589E-006</v>
      </c>
      <c r="Q15" s="87" t="n">
        <f aca="false">F15+P15</f>
        <v>0.00468134330603307</v>
      </c>
      <c r="R15" s="89" t="n">
        <v>0</v>
      </c>
      <c r="S15" s="89" t="n">
        <v>0</v>
      </c>
      <c r="T15" s="90"/>
    </row>
    <row r="16" s="83" customFormat="true" ht="14.4" hidden="false" customHeight="false" outlineLevel="0" collapsed="false">
      <c r="A16" s="75" t="s">
        <v>139</v>
      </c>
      <c r="B16" s="76" t="s">
        <v>138</v>
      </c>
      <c r="C16" s="77" t="n">
        <f aca="false">'Input data meat and eggs'!D16</f>
        <v>0.114575973104458</v>
      </c>
      <c r="D16" s="78" t="s">
        <v>133</v>
      </c>
      <c r="E16" s="94" t="n">
        <f aca="false">IF($F$1="GWP100 without fb",E17+E18*'Common input data'!$C$5+E19*'Common input data'!$D$5,IF($F$1="GWP100 with fb",E17+E18*'Common input data'!$C$6+E19*'Common input data'!$D$6,IF($F$1="GTP100 without fb",E17+E18*'Common input data'!$C$7+E19*'Common input data'!$D$7,IF($F$1="GTP100 with fb",E17+E18*'Common input data'!$C$8+E19*'Common input data'!$D$8,E17+E18*'Common input data'!$C$9+E19*'Common input data'!$D$9))))</f>
        <v>2.77480913740513</v>
      </c>
      <c r="F16" s="95" t="n">
        <f aca="false">IF($F$1="GWP100 without fb",F17+F18*'Common input data'!$C$5+F19*'Common input data'!$D$5,IF($F$1="GWP100 with fb",F17+F18*'Common input data'!$C$6+F19*'Common input data'!$D$6,IF($F$1="GTP100 without fb",F17+F18*'Common input data'!$C$7+F19*'Common input data'!$D$7,IF($F$1="GTP100 with fb",F17+F18*'Common input data'!$C$8+F19*'Common input data'!$D$8,F17+F18*'Common input data'!$C$9+F19*'Common input data'!$D$9))))</f>
        <v>4.29165041180245</v>
      </c>
      <c r="G16" s="96" t="n">
        <f aca="false">IF($F$1="GWP100 without fb",G17+G18*'Common input data'!$C$5+G19*'Common input data'!$D$5,IF($F$1="GWP100 with fb",G17+G18*'Common input data'!$C$6+G19*'Common input data'!$D$6,IF($F$1="GTP100 without fb",G17+G18*'Common input data'!$C$7+G19*'Common input data'!$D$7,IF($F$1="GTP100 with fb",G17+G18*'Common input data'!$C$8+G19*'Common input data'!$D$8,G17+G18*'Common input data'!$C$9+G19*'Common input data'!$D$9))))</f>
        <v>5.16057780950725</v>
      </c>
      <c r="H16" s="97"/>
      <c r="I16" s="97"/>
      <c r="J16" s="97"/>
      <c r="K16" s="98"/>
      <c r="L16" s="98"/>
      <c r="T16" s="74"/>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c r="MO16" s="30"/>
      <c r="MP16" s="30"/>
      <c r="MQ16" s="30"/>
      <c r="MR16" s="30"/>
      <c r="MS16" s="30"/>
      <c r="MT16" s="30"/>
      <c r="MU16" s="30"/>
      <c r="MV16" s="30"/>
      <c r="MW16" s="30"/>
      <c r="MX16" s="30"/>
      <c r="MY16" s="30"/>
      <c r="MZ16" s="30"/>
      <c r="NA16" s="30"/>
      <c r="NB16" s="30"/>
      <c r="NC16" s="30"/>
      <c r="ND16" s="30"/>
      <c r="NE16" s="30"/>
      <c r="NF16" s="30"/>
      <c r="NG16" s="30"/>
      <c r="NH16" s="30"/>
      <c r="NI16" s="30"/>
      <c r="NJ16" s="30"/>
      <c r="NK16" s="30"/>
      <c r="NL16" s="30"/>
      <c r="NM16" s="30"/>
      <c r="NN16" s="30"/>
      <c r="NO16" s="30"/>
      <c r="NP16" s="30"/>
      <c r="NQ16" s="30"/>
      <c r="NR16" s="30"/>
      <c r="NS16" s="30"/>
      <c r="NT16" s="30"/>
      <c r="NU16" s="30"/>
      <c r="NV16" s="30"/>
      <c r="NW16" s="30"/>
      <c r="NX16" s="30"/>
      <c r="NY16" s="30"/>
      <c r="NZ16" s="30"/>
      <c r="OA16" s="30"/>
      <c r="OB16" s="30"/>
      <c r="OC16" s="30"/>
      <c r="OD16" s="30"/>
      <c r="OE16" s="30"/>
      <c r="OF16" s="30"/>
      <c r="OG16" s="30"/>
      <c r="OH16" s="30"/>
      <c r="OI16" s="30"/>
      <c r="OJ16" s="30"/>
      <c r="OK16" s="30"/>
      <c r="OL16" s="30"/>
    </row>
    <row r="17" customFormat="false" ht="14.4" hidden="false" customHeight="false" outlineLevel="0" collapsed="false">
      <c r="A17" s="99"/>
      <c r="D17" s="85" t="s">
        <v>134</v>
      </c>
      <c r="E17" s="86" t="n">
        <f aca="false">IF(AND($F$2="No",$F$3="No"),SUM(I17:L17),IF(AND($F$2="Yes", $F$3="No"), SUM(I17:L17)+N17, IF(AND($F$2="No", $F$3="Yes"),SUM(I17:L17)+M17, SUM(I17:L17)+N17+M17)))</f>
        <v>0.485959645485305</v>
      </c>
      <c r="F17" s="87" t="n">
        <f aca="false">IF(AND($F$2="No",$F$3="No"),SUM(H17:L17,O17),IF(AND($F$2="Yes", $F$3="No"), SUM(H17:L17,O17)+N17, IF(AND($F$2="No", $F$3="Yes"),SUM(H17:L17,O17)+M17, SUM(H17:L17,O17)+N17+M17)))</f>
        <v>1.62542912005999</v>
      </c>
      <c r="G17" s="88" t="n">
        <f aca="false">SUM(Q17:S17)/(1-'Common input data'!B$126)</f>
        <v>2.23384902914532</v>
      </c>
      <c r="H17" s="87" t="n">
        <f aca="false">'Input data meat and eggs'!$C$123*('Input data meat and eggs'!B62*'Input data meat and eggs'!B35+'Input data meat and eggs'!B63*'Input data meat and eggs'!B36+'Input data meat and eggs'!B64*SUMPRODUCT('Input data meat and eggs'!B37:B46,'Input data meat and eggs'!B65:B74))*'Input data meat and eggs'!B56</f>
        <v>1.03929776260033</v>
      </c>
      <c r="I17" s="87" t="n">
        <f aca="false">'Input data meat and eggs'!$C$123*('Input data meat and eggs'!B62*'Input data meat and eggs'!B35+'Input data meat and eggs'!B63*'Input data meat and eggs'!B36+'Input data meat and eggs'!B64*SUMPRODUCT('Input data meat and eggs'!B37:B46,'Input data meat and eggs'!B65:B74))*'Input data meat and eggs'!C56</f>
        <v>0</v>
      </c>
      <c r="J17" s="87" t="n">
        <v>0</v>
      </c>
      <c r="K17" s="87" t="n">
        <v>0</v>
      </c>
      <c r="L17" s="87" t="n">
        <v>0</v>
      </c>
      <c r="M17" s="87" t="n">
        <f aca="false">'Input data meat and eggs'!C123*(('Input data meat and eggs'!B62*'Common input data'!B13)+('Input data meat and eggs'!B64*('Input data meat and eggs'!B65*'Common input data'!B13*'Common input data'!G28/'Common input data'!F28+'Input data meat and eggs'!B69*'Common input data'!D13*'Common input data'!G26/'Common input data'!F26+'Input data meat and eggs'!B71*'Common input data'!C13*'Common input data'!G30/'Common input data'!F30+'Input data meat and eggs'!B72*'Common input data'!C13)))</f>
        <v>0.427811625255459</v>
      </c>
      <c r="N17" s="87" t="n">
        <f aca="false">'Input data meat and eggs'!C123*'Input data meat and eggs'!B64*'Input data meat and eggs'!B71*'Common input data'!B21*'Common input data'!G30/'Common input data'!F30</f>
        <v>0.058148020229846</v>
      </c>
      <c r="O17" s="87" t="n">
        <f aca="false">(('Input data meat and eggs'!B78*'Input data meat and eggs'!C101+'Input data meat and eggs'!B79*'Input data meat and eggs'!C110)*'Common input data'!B63)/'Input data meat and eggs'!C101</f>
        <v>0.100171711974355</v>
      </c>
      <c r="P17" s="87" t="n">
        <f aca="false">'Input data meat and eggs'!B90*'Common input data'!B63+'Input data meat and eggs'!C90*3.6*'Common input data'!B49</f>
        <v>0.231841194520548</v>
      </c>
      <c r="Q17" s="87" t="n">
        <f aca="false">F17+P17</f>
        <v>1.85727031458054</v>
      </c>
      <c r="R17" s="89" t="n">
        <f aca="false">'Common input data'!B92</f>
        <v>0.1</v>
      </c>
      <c r="S17" s="89" t="n">
        <f aca="false">'Common input data'!B98+'Common input data'!C98</f>
        <v>0.08</v>
      </c>
      <c r="T17" s="90"/>
    </row>
    <row r="18" customFormat="false" ht="14.4" hidden="false" customHeight="false" outlineLevel="0" collapsed="false">
      <c r="A18" s="99"/>
      <c r="C18" s="31"/>
      <c r="D18" s="85" t="s">
        <v>135</v>
      </c>
      <c r="E18" s="86" t="n">
        <f aca="false">SUM(I18:L18)</f>
        <v>0.0340210024221918</v>
      </c>
      <c r="F18" s="87" t="n">
        <f aca="false">SUM(H18:L18,O18)</f>
        <v>0.0343477958367937</v>
      </c>
      <c r="G18" s="88" t="n">
        <f aca="false">SUM(Q18:S18)/(1-'Common input data'!B$126)</f>
        <v>0.0377145092538743</v>
      </c>
      <c r="H18" s="87" t="n">
        <f aca="false">'Input data meat and eggs'!$C$123*('Input data meat and eggs'!B62*'Input data meat and eggs'!C35+'Input data meat and eggs'!B63*'Input data meat and eggs'!C36+'Input data meat and eggs'!B64*SUMPRODUCT('Input data meat and eggs'!C37:C46,'Input data meat and eggs'!B65:B74))*'Input data meat and eggs'!B57</f>
        <v>0.000326793414601876</v>
      </c>
      <c r="I18" s="87" t="n">
        <f aca="false">'Input data meat and eggs'!$C$123*('Input data meat and eggs'!B62*'Input data meat and eggs'!C35+'Input data meat and eggs'!B63*'Input data meat and eggs'!C36+'Input data meat and eggs'!B64*SUMPRODUCT('Input data meat and eggs'!C37:C46,'Input data meat and eggs'!B65:B74))*'Input data meat and eggs'!C57</f>
        <v>0</v>
      </c>
      <c r="J18" s="87" t="n">
        <f aca="false">('Input data meat and eggs'!C191*'Input data meat and eggs'!C192*'Input data meat and eggs'!C193*('Input data meat and eggs'!C132*'Input data meat and eggs'!C182+'Input data meat and eggs'!C133*'Input data meat and eggs'!C183+('Input data meat and eggs'!C135*'Input data meat and eggs'!C184+'Input data meat and eggs'!C136*'Input data meat and eggs'!C184+'Input data meat and eggs'!C137*'Input data meat and eggs'!C185+'Input data meat and eggs'!C138*'Input data meat and eggs'!C186)))/'Input data meat and eggs'!C101</f>
        <v>0.0258490995101436</v>
      </c>
      <c r="K18" s="87" t="n">
        <v>0</v>
      </c>
      <c r="L18" s="87" t="n">
        <f aca="false">('Input data meat and eggs'!C114*('Input data meat and eggs'!C107+'Input data meat and eggs'!C108)+'Input data meat and eggs'!C115*'Input data meat and eggs'!C109*'Input data meat and eggs'!B97/365+'Input data meat and eggs'!C116*'Input data meat and eggs'!C110*'Input data meat and eggs'!B96/365)/'Input data meat and eggs'!C101</f>
        <v>0.00817190291204816</v>
      </c>
      <c r="M18" s="87" t="n">
        <v>0</v>
      </c>
      <c r="N18" s="87" t="n">
        <v>0</v>
      </c>
      <c r="O18" s="87" t="n">
        <v>0</v>
      </c>
      <c r="P18" s="87" t="n">
        <f aca="false">'Input data meat and eggs'!C90*3.6*'Common input data'!B50</f>
        <v>4.7836602739726E-005</v>
      </c>
      <c r="Q18" s="87" t="n">
        <f aca="false">F18+P18</f>
        <v>0.0343956324395334</v>
      </c>
      <c r="R18" s="89" t="n">
        <v>0</v>
      </c>
      <c r="S18" s="89" t="n">
        <v>0</v>
      </c>
      <c r="T18" s="90"/>
    </row>
    <row r="19" customFormat="false" ht="14.4" hidden="false" customHeight="false" outlineLevel="0" collapsed="false">
      <c r="A19" s="99"/>
      <c r="C19" s="87"/>
      <c r="D19" s="31" t="s">
        <v>136</v>
      </c>
      <c r="E19" s="86" t="n">
        <f aca="false">SUM(I19:L19)</f>
        <v>0.00379911211263527</v>
      </c>
      <c r="F19" s="87" t="n">
        <f aca="false">SUM(H19:L19,O19)</f>
        <v>0.0050281752795016</v>
      </c>
      <c r="G19" s="88" t="n">
        <f aca="false">SUM(Q19:S19)/(1-'Common input data'!B$126)</f>
        <v>0.00551823981788658</v>
      </c>
      <c r="H19" s="87" t="n">
        <f aca="false">'Input data meat and eggs'!$C$123*('Input data meat and eggs'!B62*'Input data meat and eggs'!D35+'Input data meat and eggs'!B63*'Input data meat and eggs'!D36+'Input data meat and eggs'!B64*SUMPRODUCT('Input data meat and eggs'!D37:D46,'Input data meat and eggs'!B65:B74))*'Input data meat and eggs'!B58</f>
        <v>0.00122906316686634</v>
      </c>
      <c r="I19" s="87" t="n">
        <f aca="false">'Input data meat and eggs'!$C$123*('Input data meat and eggs'!B62*'Input data meat and eggs'!D35+'Input data meat and eggs'!B63*'Input data meat and eggs'!D36+'Input data meat and eggs'!B64*SUMPRODUCT('Input data meat and eggs'!D37:D46,'Input data meat and eggs'!B65:B74))*'Input data meat and eggs'!C58</f>
        <v>0.00310657629359554</v>
      </c>
      <c r="J19" s="87" t="n">
        <f aca="false">((SUM('Input data meat and eggs'!C165:C168)*'Input data meat and eggs'!C187+SUM('Input data meat and eggs'!C170:C173)*'Input data meat and eggs'!C188+SUM('Input data meat and eggs'!C175:C178)*'Input data meat and eggs'!C189)*44/28)/'Input data meat and eggs'!C101</f>
        <v>0.000522574644480502</v>
      </c>
      <c r="K19" s="87" t="n">
        <f aca="false">SUM('Input data meat and eggs'!C216:C229)*'Input data meat and eggs'!C190*44/28/'Input data meat and eggs'!C101</f>
        <v>0.000169961174559224</v>
      </c>
      <c r="L19" s="87" t="n">
        <v>0</v>
      </c>
      <c r="M19" s="87" t="n">
        <v>0</v>
      </c>
      <c r="N19" s="87" t="n">
        <v>0</v>
      </c>
      <c r="O19" s="87" t="n">
        <v>0</v>
      </c>
      <c r="P19" s="87" t="n">
        <f aca="false">'Input data meat and eggs'!C90*3.6*'Common input data'!B51</f>
        <v>4.4594344109589E-006</v>
      </c>
      <c r="Q19" s="87" t="n">
        <f aca="false">F19+P19</f>
        <v>0.00503263471391256</v>
      </c>
      <c r="R19" s="102" t="n">
        <v>0</v>
      </c>
      <c r="S19" s="89" t="n">
        <v>0</v>
      </c>
      <c r="T19" s="90"/>
    </row>
    <row r="20" s="83" customFormat="true" ht="14.4" hidden="false" customHeight="false" outlineLevel="0" collapsed="false">
      <c r="A20" s="75" t="s">
        <v>140</v>
      </c>
      <c r="B20" s="76" t="s">
        <v>138</v>
      </c>
      <c r="C20" s="77" t="n">
        <f aca="false">'Input data meat and eggs'!D17</f>
        <v>0.118922056429857</v>
      </c>
      <c r="D20" s="78" t="s">
        <v>133</v>
      </c>
      <c r="E20" s="94" t="n">
        <f aca="false">IF($F$1="GWP100 without fb",E21+E22*'Common input data'!$C$5+E23*'Common input data'!$D$5,IF($F$1="GWP100 with fb",E21+E22*'Common input data'!$C$6+E23*'Common input data'!$D$6,IF($F$1="GTP100 without fb",E21+E22*'Common input data'!$C$7+E23*'Common input data'!$D$7,IF($F$1="GTP100 with fb",E21+E22*'Common input data'!$C$8+E23*'Common input data'!$D$8,E21+E22*'Common input data'!$C$9+E23*'Common input data'!$D$9))))</f>
        <v>2.91252436006815</v>
      </c>
      <c r="F20" s="95" t="n">
        <f aca="false">IF($F$1="GWP100 without fb",F21+F22*'Common input data'!$C$5+F23*'Common input data'!$D$5,IF($F$1="GWP100 with fb",F21+F22*'Common input data'!$C$6+F23*'Common input data'!$D$6,IF($F$1="GTP100 without fb",F21+F22*'Common input data'!$C$7+F23*'Common input data'!$D$7,IF($F$1="GTP100 with fb",F21+F22*'Common input data'!$C$8+F23*'Common input data'!$D$8,F21+F22*'Common input data'!$C$9+F23*'Common input data'!$D$9))))</f>
        <v>4.63950255382066</v>
      </c>
      <c r="G20" s="96" t="n">
        <f aca="false">IF($F$1="GWP100 without fb",G21+G22*'Common input data'!$C$5+G23*'Common input data'!$D$5,IF($F$1="GWP100 with fb",G21+G22*'Common input data'!$C$6+G23*'Common input data'!$D$6,IF($F$1="GTP100 without fb",G21+G22*'Common input data'!$C$7+G23*'Common input data'!$D$7,IF($F$1="GTP100 with fb",G21+G22*'Common input data'!$C$8+G23*'Common input data'!$D$8,G21+G22*'Common input data'!$C$9+G23*'Common input data'!$D$9))))</f>
        <v>5.83385055595236</v>
      </c>
      <c r="H20" s="97"/>
      <c r="I20" s="97"/>
      <c r="J20" s="97"/>
      <c r="K20" s="98"/>
      <c r="L20" s="98"/>
      <c r="T20" s="74"/>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c r="MU20" s="30"/>
      <c r="MV20" s="30"/>
      <c r="MW20" s="30"/>
      <c r="MX20" s="30"/>
      <c r="MY20" s="30"/>
      <c r="MZ20" s="30"/>
      <c r="NA20" s="30"/>
      <c r="NB20" s="30"/>
      <c r="NC20" s="30"/>
      <c r="ND20" s="30"/>
      <c r="NE20" s="30"/>
      <c r="NF20" s="30"/>
      <c r="NG20" s="30"/>
      <c r="NH20" s="30"/>
      <c r="NI20" s="30"/>
      <c r="NJ20" s="30"/>
      <c r="NK20" s="30"/>
      <c r="NL20" s="30"/>
      <c r="NM20" s="30"/>
      <c r="NN20" s="30"/>
      <c r="NO20" s="30"/>
      <c r="NP20" s="30"/>
      <c r="NQ20" s="30"/>
      <c r="NR20" s="30"/>
      <c r="NS20" s="30"/>
      <c r="NT20" s="30"/>
      <c r="NU20" s="30"/>
      <c r="NV20" s="30"/>
      <c r="NW20" s="30"/>
      <c r="NX20" s="30"/>
      <c r="NY20" s="30"/>
      <c r="NZ20" s="30"/>
      <c r="OA20" s="30"/>
      <c r="OB20" s="30"/>
      <c r="OC20" s="30"/>
      <c r="OD20" s="30"/>
      <c r="OE20" s="30"/>
      <c r="OF20" s="30"/>
      <c r="OG20" s="30"/>
      <c r="OH20" s="30"/>
      <c r="OI20" s="30"/>
      <c r="OJ20" s="30"/>
      <c r="OK20" s="30"/>
      <c r="OL20" s="30"/>
    </row>
    <row r="21" customFormat="false" ht="14.4" hidden="false" customHeight="false" outlineLevel="0" collapsed="false">
      <c r="A21" s="99"/>
      <c r="D21" s="85" t="s">
        <v>134</v>
      </c>
      <c r="E21" s="86" t="n">
        <f aca="false">IF(AND($F$2="No",$F$3="No"),SUM(I21:L21),IF(AND($F$2="Yes", $F$3="No"), SUM(I21:L21)+N21, IF(AND($F$2="No", $F$3="Yes"),SUM(I21:L21)+M21, SUM(I21:L21)+N21+M21)))</f>
        <v>0.49506004556041</v>
      </c>
      <c r="F21" s="87" t="n">
        <f aca="false">IF(AND($F$2="No",$F$3="No"),SUM(H21:L21,O21),IF(AND($F$2="Yes", $F$3="No"), SUM(H21:L21,O21)+N21, IF(AND($F$2="No", $F$3="Yes"),SUM(H21:L21,O21)+M21, SUM(H21:L21,O21)+N21+M21)))</f>
        <v>1.83759952686214</v>
      </c>
      <c r="G21" s="88" t="n">
        <f aca="false">SUM(Q21:S21)/(1-'Common input data'!B$126)</f>
        <v>2.75834794311669</v>
      </c>
      <c r="H21" s="87" t="n">
        <f aca="false">'Input data meat and eggs'!$D$123*('Input data meat and eggs'!B62*'Input data meat and eggs'!B35+'Input data meat and eggs'!B63*'Input data meat and eggs'!B36+'Input data meat and eggs'!B64*SUMPRODUCT('Input data meat and eggs'!B37:B46,'Input data meat and eggs'!B65:B74))*'Input data meat and eggs'!B56</f>
        <v>1.05876033634424</v>
      </c>
      <c r="I21" s="87" t="n">
        <f aca="false">'Input data meat and eggs'!$D$123*('Input data meat and eggs'!B62*'Input data meat and eggs'!B35+'Input data meat and eggs'!B63*'Input data meat and eggs'!B36+'Input data meat and eggs'!B64*SUMPRODUCT('Input data meat and eggs'!B37:B46,'Input data meat and eggs'!B65:B74))*'Input data meat and eggs'!C56</f>
        <v>0</v>
      </c>
      <c r="J21" s="87" t="n">
        <v>0</v>
      </c>
      <c r="K21" s="103" t="n">
        <v>0</v>
      </c>
      <c r="L21" s="87" t="n">
        <v>0</v>
      </c>
      <c r="M21" s="87" t="n">
        <f aca="false">'Input data meat and eggs'!D123*(('Input data meat and eggs'!B62*'Common input data'!B13)+('Input data meat and eggs'!B64*('Input data meat and eggs'!B65*'Common input data'!B13*'Common input data'!G28/'Common input data'!F28+'Input data meat and eggs'!B69*'Common input data'!D13*'Common input data'!G26/'Common input data'!F26+'Input data meat and eggs'!B71*'Common input data'!C13*'Common input data'!G30/'Common input data'!F30+'Input data meat and eggs'!B72*'Common input data'!C13)))</f>
        <v>0.435823107243264</v>
      </c>
      <c r="N21" s="87" t="n">
        <f aca="false">'Input data meat and eggs'!D123*'Input data meat and eggs'!B64*'Input data meat and eggs'!B71*'Common input data'!B21*'Common input data'!G30/'Common input data'!F30</f>
        <v>0.0592369383171462</v>
      </c>
      <c r="O21" s="87" t="n">
        <f aca="false">(('Input data meat and eggs'!B78*'Input data meat and eggs'!D101+'Input data meat and eggs'!B79*'Input data meat and eggs'!D110)*'Common input data'!C63)/'Input data meat and eggs'!D101</f>
        <v>0.283779144957489</v>
      </c>
      <c r="P21" s="87" t="n">
        <f aca="false">'Input data meat and eggs'!B90*'Common input data'!C63+'Input data meat and eggs'!C90*3.6*'Common input data'!B49</f>
        <v>0.448013797260274</v>
      </c>
      <c r="Q21" s="87" t="n">
        <f aca="false">F21+P21</f>
        <v>2.28561332412242</v>
      </c>
      <c r="R21" s="89" t="n">
        <f aca="false">'Common input data'!B92</f>
        <v>0.1</v>
      </c>
      <c r="S21" s="89" t="n">
        <f aca="false">'Common input data'!B99+'Common input data'!C99</f>
        <v>0.13</v>
      </c>
      <c r="T21" s="90"/>
    </row>
    <row r="22" customFormat="false" ht="14.4" hidden="false" customHeight="false" outlineLevel="0" collapsed="false">
      <c r="A22" s="99"/>
      <c r="C22" s="31"/>
      <c r="D22" s="85" t="s">
        <v>135</v>
      </c>
      <c r="E22" s="86" t="n">
        <f aca="false">SUM(I22:L22)</f>
        <v>0.0331210530157707</v>
      </c>
      <c r="F22" s="87" t="n">
        <f aca="false">SUM(H22:L22,O22)</f>
        <v>0.0334539661788793</v>
      </c>
      <c r="G22" s="88" t="n">
        <f aca="false">SUM(Q22:S22)/(1-'Common input data'!B$126)</f>
        <v>0.0367344328745823</v>
      </c>
      <c r="H22" s="87" t="n">
        <f aca="false">'Input data meat and eggs'!$D$123*('Input data meat and eggs'!B62*'Input data meat and eggs'!C35+'Input data meat and eggs'!B63*'Input data meat and eggs'!C36+'Input data meat and eggs'!B64*SUMPRODUCT('Input data meat and eggs'!C37:C46,'Input data meat and eggs'!B65:B74))*'Input data meat and eggs'!B57</f>
        <v>0.0003329131631086</v>
      </c>
      <c r="I22" s="87" t="n">
        <f aca="false">'Input data meat and eggs'!$D$123*('Input data meat and eggs'!B62*'Input data meat and eggs'!C35+'Input data meat and eggs'!B63*'Input data meat and eggs'!C36+'Input data meat and eggs'!B64*SUMPRODUCT('Input data meat and eggs'!C37:C46,'Input data meat and eggs'!B65:B74))*'Input data meat and eggs'!C57</f>
        <v>0</v>
      </c>
      <c r="J22" s="87" t="n">
        <f aca="false">('Input data meat and eggs'!D191*'Input data meat and eggs'!D192*'Input data meat and eggs'!D193*('Input data meat and eggs'!D132*'Input data meat and eggs'!D182+'Input data meat and eggs'!D133*'Input data meat and eggs'!D183+('Input data meat and eggs'!D135*'Input data meat and eggs'!D184+'Input data meat and eggs'!D136*'Input data meat and eggs'!D184+'Input data meat and eggs'!D137*'Input data meat and eggs'!D185+'Input data meat and eggs'!D138*'Input data meat and eggs'!D186)))/'Input data meat and eggs'!D101</f>
        <v>0.0265619634474869</v>
      </c>
      <c r="K22" s="103" t="n">
        <v>0</v>
      </c>
      <c r="L22" s="87" t="n">
        <f aca="false">('Input data meat and eggs'!D114*('Input data meat and eggs'!D107+'Input data meat and eggs'!D108)+'Input data meat and eggs'!D115*'Input data meat and eggs'!D109*'Input data meat and eggs'!B97/365+'Input data meat and eggs'!D116*'Input data meat and eggs'!D110*'Input data meat and eggs'!B96/365)/'Input data meat and eggs'!D101</f>
        <v>0.00655908956828386</v>
      </c>
      <c r="M22" s="87" t="n">
        <v>0</v>
      </c>
      <c r="N22" s="87" t="n">
        <v>0</v>
      </c>
      <c r="O22" s="87" t="n">
        <v>0</v>
      </c>
      <c r="P22" s="87" t="n">
        <f aca="false">'Input data meat and eggs'!C90*3.6*'Common input data'!B50</f>
        <v>4.7836602739726E-005</v>
      </c>
      <c r="Q22" s="87" t="n">
        <f aca="false">F22+P22</f>
        <v>0.033501802781619</v>
      </c>
      <c r="R22" s="89" t="n">
        <v>0</v>
      </c>
      <c r="S22" s="89" t="n">
        <v>0</v>
      </c>
      <c r="T22" s="90"/>
    </row>
    <row r="23" customFormat="false" ht="14.4" hidden="false" customHeight="false" outlineLevel="0" collapsed="false">
      <c r="A23" s="99"/>
      <c r="C23" s="87"/>
      <c r="D23" s="31" t="s">
        <v>136</v>
      </c>
      <c r="E23" s="86" t="n">
        <f aca="false">SUM(I23:L23)</f>
        <v>0.00433338426836087</v>
      </c>
      <c r="F23" s="87" t="n">
        <f aca="false">SUM(H23:L23,O23)</f>
        <v>0.00558546368079404</v>
      </c>
      <c r="G23" s="88" t="n">
        <f aca="false">SUM(Q23:S23)/(1-'Common input data'!B$126)</f>
        <v>0.00612930166140899</v>
      </c>
      <c r="H23" s="87" t="n">
        <f aca="false">'Input data meat and eggs'!$D$123*('Input data meat and eggs'!B62*'Input data meat and eggs'!D35+'Input data meat and eggs'!B63*'Input data meat and eggs'!D36+'Input data meat and eggs'!B64*SUMPRODUCT('Input data meat and eggs'!D37:D46,'Input data meat and eggs'!B65:B74))*'Input data meat and eggs'!B58</f>
        <v>0.00125207941243317</v>
      </c>
      <c r="I23" s="87" t="n">
        <f aca="false">'Input data meat and eggs'!$D$123*('Input data meat and eggs'!B62*'Input data meat and eggs'!D35+'Input data meat and eggs'!B63*'Input data meat and eggs'!D36+'Input data meat and eggs'!B64*SUMPRODUCT('Input data meat and eggs'!D37:D46,'Input data meat and eggs'!B65:B74))*'Input data meat and eggs'!C58</f>
        <v>0.00316475208534739</v>
      </c>
      <c r="J23" s="87" t="n">
        <f aca="false">((SUM('Input data meat and eggs'!D165:D168)*'Input data meat and eggs'!D187+SUM('Input data meat and eggs'!D170:D173)*'Input data meat and eggs'!D188+SUM('Input data meat and eggs'!D175:D178)*'Input data meat and eggs'!D189)*44/28)/'Input data meat and eggs'!D101</f>
        <v>0.000599772484975839</v>
      </c>
      <c r="K23" s="103" t="n">
        <f aca="false">SUM('Input data meat and eggs'!D216:D229)*'Input data meat and eggs'!D190*44/28/'Input data meat and eggs'!D101</f>
        <v>0.000568859698037635</v>
      </c>
      <c r="L23" s="87" t="n">
        <v>0</v>
      </c>
      <c r="M23" s="87" t="n">
        <v>0</v>
      </c>
      <c r="N23" s="87" t="n">
        <v>0</v>
      </c>
      <c r="O23" s="87" t="n">
        <v>0</v>
      </c>
      <c r="P23" s="87" t="n">
        <f aca="false">'Input data meat and eggs'!C90*3.6*'Common input data'!B51</f>
        <v>4.4594344109589E-006</v>
      </c>
      <c r="Q23" s="87" t="n">
        <f aca="false">F23+P23</f>
        <v>0.00558992311520499</v>
      </c>
      <c r="R23" s="89" t="n">
        <v>0</v>
      </c>
      <c r="S23" s="89" t="n">
        <v>0</v>
      </c>
      <c r="T23" s="90"/>
    </row>
    <row r="24" s="83" customFormat="true" ht="14.4" hidden="false" customHeight="false" outlineLevel="0" collapsed="false">
      <c r="A24" s="75" t="s">
        <v>141</v>
      </c>
      <c r="B24" s="76" t="s">
        <v>138</v>
      </c>
      <c r="C24" s="77" t="n">
        <f aca="false">'Input data meat and eggs'!D18</f>
        <v>0.0727019704656846</v>
      </c>
      <c r="D24" s="78" t="s">
        <v>133</v>
      </c>
      <c r="E24" s="94" t="n">
        <f aca="false">IF($F$1="GWP100 without fb",E25+E26*'Common input data'!$C$5+E27*'Common input data'!$D$5,IF($F$1="GWP100 with fb",E25+E26*'Common input data'!$C$6+E27*'Common input data'!$D$6,IF($F$1="GTP100 without fb",E25+E26*'Common input data'!$C$7+E27*'Common input data'!$D$7,IF($F$1="GTP100 with fb",E25+E26*'Common input data'!$C$8+E27*'Common input data'!$D$8,E25+E26*'Common input data'!$C$9+E27*'Common input data'!$D$9))))</f>
        <v>2.57757749750719</v>
      </c>
      <c r="F24" s="95" t="n">
        <f aca="false">IF($F$1="GWP100 without fb",F25+F26*'Common input data'!$C$5+F27*'Common input data'!$D$5,IF($F$1="GWP100 with fb",F25+F26*'Common input data'!$C$6+F27*'Common input data'!$D$6,IF($F$1="GTP100 without fb",F25+F26*'Common input data'!$C$7+F27*'Common input data'!$D$7,IF($F$1="GTP100 with fb",F25+F26*'Common input data'!$C$8+F27*'Common input data'!$D$8,F25+F26*'Common input data'!$C$9+F27*'Common input data'!$D$9))))</f>
        <v>4.26541315306265</v>
      </c>
      <c r="G24" s="96" t="n">
        <f aca="false">IF($F$1="GWP100 without fb",G25+G26*'Common input data'!$C$5+G27*'Common input data'!$D$5,IF($F$1="GWP100 with fb",G25+G26*'Common input data'!$C$6+G27*'Common input data'!$D$6,IF($F$1="GTP100 without fb",G25+G26*'Common input data'!$C$7+G27*'Common input data'!$D$7,IF($F$1="GTP100 with fb",G25+G26*'Common input data'!$C$8+G27*'Common input data'!$D$8,G25+G26*'Common input data'!$C$9+G27*'Common input data'!$D$9))))</f>
        <v>5.53331393231419</v>
      </c>
      <c r="H24" s="97"/>
      <c r="I24" s="97"/>
      <c r="J24" s="97"/>
      <c r="K24" s="98"/>
      <c r="L24" s="98"/>
      <c r="T24" s="74"/>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row>
    <row r="25" customFormat="false" ht="14.4" hidden="false" customHeight="false" outlineLevel="0" collapsed="false">
      <c r="A25" s="99"/>
      <c r="D25" s="85" t="s">
        <v>134</v>
      </c>
      <c r="E25" s="86" t="n">
        <f aca="false">IF(AND($F$2="No",$F$3="No"),SUM(I25:L25),IF(AND($F$2="Yes", $F$3="No"), SUM(I25:L25)+N25, IF(AND($F$2="No", $F$3="Yes"),SUM(I25:L25)+M25, SUM(I25:L25)+N25+M25)))</f>
        <v>0.481632994898645</v>
      </c>
      <c r="F25" s="87" t="n">
        <f aca="false">IF(AND($F$2="No",$F$3="No"),SUM(H25:L25,O25),IF(AND($F$2="Yes", $F$3="No"), SUM(H25:L25,O25)+N25, IF(AND($F$2="No", $F$3="Yes"),SUM(H25:L25,O25)+M25, SUM(H25:L25,O25)+N25+M25)))</f>
        <v>1.79545670969438</v>
      </c>
      <c r="G25" s="88" t="n">
        <f aca="false">SUM(Q25:S25)/(1-'Common input data'!B$126)</f>
        <v>2.82178783657309</v>
      </c>
      <c r="H25" s="87" t="n">
        <f aca="false">AVERAGE(H13,H17,H21)</f>
        <v>1.03004456983825</v>
      </c>
      <c r="I25" s="87" t="n">
        <f aca="false">AVERAGE(I13,I17,I21)</f>
        <v>0</v>
      </c>
      <c r="J25" s="87" t="n">
        <f aca="false">AVERAGE(J13,J17,J21)</f>
        <v>0</v>
      </c>
      <c r="K25" s="87" t="n">
        <f aca="false">AVERAGE(K13,K17,K21)</f>
        <v>0</v>
      </c>
      <c r="L25" s="87" t="n">
        <f aca="false">AVERAGE(L13,L17,L21)</f>
        <v>0</v>
      </c>
      <c r="M25" s="87" t="n">
        <f aca="false">AVERAGE(M13,M17,M21)</f>
        <v>0.424002684664224</v>
      </c>
      <c r="N25" s="87" t="n">
        <f aca="false">AVERAGE(N13,N17,N21)</f>
        <v>0.0576303102344218</v>
      </c>
      <c r="O25" s="87" t="n">
        <f aca="false">O21</f>
        <v>0.283779144957489</v>
      </c>
      <c r="P25" s="87" t="n">
        <f aca="false">'Input data meat and eggs'!B90*'Common input data'!C63+'Input data meat and eggs'!C90*3.6*'Common input data'!B49</f>
        <v>0.448013797260274</v>
      </c>
      <c r="Q25" s="87" t="n">
        <f aca="false">F25+P25</f>
        <v>2.24347050695465</v>
      </c>
      <c r="R25" s="89" t="n">
        <f aca="false">'Common input data'!B92</f>
        <v>0.1</v>
      </c>
      <c r="S25" s="89" t="n">
        <f aca="false">'Common input data'!B102+'Common input data'!C102</f>
        <v>0.23</v>
      </c>
      <c r="T25" s="90"/>
    </row>
    <row r="26" customFormat="false" ht="14.4" hidden="false" customHeight="false" outlineLevel="0" collapsed="false">
      <c r="A26" s="99"/>
      <c r="C26" s="87"/>
      <c r="D26" s="85" t="s">
        <v>135</v>
      </c>
      <c r="E26" s="86" t="n">
        <f aca="false">SUM(I26:L26)</f>
        <v>0.0276495820723633</v>
      </c>
      <c r="F26" s="87" t="n">
        <f aca="false">SUM(H26:L26,O26)</f>
        <v>0.0279734659430717</v>
      </c>
      <c r="G26" s="88" t="n">
        <f aca="false">SUM(Q26:S26)/(1-'Common input data'!B$126)</f>
        <v>0.0307251124405827</v>
      </c>
      <c r="H26" s="87" t="n">
        <f aca="false">AVERAGE(H14,H18,H22)</f>
        <v>0.000323883870708388</v>
      </c>
      <c r="I26" s="87" t="n">
        <f aca="false">AVERAGE(I14,I18,I22)</f>
        <v>0</v>
      </c>
      <c r="J26" s="87" t="n">
        <f aca="false">AVERAGE(J14,J18,J22)</f>
        <v>0.0196961845823121</v>
      </c>
      <c r="K26" s="87" t="n">
        <f aca="false">AVERAGE(K14,K18,K22)</f>
        <v>0</v>
      </c>
      <c r="L26" s="87" t="n">
        <f aca="false">AVERAGE(L14,L18,L22)</f>
        <v>0.00795339749005124</v>
      </c>
      <c r="M26" s="87" t="n">
        <f aca="false">AVERAGE(M14,M18,M22)</f>
        <v>0</v>
      </c>
      <c r="N26" s="87" t="n">
        <f aca="false">AVERAGE(N14,N18,N22)</f>
        <v>0</v>
      </c>
      <c r="O26" s="87" t="n">
        <f aca="false">O22</f>
        <v>0</v>
      </c>
      <c r="P26" s="87" t="n">
        <f aca="false">'Input data meat and eggs'!C90*3.6*'Common input data'!B50</f>
        <v>4.7836602739726E-005</v>
      </c>
      <c r="Q26" s="87" t="n">
        <f aca="false">F26+P26</f>
        <v>0.0280213025458114</v>
      </c>
      <c r="R26" s="89" t="n">
        <v>0</v>
      </c>
      <c r="S26" s="89" t="n">
        <v>0</v>
      </c>
      <c r="T26" s="90"/>
    </row>
    <row r="27" customFormat="false" ht="14.4" hidden="false" customHeight="false" outlineLevel="0" collapsed="false">
      <c r="A27" s="99"/>
      <c r="C27" s="31"/>
      <c r="D27" s="31" t="s">
        <v>136</v>
      </c>
      <c r="E27" s="104" t="n">
        <f aca="false">SUM(I27:L27)</f>
        <v>0.0038787205105644</v>
      </c>
      <c r="F27" s="105" t="n">
        <f aca="false">SUM(H27:L27,O27)</f>
        <v>0.00509684094397259</v>
      </c>
      <c r="G27" s="106" t="n">
        <f aca="false">SUM(Q27:S27)/(1-'Common input data'!B$126)</f>
        <v>0.00559353111664862</v>
      </c>
      <c r="H27" s="87" t="n">
        <f aca="false">AVERAGE(H15,H19,H23)</f>
        <v>0.00121812043340819</v>
      </c>
      <c r="I27" s="87" t="n">
        <f aca="false">AVERAGE(I15,I19,I23)</f>
        <v>0.00307891747404528</v>
      </c>
      <c r="J27" s="87" t="n">
        <f aca="false">AVERAGE(J15,J19,J23)</f>
        <v>0.000503530128264122</v>
      </c>
      <c r="K27" s="87" t="n">
        <f aca="false">AVERAGE(K15,K19,K23)</f>
        <v>0.000296272908254999</v>
      </c>
      <c r="L27" s="87" t="n">
        <f aca="false">AVERAGE(L15,L19,L23)</f>
        <v>0</v>
      </c>
      <c r="M27" s="87" t="n">
        <f aca="false">AVERAGE(M15,M19,M23)</f>
        <v>0</v>
      </c>
      <c r="N27" s="87" t="n">
        <f aca="false">AVERAGE(N15,N19,N23)</f>
        <v>0</v>
      </c>
      <c r="O27" s="87" t="n">
        <f aca="false">O23</f>
        <v>0</v>
      </c>
      <c r="P27" s="87" t="n">
        <f aca="false">'Input data meat and eggs'!C90*3.6*'Common input data'!B51</f>
        <v>4.4594344109589E-006</v>
      </c>
      <c r="Q27" s="87" t="n">
        <f aca="false">F27+P27</f>
        <v>0.00510130037838354</v>
      </c>
      <c r="R27" s="89" t="n">
        <v>0</v>
      </c>
      <c r="S27" s="89" t="n">
        <v>0</v>
      </c>
      <c r="T27" s="90"/>
    </row>
    <row r="28" s="113" customFormat="true" ht="14.4" hidden="false" customHeight="false" outlineLevel="0" collapsed="false">
      <c r="A28" s="107" t="s">
        <v>142</v>
      </c>
      <c r="B28" s="108"/>
      <c r="C28" s="69"/>
      <c r="D28" s="109"/>
      <c r="E28" s="110" t="s">
        <v>131</v>
      </c>
      <c r="F28" s="111" t="s">
        <v>131</v>
      </c>
      <c r="G28" s="112" t="s">
        <v>131</v>
      </c>
      <c r="H28" s="69"/>
      <c r="I28" s="69"/>
      <c r="J28" s="69"/>
      <c r="K28" s="70"/>
      <c r="L28" s="70"/>
      <c r="O28" s="114"/>
      <c r="T28" s="74"/>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c r="MO28" s="30"/>
      <c r="MP28" s="30"/>
      <c r="MQ28" s="30"/>
      <c r="MR28" s="30"/>
      <c r="MS28" s="30"/>
      <c r="MT28" s="30"/>
      <c r="MU28" s="30"/>
      <c r="MV28" s="30"/>
      <c r="MW28" s="30"/>
      <c r="MX28" s="30"/>
      <c r="MY28" s="30"/>
      <c r="MZ28" s="30"/>
      <c r="NA28" s="30"/>
      <c r="NB28" s="30"/>
      <c r="NC28" s="30"/>
      <c r="ND28" s="30"/>
      <c r="NE28" s="30"/>
      <c r="NF28" s="30"/>
      <c r="NG28" s="30"/>
      <c r="NH28" s="30"/>
      <c r="NI28" s="30"/>
      <c r="NJ28" s="115"/>
      <c r="NK28" s="115"/>
      <c r="NL28" s="115"/>
      <c r="NM28" s="115"/>
      <c r="NN28" s="115"/>
      <c r="NO28" s="115"/>
      <c r="NP28" s="115"/>
      <c r="NQ28" s="115"/>
      <c r="NR28" s="115"/>
      <c r="NS28" s="115"/>
      <c r="NT28" s="115"/>
      <c r="NU28" s="115"/>
      <c r="NV28" s="115"/>
      <c r="NW28" s="115"/>
      <c r="NX28" s="115"/>
      <c r="NY28" s="115"/>
      <c r="NZ28" s="115"/>
      <c r="OA28" s="115"/>
      <c r="OB28" s="115"/>
      <c r="OC28" s="115"/>
      <c r="OD28" s="115"/>
      <c r="OE28" s="115"/>
      <c r="OF28" s="115"/>
      <c r="OG28" s="115"/>
      <c r="OH28" s="115"/>
      <c r="OI28" s="115"/>
      <c r="OJ28" s="115"/>
      <c r="OK28" s="115"/>
      <c r="OL28" s="115"/>
    </row>
    <row r="29" s="83" customFormat="true" ht="13.2" hidden="false" customHeight="true" outlineLevel="0" collapsed="false">
      <c r="A29" s="75" t="s">
        <v>132</v>
      </c>
      <c r="B29" s="76"/>
      <c r="C29" s="77" t="n">
        <f aca="false">SUM(C33:C44)</f>
        <v>1</v>
      </c>
      <c r="D29" s="78" t="s">
        <v>133</v>
      </c>
      <c r="E29" s="79" t="n">
        <f aca="false">IF($F$1="GWP100 without fb",E30+E31*'Common input data'!$C$5+E32*'Common input data'!$D$5,IF($F$1="GWP100 with fb",E30+E31*'Common input data'!$C$6+E32*'Common input data'!$D$6,IF($F$1="GTP100 without fb",E30+E31*'Common input data'!$C$7+E32*'Common input data'!$D$7,IF($F$1="GTP100 with fb",E30+E31*'Common input data'!$C$8+E32*'Common input data'!$D$8,E30+E31*'Common input data'!$C$9+E32*'Common input data'!$D$9))))</f>
        <v>1.47999012811916</v>
      </c>
      <c r="F29" s="80" t="n">
        <f aca="false">IF($F$1="GWP100 without fb",F30+F31*'Common input data'!$C$5+F32*'Common input data'!$D$5,IF($F$1="GWP100 with fb",F30+F31*'Common input data'!$C$6+F32*'Common input data'!$D$6,IF($F$1="GTP100 without fb",F30+F31*'Common input data'!$C$7+F32*'Common input data'!$D$7,IF($F$1="GTP100 with fb",F30+F31*'Common input data'!$C$8+F32*'Common input data'!$D$8,F30+F31*'Common input data'!$C$9+F32*'Common input data'!$D$9))))</f>
        <v>2.70468634432925</v>
      </c>
      <c r="G29" s="81" t="n">
        <f aca="false">IF($F$1="GWP100 without fb",G30+G31*'Common input data'!$C$5+G32*'Common input data'!$D$5,IF($F$1="GWP100 with fb",G30+G31*'Common input data'!$C$6+G32*'Common input data'!$D$6,IF($F$1="GTP100 without fb",G30+G31*'Common input data'!$C$7+G32*'Common input data'!$D$7,IF($F$1="GTP100 with fb",G30+G31*'Common input data'!$C$8+G32*'Common input data'!$D$8,G30+G31*'Common input data'!$C$9+G32*'Common input data'!$D$9))))</f>
        <v>3.26229803122561</v>
      </c>
      <c r="H29" s="82"/>
      <c r="I29" s="82"/>
      <c r="J29" s="82"/>
      <c r="K29" s="78"/>
      <c r="L29" s="78"/>
      <c r="O29" s="84"/>
      <c r="T29" s="116"/>
      <c r="U29" s="92"/>
      <c r="V29" s="92"/>
      <c r="W29" s="92"/>
      <c r="X29" s="117"/>
      <c r="Y29" s="92"/>
      <c r="Z29" s="92"/>
      <c r="AA29" s="92"/>
      <c r="AB29" s="92"/>
      <c r="AC29" s="92"/>
      <c r="AD29" s="92"/>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c r="MU29" s="30"/>
      <c r="MV29" s="30"/>
      <c r="MW29" s="30"/>
      <c r="MX29" s="30"/>
      <c r="MY29" s="30"/>
      <c r="MZ29" s="30"/>
      <c r="NA29" s="30"/>
      <c r="NB29" s="30"/>
      <c r="NC29" s="30"/>
      <c r="ND29" s="30"/>
      <c r="NE29" s="30"/>
      <c r="NF29" s="30"/>
      <c r="NG29" s="30"/>
      <c r="NH29" s="30"/>
      <c r="NI29" s="30"/>
      <c r="NJ29" s="30"/>
      <c r="NK29" s="30"/>
      <c r="NL29" s="30"/>
      <c r="NM29" s="30"/>
      <c r="NN29" s="30"/>
      <c r="NO29" s="30"/>
      <c r="NP29" s="30"/>
      <c r="NQ29" s="30"/>
      <c r="NR29" s="30"/>
      <c r="NS29" s="30"/>
      <c r="NT29" s="30"/>
      <c r="NU29" s="30"/>
      <c r="NV29" s="30"/>
      <c r="NW29" s="30"/>
      <c r="NX29" s="30"/>
      <c r="NY29" s="30"/>
      <c r="NZ29" s="30"/>
      <c r="OA29" s="30"/>
      <c r="OB29" s="30"/>
      <c r="OC29" s="30"/>
      <c r="OD29" s="30"/>
      <c r="OE29" s="30"/>
      <c r="OF29" s="30"/>
      <c r="OG29" s="30"/>
      <c r="OH29" s="30"/>
      <c r="OI29" s="30"/>
      <c r="OJ29" s="30"/>
      <c r="OK29" s="30"/>
      <c r="OL29" s="30"/>
    </row>
    <row r="30" customFormat="false" ht="14.4" hidden="false" customHeight="false" outlineLevel="0" collapsed="false">
      <c r="A30" s="74"/>
      <c r="D30" s="85" t="s">
        <v>134</v>
      </c>
      <c r="E30" s="86" t="n">
        <f aca="false">$C$33*E34+$C$37*E38+$C$41*E42</f>
        <v>0.631153219507056</v>
      </c>
      <c r="F30" s="87" t="n">
        <f aca="false">$C$33*F34+$C$37*F38+$C$41*F42</f>
        <v>1.60124203390917</v>
      </c>
      <c r="G30" s="118" t="n">
        <f aca="false">$C$33*G34+$C$37*G38+$C$41*G42</f>
        <v>2.05060070863192</v>
      </c>
      <c r="H30" s="87" t="n">
        <f aca="false">$C$33*H34+$C$37*H38+$C$41*H42</f>
        <v>0.852419022780262</v>
      </c>
      <c r="I30" s="87" t="n">
        <f aca="false">$C$33*I34+$C$37*I38+$C$41*I42</f>
        <v>0</v>
      </c>
      <c r="J30" s="87" t="n">
        <f aca="false">$C$33*J34+$C$37*J38+$C$41*J42</f>
        <v>0</v>
      </c>
      <c r="K30" s="87" t="n">
        <f aca="false">$C$33*K34+$C$37*K38+$C$41*K42</f>
        <v>0</v>
      </c>
      <c r="L30" s="87" t="n">
        <f aca="false">$C$33*L34+$C$37*L38+$C$41*L42</f>
        <v>0</v>
      </c>
      <c r="M30" s="87" t="n">
        <f aca="false">$C$33*M34+$C$37*M38+$C$41*M42</f>
        <v>0.278038995802169</v>
      </c>
      <c r="N30" s="87" t="n">
        <f aca="false">$C$33*N34+$C$37*N38+$C$41*N42</f>
        <v>0.353114223704887</v>
      </c>
      <c r="O30" s="87" t="n">
        <f aca="false">$C$33*O34+$C$37*O38+$C$41*O42</f>
        <v>0.117669791621856</v>
      </c>
      <c r="P30" s="87" t="n">
        <f aca="false">$C$33*P34+$C$37*P38+$C$41*P42</f>
        <v>0.105356437078579</v>
      </c>
      <c r="Q30" s="87" t="n">
        <f aca="false">$C$33*Q34+$C$37*Q38+$C$41*Q42</f>
        <v>1.70659847098775</v>
      </c>
      <c r="R30" s="87" t="n">
        <f aca="false">$C$33*R34+$C$37*R38+$C$41*R42</f>
        <v>0.1</v>
      </c>
      <c r="S30" s="87" t="n">
        <f aca="false">$C$33*S34+$C$37*S38+$C$41*S42</f>
        <v>0.0635493752845543</v>
      </c>
      <c r="T30" s="74"/>
      <c r="V30" s="92"/>
      <c r="W30" s="92"/>
      <c r="X30" s="92"/>
      <c r="Y30" s="92"/>
      <c r="Z30" s="117"/>
      <c r="AA30" s="117"/>
      <c r="AB30" s="117"/>
      <c r="AC30" s="117"/>
      <c r="AD30" s="117"/>
      <c r="AE30" s="92"/>
      <c r="AF30" s="92"/>
      <c r="AG30" s="92"/>
      <c r="AH30" s="117"/>
      <c r="AI30" s="92"/>
      <c r="AJ30" s="92"/>
      <c r="AK30" s="92"/>
      <c r="AL30" s="92"/>
      <c r="AM30" s="92"/>
      <c r="AN30" s="92"/>
    </row>
    <row r="31" customFormat="false" ht="14.4" hidden="false" customHeight="false" outlineLevel="0" collapsed="false">
      <c r="A31" s="91"/>
      <c r="B31" s="92"/>
      <c r="C31" s="93"/>
      <c r="D31" s="85" t="s">
        <v>135</v>
      </c>
      <c r="E31" s="86" t="n">
        <f aca="false">$C$33*E35+$C$37*E39+$C$41*E43</f>
        <v>0.0029164022997694</v>
      </c>
      <c r="F31" s="87" t="n">
        <f aca="false">$C$33*F35+$C$37*F39+$C$41*F43</f>
        <v>0.00340401576185647</v>
      </c>
      <c r="G31" s="118" t="n">
        <f aca="false">$C$33*G35+$C$37*G39+$C$41*G43</f>
        <v>0.00376129034038147</v>
      </c>
      <c r="H31" s="87" t="n">
        <f aca="false">$C$33*H35+$C$37*H39+$C$41*H43</f>
        <v>0.000487613462087077</v>
      </c>
      <c r="I31" s="87" t="n">
        <f aca="false">$C$33*I35+$C$37*I39+$C$41*I43</f>
        <v>0</v>
      </c>
      <c r="J31" s="87" t="n">
        <f aca="false">$C$33*J35+$C$37*J39+$C$41*J43</f>
        <v>0.0029164022997694</v>
      </c>
      <c r="K31" s="87" t="n">
        <f aca="false">$C$33*K35+$C$37*K39+$C$41*K43</f>
        <v>0</v>
      </c>
      <c r="L31" s="87" t="n">
        <f aca="false">$C$33*L35+$C$37*L39+$C$41*L43</f>
        <v>0</v>
      </c>
      <c r="M31" s="87" t="n">
        <f aca="false">$C$33*M35+$C$37*M39+$C$41*M43</f>
        <v>0</v>
      </c>
      <c r="N31" s="87" t="n">
        <f aca="false">$C$33*N35+$C$37*N39+$C$41*N43</f>
        <v>0</v>
      </c>
      <c r="O31" s="87" t="n">
        <f aca="false">$C$33*O35+$C$37*O39+$C$41*O43</f>
        <v>0</v>
      </c>
      <c r="P31" s="87" t="n">
        <f aca="false">$C$33*P35+$C$37*P39+$C$41*P43</f>
        <v>2.62810285714286E-005</v>
      </c>
      <c r="Q31" s="87" t="n">
        <f aca="false">$C$33*Q35+$C$37*Q39+$C$41*Q43</f>
        <v>0.0034302967904279</v>
      </c>
      <c r="R31" s="87" t="n">
        <f aca="false">$C$33*R35+$C$37*R39+$C$41*R43</f>
        <v>0</v>
      </c>
      <c r="S31" s="87" t="n">
        <f aca="false">$C$33*S35+$C$37*S39+$C$41*S43</f>
        <v>0</v>
      </c>
      <c r="T31" s="74"/>
      <c r="V31" s="28"/>
      <c r="W31" s="119"/>
      <c r="X31" s="120"/>
      <c r="Y31" s="85"/>
    </row>
    <row r="32" customFormat="false" ht="14.4" hidden="false" customHeight="false" outlineLevel="0" collapsed="false">
      <c r="A32" s="91"/>
      <c r="B32" s="92"/>
      <c r="C32" s="87"/>
      <c r="D32" s="31" t="s">
        <v>136</v>
      </c>
      <c r="E32" s="86" t="n">
        <f aca="false">$C$33*E36+$C$37*E40+$C$41*E44</f>
        <v>0.00251570211550318</v>
      </c>
      <c r="F32" s="87" t="n">
        <f aca="false">$C$33*F36+$C$37*F40+$C$41*F44</f>
        <v>0.00331445561918441</v>
      </c>
      <c r="G32" s="118" t="n">
        <f aca="false">$C$33*G36+$C$37*G40+$C$41*G44</f>
        <v>0.00363695788933128</v>
      </c>
      <c r="H32" s="87" t="n">
        <f aca="false">$C$33*H36+$C$37*H40+$C$41*H44</f>
        <v>0.000798753503681236</v>
      </c>
      <c r="I32" s="87" t="n">
        <f aca="false">$C$33*I36+$C$37*I40+$C$41*I44</f>
        <v>0.00201892690779201</v>
      </c>
      <c r="J32" s="87" t="n">
        <f aca="false">$C$33*J36+$C$37*J40+$C$41*J44</f>
        <v>0.00041206367789063</v>
      </c>
      <c r="K32" s="87" t="n">
        <f aca="false">$C$33*K36+$C$37*K40+$C$41*K44</f>
        <v>8.47115298205398E-005</v>
      </c>
      <c r="L32" s="87" t="n">
        <f aca="false">$C$33*L36+$C$37*L40+$C$41*L44</f>
        <v>0</v>
      </c>
      <c r="M32" s="87" t="n">
        <f aca="false">$C$33*M36+$C$37*M40+$C$41*M44</f>
        <v>0</v>
      </c>
      <c r="N32" s="87" t="n">
        <f aca="false">$C$33*N36+$C$37*N40+$C$41*N44</f>
        <v>0</v>
      </c>
      <c r="O32" s="87" t="n">
        <f aca="false">$C$33*O36+$C$37*O40+$C$41*O44</f>
        <v>0</v>
      </c>
      <c r="P32" s="87" t="n">
        <f aca="false">$C$33*P36+$C$37*P40+$C$41*P44</f>
        <v>2.44997588571429E-006</v>
      </c>
      <c r="Q32" s="87" t="n">
        <f aca="false">$C$33*Q36+$C$37*Q40+$C$41*Q44</f>
        <v>0.00331690559507013</v>
      </c>
      <c r="R32" s="87" t="n">
        <f aca="false">$C$33*R36+$C$37*R40+$C$41*R44</f>
        <v>0</v>
      </c>
      <c r="S32" s="87" t="n">
        <f aca="false">$C$33*S36+$C$37*S40+$C$41*S44</f>
        <v>0</v>
      </c>
      <c r="T32" s="74"/>
      <c r="V32" s="19"/>
      <c r="W32" s="119"/>
      <c r="X32" s="120"/>
      <c r="Y32" s="85"/>
    </row>
    <row r="33" s="83" customFormat="true" ht="14.4" hidden="false" customHeight="false" outlineLevel="0" collapsed="false">
      <c r="A33" s="75" t="s">
        <v>137</v>
      </c>
      <c r="B33" s="76" t="s">
        <v>138</v>
      </c>
      <c r="C33" s="77" t="n">
        <f aca="false">'Input data meat and eggs'!D19</f>
        <v>0.6602</v>
      </c>
      <c r="D33" s="78" t="s">
        <v>133</v>
      </c>
      <c r="E33" s="94" t="n">
        <f aca="false">IF($F$1="GWP100 without fb",E34+E35*'Common input data'!$C$5+E36*'Common input data'!$D$5,IF($F$1="GWP100 with fb",E34+E35*'Common input data'!$C$6+E36*'Common input data'!$D$6,IF($F$1="GTP100 without fb",E34+E35*'Common input data'!$C$7+E36*'Common input data'!$D$7,IF($F$1="GTP100 with fb",E34+E35*'Common input data'!$C$8+E36*'Common input data'!$D$8,E34+E35*'Common input data'!$C$9+E36*'Common input data'!$D$9))))</f>
        <v>1.48063511847774</v>
      </c>
      <c r="F33" s="95" t="n">
        <f aca="false">IF($F$1="GWP100 without fb",F34+F35*'Common input data'!$C$5+F36*'Common input data'!$D$5,IF($F$1="GWP100 with fb",F34+F35*'Common input data'!$C$6+F36*'Common input data'!$D$6,IF($F$1="GTP100 without fb",F34+F35*'Common input data'!$C$7+F36*'Common input data'!$D$7,IF($F$1="GTP100 with fb",F34+F35*'Common input data'!$C$8+F36*'Common input data'!$D$8,F34+F35*'Common input data'!$C$9+F36*'Common input data'!$D$9))))</f>
        <v>2.68958741797801</v>
      </c>
      <c r="G33" s="96" t="n">
        <f aca="false">IF($F$1="GWP100 without fb",G34+G35*'Common input data'!$C$5+G36*'Common input data'!$D$5,IF($F$1="GWP100 with fb",G34+G35*'Common input data'!$C$6+G36*'Common input data'!$D$6,IF($F$1="GTP100 without fb",G34+G35*'Common input data'!$C$7+G36*'Common input data'!$D$7,IF($F$1="GTP100 with fb",G34+G35*'Common input data'!$C$8+G36*'Common input data'!$D$8,G34+G35*'Common input data'!$C$9+G36*'Common input data'!$D$9))))</f>
        <v>3.20166262223429</v>
      </c>
      <c r="H33" s="97"/>
      <c r="I33" s="97"/>
      <c r="J33" s="97"/>
      <c r="K33" s="98"/>
      <c r="L33" s="98"/>
      <c r="T33" s="74"/>
      <c r="U33" s="30"/>
      <c r="V33" s="19"/>
      <c r="W33" s="30"/>
      <c r="X33" s="121"/>
      <c r="Y33" s="31"/>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c r="MO33" s="30"/>
      <c r="MP33" s="30"/>
      <c r="MQ33" s="30"/>
      <c r="MR33" s="30"/>
      <c r="MS33" s="30"/>
      <c r="MT33" s="30"/>
      <c r="MU33" s="30"/>
      <c r="MV33" s="30"/>
      <c r="MW33" s="30"/>
      <c r="MX33" s="30"/>
      <c r="MY33" s="30"/>
      <c r="MZ33" s="30"/>
      <c r="NA33" s="30"/>
      <c r="NB33" s="30"/>
      <c r="NC33" s="30"/>
      <c r="ND33" s="30"/>
      <c r="NE33" s="30"/>
      <c r="NF33" s="30"/>
      <c r="NG33" s="30"/>
      <c r="NH33" s="30"/>
      <c r="NI33" s="30"/>
      <c r="NJ33" s="30"/>
      <c r="NK33" s="30"/>
      <c r="NL33" s="30"/>
      <c r="NM33" s="30"/>
      <c r="NN33" s="30"/>
      <c r="NO33" s="30"/>
      <c r="NP33" s="30"/>
      <c r="NQ33" s="30"/>
      <c r="NR33" s="30"/>
      <c r="NS33" s="30"/>
      <c r="NT33" s="30"/>
      <c r="NU33" s="30"/>
      <c r="NV33" s="30"/>
      <c r="NW33" s="30"/>
      <c r="NX33" s="30"/>
      <c r="NY33" s="30"/>
      <c r="NZ33" s="30"/>
      <c r="OA33" s="30"/>
      <c r="OB33" s="30"/>
      <c r="OC33" s="30"/>
      <c r="OD33" s="30"/>
      <c r="OE33" s="30"/>
      <c r="OF33" s="30"/>
      <c r="OG33" s="30"/>
      <c r="OH33" s="30"/>
      <c r="OI33" s="30"/>
      <c r="OJ33" s="30"/>
      <c r="OK33" s="30"/>
      <c r="OL33" s="30"/>
    </row>
    <row r="34" customFormat="false" ht="14.4" hidden="false" customHeight="false" outlineLevel="0" collapsed="false">
      <c r="A34" s="99"/>
      <c r="D34" s="85" t="s">
        <v>134</v>
      </c>
      <c r="E34" s="86" t="n">
        <f aca="false">IF(AND($F$2="No",$F$3="No"),SUM(I34:L34),IF(AND($F$2="Yes", $F$3="No"), SUM(I34:L34)+N34, IF(AND($F$2="No", $F$3="Yes"),SUM(I34:L34)+M34, SUM(I34:L34)+N34+M34)))</f>
        <v>0.634343812806722</v>
      </c>
      <c r="F34" s="87" t="n">
        <f aca="false">IF(AND($F$2="No",$F$3="No"),SUM(H34:L34,O34),IF(AND($F$2="Yes", $F$3="No"), SUM(H34:L34,O34)+N34, IF(AND($F$2="No", $F$3="Yes"),SUM(H34:L34,O34)+M34, SUM(H34:L34,O34)+N34+M34)))</f>
        <v>1.58733270547566</v>
      </c>
      <c r="G34" s="88" t="n">
        <f aca="false">SUM(Q34:S34)/(1-'Common input data'!B$126)</f>
        <v>1.99126968332231</v>
      </c>
      <c r="H34" s="87" t="n">
        <f aca="false">'Input data meat and eggs'!$B$252*(('Input data meat and eggs'!C62*'Input data meat and eggs'!B35)+('Input data meat and eggs'!C63*'Input data meat and eggs'!B36)+('Input data meat and eggs'!C64*SUMPRODUCT('Input data meat and eggs'!C65:C74,'Input data meat and eggs'!B37:B46)))*'Input data meat and eggs'!B56</f>
        <v>0.856958892668938</v>
      </c>
      <c r="I34" s="87" t="n">
        <f aca="false">'Input data meat and eggs'!$B$252*(('Input data meat and eggs'!C62*'Input data meat and eggs'!B35)+('Input data meat and eggs'!C63*'Input data meat and eggs'!B36)+('Input data meat and eggs'!C64*SUMPRODUCT('Input data meat and eggs'!C65:C74,'Input data meat and eggs'!B37:B46)))*'Input data meat and eggs'!C56</f>
        <v>0</v>
      </c>
      <c r="J34" s="87" t="n">
        <v>0</v>
      </c>
      <c r="K34" s="87" t="n">
        <v>0</v>
      </c>
      <c r="L34" s="87" t="n">
        <v>0</v>
      </c>
      <c r="M34" s="87" t="n">
        <f aca="false">'Input data meat and eggs'!B252*(('Input data meat and eggs'!C62+'Input data meat and eggs'!C63)*'Common input data'!B13)+('Input data meat and eggs'!C64*('Input data meat and eggs'!C65*'Common input data'!B13*'Common input data'!G28/'Common input data'!F28+'Input data meat and eggs'!C68*'Common input data'!D13+'Input data meat and eggs'!C69*'Common input data'!D13*'Common input data'!G26/'Common input data'!F26+'Input data meat and eggs'!C71*'Common input data'!C13*'Common input data'!G30/'Common input data'!F30+'Input data meat and eggs'!C72*'Common input data'!C13))</f>
        <v>0.279348949899026</v>
      </c>
      <c r="N34" s="87" t="n">
        <f aca="false">'Input data meat and eggs'!B252*'Input data meat and eggs'!C64*'Input data meat and eggs'!C71*'Common input data'!B21*'Common input data'!G30/'Common input data'!F30</f>
        <v>0.354994862907696</v>
      </c>
      <c r="O34" s="87" t="n">
        <f aca="false">'Input data meat and eggs'!B80*'Common input data'!B63</f>
        <v>0.09603</v>
      </c>
      <c r="P34" s="87" t="n">
        <f aca="false">'Input data meat and eggs'!B91*'Common input data'!B63+'Input data meat and eggs'!C91*3.6*'Common input data'!B49</f>
        <v>0.0987052457142857</v>
      </c>
      <c r="Q34" s="87" t="n">
        <f aca="false">F34+P34</f>
        <v>1.68603795118995</v>
      </c>
      <c r="R34" s="89" t="n">
        <f aca="false">'Common input data'!B92</f>
        <v>0.1</v>
      </c>
      <c r="S34" s="89" t="n">
        <f aca="false">'Common input data'!C98</f>
        <v>0.03</v>
      </c>
      <c r="T34" s="74"/>
      <c r="V34" s="122"/>
      <c r="W34" s="119"/>
      <c r="Y34" s="85"/>
    </row>
    <row r="35" customFormat="false" ht="14.4" hidden="false" customHeight="false" outlineLevel="0" collapsed="false">
      <c r="A35" s="99"/>
      <c r="C35" s="93"/>
      <c r="D35" s="85" t="s">
        <v>135</v>
      </c>
      <c r="E35" s="86" t="n">
        <f aca="false">SUM(I35:L35)</f>
        <v>0.00320365064398026</v>
      </c>
      <c r="F35" s="87" t="n">
        <f aca="false">SUM(H35:L35,O35)</f>
        <v>0.00369386107025359</v>
      </c>
      <c r="G35" s="88" t="n">
        <f aca="false">SUM(Q35:S35)/(1-'Common input data'!B$126)</f>
        <v>0.0040791031785362</v>
      </c>
      <c r="H35" s="87" t="n">
        <f aca="false">'Input data meat and eggs'!$B$252*(('Input data meat and eggs'!C62*'Input data meat and eggs'!C35)+('Input data meat and eggs'!C63*'Input data meat and eggs'!C36)+('Input data meat and eggs'!C64*SUMPRODUCT('Input data meat and eggs'!C65:C74,'Input data meat and eggs'!C37:C46)))*'Input data meat and eggs'!B57</f>
        <v>0.000490210426273331</v>
      </c>
      <c r="I35" s="87" t="n">
        <f aca="false">'Input data meat and eggs'!$B$252*(('Input data meat and eggs'!C62*'Input data meat and eggs'!C35)+('Input data meat and eggs'!C63*'Input data meat and eggs'!C36)+('Input data meat and eggs'!C64*SUMPRODUCT('Input data meat and eggs'!C65:C74,'Input data meat and eggs'!C37:C46)))*'Input data meat and eggs'!C57</f>
        <v>0</v>
      </c>
      <c r="J35" s="87" t="n">
        <f aca="false">'Input data meat and eggs'!B296/'Input data meat and eggs'!B239</f>
        <v>0.00320365064398026</v>
      </c>
      <c r="K35" s="87" t="n">
        <v>0</v>
      </c>
      <c r="L35" s="87" t="n">
        <v>0</v>
      </c>
      <c r="M35" s="87" t="n">
        <v>0</v>
      </c>
      <c r="N35" s="87" t="n">
        <v>0</v>
      </c>
      <c r="O35" s="87" t="n">
        <v>0</v>
      </c>
      <c r="P35" s="87" t="n">
        <f aca="false">'Input data meat and eggs'!C91*3.6*'Common input data'!B50</f>
        <v>2.62810285714286E-005</v>
      </c>
      <c r="Q35" s="87" t="n">
        <f aca="false">F35+P35</f>
        <v>0.00372014209882502</v>
      </c>
      <c r="R35" s="89" t="n">
        <v>0</v>
      </c>
      <c r="S35" s="89" t="n">
        <v>0</v>
      </c>
      <c r="T35" s="74"/>
      <c r="V35" s="122"/>
      <c r="W35" s="119"/>
      <c r="X35" s="120"/>
      <c r="Y35" s="85"/>
    </row>
    <row r="36" customFormat="false" ht="14.4" hidden="false" customHeight="false" outlineLevel="0" collapsed="false">
      <c r="A36" s="100"/>
      <c r="B36" s="101"/>
      <c r="C36" s="87"/>
      <c r="D36" s="31" t="s">
        <v>136</v>
      </c>
      <c r="E36" s="86" t="n">
        <f aca="false">SUM(I36:L36)</f>
        <v>0.00247438652273721</v>
      </c>
      <c r="F36" s="87" t="n">
        <f aca="false">SUM(H36:L36,O36)</f>
        <v>0.00327739408091855</v>
      </c>
      <c r="G36" s="88" t="n">
        <f aca="false">SUM(Q36:S36)/(1-'Common input data'!B$126)</f>
        <v>0.00359632023772398</v>
      </c>
      <c r="H36" s="87" t="n">
        <f aca="false">'Input data meat and eggs'!$B$252*(('Input data meat and eggs'!C62*'Input data meat and eggs'!D35)+('Input data meat and eggs'!C63*'Input data meat and eggs'!D36)+('Input data meat and eggs'!C64*SUMPRODUCT('Input data meat and eggs'!C65:C74,'Input data meat and eggs'!D37:D46)))*'Input data meat and eggs'!B58</f>
        <v>0.000803007558181345</v>
      </c>
      <c r="I36" s="87" t="n">
        <f aca="false">'Input data meat and eggs'!$B$252*(('Input data meat and eggs'!C62*'Input data meat and eggs'!D35)+('Input data meat and eggs'!C63*'Input data meat and eggs'!D36)+('Input data meat and eggs'!C64*SUMPRODUCT('Input data meat and eggs'!C65:C74,'Input data meat and eggs'!D37:D46)))*'Input data meat and eggs'!C58</f>
        <v>0.00202967944290816</v>
      </c>
      <c r="J36" s="87" t="n">
        <f aca="false">((SUM('Input data meat and eggs'!B281:B282)*'Input data meat and eggs'!B298+SUM('Input data meat and eggs'!B284:B285)*'Input data meat and eggs'!B299+SUM('Input data meat and eggs'!B287:B288)*'Input data meat and eggs'!B300)*44/28)/'Input data meat and eggs'!B239</f>
        <v>0.000355653283196977</v>
      </c>
      <c r="K36" s="87" t="n">
        <f aca="false">SUM('Input data meat and eggs'!B320:B327)*'Input data meat and eggs'!B301*44/28/'Input data meat and eggs'!B239</f>
        <v>8.90537966320723E-005</v>
      </c>
      <c r="L36" s="87" t="n">
        <v>0</v>
      </c>
      <c r="M36" s="87" t="n">
        <v>0</v>
      </c>
      <c r="N36" s="87" t="n">
        <v>0</v>
      </c>
      <c r="O36" s="87" t="n">
        <v>0</v>
      </c>
      <c r="P36" s="87" t="n">
        <f aca="false">'Input data meat and eggs'!C91*3.6*'Common input data'!B51</f>
        <v>2.44997588571429E-006</v>
      </c>
      <c r="Q36" s="87" t="n">
        <f aca="false">F36+P36</f>
        <v>0.00327984405680427</v>
      </c>
      <c r="R36" s="89" t="n">
        <v>0</v>
      </c>
      <c r="S36" s="89" t="n">
        <v>0</v>
      </c>
      <c r="T36" s="74"/>
      <c r="V36" s="123"/>
      <c r="X36" s="121"/>
      <c r="Y36" s="31"/>
    </row>
    <row r="37" s="83" customFormat="true" ht="14.4" hidden="false" customHeight="false" outlineLevel="0" collapsed="false">
      <c r="A37" s="75" t="s">
        <v>139</v>
      </c>
      <c r="B37" s="76" t="s">
        <v>138</v>
      </c>
      <c r="C37" s="77" t="n">
        <f aca="false">'Input data meat and eggs'!D20</f>
        <v>0.229404164769638</v>
      </c>
      <c r="D37" s="78" t="s">
        <v>133</v>
      </c>
      <c r="E37" s="94" t="n">
        <f aca="false">IF($F$1="GWP100 without fb",E38+E39*'Common input data'!$C$5+E40*'Common input data'!$D$5,IF($F$1="GWP100 with fb",E38+E39*'Common input data'!$C$6+E40*'Common input data'!$D$6,IF($F$1="GTP100 without fb",E38+E39*'Common input data'!$C$7+E40*'Common input data'!$D$7,IF($F$1="GTP100 with fb",E38+E39*'Common input data'!$C$8+E40*'Common input data'!$D$8,E38+E39*'Common input data'!$C$9+E40*'Common input data'!$D$9))))</f>
        <v>1.47836883021599</v>
      </c>
      <c r="F37" s="95" t="n">
        <f aca="false">IF($F$1="GWP100 without fb",F38+F39*'Common input data'!$C$5+F40*'Common input data'!$D$5,IF($F$1="GWP100 with fb",F38+F39*'Common input data'!$C$6+F40*'Common input data'!$D$6,IF($F$1="GTP100 without fb",F38+F39*'Common input data'!$C$7+F40*'Common input data'!$D$7,IF($F$1="GTP100 with fb",F38+F39*'Common input data'!$C$8+F40*'Common input data'!$D$8,F38+F39*'Common input data'!$C$9+F40*'Common input data'!$D$9))))</f>
        <v>2.66660492531383</v>
      </c>
      <c r="G37" s="96" t="n">
        <f aca="false">IF($F$1="GWP100 without fb",G38+G39*'Common input data'!$C$5+G40*'Common input data'!$D$5,IF($F$1="GWP100 with fb",G38+G39*'Common input data'!$C$6+G40*'Common input data'!$D$6,IF($F$1="GTP100 without fb",G38+G39*'Common input data'!$C$7+G40*'Common input data'!$D$7,IF($F$1="GTP100 with fb",G38+G39*'Common input data'!$C$8+G40*'Common input data'!$D$8,G38+G39*'Common input data'!$C$9+G40*'Common input data'!$D$9))))</f>
        <v>3.23128708203234</v>
      </c>
      <c r="H37" s="97"/>
      <c r="I37" s="97"/>
      <c r="J37" s="97"/>
      <c r="K37" s="98"/>
      <c r="L37" s="98"/>
      <c r="T37" s="74"/>
      <c r="U37" s="30"/>
      <c r="V37" s="122"/>
      <c r="W37" s="119"/>
      <c r="X37" s="30"/>
      <c r="Y37" s="85"/>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c r="MO37" s="30"/>
      <c r="MP37" s="30"/>
      <c r="MQ37" s="30"/>
      <c r="MR37" s="30"/>
      <c r="MS37" s="30"/>
      <c r="MT37" s="30"/>
      <c r="MU37" s="30"/>
      <c r="MV37" s="30"/>
      <c r="MW37" s="30"/>
      <c r="MX37" s="30"/>
      <c r="MY37" s="30"/>
      <c r="MZ37" s="30"/>
      <c r="NA37" s="30"/>
      <c r="NB37" s="30"/>
      <c r="NC37" s="30"/>
      <c r="ND37" s="30"/>
      <c r="NE37" s="30"/>
      <c r="NF37" s="30"/>
      <c r="NG37" s="30"/>
      <c r="NH37" s="30"/>
      <c r="NI37" s="30"/>
      <c r="NJ37" s="30"/>
      <c r="NK37" s="30"/>
      <c r="NL37" s="30"/>
      <c r="NM37" s="30"/>
      <c r="NN37" s="30"/>
      <c r="NO37" s="30"/>
      <c r="NP37" s="30"/>
      <c r="NQ37" s="30"/>
      <c r="NR37" s="30"/>
      <c r="NS37" s="30"/>
      <c r="NT37" s="30"/>
      <c r="NU37" s="30"/>
      <c r="NV37" s="30"/>
      <c r="NW37" s="30"/>
      <c r="NX37" s="30"/>
      <c r="NY37" s="30"/>
      <c r="NZ37" s="30"/>
      <c r="OA37" s="30"/>
      <c r="OB37" s="30"/>
      <c r="OC37" s="30"/>
      <c r="OD37" s="30"/>
      <c r="OE37" s="30"/>
      <c r="OF37" s="30"/>
      <c r="OG37" s="30"/>
      <c r="OH37" s="30"/>
      <c r="OI37" s="30"/>
      <c r="OJ37" s="30"/>
      <c r="OK37" s="30"/>
      <c r="OL37" s="30"/>
    </row>
    <row r="38" customFormat="false" ht="14.4" hidden="false" customHeight="false" outlineLevel="0" collapsed="false">
      <c r="A38" s="99"/>
      <c r="D38" s="85" t="s">
        <v>134</v>
      </c>
      <c r="E38" s="86" t="n">
        <f aca="false">IF(AND($F$2="No",$F$3="No"),SUM(I38:L38),IF(AND($F$2="Yes", $F$3="No"), SUM(I38:L38)+N38, IF(AND($F$2="No", $F$3="Yes"),SUM(I38:L38)+M38, SUM(I38:L38)+N38+M38)))</f>
        <v>0.623133096170601</v>
      </c>
      <c r="F38" s="87" t="n">
        <f aca="false">IF(AND($F$2="No",$F$3="No"),SUM(H38:L38,O38),IF(AND($F$2="Yes", $F$3="No"), SUM(H38:L38,O38)+N38, IF(AND($F$2="No", $F$3="Yes"),SUM(H38:L38,O38)+M38, SUM(H38:L38,O38)+N38+M38)))</f>
        <v>1.56017034909525</v>
      </c>
      <c r="G38" s="88" t="n">
        <f aca="false">SUM(Q38:S38)/(1-'Common input data'!B$126)</f>
        <v>2.01631095922099</v>
      </c>
      <c r="H38" s="87" t="n">
        <f aca="false">'Input data meat and eggs'!$C$252*(('Input data meat and eggs'!C62*'Input data meat and eggs'!B35)+('Input data meat and eggs'!C63*'Input data meat and eggs'!B36)+('Input data meat and eggs'!C64*SUMPRODUCT('Input data meat and eggs'!C65:C74,'Input data meat and eggs'!B37:B46)))*'Input data meat and eggs'!B56</f>
        <v>0.841007252924653</v>
      </c>
      <c r="I38" s="87" t="n">
        <f aca="false">'Input data meat and eggs'!$C$252*(('Input data meat and eggs'!C62*'Input data meat and eggs'!B35)+('Input data meat and eggs'!C63*'Input data meat and eggs'!B36)+('Input data meat and eggs'!C64*SUMPRODUCT('Input data meat and eggs'!C65:C74,'Input data meat and eggs'!B37:B46)))*'Input data meat and eggs'!C56</f>
        <v>0</v>
      </c>
      <c r="J38" s="87" t="n">
        <v>0</v>
      </c>
      <c r="K38" s="87" t="n">
        <v>0</v>
      </c>
      <c r="L38" s="87" t="n">
        <v>0</v>
      </c>
      <c r="M38" s="87" t="n">
        <f aca="false">'Input data meat and eggs'!C252*(('Input data meat and eggs'!C62+'Input data meat and eggs'!C63)*'Common input data'!B13)+('Input data meat and eggs'!C64*('Input data meat and eggs'!C65*'Common input data'!B13*'Common input data'!G28/'Common input data'!F28+'Input data meat and eggs'!C68*'Common input data'!D13+'Input data meat and eggs'!C69*'Common input data'!D13*'Common input data'!G26/'Common input data'!F26+'Input data meat and eggs'!C71*'Common input data'!C13*'Common input data'!G30/'Common input data'!F30+'Input data meat and eggs'!C72*'Common input data'!C13))</f>
        <v>0.274746193355995</v>
      </c>
      <c r="N38" s="87" t="n">
        <f aca="false">'Input data meat and eggs'!C252*'Input data meat and eggs'!C64*'Input data meat and eggs'!C71*'Common input data'!B21*'Common input data'!G30/'Common input data'!F30</f>
        <v>0.348386902814605</v>
      </c>
      <c r="O38" s="87" t="n">
        <f aca="false">'Input data meat and eggs'!B80*'Common input data'!B63</f>
        <v>0.09603</v>
      </c>
      <c r="P38" s="87" t="n">
        <f aca="false">'Input data meat and eggs'!B91*'Common input data'!B63+'Input data meat and eggs'!C91*3.6*'Common input data'!B49</f>
        <v>0.0987052457142857</v>
      </c>
      <c r="Q38" s="87" t="n">
        <f aca="false">F38+P38</f>
        <v>1.65887559480954</v>
      </c>
      <c r="R38" s="89" t="n">
        <f aca="false">'Common input data'!B92</f>
        <v>0.1</v>
      </c>
      <c r="S38" s="89" t="n">
        <f aca="false">'Common input data'!B98+'Common input data'!C98</f>
        <v>0.08</v>
      </c>
      <c r="T38" s="74"/>
      <c r="Y38" s="85"/>
    </row>
    <row r="39" customFormat="false" ht="14.4" hidden="false" customHeight="false" outlineLevel="0" collapsed="false">
      <c r="A39" s="99"/>
      <c r="C39" s="31"/>
      <c r="D39" s="85" t="s">
        <v>135</v>
      </c>
      <c r="E39" s="86" t="n">
        <f aca="false">SUM(I39:L39)</f>
        <v>0.00219435253272307</v>
      </c>
      <c r="F39" s="87" t="n">
        <f aca="false">SUM(H39:L39,O39)</f>
        <v>0.00267543806375849</v>
      </c>
      <c r="G39" s="88" t="n">
        <f aca="false">SUM(Q39:S39)/(1-'Common input data'!B$126)</f>
        <v>0.00296241128544947</v>
      </c>
      <c r="H39" s="87" t="n">
        <f aca="false">'Input data meat and eggs'!$C$252*(('Input data meat and eggs'!C62*'Input data meat and eggs'!C35)+('Input data meat and eggs'!C63*'Input data meat and eggs'!C36)+('Input data meat and eggs'!C64*SUMPRODUCT('Input data meat and eggs'!C65:C74,'Input data meat and eggs'!C37:C46)))*'Input data meat and eggs'!B57</f>
        <v>0.000481085531035415</v>
      </c>
      <c r="I39" s="87" t="n">
        <f aca="false">'Input data meat and eggs'!$C$252*(('Input data meat and eggs'!C62*'Input data meat and eggs'!C35)+('Input data meat and eggs'!C63*'Input data meat and eggs'!C36)+('Input data meat and eggs'!C64*SUMPRODUCT('Input data meat and eggs'!C65:C74,'Input data meat and eggs'!C37:C46)))*'Input data meat and eggs'!C57</f>
        <v>0</v>
      </c>
      <c r="J39" s="87" t="n">
        <f aca="false">'Input data meat and eggs'!C302*'Input data meat and eggs'!C291*('Input data meat and eggs'!C262*'Input data meat and eggs'!C303*'Input data meat and eggs'!C304+'Input data meat and eggs'!C263*'Input data meat and eggs'!C305)/'Input data meat and eggs'!C239</f>
        <v>0.00219435253272307</v>
      </c>
      <c r="K39" s="87" t="n">
        <v>0</v>
      </c>
      <c r="L39" s="87" t="n">
        <v>0</v>
      </c>
      <c r="M39" s="87" t="n">
        <v>0</v>
      </c>
      <c r="N39" s="87" t="n">
        <v>0</v>
      </c>
      <c r="O39" s="87" t="n">
        <v>0</v>
      </c>
      <c r="P39" s="87" t="n">
        <f aca="false">'Input data meat and eggs'!C91*3.6*'Common input data'!B50</f>
        <v>2.62810285714286E-005</v>
      </c>
      <c r="Q39" s="87" t="n">
        <f aca="false">F39+P39</f>
        <v>0.00270171909232992</v>
      </c>
      <c r="R39" s="89" t="n">
        <v>0</v>
      </c>
      <c r="S39" s="89" t="n">
        <v>0</v>
      </c>
      <c r="T39" s="74"/>
      <c r="V39" s="122"/>
      <c r="X39" s="121"/>
      <c r="Y39" s="31"/>
    </row>
    <row r="40" customFormat="false" ht="14.4" hidden="false" customHeight="false" outlineLevel="0" collapsed="false">
      <c r="A40" s="99"/>
      <c r="C40" s="87"/>
      <c r="D40" s="31" t="s">
        <v>136</v>
      </c>
      <c r="E40" s="86" t="n">
        <f aca="false">SUM(I40:L40)</f>
        <v>0.0026195562011168</v>
      </c>
      <c r="F40" s="87" t="n">
        <f aca="false">SUM(H40:L40,O40)</f>
        <v>0.00340761638272078</v>
      </c>
      <c r="G40" s="88" t="n">
        <f aca="false">SUM(Q40:S40)/(1-'Common input data'!B$126)</f>
        <v>0.00373910784934922</v>
      </c>
      <c r="H40" s="87" t="n">
        <f aca="false">'Input data meat and eggs'!$C$252*(('Input data meat and eggs'!C62*'Input data meat and eggs'!D35)+('Input data meat and eggs'!C63*'Input data meat and eggs'!D36)+('Input data meat and eggs'!C64*SUMPRODUCT('Input data meat and eggs'!C65:C74,'Input data meat and eggs'!D37:D46)))*'Input data meat and eggs'!B58</f>
        <v>0.000788060181603977</v>
      </c>
      <c r="I40" s="87" t="n">
        <f aca="false">'Input data meat and eggs'!$C$252*(('Input data meat and eggs'!C62*'Input data meat and eggs'!D35)+('Input data meat and eggs'!C63*'Input data meat and eggs'!D36)+('Input data meat and eggs'!C64*SUMPRODUCT('Input data meat and eggs'!C65:C74,'Input data meat and eggs'!D37:D46)))*'Input data meat and eggs'!C58</f>
        <v>0.00199189849968366</v>
      </c>
      <c r="J40" s="87" t="n">
        <f aca="false">((SUM('Input data meat and eggs'!C281:C282)*'Input data meat and eggs'!C298+SUM('Input data meat and eggs'!C284:C285)*'Input data meat and eggs'!C299+SUM('Input data meat and eggs'!C287:C288)*'Input data meat and eggs'!C300)*44/28)/'Input data meat and eggs'!C239</f>
        <v>0.000553861231012967</v>
      </c>
      <c r="K40" s="87" t="n">
        <f aca="false">SUM('Input data meat and eggs'!C320:C327)*'Input data meat and eggs'!C301*44/28/'Input data meat and eggs'!C239</f>
        <v>7.37964704201679E-005</v>
      </c>
      <c r="L40" s="87" t="n">
        <v>0</v>
      </c>
      <c r="M40" s="87" t="n">
        <v>0</v>
      </c>
      <c r="N40" s="87" t="n">
        <v>0</v>
      </c>
      <c r="O40" s="87" t="n">
        <v>0</v>
      </c>
      <c r="P40" s="87" t="n">
        <f aca="false">'Input data meat and eggs'!C91*3.6*'Common input data'!B51</f>
        <v>2.44997588571429E-006</v>
      </c>
      <c r="Q40" s="87" t="n">
        <f aca="false">F40+P40</f>
        <v>0.00341006635860649</v>
      </c>
      <c r="R40" s="102" t="n">
        <v>0</v>
      </c>
      <c r="S40" s="89" t="n">
        <v>0</v>
      </c>
      <c r="T40" s="74"/>
      <c r="V40" s="122"/>
      <c r="W40" s="119"/>
      <c r="Y40" s="85"/>
    </row>
    <row r="41" s="83" customFormat="true" ht="14.4" hidden="false" customHeight="false" outlineLevel="0" collapsed="false">
      <c r="A41" s="75" t="s">
        <v>141</v>
      </c>
      <c r="B41" s="76" t="s">
        <v>138</v>
      </c>
      <c r="C41" s="77" t="n">
        <f aca="false">'Input data meat and eggs'!D21</f>
        <v>0.110395835230362</v>
      </c>
      <c r="D41" s="78" t="s">
        <v>133</v>
      </c>
      <c r="E41" s="94" t="n">
        <f aca="false">IF($F$1="GWP100 without fb",E42+E43*'Common input data'!$C$5+E44*'Common input data'!$D$5,IF($F$1="GWP100 with fb",E42+E43*'Common input data'!$C$6+E44*'Common input data'!$D$6,IF($F$1="GTP100 without fb",E42+E43*'Common input data'!$C$7+E44*'Common input data'!$D$7,IF($F$1="GTP100 with fb",E42+E43*'Common input data'!$C$8+E44*'Common input data'!$D$8,E42+E43*'Common input data'!$C$9+E44*'Common input data'!$D$9))))</f>
        <v>1.47950197434687</v>
      </c>
      <c r="F41" s="95" t="n">
        <f aca="false">IF($F$1="GWP100 without fb",F42+F43*'Common input data'!$C$5+F44*'Common input data'!$D$5,IF($F$1="GWP100 with fb",F42+F43*'Common input data'!$C$6+F44*'Common input data'!$D$6,IF($F$1="GTP100 without fb",F42+F43*'Common input data'!$C$7+F44*'Common input data'!$D$7,IF($F$1="GTP100 with fb",F42+F43*'Common input data'!$C$8+F44*'Common input data'!$D$8,F42+F43*'Common input data'!$C$9+F44*'Common input data'!$D$9))))</f>
        <v>2.87411617164592</v>
      </c>
      <c r="G41" s="96" t="n">
        <f aca="false">IF($F$1="GWP100 without fb",G42+G43*'Common input data'!$C$5+G44*'Common input data'!$D$5,IF($F$1="GWP100 with fb",G42+G43*'Common input data'!$C$6+G44*'Common input data'!$D$6,IF($F$1="GTP100 without fb",G42+G43*'Common input data'!$C$7+G44*'Common input data'!$D$7,IF($F$1="GTP100 with fb",G42+G43*'Common input data'!$C$8+G44*'Common input data'!$D$8,G42+G43*'Common input data'!$C$9+G44*'Common input data'!$D$9))))</f>
        <v>3.6893570576471</v>
      </c>
      <c r="H41" s="97"/>
      <c r="I41" s="97"/>
      <c r="J41" s="97"/>
      <c r="K41" s="98"/>
      <c r="L41" s="98"/>
      <c r="T41" s="74"/>
      <c r="U41" s="30"/>
      <c r="V41" s="28"/>
      <c r="W41" s="30"/>
      <c r="X41" s="121"/>
      <c r="Y41" s="85"/>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c r="MO41" s="30"/>
      <c r="MP41" s="30"/>
      <c r="MQ41" s="30"/>
      <c r="MR41" s="30"/>
      <c r="MS41" s="30"/>
      <c r="MT41" s="30"/>
      <c r="MU41" s="30"/>
      <c r="MV41" s="30"/>
      <c r="MW41" s="30"/>
      <c r="MX41" s="30"/>
      <c r="MY41" s="30"/>
      <c r="MZ41" s="30"/>
      <c r="NA41" s="30"/>
      <c r="NB41" s="30"/>
      <c r="NC41" s="30"/>
      <c r="ND41" s="30"/>
      <c r="NE41" s="30"/>
      <c r="NF41" s="30"/>
      <c r="NG41" s="30"/>
      <c r="NH41" s="30"/>
      <c r="NI41" s="30"/>
      <c r="NJ41" s="30"/>
      <c r="NK41" s="30"/>
      <c r="NL41" s="30"/>
      <c r="NM41" s="30"/>
      <c r="NN41" s="30"/>
      <c r="NO41" s="30"/>
      <c r="NP41" s="30"/>
      <c r="NQ41" s="30"/>
      <c r="NR41" s="30"/>
      <c r="NS41" s="30"/>
      <c r="NT41" s="30"/>
      <c r="NU41" s="30"/>
      <c r="NV41" s="30"/>
      <c r="NW41" s="30"/>
      <c r="NX41" s="30"/>
      <c r="NY41" s="30"/>
      <c r="NZ41" s="30"/>
      <c r="OA41" s="30"/>
      <c r="OB41" s="30"/>
      <c r="OC41" s="30"/>
      <c r="OD41" s="30"/>
      <c r="OE41" s="30"/>
      <c r="OF41" s="30"/>
      <c r="OG41" s="30"/>
      <c r="OH41" s="30"/>
      <c r="OI41" s="30"/>
      <c r="OJ41" s="30"/>
      <c r="OK41" s="30"/>
      <c r="OL41" s="30"/>
    </row>
    <row r="42" s="83" customFormat="true" ht="14.4" hidden="false" customHeight="false" outlineLevel="0" collapsed="false">
      <c r="A42" s="99"/>
      <c r="B42" s="31"/>
      <c r="C42" s="30"/>
      <c r="D42" s="85" t="s">
        <v>134</v>
      </c>
      <c r="E42" s="86" t="n">
        <f aca="false">IF(AND($F$2="No",$F$3="No"),SUM(I42:L42),IF(AND($F$2="Yes", $F$3="No"), SUM(I42:L42)+N42, IF(AND($F$2="No", $F$3="Yes"),SUM(I42:L42)+M42, SUM(I42:L42)+N42+M42)))</f>
        <v>0.628738454488661</v>
      </c>
      <c r="F42" s="87" t="n">
        <f aca="false">IF(AND($F$2="No",$F$3="No"),SUM(H42:L42,O42),IF(AND($F$2="Yes", $F$3="No"), SUM(H42:L42,O42)+N42, IF(AND($F$2="No", $F$3="Yes"),SUM(H42:L42,O42)+M42, SUM(H42:L42,O42)+N42+M42)))</f>
        <v>1.76977152728546</v>
      </c>
      <c r="G42" s="88" t="n">
        <f aca="false">SUM(Q42:S42)/(1-'Common input data'!B$126)</f>
        <v>2.47667252678543</v>
      </c>
      <c r="H42" s="87" t="n">
        <f aca="false">AVERAGE(H34,H38)</f>
        <v>0.848983072796795</v>
      </c>
      <c r="I42" s="87" t="n">
        <f aca="false">AVERAGE(I34,I38)</f>
        <v>0</v>
      </c>
      <c r="J42" s="87" t="n">
        <f aca="false">AVERAGE(J34,J38)</f>
        <v>0</v>
      </c>
      <c r="K42" s="87" t="n">
        <f aca="false">AVERAGE(K34,K38)</f>
        <v>0</v>
      </c>
      <c r="L42" s="87" t="n">
        <v>0</v>
      </c>
      <c r="M42" s="87" t="n">
        <f aca="false">AVERAGE(M34,M38)</f>
        <v>0.277047571627511</v>
      </c>
      <c r="N42" s="87" t="n">
        <f aca="false">AVERAGE(N34,N38)</f>
        <v>0.351690882861151</v>
      </c>
      <c r="O42" s="87" t="n">
        <f aca="false">'Input data meat and eggs'!B80*'Common input data'!C63</f>
        <v>0.29205</v>
      </c>
      <c r="P42" s="87" t="n">
        <f aca="false">'Input data meat and eggs'!B91*'Common input data'!C63+'Input data meat and eggs'!C91*3.6*'Common input data'!B49</f>
        <v>0.158953817142857</v>
      </c>
      <c r="Q42" s="87" t="n">
        <f aca="false">F42+P42</f>
        <v>1.92872534442831</v>
      </c>
      <c r="R42" s="89" t="n">
        <f aca="false">'Common input data'!B92</f>
        <v>0.1</v>
      </c>
      <c r="S42" s="89" t="n">
        <f aca="false">'Common input data'!B102+'Common input data'!C102</f>
        <v>0.23</v>
      </c>
      <c r="T42" s="74"/>
      <c r="U42" s="30"/>
      <c r="V42" s="28"/>
      <c r="W42" s="30"/>
      <c r="X42" s="121"/>
      <c r="Y42" s="31"/>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c r="MO42" s="30"/>
      <c r="MP42" s="30"/>
      <c r="MQ42" s="30"/>
      <c r="MR42" s="30"/>
      <c r="MS42" s="30"/>
      <c r="MT42" s="30"/>
      <c r="MU42" s="30"/>
      <c r="MV42" s="30"/>
      <c r="MW42" s="30"/>
      <c r="MX42" s="30"/>
      <c r="MY42" s="30"/>
      <c r="MZ42" s="30"/>
      <c r="NA42" s="30"/>
      <c r="NB42" s="30"/>
      <c r="NC42" s="30"/>
      <c r="ND42" s="30"/>
      <c r="NE42" s="30"/>
      <c r="NF42" s="30"/>
      <c r="NG42" s="30"/>
      <c r="NH42" s="30"/>
      <c r="NI42" s="30"/>
      <c r="NJ42" s="30"/>
      <c r="NK42" s="30"/>
      <c r="NL42" s="30"/>
      <c r="NM42" s="30"/>
      <c r="NN42" s="30"/>
      <c r="NO42" s="30"/>
      <c r="NP42" s="30"/>
      <c r="NQ42" s="30"/>
      <c r="NR42" s="30"/>
      <c r="NS42" s="30"/>
      <c r="NT42" s="30"/>
      <c r="NU42" s="30"/>
      <c r="NV42" s="30"/>
      <c r="NW42" s="30"/>
      <c r="NX42" s="30"/>
      <c r="NY42" s="30"/>
      <c r="NZ42" s="30"/>
      <c r="OA42" s="30"/>
      <c r="OB42" s="30"/>
      <c r="OC42" s="30"/>
      <c r="OD42" s="30"/>
      <c r="OE42" s="30"/>
      <c r="OF42" s="30"/>
      <c r="OG42" s="30"/>
      <c r="OH42" s="30"/>
      <c r="OI42" s="30"/>
      <c r="OJ42" s="30"/>
      <c r="OK42" s="30"/>
      <c r="OL42" s="30"/>
    </row>
    <row r="43" s="83" customFormat="true" ht="14.4" hidden="false" customHeight="false" outlineLevel="0" collapsed="false">
      <c r="A43" s="99"/>
      <c r="B43" s="31"/>
      <c r="C43" s="31"/>
      <c r="D43" s="85" t="s">
        <v>135</v>
      </c>
      <c r="E43" s="86" t="n">
        <f aca="false">SUM(I43:L43)</f>
        <v>0.00269900158835167</v>
      </c>
      <c r="F43" s="87" t="n">
        <f aca="false">SUM(H43:L43,O43)</f>
        <v>0.00318464956700604</v>
      </c>
      <c r="G43" s="88" t="n">
        <f aca="false">SUM(Q43:S43)/(1-'Common input data'!B$126)</f>
        <v>0.00352075723199284</v>
      </c>
      <c r="H43" s="87" t="n">
        <f aca="false">AVERAGE(H35,H39)</f>
        <v>0.000485647978654373</v>
      </c>
      <c r="I43" s="87" t="n">
        <f aca="false">AVERAGE(I35,I39)</f>
        <v>0</v>
      </c>
      <c r="J43" s="87" t="n">
        <f aca="false">AVERAGE(J35,J39)</f>
        <v>0.00269900158835167</v>
      </c>
      <c r="K43" s="87" t="n">
        <f aca="false">AVERAGE(K35,K39)</f>
        <v>0</v>
      </c>
      <c r="L43" s="87" t="n">
        <v>0</v>
      </c>
      <c r="M43" s="87" t="n">
        <f aca="false">AVERAGE(M35,M39)</f>
        <v>0</v>
      </c>
      <c r="N43" s="87" t="n">
        <f aca="false">AVERAGE(N35,N39)</f>
        <v>0</v>
      </c>
      <c r="O43" s="87" t="n">
        <v>0</v>
      </c>
      <c r="P43" s="87" t="n">
        <f aca="false">'Input data meat and eggs'!C91*3.6*'Common input data'!B50</f>
        <v>2.62810285714286E-005</v>
      </c>
      <c r="Q43" s="87" t="n">
        <f aca="false">F43+P43</f>
        <v>0.00321093059557747</v>
      </c>
      <c r="R43" s="89" t="n">
        <v>0</v>
      </c>
      <c r="S43" s="89" t="n">
        <v>0</v>
      </c>
      <c r="T43" s="74"/>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c r="MO43" s="30"/>
      <c r="MP43" s="30"/>
      <c r="MQ43" s="30"/>
      <c r="MR43" s="30"/>
      <c r="MS43" s="30"/>
      <c r="MT43" s="30"/>
      <c r="MU43" s="30"/>
      <c r="MV43" s="30"/>
      <c r="MW43" s="30"/>
      <c r="MX43" s="30"/>
      <c r="MY43" s="30"/>
      <c r="MZ43" s="30"/>
      <c r="NA43" s="30"/>
      <c r="NB43" s="30"/>
      <c r="NC43" s="30"/>
      <c r="ND43" s="30"/>
      <c r="NE43" s="30"/>
      <c r="NF43" s="30"/>
      <c r="NG43" s="30"/>
      <c r="NH43" s="30"/>
      <c r="NI43" s="30"/>
      <c r="NJ43" s="30"/>
      <c r="NK43" s="30"/>
      <c r="NL43" s="30"/>
      <c r="NM43" s="30"/>
      <c r="NN43" s="30"/>
      <c r="NO43" s="30"/>
      <c r="NP43" s="30"/>
      <c r="NQ43" s="30"/>
      <c r="NR43" s="30"/>
      <c r="NS43" s="30"/>
      <c r="NT43" s="30"/>
      <c r="NU43" s="30"/>
      <c r="NV43" s="30"/>
      <c r="NW43" s="30"/>
      <c r="NX43" s="30"/>
      <c r="NY43" s="30"/>
      <c r="NZ43" s="30"/>
      <c r="OA43" s="30"/>
      <c r="OB43" s="30"/>
      <c r="OC43" s="30"/>
      <c r="OD43" s="30"/>
      <c r="OE43" s="30"/>
      <c r="OF43" s="30"/>
      <c r="OG43" s="30"/>
      <c r="OH43" s="30"/>
      <c r="OI43" s="30"/>
      <c r="OJ43" s="30"/>
      <c r="OK43" s="30"/>
      <c r="OL43" s="30"/>
    </row>
    <row r="44" customFormat="false" ht="14.4" hidden="false" customHeight="false" outlineLevel="0" collapsed="false">
      <c r="A44" s="99"/>
      <c r="C44" s="87"/>
      <c r="D44" s="31" t="s">
        <v>136</v>
      </c>
      <c r="E44" s="104" t="n">
        <f aca="false">SUM(I44:L44)</f>
        <v>0.002546971361927</v>
      </c>
      <c r="F44" s="105" t="n">
        <f aca="false">SUM(H44:L44,O44)</f>
        <v>0.00334250523181967</v>
      </c>
      <c r="G44" s="106" t="n">
        <f aca="false">SUM(Q44:S44)/(1-'Common input data'!B$126)</f>
        <v>0.0036677140435366</v>
      </c>
      <c r="H44" s="87" t="n">
        <f aca="false">AVERAGE(H36,H40)</f>
        <v>0.000795533869892661</v>
      </c>
      <c r="I44" s="87" t="n">
        <f aca="false">AVERAGE(I36,I40)</f>
        <v>0.00201078897129591</v>
      </c>
      <c r="J44" s="87" t="n">
        <f aca="false">AVERAGE(J36,J40)</f>
        <v>0.000454757257104972</v>
      </c>
      <c r="K44" s="87" t="n">
        <f aca="false">AVERAGE(K36,K40)</f>
        <v>8.14251335261201E-005</v>
      </c>
      <c r="L44" s="87" t="n">
        <v>0</v>
      </c>
      <c r="M44" s="87" t="n">
        <f aca="false">AVERAGE(M36,M40)</f>
        <v>0</v>
      </c>
      <c r="N44" s="87" t="n">
        <f aca="false">AVERAGE(N36,N40)</f>
        <v>0</v>
      </c>
      <c r="O44" s="87" t="n">
        <v>0</v>
      </c>
      <c r="P44" s="87" t="n">
        <f aca="false">'Input data meat and eggs'!C91*3.6*'Common input data'!B51</f>
        <v>2.44997588571429E-006</v>
      </c>
      <c r="Q44" s="87" t="n">
        <f aca="false">F44+P44</f>
        <v>0.00334495520770538</v>
      </c>
      <c r="R44" s="89" t="n">
        <v>0</v>
      </c>
      <c r="S44" s="89" t="n">
        <v>0</v>
      </c>
      <c r="T44" s="74"/>
    </row>
    <row r="45" s="115" customFormat="true" ht="14.4" hidden="false" customHeight="false" outlineLevel="0" collapsed="false">
      <c r="A45" s="107" t="s">
        <v>143</v>
      </c>
      <c r="B45" s="108"/>
      <c r="C45" s="69"/>
      <c r="D45" s="109"/>
      <c r="E45" s="110" t="s">
        <v>144</v>
      </c>
      <c r="F45" s="111" t="s">
        <v>144</v>
      </c>
      <c r="G45" s="112" t="s">
        <v>144</v>
      </c>
      <c r="H45" s="69"/>
      <c r="I45" s="69"/>
      <c r="J45" s="69"/>
      <c r="K45" s="70"/>
      <c r="L45" s="70"/>
      <c r="M45" s="113"/>
      <c r="N45" s="113"/>
      <c r="O45" s="114"/>
      <c r="P45" s="113"/>
      <c r="Q45" s="113"/>
      <c r="R45" s="113"/>
      <c r="S45" s="113"/>
      <c r="T45" s="74"/>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c r="MU45" s="30"/>
      <c r="MV45" s="30"/>
      <c r="MW45" s="30"/>
      <c r="MX45" s="30"/>
      <c r="MY45" s="30"/>
      <c r="MZ45" s="30"/>
      <c r="NA45" s="30"/>
      <c r="NB45" s="30"/>
      <c r="NC45" s="30"/>
      <c r="ND45" s="30"/>
      <c r="NE45" s="30"/>
      <c r="NF45" s="30"/>
      <c r="NG45" s="30"/>
      <c r="NH45" s="30"/>
      <c r="NI45" s="30"/>
    </row>
    <row r="46" s="83" customFormat="true" ht="14.4" hidden="false" customHeight="false" outlineLevel="0" collapsed="false">
      <c r="A46" s="75" t="s">
        <v>132</v>
      </c>
      <c r="B46" s="76"/>
      <c r="C46" s="77" t="n">
        <f aca="false">SUM(C50:C57)</f>
        <v>1</v>
      </c>
      <c r="D46" s="78" t="s">
        <v>133</v>
      </c>
      <c r="E46" s="79" t="n">
        <f aca="false">IF($F$1="GWP100 without fb",E47+E48*'Common input data'!$C$5+E49*'Common input data'!$D$5,IF($F$1="GWP100 with fb",E47+E48*'Common input data'!$C$6+E49*'Common input data'!$D$6,IF($F$1="GTP100 without fb",E47+E48*'Common input data'!$C$7+E49*'Common input data'!$D$7,IF($F$1="GTP100 with fb",E47+E48*'Common input data'!$C$8+E49*'Common input data'!$D$8,E47+E48*'Common input data'!$C$9+E49*'Common input data'!$D$9))))</f>
        <v>1.11394793607388</v>
      </c>
      <c r="F46" s="80" t="n">
        <f aca="false">IF($F$1="GWP100 without fb",F47+F48*'Common input data'!$C$5+F49*'Common input data'!$D$5,IF($F$1="GWP100 with fb",F47+F48*'Common input data'!$C$6+F49*'Common input data'!$D$6,IF($F$1="GTP100 without fb",F47+F48*'Common input data'!$C$7+F49*'Common input data'!$D$7,IF($F$1="GTP100 with fb",F47+F48*'Common input data'!$C$8+F49*'Common input data'!$D$8,F47+F48*'Common input data'!$C$9+F49*'Common input data'!$D$9))))</f>
        <v>2.1554347153305</v>
      </c>
      <c r="G46" s="81" t="n">
        <f aca="false">IF($F$1="GWP100 without fb",G47+G48*'Common input data'!$C$5+G49*'Common input data'!$D$5,IF($F$1="GWP100 with fb",G47+G48*'Common input data'!$C$6+G49*'Common input data'!$D$6,IF($F$1="GTP100 without fb",G47+G48*'Common input data'!$C$7+G49*'Common input data'!$D$7,IF($F$1="GTP100 with fb",G47+G48*'Common input data'!$C$8+G49*'Common input data'!$D$8,G47+G48*'Common input data'!$C$9+G49*'Common input data'!$D$9))))</f>
        <v>2.5264415738273</v>
      </c>
      <c r="H46" s="82"/>
      <c r="I46" s="82"/>
      <c r="J46" s="82"/>
      <c r="K46" s="78"/>
      <c r="L46" s="78"/>
      <c r="O46" s="84"/>
      <c r="T46" s="74"/>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c r="MO46" s="30"/>
      <c r="MP46" s="30"/>
      <c r="MQ46" s="30"/>
      <c r="MR46" s="30"/>
      <c r="MS46" s="30"/>
      <c r="MT46" s="30"/>
      <c r="MU46" s="30"/>
      <c r="MV46" s="30"/>
      <c r="MW46" s="30"/>
      <c r="MX46" s="30"/>
      <c r="MY46" s="30"/>
      <c r="MZ46" s="30"/>
      <c r="NA46" s="30"/>
      <c r="NB46" s="30"/>
      <c r="NC46" s="30"/>
      <c r="ND46" s="30"/>
      <c r="NE46" s="30"/>
      <c r="NF46" s="30"/>
      <c r="NG46" s="30"/>
      <c r="NH46" s="30"/>
      <c r="NI46" s="30"/>
      <c r="NJ46" s="30"/>
      <c r="NK46" s="30"/>
      <c r="NL46" s="30"/>
      <c r="NM46" s="30"/>
      <c r="NN46" s="30"/>
      <c r="NO46" s="30"/>
      <c r="NP46" s="30"/>
      <c r="NQ46" s="30"/>
      <c r="NR46" s="30"/>
      <c r="NS46" s="30"/>
      <c r="NT46" s="30"/>
      <c r="NU46" s="30"/>
      <c r="NV46" s="30"/>
      <c r="NW46" s="30"/>
      <c r="NX46" s="30"/>
      <c r="NY46" s="30"/>
      <c r="NZ46" s="30"/>
      <c r="OA46" s="30"/>
      <c r="OB46" s="30"/>
      <c r="OC46" s="30"/>
      <c r="OD46" s="30"/>
      <c r="OE46" s="30"/>
      <c r="OF46" s="30"/>
      <c r="OG46" s="30"/>
      <c r="OH46" s="30"/>
      <c r="OI46" s="30"/>
      <c r="OJ46" s="30"/>
      <c r="OK46" s="30"/>
      <c r="OL46" s="30"/>
    </row>
    <row r="47" customFormat="false" ht="14.4" hidden="false" customHeight="false" outlineLevel="0" collapsed="false">
      <c r="A47" s="74"/>
      <c r="D47" s="85" t="s">
        <v>134</v>
      </c>
      <c r="E47" s="86" t="n">
        <f aca="false">$C$50*E51+$C$54*E55</f>
        <v>0.40691641211274</v>
      </c>
      <c r="F47" s="87" t="n">
        <f aca="false">$C$50*F51+$C$54*F55</f>
        <v>1.23246110911877</v>
      </c>
      <c r="G47" s="118" t="n">
        <f aca="false">$C$50*G51+$C$54*G55</f>
        <v>1.51440911087584</v>
      </c>
      <c r="H47" s="87" t="n">
        <f aca="false">$C$50*H51+$C$54*H55</f>
        <v>0.768953029006025</v>
      </c>
      <c r="I47" s="87" t="n">
        <f aca="false">$C$50*I51+$C$54*I55</f>
        <v>0</v>
      </c>
      <c r="J47" s="87" t="n">
        <f aca="false">$C$50*J51+$C$54*J55</f>
        <v>0</v>
      </c>
      <c r="K47" s="87" t="n">
        <f aca="false">$C$50*K51+$C$54*K55</f>
        <v>0</v>
      </c>
      <c r="L47" s="87" t="n">
        <f aca="false">$C$50*L51+$C$54*L55</f>
        <v>0</v>
      </c>
      <c r="M47" s="87" t="n">
        <f aca="false">$C$50*M51+$C$54*M55</f>
        <v>0.198672904476985</v>
      </c>
      <c r="N47" s="87" t="n">
        <f aca="false">$C$50*N51+$C$54*N55</f>
        <v>0.208243507635755</v>
      </c>
      <c r="O47" s="87" t="n">
        <f aca="false">$C$50*O51+$C$54*O55</f>
        <v>0.056591668</v>
      </c>
      <c r="P47" s="87" t="n">
        <f aca="false">$C$50*P51+$C$54*P55</f>
        <v>0</v>
      </c>
      <c r="Q47" s="87" t="n">
        <f aca="false">$C$50*Q51+$C$54*Q55</f>
        <v>1.23246110911877</v>
      </c>
      <c r="R47" s="87" t="n">
        <f aca="false">$C$50*R51+$C$54*R55</f>
        <v>0.1</v>
      </c>
      <c r="S47" s="87" t="n">
        <f aca="false">$C$50*S51+$C$54*S55</f>
        <v>0.04868</v>
      </c>
      <c r="T47" s="74"/>
    </row>
    <row r="48" customFormat="false" ht="14.4" hidden="false" customHeight="false" outlineLevel="0" collapsed="false">
      <c r="A48" s="91"/>
      <c r="B48" s="92"/>
      <c r="C48" s="93"/>
      <c r="D48" s="85" t="s">
        <v>135</v>
      </c>
      <c r="E48" s="86" t="n">
        <f aca="false">$C$50*E52+$C$54*E56</f>
        <v>0.00259625892568003</v>
      </c>
      <c r="F48" s="87" t="n">
        <f aca="false">$C$50*F52+$C$54*F56</f>
        <v>0.00322536238416149</v>
      </c>
      <c r="G48" s="118" t="n">
        <f aca="false">$C$50*G52+$C$54*G56</f>
        <v>0.00353658156158058</v>
      </c>
      <c r="H48" s="87" t="n">
        <f aca="false">$C$50*H52+$C$54*H56</f>
        <v>0.000629103458481463</v>
      </c>
      <c r="I48" s="87" t="n">
        <f aca="false">$C$50*I52+$C$54*I56</f>
        <v>0</v>
      </c>
      <c r="J48" s="87" t="n">
        <f aca="false">$C$50*J52+$C$54*J56</f>
        <v>0.00259625892568003</v>
      </c>
      <c r="K48" s="87" t="n">
        <f aca="false">$C$50*K52+$C$54*K56</f>
        <v>0</v>
      </c>
      <c r="L48" s="87" t="n">
        <f aca="false">$C$50*L52+$C$54*L56</f>
        <v>0</v>
      </c>
      <c r="M48" s="87" t="n">
        <f aca="false">$C$50*M52+$C$54*M56</f>
        <v>0</v>
      </c>
      <c r="N48" s="87" t="n">
        <f aca="false">$C$50*N52+$C$54*N56</f>
        <v>0</v>
      </c>
      <c r="O48" s="87" t="n">
        <f aca="false">$C$50*O52+$C$54*O56</f>
        <v>0</v>
      </c>
      <c r="P48" s="87" t="n">
        <f aca="false">$C$50*P52+$C$54*P56</f>
        <v>0</v>
      </c>
      <c r="Q48" s="87" t="n">
        <f aca="false">$C$50*Q52+$C$54*Q56</f>
        <v>0.00322536238416149</v>
      </c>
      <c r="R48" s="87" t="n">
        <f aca="false">$C$50*R52+$C$54*R56</f>
        <v>0</v>
      </c>
      <c r="S48" s="87" t="n">
        <f aca="false">$C$50*S52+$C$54*S56</f>
        <v>0</v>
      </c>
      <c r="T48" s="74"/>
    </row>
    <row r="49" customFormat="false" ht="14.4" hidden="false" customHeight="false" outlineLevel="0" collapsed="false">
      <c r="A49" s="91"/>
      <c r="B49" s="92"/>
      <c r="C49" s="87"/>
      <c r="D49" s="31" t="s">
        <v>136</v>
      </c>
      <c r="E49" s="86" t="n">
        <f aca="false">$C$50*E53+$C$54*E57</f>
        <v>0.00207637154526182</v>
      </c>
      <c r="F49" s="87" t="n">
        <f aca="false">$C$50*F53+$C$54*F57</f>
        <v>0.00272923250050417</v>
      </c>
      <c r="G49" s="118" t="n">
        <f aca="false">$C$50*G53+$C$54*G57</f>
        <v>0.00299257949616685</v>
      </c>
      <c r="H49" s="87" t="n">
        <f aca="false">$C$50*H53+$C$54*H57</f>
        <v>0.000652860955242352</v>
      </c>
      <c r="I49" s="87" t="n">
        <f aca="false">$C$50*I53+$C$54*I57</f>
        <v>0.00165016934950634</v>
      </c>
      <c r="J49" s="87" t="n">
        <f aca="false">$C$50*J53+$C$54*J57</f>
        <v>0.000319760237959365</v>
      </c>
      <c r="K49" s="87" t="n">
        <f aca="false">$C$50*K53+$C$54*K57</f>
        <v>0.000106441957796111</v>
      </c>
      <c r="L49" s="87" t="n">
        <f aca="false">$C$50*L53+$C$54*L57</f>
        <v>0</v>
      </c>
      <c r="M49" s="87" t="n">
        <f aca="false">$C$50*M53+$C$54*M57</f>
        <v>0</v>
      </c>
      <c r="N49" s="87" t="n">
        <f aca="false">$C$50*N53+$C$54*N57</f>
        <v>0</v>
      </c>
      <c r="O49" s="87" t="n">
        <f aca="false">$C$50*O53+$C$54*O57</f>
        <v>0</v>
      </c>
      <c r="P49" s="87" t="n">
        <f aca="false">$C$50*P53+$C$54*P57</f>
        <v>0</v>
      </c>
      <c r="Q49" s="87" t="n">
        <f aca="false">$C$50*Q53+$C$54*Q57</f>
        <v>0.00272923250050417</v>
      </c>
      <c r="R49" s="87" t="n">
        <f aca="false">$C$50*R53+$C$54*R57</f>
        <v>0</v>
      </c>
      <c r="S49" s="87" t="n">
        <f aca="false">$C$50*S53+$C$54*S57</f>
        <v>0</v>
      </c>
      <c r="T49" s="74"/>
    </row>
    <row r="50" s="83" customFormat="true" ht="14.4" hidden="false" customHeight="false" outlineLevel="0" collapsed="false">
      <c r="A50" s="75" t="s">
        <v>137</v>
      </c>
      <c r="B50" s="76" t="s">
        <v>138</v>
      </c>
      <c r="C50" s="77" t="n">
        <f aca="false">'Input data meat and eggs'!D22</f>
        <v>0.9066</v>
      </c>
      <c r="D50" s="78" t="s">
        <v>133</v>
      </c>
      <c r="E50" s="94" t="n">
        <f aca="false">IF($F$1="GWP100 without fb",E51+E52*'Common input data'!$C$5+E53*'Common input data'!$D$5,IF($F$1="GWP100 with fb",E51+E52*'Common input data'!$C$6+E53*'Common input data'!$D$6,IF($F$1="GTP100 without fb",E51+E52*'Common input data'!$C$7+E53*'Common input data'!$D$7,IF($F$1="GTP100 with fb",E51+E52*'Common input data'!$C$8+E53*'Common input data'!$D$8,E51+E52*'Common input data'!$C$9+E53*'Common input data'!$D$9))))</f>
        <v>1.11394793607388</v>
      </c>
      <c r="F50" s="95" t="n">
        <f aca="false">IF($F$1="GWP100 without fb",F51+F52*'Common input data'!$C$5+F53*'Common input data'!$D$5,IF($F$1="GWP100 with fb",F51+F52*'Common input data'!$C$6+F53*'Common input data'!$D$6,IF($F$1="GTP100 without fb",F51+F52*'Common input data'!$C$7+F53*'Common input data'!$D$7,IF($F$1="GTP100 with fb",F51+F52*'Common input data'!$C$8+F53*'Common input data'!$D$8,F51+F52*'Common input data'!$C$9+F53*'Common input data'!$D$9))))</f>
        <v>2.1463730473305</v>
      </c>
      <c r="G50" s="96" t="n">
        <f aca="false">IF($F$1="GWP100 without fb",G51+G52*'Common input data'!$C$5+G53*'Common input data'!$D$5,IF($F$1="GWP100 with fb",G51+G52*'Common input data'!$C$6+G53*'Common input data'!$D$6,IF($F$1="GTP100 without fb",G51+G52*'Common input data'!$C$7+G53*'Common input data'!$D$7,IF($F$1="GTP100 with fb",G51+G52*'Common input data'!$C$8+G53*'Common input data'!$D$8,G51+G52*'Common input data'!$C$9+G53*'Common input data'!$D$9))))</f>
        <v>2.49602307821327</v>
      </c>
      <c r="H50" s="97"/>
      <c r="I50" s="97"/>
      <c r="J50" s="97"/>
      <c r="K50" s="98"/>
      <c r="L50" s="98"/>
      <c r="T50" s="74"/>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c r="MU50" s="30"/>
      <c r="MV50" s="30"/>
      <c r="MW50" s="30"/>
      <c r="MX50" s="30"/>
      <c r="MY50" s="30"/>
      <c r="MZ50" s="30"/>
      <c r="NA50" s="30"/>
      <c r="NB50" s="30"/>
      <c r="NC50" s="30"/>
      <c r="ND50" s="30"/>
      <c r="NE50" s="30"/>
      <c r="NF50" s="30"/>
      <c r="NG50" s="30"/>
      <c r="NH50" s="30"/>
      <c r="NI50" s="30"/>
      <c r="NJ50" s="30"/>
      <c r="NK50" s="30"/>
      <c r="NL50" s="30"/>
      <c r="NM50" s="30"/>
      <c r="NN50" s="30"/>
      <c r="NO50" s="30"/>
      <c r="NP50" s="30"/>
      <c r="NQ50" s="30"/>
      <c r="NR50" s="30"/>
      <c r="NS50" s="30"/>
      <c r="NT50" s="30"/>
      <c r="NU50" s="30"/>
      <c r="NV50" s="30"/>
      <c r="NW50" s="30"/>
      <c r="NX50" s="30"/>
      <c r="NY50" s="30"/>
      <c r="NZ50" s="30"/>
      <c r="OA50" s="30"/>
      <c r="OB50" s="30"/>
      <c r="OC50" s="30"/>
      <c r="OD50" s="30"/>
      <c r="OE50" s="30"/>
      <c r="OF50" s="30"/>
      <c r="OG50" s="30"/>
      <c r="OH50" s="30"/>
      <c r="OI50" s="30"/>
      <c r="OJ50" s="30"/>
      <c r="OK50" s="30"/>
      <c r="OL50" s="30"/>
    </row>
    <row r="51" s="83" customFormat="true" ht="14.4" hidden="false" customHeight="false" outlineLevel="0" collapsed="false">
      <c r="A51" s="99"/>
      <c r="B51" s="31"/>
      <c r="C51" s="30"/>
      <c r="D51" s="85" t="s">
        <v>134</v>
      </c>
      <c r="E51" s="86" t="n">
        <f aca="false">IF(AND($F$2="No",$F$3="No"),SUM(I51:L51),IF(AND($F$2="Yes", $F$3="No"), SUM(I51:L51)+N51, IF(AND($F$2="No", $F$3="Yes"),SUM(I51:L51)+M51, SUM(I51:L51)+N51+M51)))</f>
        <v>0.40691641211274</v>
      </c>
      <c r="F51" s="87" t="n">
        <f aca="false">IF(AND($F$2="No",$F$3="No"),SUM(H51:L51,O51),IF(AND($F$2="Yes", $F$3="No"), SUM(H51:L51,O51)+N51, IF(AND($F$2="No", $F$3="Yes"),SUM(H51:L51,O51)+M51, SUM(H51:L51,O51)+N51+M51)))</f>
        <v>1.22339944111877</v>
      </c>
      <c r="G51" s="88" t="n">
        <f aca="false">SUM(Q51:S51)/(1-'Common input data'!B$126)</f>
        <v>1.4839906152618</v>
      </c>
      <c r="H51" s="87" t="n">
        <f aca="false">'Input data meat and eggs'!$B$343*(('Input data meat and eggs'!D62*'Input data meat and eggs'!B35)+('Input data meat and eggs'!D63*'Input data meat and eggs'!B36)+('Input data meat and eggs'!D64*(SUMPRODUCT('Input data meat and eggs'!D65:D74,'Input data meat and eggs'!B37:B46))))*'Input data meat and eggs'!B56</f>
        <v>0.768953029006025</v>
      </c>
      <c r="I51" s="87" t="n">
        <f aca="false">'Input data meat and eggs'!$B$343*(('Input data meat and eggs'!D62*'Input data meat and eggs'!B35)+('Input data meat and eggs'!D63*'Input data meat and eggs'!B36)+('Input data meat and eggs'!D64*(SUMPRODUCT('Input data meat and eggs'!D65:D74,'Input data meat and eggs'!B37:B46))))*'Input data meat and eggs'!C56</f>
        <v>0</v>
      </c>
      <c r="J51" s="87" t="n">
        <v>0</v>
      </c>
      <c r="K51" s="87" t="n">
        <v>0</v>
      </c>
      <c r="L51" s="87" t="n">
        <v>0</v>
      </c>
      <c r="M51" s="87" t="n">
        <f aca="false">'Input data meat and eggs'!B343*(('Input data meat and eggs'!D62+'Input data meat and eggs'!D63)*'Common input data'!B13)+('Input data meat and eggs'!D64*('Input data meat and eggs'!D65*'Common input data'!B13*'Common input data'!G28/'Common input data'!F28+'Input data meat and eggs'!D68*'Common input data'!D13+'Input data meat and eggs'!D69*'Common input data'!D13*'Common input data'!G26/'Common input data'!F26+'Input data meat and eggs'!D71*'Common input data'!C13*'Common input data'!G30/'Common input data'!F30+'Input data meat and eggs'!D72*'Common input data'!C13))</f>
        <v>0.198672904476985</v>
      </c>
      <c r="N51" s="87" t="n">
        <f aca="false">'Input data meat and eggs'!B343*'Input data meat and eggs'!D64*'Input data meat and eggs'!D71*'Common input data'!B21*'Common input data'!G30/'Common input data'!F30</f>
        <v>0.208243507635755</v>
      </c>
      <c r="O51" s="87" t="n">
        <f aca="false">'Input data meat and eggs'!B81*'Common input data'!B63</f>
        <v>0.04753</v>
      </c>
      <c r="P51" s="87" t="n">
        <v>0</v>
      </c>
      <c r="Q51" s="87" t="n">
        <f aca="false">(F51+P51)</f>
        <v>1.22339944111877</v>
      </c>
      <c r="R51" s="89" t="n">
        <f aca="false">'Common input data'!B92</f>
        <v>0.1</v>
      </c>
      <c r="S51" s="89" t="n">
        <f aca="false">'Common input data'!C98</f>
        <v>0.03</v>
      </c>
      <c r="T51" s="74"/>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row>
    <row r="52" customFormat="false" ht="14.4" hidden="false" customHeight="false" outlineLevel="0" collapsed="false">
      <c r="A52" s="99"/>
      <c r="C52" s="93"/>
      <c r="D52" s="85" t="s">
        <v>135</v>
      </c>
      <c r="E52" s="86" t="n">
        <f aca="false">SUM(I52:L52)</f>
        <v>0.00259625892568003</v>
      </c>
      <c r="F52" s="87" t="n">
        <f aca="false">SUM(H52:L52,O52)</f>
        <v>0.00322536238416149</v>
      </c>
      <c r="G52" s="88" t="n">
        <f aca="false">SUM(Q52:S52)/(1-'Common input data'!B$126)</f>
        <v>0.00353658156158058</v>
      </c>
      <c r="H52" s="87" t="n">
        <f aca="false">'Input data meat and eggs'!$B$343*(('Input data meat and eggs'!D62*'Input data meat and eggs'!C35)+('Input data meat and eggs'!D63*'Input data meat and eggs'!C36)+('Input data meat and eggs'!D64*(SUMPRODUCT('Input data meat and eggs'!D65:D74,'Input data meat and eggs'!C37:C46))))*'Input data meat and eggs'!B57</f>
        <v>0.000629103458481463</v>
      </c>
      <c r="I52" s="87" t="n">
        <f aca="false">'Input data meat and eggs'!$B$343*(('Input data meat and eggs'!D62*'Input data meat and eggs'!C35)+('Input data meat and eggs'!D63*'Input data meat and eggs'!C36)+('Input data meat and eggs'!D64*(SUMPRODUCT('Input data meat and eggs'!D65:D74,'Input data meat and eggs'!C37:C46))))*'Input data meat and eggs'!C57</f>
        <v>0</v>
      </c>
      <c r="J52" s="87" t="n">
        <f aca="false">'Input data meat and eggs'!B364/'Input data meat and eggs'!B335</f>
        <v>0.00259625892568003</v>
      </c>
      <c r="K52" s="87" t="n">
        <v>0</v>
      </c>
      <c r="L52" s="87" t="n">
        <v>0</v>
      </c>
      <c r="M52" s="87" t="n">
        <v>0</v>
      </c>
      <c r="N52" s="87" t="n">
        <v>0</v>
      </c>
      <c r="O52" s="87" t="n">
        <v>0</v>
      </c>
      <c r="P52" s="87" t="n">
        <v>0</v>
      </c>
      <c r="Q52" s="87" t="n">
        <f aca="false">(F52+P52)</f>
        <v>0.00322536238416149</v>
      </c>
      <c r="R52" s="89" t="n">
        <v>0</v>
      </c>
      <c r="S52" s="89" t="n">
        <v>0</v>
      </c>
      <c r="T52" s="74"/>
    </row>
    <row r="53" customFormat="false" ht="14.4" hidden="false" customHeight="false" outlineLevel="0" collapsed="false">
      <c r="A53" s="100"/>
      <c r="B53" s="101"/>
      <c r="C53" s="87"/>
      <c r="D53" s="31" t="s">
        <v>136</v>
      </c>
      <c r="E53" s="86" t="n">
        <f aca="false">SUM(I53:L53)</f>
        <v>0.00207637154526182</v>
      </c>
      <c r="F53" s="87" t="n">
        <f aca="false">SUM(H53:L53,O53)</f>
        <v>0.00272923250050417</v>
      </c>
      <c r="G53" s="88" t="n">
        <f aca="false">SUM(Q53:S53)/(1-'Common input data'!B$126)</f>
        <v>0.00299257949616685</v>
      </c>
      <c r="H53" s="87" t="n">
        <f aca="false">'Input data meat and eggs'!$B$343*(('Input data meat and eggs'!D62*'Input data meat and eggs'!D35)+('Input data meat and eggs'!D63*'Input data meat and eggs'!D36)+('Input data meat and eggs'!D64*(SUMPRODUCT('Input data meat and eggs'!D65:D74,'Input data meat and eggs'!D37:D46))))*'Input data meat and eggs'!B58</f>
        <v>0.000652860955242352</v>
      </c>
      <c r="I53" s="87" t="n">
        <f aca="false">'Input data meat and eggs'!$B$343*(('Input data meat and eggs'!D62*'Input data meat and eggs'!D35)+('Input data meat and eggs'!D63*'Input data meat and eggs'!D36)+('Input data meat and eggs'!D64*(SUMPRODUCT('Input data meat and eggs'!D65:D74,'Input data meat and eggs'!D37:D46))))*'Input data meat and eggs'!C58</f>
        <v>0.00165016934950634</v>
      </c>
      <c r="J53" s="87" t="n">
        <f aca="false">(('Input data meat and eggs'!B356*'Input data meat and eggs'!B367+'Input data meat and eggs'!B358*'Input data meat and eggs'!B368+'Input data meat and eggs'!B360*'Input data meat and eggs'!B369)*44/28)/'Input data meat and eggs'!B335</f>
        <v>0.000319760237959365</v>
      </c>
      <c r="K53" s="87" t="n">
        <f aca="false">SUM('Input data meat and eggs'!B382:B386)*'Input data meat and eggs'!B370*44/28/'Input data meat and eggs'!B335</f>
        <v>0.000106441957796111</v>
      </c>
      <c r="L53" s="87" t="n">
        <v>0</v>
      </c>
      <c r="M53" s="87" t="n">
        <v>0</v>
      </c>
      <c r="N53" s="87" t="n">
        <v>0</v>
      </c>
      <c r="O53" s="87" t="n">
        <v>0</v>
      </c>
      <c r="P53" s="87" t="n">
        <v>0</v>
      </c>
      <c r="Q53" s="87" t="n">
        <f aca="false">(F53+P53)</f>
        <v>0.00272923250050417</v>
      </c>
      <c r="R53" s="89" t="n">
        <v>0</v>
      </c>
      <c r="S53" s="89" t="n">
        <v>0</v>
      </c>
      <c r="T53" s="74"/>
    </row>
    <row r="54" s="83" customFormat="true" ht="14.4" hidden="false" customHeight="false" outlineLevel="0" collapsed="false">
      <c r="A54" s="75" t="s">
        <v>141</v>
      </c>
      <c r="B54" s="76" t="s">
        <v>138</v>
      </c>
      <c r="C54" s="77" t="n">
        <f aca="false">'Input data meat and eggs'!D23</f>
        <v>0.0933999999999999</v>
      </c>
      <c r="D54" s="78" t="s">
        <v>133</v>
      </c>
      <c r="E54" s="94" t="n">
        <f aca="false">IF($F$1="GWP100 without fb",E55+E56*'Common input data'!$C$5+E57*'Common input data'!$D$5,IF($F$1="GWP100 with fb",E55+E56*'Common input data'!$C$6+E57*'Common input data'!$D$6,IF($F$1="GTP100 without fb",E55+E56*'Common input data'!$C$7+E57*'Common input data'!$D$7,IF($F$1="GTP100 with fb",E55+E56*'Common input data'!$C$8+E57*'Common input data'!$D$8,E55+E56*'Common input data'!$C$9+E57*'Common input data'!$D$9))))</f>
        <v>1.11394793607388</v>
      </c>
      <c r="F54" s="95" t="n">
        <f aca="false">IF($F$1="GWP100 without fb",F55+F56*'Common input data'!$C$5+F57*'Common input data'!$D$5,IF($F$1="GWP100 with fb",F55+F56*'Common input data'!$C$6+F57*'Common input data'!$D$6,IF($F$1="GTP100 without fb",F55+F56*'Common input data'!$C$7+F57*'Common input data'!$D$7,IF($F$1="GTP100 with fb",F55+F56*'Common input data'!$C$8+F57*'Common input data'!$D$8,F55+F56*'Common input data'!$C$9+F57*'Common input data'!$D$9))))</f>
        <v>2.2433930473305</v>
      </c>
      <c r="G54" s="96" t="n">
        <f aca="false">IF($F$1="GWP100 without fb",G55+G56*'Common input data'!$C$5+G57*'Common input data'!$D$5,IF($F$1="GWP100 with fb",G55+G56*'Common input data'!$C$6+G57*'Common input data'!$D$6,IF($F$1="GTP100 without fb",G55+G56*'Common input data'!$C$7+G57*'Common input data'!$D$7,IF($F$1="GTP100 with fb",G55+G56*'Common input data'!$C$8+G57*'Common input data'!$D$8,G55+G56*'Common input data'!$C$9+G57*'Common input data'!$D$9))))</f>
        <v>2.82170290277467</v>
      </c>
      <c r="H54" s="97"/>
      <c r="I54" s="97"/>
      <c r="J54" s="97"/>
      <c r="K54" s="98"/>
      <c r="L54" s="98"/>
      <c r="T54" s="74"/>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row>
    <row r="55" s="83" customFormat="true" ht="14.4" hidden="false" customHeight="false" outlineLevel="0" collapsed="false">
      <c r="A55" s="99"/>
      <c r="B55" s="31"/>
      <c r="C55" s="30"/>
      <c r="D55" s="85" t="s">
        <v>134</v>
      </c>
      <c r="E55" s="86" t="n">
        <f aca="false">IF(AND($F$2="No",$F$3="No"),SUM(I55:L55),IF(AND($F$2="Yes", $F$3="No"), SUM(I55:L55)+N55, IF(AND($F$2="No", $F$3="Yes"),SUM(I55:L55)+M55, SUM(I55:L55)+N55+M55)))</f>
        <v>0.40691641211274</v>
      </c>
      <c r="F55" s="87" t="n">
        <f aca="false">IF(AND($F$2="No",$F$3="No"),SUM(H55:L55,O55),IF(AND($F$2="Yes", $F$3="No"), SUM(H55:L55,O55)+N55, IF(AND($F$2="No", $F$3="Yes"),SUM(H55:L55,O55)+M55, SUM(H55:L55,O55)+N55+M55)))</f>
        <v>1.32041944111876</v>
      </c>
      <c r="G55" s="88" t="n">
        <f aca="false">SUM(Q55:S55)/(1-'Common input data'!B$126)</f>
        <v>1.80967043982321</v>
      </c>
      <c r="H55" s="87" t="n">
        <f aca="false">H51</f>
        <v>0.768953029006025</v>
      </c>
      <c r="I55" s="87" t="n">
        <f aca="false">I51</f>
        <v>0</v>
      </c>
      <c r="J55" s="87" t="n">
        <f aca="false">J51</f>
        <v>0</v>
      </c>
      <c r="K55" s="87" t="n">
        <f aca="false">K51</f>
        <v>0</v>
      </c>
      <c r="L55" s="87" t="n">
        <f aca="false">L51</f>
        <v>0</v>
      </c>
      <c r="M55" s="87" t="n">
        <f aca="false">M51</f>
        <v>0.198672904476985</v>
      </c>
      <c r="N55" s="87" t="n">
        <f aca="false">N51</f>
        <v>0.208243507635755</v>
      </c>
      <c r="O55" s="87" t="n">
        <f aca="false">'Input data meat and eggs'!B81*'Common input data'!C63</f>
        <v>0.14455</v>
      </c>
      <c r="P55" s="87" t="n">
        <v>0</v>
      </c>
      <c r="Q55" s="87" t="n">
        <f aca="false">(F55+P55)</f>
        <v>1.32041944111876</v>
      </c>
      <c r="R55" s="89" t="n">
        <f aca="false">'Common input data'!B92</f>
        <v>0.1</v>
      </c>
      <c r="S55" s="89" t="n">
        <f aca="false">'Common input data'!B102+'Common input data'!C102</f>
        <v>0.23</v>
      </c>
      <c r="T55" s="74"/>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c r="MU55" s="30"/>
      <c r="MV55" s="30"/>
      <c r="MW55" s="30"/>
      <c r="MX55" s="30"/>
      <c r="MY55" s="30"/>
      <c r="MZ55" s="30"/>
      <c r="NA55" s="30"/>
      <c r="NB55" s="30"/>
      <c r="NC55" s="30"/>
      <c r="ND55" s="30"/>
      <c r="NE55" s="30"/>
      <c r="NF55" s="30"/>
      <c r="NG55" s="30"/>
      <c r="NH55" s="30"/>
      <c r="NI55" s="30"/>
      <c r="NJ55" s="30"/>
      <c r="NK55" s="30"/>
      <c r="NL55" s="30"/>
      <c r="NM55" s="30"/>
      <c r="NN55" s="30"/>
      <c r="NO55" s="30"/>
      <c r="NP55" s="30"/>
      <c r="NQ55" s="30"/>
      <c r="NR55" s="30"/>
      <c r="NS55" s="30"/>
      <c r="NT55" s="30"/>
      <c r="NU55" s="30"/>
      <c r="NV55" s="30"/>
      <c r="NW55" s="30"/>
      <c r="NX55" s="30"/>
      <c r="NY55" s="30"/>
      <c r="NZ55" s="30"/>
      <c r="OA55" s="30"/>
      <c r="OB55" s="30"/>
      <c r="OC55" s="30"/>
      <c r="OD55" s="30"/>
      <c r="OE55" s="30"/>
      <c r="OF55" s="30"/>
      <c r="OG55" s="30"/>
      <c r="OH55" s="30"/>
      <c r="OI55" s="30"/>
      <c r="OJ55" s="30"/>
      <c r="OK55" s="30"/>
      <c r="OL55" s="30"/>
    </row>
    <row r="56" customFormat="false" ht="14.4" hidden="false" customHeight="false" outlineLevel="0" collapsed="false">
      <c r="A56" s="99"/>
      <c r="C56" s="31"/>
      <c r="D56" s="85" t="s">
        <v>135</v>
      </c>
      <c r="E56" s="86" t="n">
        <f aca="false">SUM(I56:L56)</f>
        <v>0.00259625892568003</v>
      </c>
      <c r="F56" s="87" t="n">
        <f aca="false">SUM(H56:L56,O56)</f>
        <v>0.00322536238416149</v>
      </c>
      <c r="G56" s="88" t="n">
        <f aca="false">SUM(Q56:S56)/(1-'Common input data'!B$126)</f>
        <v>0.00353658156158058</v>
      </c>
      <c r="H56" s="87" t="n">
        <f aca="false">H52</f>
        <v>0.000629103458481463</v>
      </c>
      <c r="I56" s="87" t="n">
        <f aca="false">I52</f>
        <v>0</v>
      </c>
      <c r="J56" s="87" t="n">
        <f aca="false">J52</f>
        <v>0.00259625892568003</v>
      </c>
      <c r="K56" s="87" t="n">
        <f aca="false">K52</f>
        <v>0</v>
      </c>
      <c r="L56" s="87" t="n">
        <f aca="false">L52</f>
        <v>0</v>
      </c>
      <c r="M56" s="87" t="n">
        <f aca="false">M52</f>
        <v>0</v>
      </c>
      <c r="N56" s="87" t="n">
        <f aca="false">N52</f>
        <v>0</v>
      </c>
      <c r="O56" s="87" t="n">
        <v>0</v>
      </c>
      <c r="P56" s="87" t="n">
        <v>0</v>
      </c>
      <c r="Q56" s="87" t="n">
        <f aca="false">(F56+P56)</f>
        <v>0.00322536238416149</v>
      </c>
      <c r="R56" s="89" t="n">
        <v>0</v>
      </c>
      <c r="S56" s="89" t="n">
        <v>0</v>
      </c>
      <c r="T56" s="74"/>
    </row>
    <row r="57" customFormat="false" ht="14.4" hidden="false" customHeight="false" outlineLevel="0" collapsed="false">
      <c r="A57" s="124"/>
      <c r="B57" s="125"/>
      <c r="C57" s="105"/>
      <c r="D57" s="125" t="s">
        <v>136</v>
      </c>
      <c r="E57" s="104" t="n">
        <f aca="false">SUM(I57:L57)</f>
        <v>0.00207637154526182</v>
      </c>
      <c r="F57" s="105" t="n">
        <f aca="false">SUM(H57:L57,O57)</f>
        <v>0.00272923250050417</v>
      </c>
      <c r="G57" s="106" t="n">
        <f aca="false">SUM(Q57:S57)/(1-'Common input data'!B$126)</f>
        <v>0.00299257949616685</v>
      </c>
      <c r="H57" s="105" t="n">
        <f aca="false">H53</f>
        <v>0.000652860955242352</v>
      </c>
      <c r="I57" s="105" t="n">
        <f aca="false">I53</f>
        <v>0.00165016934950634</v>
      </c>
      <c r="J57" s="105" t="n">
        <f aca="false">J53</f>
        <v>0.000319760237959365</v>
      </c>
      <c r="K57" s="105" t="n">
        <f aca="false">K53</f>
        <v>0.000106441957796111</v>
      </c>
      <c r="L57" s="105" t="n">
        <f aca="false">L53</f>
        <v>0</v>
      </c>
      <c r="M57" s="105" t="n">
        <f aca="false">M53</f>
        <v>0</v>
      </c>
      <c r="N57" s="105" t="n">
        <f aca="false">N53</f>
        <v>0</v>
      </c>
      <c r="O57" s="105" t="n">
        <v>0</v>
      </c>
      <c r="P57" s="105" t="n">
        <v>0</v>
      </c>
      <c r="Q57" s="105" t="n">
        <f aca="false">(F57+P57)</f>
        <v>0.00272923250050417</v>
      </c>
      <c r="R57" s="126" t="n">
        <v>0</v>
      </c>
      <c r="S57" s="126" t="n">
        <v>0</v>
      </c>
      <c r="T57" s="74"/>
    </row>
    <row r="58" s="52" customFormat="true" ht="14.4" hidden="false" customHeight="false" outlineLevel="0" collapsed="false">
      <c r="A58" s="127" t="s">
        <v>145</v>
      </c>
      <c r="B58" s="128"/>
      <c r="C58" s="129"/>
      <c r="D58" s="130"/>
      <c r="E58" s="110" t="s">
        <v>131</v>
      </c>
      <c r="F58" s="111" t="s">
        <v>131</v>
      </c>
      <c r="G58" s="112" t="s">
        <v>131</v>
      </c>
      <c r="H58" s="129"/>
      <c r="I58" s="129"/>
      <c r="J58" s="129"/>
      <c r="K58" s="131"/>
      <c r="L58" s="131"/>
      <c r="M58" s="132"/>
      <c r="N58" s="132"/>
      <c r="O58" s="133"/>
      <c r="P58" s="132"/>
      <c r="Q58" s="132"/>
      <c r="R58" s="132"/>
      <c r="S58" s="132"/>
      <c r="T58" s="74"/>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row>
    <row r="59" s="83" customFormat="true" ht="14.4" hidden="false" customHeight="false" outlineLevel="0" collapsed="false">
      <c r="A59" s="134" t="s">
        <v>132</v>
      </c>
      <c r="B59" s="135"/>
      <c r="C59" s="136" t="n">
        <f aca="false">SUM(C63:C207)</f>
        <v>1.00007066338109</v>
      </c>
      <c r="D59" s="137" t="s">
        <v>133</v>
      </c>
      <c r="E59" s="138" t="n">
        <f aca="false">IF($F$1="GWP100 without fb",E60+E61*'Common input data'!$C$5+E62*'Common input data'!$D$5,IF($F$1="GWP100 with fb",E60+E61*'Common input data'!$C$6+E62*'Common input data'!$D$6,IF($F$1="GTP100 without fb",E60+E61*'Common input data'!$C$7+E62*'Common input data'!$D$7,IF($F$1="GTP100 with fb",E60+E61*'Common input data'!$C$8+E62*'Common input data'!$D$8,E60+E61*'Common input data'!$C$9+E62*'Common input data'!$D$9))))</f>
        <v>17.3513261995059</v>
      </c>
      <c r="F59" s="139" t="n">
        <f aca="false">IF($F$1="GWP100 without fb",F60+F61*'Common input data'!$C$5+F62*'Common input data'!$D$5,IF($F$1="GWP100 with fb",F60+F61*'Common input data'!$C$6+F62*'Common input data'!$D$6,IF($F$1="GTP100 without fb",F60+F61*'Common input data'!$C$7+F62*'Common input data'!$D$7,IF($F$1="GTP100 with fb",F60+F61*'Common input data'!$C$8+F62*'Common input data'!$D$8,F60+F61*'Common input data'!$C$9+F62*'Common input data'!$D$9))))</f>
        <v>21.6706567986557</v>
      </c>
      <c r="G59" s="140" t="n">
        <f aca="false">IF($F$1="GWP100 without fb",G60+G61*'Common input data'!$C$5+G62*'Common input data'!$D$5,IF($F$1="GWP100 with fb",G60+G61*'Common input data'!$C$6+G62*'Common input data'!$D$6,IF($F$1="GTP100 without fb",G60+G61*'Common input data'!$C$7+G62*'Common input data'!$D$7,IF($F$1="GTP100 with fb",G60+G61*'Common input data'!$C$8+G62*'Common input data'!$D$8,G60+G61*'Common input data'!$C$9+G62*'Common input data'!$D$9))))</f>
        <v>23.8021674628491</v>
      </c>
      <c r="H59" s="141"/>
      <c r="I59" s="141"/>
      <c r="J59" s="141"/>
      <c r="K59" s="139"/>
      <c r="L59" s="139"/>
      <c r="M59" s="142"/>
      <c r="N59" s="142"/>
      <c r="O59" s="142"/>
      <c r="P59" s="142"/>
      <c r="Q59" s="142"/>
      <c r="R59" s="142"/>
      <c r="S59" s="142"/>
      <c r="T59" s="74"/>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c r="MU59" s="30"/>
      <c r="MV59" s="30"/>
      <c r="MW59" s="30"/>
      <c r="MX59" s="30"/>
      <c r="MY59" s="30"/>
      <c r="MZ59" s="30"/>
      <c r="NA59" s="30"/>
      <c r="NB59" s="30"/>
      <c r="NC59" s="30"/>
      <c r="ND59" s="30"/>
      <c r="NE59" s="30"/>
      <c r="NF59" s="30"/>
      <c r="NG59" s="30"/>
      <c r="NH59" s="30"/>
      <c r="NI59" s="30"/>
      <c r="NJ59" s="30"/>
      <c r="NK59" s="30"/>
      <c r="NL59" s="30"/>
      <c r="NM59" s="30"/>
      <c r="NN59" s="30"/>
      <c r="NO59" s="30"/>
      <c r="NP59" s="30"/>
      <c r="NQ59" s="30"/>
      <c r="NR59" s="30"/>
      <c r="NS59" s="30"/>
      <c r="NT59" s="30"/>
      <c r="NU59" s="30"/>
      <c r="NV59" s="30"/>
      <c r="NW59" s="30"/>
      <c r="NX59" s="30"/>
      <c r="NY59" s="30"/>
      <c r="NZ59" s="30"/>
      <c r="OA59" s="30"/>
      <c r="OB59" s="30"/>
      <c r="OC59" s="30"/>
      <c r="OD59" s="30"/>
      <c r="OE59" s="30"/>
      <c r="OF59" s="30"/>
      <c r="OG59" s="30"/>
      <c r="OH59" s="30"/>
      <c r="OI59" s="30"/>
      <c r="OJ59" s="30"/>
      <c r="OK59" s="30"/>
      <c r="OL59" s="30"/>
    </row>
    <row r="60" customFormat="false" ht="14.4" hidden="false" customHeight="false" outlineLevel="0" collapsed="false">
      <c r="A60" s="143"/>
      <c r="B60" s="144"/>
      <c r="C60" s="122"/>
      <c r="D60" s="85" t="s">
        <v>134</v>
      </c>
      <c r="E60" s="145" t="n">
        <f aca="false">$C$63*E64+$C$107*E108+$C$111*E112+$C$115*E116+$C$119*E120+$C$123*E124+$C$127*E128+$C$143*E144+$C$147*E148+$C$187*E188+$C$191*E192+$C$195*E196+$C$199*E200+$C$203*E204+$C$207*E208</f>
        <v>-1.03283795251236</v>
      </c>
      <c r="F60" s="146" t="n">
        <f aca="false">$C$63*F64+$C$107*F108+$C$111*F112+$C$115*F116+$C$119*F120+$C$123*F124+$C$127*F128+$C$143*F144+$C$147*F148+$C$187*F188+$C$191*F192+$C$195*F196+$C$199*F200+$C$203*F204+$C$207*F208</f>
        <v>2.55703053289753</v>
      </c>
      <c r="G60" s="147" t="n">
        <f aca="false">$C$63*G64+$C$107*G108+$C$111*G112+$C$115*G116+$C$119*G120+$C$123*G124+$C$127*G128+$C$143*G144+$C$147*G148+$C$187*G188+$C$191*G192+$C$195*G196+$C$199*G200+$C$203*G204+$C$207*G208</f>
        <v>2.84086069065311</v>
      </c>
      <c r="H60" s="87" t="n">
        <f aca="false">$C$63*H64+$C$107*H108+$C$111*H112+$C$115*H116+$C$119*H120+$C$123*H124+$C$127*H128+$C$143*H144+$C$147*H148+$C$187*H188+$C$191*H192+$C$195*H196+$C$199*H200+$C$203*H204+$C$207*H208</f>
        <v>2.12847288767391</v>
      </c>
      <c r="I60" s="87" t="n">
        <f aca="false">$C$63*I64+$C$107*I108+$C$111*I112+$C$115*I116+$C$119*I120+$C$123*I124+$C$127*I128+$C$143*I144+$C$147*I148+$C$187*I188+$C$191*I192+$C$195*I196+$C$199*I200+$C$203*I204+$C$207*I208</f>
        <v>0</v>
      </c>
      <c r="J60" s="87" t="n">
        <f aca="false">$C$63*J64+$C$107*J108+$C$111*J112+$C$115*J116+$C$119*J120+$C$123*J124+$C$127*J128+$C$143*J144+$C$147*J148+$C$187*J188+$C$191*J192+$C$195*J196+$C$199*J200+$C$203*J204+$C$207*J208</f>
        <v>0</v>
      </c>
      <c r="K60" s="87" t="n">
        <f aca="false">$C$63*K64+$C$107*K108+$C$111*K112+$C$115*K116+$C$119*K120+$C$123*K124+$C$127*K128+$C$143*K144+$C$147*K148+$C$187*K188+$C$191*K192+$C$195*K196+$C$199*K200+$C$203*K204+$C$207*K208</f>
        <v>0</v>
      </c>
      <c r="L60" s="87" t="n">
        <f aca="false">$C$63*L64+$C$107*L108+$C$111*L112+$C$115*L116+$C$119*L120+$C$123*L124+$C$127*L128+$C$143*L144+$C$147*L148+$C$187*L188+$C$191*L192+$C$195*L196+$C$199*L200+$C$203*L204+$C$207*L208</f>
        <v>0</v>
      </c>
      <c r="M60" s="87" t="n">
        <f aca="false">$C$63*M64+$C$107*M108+$C$111*M112+$C$115*M116+$C$119*M120+$C$123*M124+$C$127*M128+$C$143*M144+$C$147*M148+$C$187*M188+$C$191*M192+$C$195*M196+$C$199*M200+$C$203*M204+$C$207*M208</f>
        <v>-1.10845874967757</v>
      </c>
      <c r="N60" s="87" t="n">
        <f aca="false">$C$63*N64+$C$107*N108+$C$111*N112+$C$115*N116+$C$119*N120+$C$123*N124+$C$127*N128+$C$143*N144+$C$147*N148+$C$187*N188+$C$191*N192+$C$195*N196+$C$199*N200+$C$203*N204+$C$207*N208</f>
        <v>0.0756207971652155</v>
      </c>
      <c r="O60" s="87" t="n">
        <f aca="false">$C$63*O64+$C$107*O108+$C$111*O112+$C$115*O116+$C$119*O120+$C$123*O124+$C$127*O128+$C$143*O144+$C$147*O148+$C$187*O188+$C$191*O192+$C$195*O196+$C$199*O200+$C$203*O204+$C$207*O208</f>
        <v>1.46139559773598</v>
      </c>
      <c r="P60" s="87" t="n">
        <f aca="false">$C$63*P64+$C$107*P108+$C$111*P112+$C$115*P116+$C$119*P120+$C$123*P124+$C$127*P128+$C$143*P144+$C$147*P148+$C$187*P188+$C$191*P192+$C$195*P196+$C$199*P200+$C$203*P204+$C$207*P208</f>
        <v>0.433967312458951</v>
      </c>
      <c r="Q60" s="87" t="n">
        <f aca="false">$C$63*Q64+$C$107*Q108+$C$111*Q112+$C$115*Q116+$C$119*Q120+$C$123*Q124+$C$127*Q128+$C$143*Q144+$C$147*Q148+$C$187*Q188+$C$191*Q192+$C$195*Q196+$C$199*Q200+$C$203*Q204+$C$207*Q208</f>
        <v>2.38480130199015</v>
      </c>
      <c r="R60" s="87" t="n">
        <f aca="false">$C$63*R64+$C$107*R108+$C$111*R112+$C$115*R116+$C$119*R120+$C$123*R124+$C$127*R128+$C$143*R144+$C$147*R148+$C$187*R188+$C$191*R192+$C$195*R196+$C$199*R200+$C$203*R204+$C$207*R208</f>
        <v>0.100007066338109</v>
      </c>
      <c r="S60" s="87" t="n">
        <f aca="false">$C$63*S64+$C$107*S108+$C$111*S112+$C$115*S116+$C$119*S120+$C$123*S124+$C$127*S128+$C$143*S144+$C$147*S148+$C$187*S188+$C$191*S192+$C$195*S196+$C$199*S200+$C$203*S204+$C$207*S208</f>
        <v>0.106056581547374</v>
      </c>
      <c r="T60" s="74"/>
    </row>
    <row r="61" customFormat="false" ht="14.4" hidden="false" customHeight="false" outlineLevel="0" collapsed="false">
      <c r="A61" s="91"/>
      <c r="B61" s="92"/>
      <c r="C61" s="93"/>
      <c r="D61" s="85" t="s">
        <v>135</v>
      </c>
      <c r="E61" s="145" t="n">
        <f aca="false">$C$63*E65+$C$107*E109+$C$111*E113+$C$115*E117+$C$119*E121+$C$123*E125+$C$127*E129+$C$143*E145+$C$147*E149+$C$187*E189+$C$191*E193+$C$195*E197+$C$199*E201+$C$203*E205+$C$207*E209</f>
        <v>0.424270973202145</v>
      </c>
      <c r="F61" s="146" t="n">
        <f aca="false">$C$63*F65+$C$107*F109+$C$111*F113+$C$115*F117+$C$119*F121+$C$123*F125+$C$127*F129+$C$143*F145+$C$147*F149+$C$187*F189+$C$191*F193+$C$195*F197+$C$199*F201+$C$203*F205+$C$207*F209</f>
        <v>0.425730417115909</v>
      </c>
      <c r="G61" s="147" t="n">
        <f aca="false">$C$63*G65+$C$107*G109+$C$111*G113+$C$115*G117+$C$119*G121+$C$123*G125+$C$127*G129+$C$143*G145+$C$147*G149+$C$187*G189+$C$191*G193+$C$195*G197+$C$199*G201+$C$203*G205+$C$207*G209</f>
        <v>0.466864430321636</v>
      </c>
      <c r="H61" s="87" t="n">
        <f aca="false">$C$63*H65+$C$107*H109+$C$111*H113+$C$115*H117+$C$119*H121+$C$123*H125+$C$127*H129+$C$143*H145+$C$147*H149+$C$187*H189+$C$191*H193+$C$195*H197+$C$199*H201+$C$203*H205+$C$207*H209</f>
        <v>0.00145944391376367</v>
      </c>
      <c r="I61" s="87" t="n">
        <f aca="false">$C$63*I65+$C$107*I109+$C$111*I113+$C$115*I117+$C$119*I121+$C$123*I125+$C$127*I129+$C$143*I145+$C$147*I149+$C$187*I189+$C$191*I193+$C$195*I197+$C$199*I201+$C$203*I205+$C$207*I209</f>
        <v>0</v>
      </c>
      <c r="J61" s="87" t="n">
        <f aca="false">$C$63*J65+$C$107*J109+$C$111*J113+$C$115*J117+$C$119*J121+$C$123*J125+$C$127*J129+$C$143*J145+$C$147*J149+$C$187*J189+$C$191*J193+$C$195*J197+$C$199*J201+$C$203*J205+$C$207*J209</f>
        <v>0.0319970345820249</v>
      </c>
      <c r="K61" s="87" t="n">
        <f aca="false">$C$63*K65+$C$107*K109+$C$111*K113+$C$115*K117+$C$119*K121+$C$123*K125+$C$127*K129+$C$143*K145+$C$147*K149+$C$187*K189+$C$191*K193+$C$195*K197+$C$199*K201+$C$203*K205+$C$207*K209</f>
        <v>0</v>
      </c>
      <c r="L61" s="87" t="n">
        <f aca="false">$C$63*L65+$C$107*L109+$C$111*L113+$C$115*L117+$C$119*L121+$C$123*L125+$C$127*L129+$C$143*L145+$C$147*L149+$C$187*L189+$C$191*L193+$C$195*L197+$C$199*L201+$C$203*L205+$C$207*L209</f>
        <v>0.39227393862012</v>
      </c>
      <c r="M61" s="87" t="n">
        <f aca="false">$C$63*M65+$C$107*M109+$C$111*M113+$C$115*M117+$C$119*M121+$C$123*M125+$C$127*M129+$C$143*M145+$C$147*M149+$C$187*M189+$C$191*M193+$C$195*M197+$C$199*M201+$C$203*M205+$C$207*M209</f>
        <v>0</v>
      </c>
      <c r="N61" s="87" t="n">
        <f aca="false">$C$63*N65+$C$107*N109+$C$111*N113+$C$115*N117+$C$119*N121+$C$123*N125+$C$127*N129+$C$143*N145+$C$147*N149+$C$187*N189+$C$191*N193+$C$195*N197+$C$199*N201+$C$203*N205+$C$207*N209</f>
        <v>0</v>
      </c>
      <c r="O61" s="87" t="n">
        <f aca="false">$C$63*O65+$C$107*O109+$C$111*O113+$C$115*O117+$C$119*O121+$C$123*O125+$C$127*O129+$C$143*O145+$C$147*O149+$C$187*O189+$C$191*O193+$C$195*O197+$C$199*O201+$C$203*O205+$C$207*O209</f>
        <v>0</v>
      </c>
      <c r="P61" s="87" t="n">
        <f aca="false">$C$63*P65+$C$107*P109+$C$111*P113+$C$115*P117+$C$119*P121+$C$123*P125+$C$127*P129+$C$143*P145+$C$147*P149+$C$187*P189+$C$191*P193+$C$195*P197+$C$199*P201+$C$203*P205+$C$207*P209</f>
        <v>8.62355529400382E-005</v>
      </c>
      <c r="Q61" s="87" t="n">
        <f aca="false">$C$63*Q65+$C$107*Q109+$C$111*Q113+$C$115*Q117+$C$119*Q121+$C$123*Q125+$C$127*Q129+$C$143*Q145+$C$147*Q149+$C$187*Q189+$C$191*Q193+$C$195*Q197+$C$199*Q201+$C$203*Q205+$C$207*Q209</f>
        <v>0.425780360453332</v>
      </c>
      <c r="R61" s="87" t="n">
        <f aca="false">$C$63*R65+$C$107*R109+$C$111*R113+$C$115*R117+$C$119*R121+$C$123*R125+$C$127*R129+$C$143*R145+$C$147*R149+$C$187*R189+$C$191*R193+$C$195*R197+$C$199*R201+$C$203*R205+$C$207*R209</f>
        <v>0</v>
      </c>
      <c r="S61" s="87" t="n">
        <f aca="false">$C$63*S65+$C$107*S109+$C$111*S113+$C$115*S117+$C$119*S121+$C$123*S125+$C$127*S129+$C$143*S145+$C$147*S149+$C$187*S189+$C$191*S193+$C$195*S197+$C$199*S201+$C$203*S205+$C$207*S209</f>
        <v>0</v>
      </c>
      <c r="T61" s="74"/>
    </row>
    <row r="62" customFormat="false" ht="14.4" hidden="false" customHeight="false" outlineLevel="0" collapsed="false">
      <c r="A62" s="91"/>
      <c r="B62" s="92"/>
      <c r="C62" s="87"/>
      <c r="D62" s="31" t="s">
        <v>136</v>
      </c>
      <c r="E62" s="145" t="n">
        <f aca="false">$C$63*E66+$C$107*E110+$C$111*E114+$C$115*E118+$C$119*E122+$C$123*E126+$C$127*E130+$C$143*E146+$C$147*E150+$C$187*E190+$C$191*E194+$C$195*E198+$C$199*E202+$C$203*E206+$C$207*E210</f>
        <v>0.0132850706816957</v>
      </c>
      <c r="F62" s="146" t="n">
        <f aca="false">$C$63*F66+$C$107*F110+$C$111*F114+$C$115*F118+$C$119*F122+$C$123*F126+$C$127*F130+$C$143*F146+$C$147*F150+$C$187*F190+$C$191*F194+$C$195*F198+$C$199*F202+$C$203*F206+$C$207*F210</f>
        <v>0.0155664163886487</v>
      </c>
      <c r="G62" s="147" t="n">
        <f aca="false">$C$63*G66+$C$107*G110+$C$111*G114+$C$115*G118+$C$119*G122+$C$123*G126+$C$127*G130+$C$143*G146+$C$147*G150+$C$187*G190+$C$191*G194+$C$195*G198+$C$199*G202+$C$203*G206+$C$207*G210</f>
        <v>0.0170735440981892</v>
      </c>
      <c r="H62" s="87" t="n">
        <f aca="false">$C$63*H66+$C$107*H110+$C$111*H114+$C$115*H118+$C$119*H122+$C$123*H126+$C$127*H130+$C$143*H146+$C$147*H150+$C$187*H190+$C$191*H194+$C$195*H198+$C$199*H202+$C$203*H206+$C$207*H210</f>
        <v>0.002281345706953</v>
      </c>
      <c r="I62" s="87" t="n">
        <f aca="false">$C$63*I66+$C$107*I110+$C$111*I114+$C$115*I118+$C$119*I122+$C$123*I126+$C$127*I130+$C$143*I146+$C$147*I150+$C$187*I190+$C$191*I194+$C$195*I198+$C$199*I202+$C$203*I206+$C$207*I210</f>
        <v>0.00576632241676062</v>
      </c>
      <c r="J62" s="87" t="n">
        <f aca="false">$C$63*J66+$C$107*J110+$C$111*J114+$C$115*J118+$C$119*J122+$C$123*J126+$C$127*J130+$C$143*J146+$C$147*J150+$C$187*J190+$C$191*J194+$C$195*J198+$C$199*J202+$C$203*J206+$C$207*J210</f>
        <v>0.00671730834519622</v>
      </c>
      <c r="K62" s="87" t="n">
        <f aca="false">$C$63*K66+$C$107*K110+$C$111*K114+$C$115*K118+$C$119*K122+$C$123*K126+$C$127*K130+$C$143*K146+$C$147*K150+$C$187*K190+$C$191*K194+$C$195*K198+$C$199*K202+$C$203*K206+$C$207*K210</f>
        <v>0.000801439919738871</v>
      </c>
      <c r="L62" s="87" t="n">
        <f aca="false">$C$63*L66+$C$107*L110+$C$111*L114+$C$115*L118+$C$119*L122+$C$123*L126+$C$127*L130+$C$143*L146+$C$147*L150+$C$187*L190+$C$191*L194+$C$195*L198+$C$199*L202+$C$203*L206+$C$207*L210</f>
        <v>0</v>
      </c>
      <c r="M62" s="87" t="n">
        <f aca="false">$C$63*M66+$C$107*M110+$C$111*M114+$C$115*M118+$C$119*M122+$C$123*M126+$C$127*M130+$C$143*M146+$C$147*M150+$C$187*M190+$C$191*M194+$C$195*M198+$C$199*M202+$C$203*M206+$C$207*M210</f>
        <v>0</v>
      </c>
      <c r="N62" s="87" t="n">
        <f aca="false">$C$63*N66+$C$107*N110+$C$111*N114+$C$115*N118+$C$119*N122+$C$123*N126+$C$127*N130+$C$143*N146+$C$147*N150+$C$187*N190+$C$191*N194+$C$195*N198+$C$199*N202+$C$203*N206+$C$207*N210</f>
        <v>0</v>
      </c>
      <c r="O62" s="87" t="n">
        <f aca="false">$C$63*O66+$C$107*O110+$C$111*O114+$C$115*O118+$C$119*O122+$C$123*O126+$C$127*O130+$C$143*O146+$C$147*O150+$C$187*O190+$C$191*O194+$C$195*O198+$C$199*O202+$C$203*O206+$C$207*O210</f>
        <v>0</v>
      </c>
      <c r="P62" s="87" t="n">
        <f aca="false">$C$63*P66+$C$107*P110+$C$111*P114+$C$115*P118+$C$119*P122+$C$123*P126+$C$127*P130+$C$143*P146+$C$147*P150+$C$187*P190+$C$191*P194+$C$195*P198+$C$199*P202+$C$203*P206+$C$207*P210</f>
        <v>8.03906987963245E-006</v>
      </c>
      <c r="Q62" s="87" t="n">
        <f aca="false">$C$63*Q66+$C$107*Q110+$C$111*Q114+$C$115*Q118+$C$119*Q122+$C$123*Q126+$C$127*Q130+$C$143*Q146+$C$147*Q150+$C$187*Q190+$C$191*Q194+$C$195*Q198+$C$199*Q202+$C$203*Q206+$C$207*Q210</f>
        <v>0.0155710722175485</v>
      </c>
      <c r="R62" s="87" t="n">
        <f aca="false">$C$63*R66+$C$107*R110+$C$111*R114+$C$115*R118+$C$119*R122+$C$123*R126+$C$127*R130+$C$143*R146+$C$147*R150+$C$187*R190+$C$191*R194+$C$195*R198+$C$199*R202+$C$203*R206+$C$207*R210</f>
        <v>0</v>
      </c>
      <c r="S62" s="87" t="n">
        <f aca="false">$C$63*S66+$C$107*S110+$C$111*S114+$C$115*S118+$C$119*S122+$C$123*S126+$C$127*S130+$C$143*S146+$C$147*S150+$C$187*S190+$C$191*S194+$C$195*S198+$C$199*S202+$C$203*S206+$C$207*S210</f>
        <v>0</v>
      </c>
      <c r="T62" s="74"/>
    </row>
    <row r="63" s="83" customFormat="true" ht="14.4" hidden="false" customHeight="false" outlineLevel="0" collapsed="false">
      <c r="A63" s="75" t="s">
        <v>137</v>
      </c>
      <c r="B63" s="98" t="str">
        <f aca="false">'Input data meat and eggs'!C4</f>
        <v>Suckler cows and offsprings</v>
      </c>
      <c r="C63" s="98" t="n">
        <f aca="false">'Input data meat and eggs'!D4</f>
        <v>0.229933059497954</v>
      </c>
      <c r="D63" s="78" t="s">
        <v>133</v>
      </c>
      <c r="E63" s="148" t="n">
        <f aca="false">IF($F$1="GWP100 without fb",E64+E65*'Common input data'!$C$5+E66*'Common input data'!$D$5,IF($F$1="GWP100 with fb",E64+E65*'Common input data'!$C$6+E66*'Common input data'!$D$6,IF($F$1="GTP100 without fb",E64+E65*'Common input data'!$C$7+E66*'Common input data'!$D$7,IF($F$1="GTP100 with fb",E64+E65*'Common input data'!$C$8+E66*'Common input data'!$D$8,E64+E65*'Common input data'!$C$9+E66*'Common input data'!$D$9))))</f>
        <v>25.9834551296078</v>
      </c>
      <c r="F63" s="149" t="n">
        <f aca="false">IF($F$1="GWP100 without fb",F64+F65*'Common input data'!$C$5+F66*'Common input data'!$D$5,IF($F$1="GWP100 with fb",F64+F65*'Common input data'!$C$6+F66*'Common input data'!$D$6,IF($F$1="GTP100 without fb",F64+F65*'Common input data'!$C$7+F66*'Common input data'!$D$7,IF($F$1="GTP100 with fb",F64+F65*'Common input data'!$C$8+F66*'Common input data'!$D$8,F64+F65*'Common input data'!$C$9+F66*'Common input data'!$D$9))))</f>
        <v>30.2973422103331</v>
      </c>
      <c r="G63" s="150" t="n">
        <f aca="false">IF($F$1="GWP100 without fb",G64+G65*'Common input data'!$C$5+G66*'Common input data'!$D$5,IF($F$1="GWP100 with fb",G64+G65*'Common input data'!$C$6+G66*'Common input data'!$D$6,IF($F$1="GTP100 without fb",G64+G65*'Common input data'!$C$7+G66*'Common input data'!$D$7,IF($F$1="GTP100 with fb",G64+G65*'Common input data'!$C$8+G66*'Common input data'!$D$8,G64+G65*'Common input data'!$C$9+G66*'Common input data'!$D$9))))</f>
        <v>32.5390265464178</v>
      </c>
      <c r="H63" s="95"/>
      <c r="I63" s="95"/>
      <c r="J63" s="95"/>
      <c r="K63" s="95"/>
      <c r="L63" s="95"/>
      <c r="M63" s="95"/>
      <c r="N63" s="95"/>
      <c r="O63" s="95"/>
      <c r="P63" s="95"/>
      <c r="Q63" s="95"/>
      <c r="R63" s="95"/>
      <c r="S63" s="149"/>
      <c r="T63" s="74"/>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c r="GL63" s="30"/>
      <c r="GM63" s="30"/>
      <c r="GN63" s="30"/>
      <c r="GO63" s="30"/>
      <c r="GP63" s="30"/>
      <c r="GQ63" s="30"/>
      <c r="GR63" s="30"/>
      <c r="GS63" s="30"/>
      <c r="GT63" s="30"/>
      <c r="GU63" s="30"/>
      <c r="GV63" s="30"/>
      <c r="GW63" s="30"/>
      <c r="GX63" s="30"/>
      <c r="GY63" s="30"/>
      <c r="GZ63" s="30"/>
      <c r="HA63" s="30"/>
      <c r="HB63" s="30"/>
      <c r="HC63" s="30"/>
      <c r="HD63" s="30"/>
      <c r="HE63" s="30"/>
      <c r="HF63" s="30"/>
      <c r="HG63" s="30"/>
      <c r="HH63" s="30"/>
      <c r="HI63" s="30"/>
      <c r="HJ63" s="30"/>
      <c r="HK63" s="30"/>
      <c r="HL63" s="30"/>
      <c r="HM63" s="30"/>
      <c r="HN63" s="30"/>
      <c r="HO63" s="30"/>
      <c r="HP63" s="30"/>
      <c r="HQ63" s="30"/>
      <c r="HR63" s="30"/>
      <c r="HS63" s="30"/>
      <c r="HT63" s="30"/>
      <c r="HU63" s="30"/>
      <c r="HV63" s="30"/>
      <c r="HW63" s="30"/>
      <c r="HX63" s="30"/>
      <c r="HY63" s="30"/>
      <c r="HZ63" s="30"/>
      <c r="IA63" s="30"/>
      <c r="IB63" s="30"/>
      <c r="IC63" s="30"/>
      <c r="ID63" s="30"/>
      <c r="IE63" s="30"/>
      <c r="IF63" s="30"/>
      <c r="IG63" s="30"/>
      <c r="IH63" s="30"/>
      <c r="II63" s="30"/>
      <c r="IJ63" s="30"/>
      <c r="IK63" s="30"/>
      <c r="IL63" s="30"/>
      <c r="IM63" s="30"/>
      <c r="IN63" s="30"/>
      <c r="IO63" s="30"/>
      <c r="IP63" s="30"/>
      <c r="IQ63" s="30"/>
      <c r="IR63" s="30"/>
      <c r="IS63" s="30"/>
      <c r="IT63" s="30"/>
      <c r="IU63" s="30"/>
      <c r="IV63" s="30"/>
      <c r="IW63" s="30"/>
      <c r="IX63" s="30"/>
      <c r="IY63" s="30"/>
      <c r="IZ63" s="30"/>
      <c r="JA63" s="30"/>
      <c r="JB63" s="30"/>
      <c r="JC63" s="30"/>
      <c r="JD63" s="30"/>
      <c r="JE63" s="30"/>
      <c r="JF63" s="30"/>
      <c r="JG63" s="30"/>
      <c r="JH63" s="30"/>
      <c r="JI63" s="30"/>
      <c r="JJ63" s="30"/>
      <c r="JK63" s="30"/>
      <c r="JL63" s="30"/>
      <c r="JM63" s="30"/>
      <c r="JN63" s="30"/>
      <c r="JO63" s="30"/>
      <c r="JP63" s="30"/>
      <c r="JQ63" s="30"/>
      <c r="JR63" s="30"/>
      <c r="JS63" s="30"/>
      <c r="JT63" s="30"/>
      <c r="JU63" s="30"/>
      <c r="JV63" s="30"/>
      <c r="JW63" s="30"/>
      <c r="JX63" s="30"/>
      <c r="JY63" s="30"/>
      <c r="JZ63" s="30"/>
      <c r="KA63" s="30"/>
      <c r="KB63" s="30"/>
      <c r="KC63" s="30"/>
      <c r="KD63" s="30"/>
      <c r="KE63" s="30"/>
      <c r="KF63" s="30"/>
      <c r="KG63" s="30"/>
      <c r="KH63" s="30"/>
      <c r="KI63" s="30"/>
      <c r="KJ63" s="30"/>
      <c r="KK63" s="30"/>
      <c r="KL63" s="30"/>
      <c r="KM63" s="30"/>
      <c r="KN63" s="30"/>
      <c r="KO63" s="30"/>
      <c r="KP63" s="30"/>
      <c r="KQ63" s="30"/>
      <c r="KR63" s="30"/>
      <c r="KS63" s="30"/>
      <c r="KT63" s="30"/>
      <c r="KU63" s="30"/>
      <c r="KV63" s="30"/>
      <c r="KW63" s="30"/>
      <c r="KX63" s="30"/>
      <c r="KY63" s="30"/>
      <c r="KZ63" s="30"/>
      <c r="LA63" s="30"/>
      <c r="LB63" s="30"/>
      <c r="LC63" s="30"/>
      <c r="LD63" s="30"/>
      <c r="LE63" s="30"/>
      <c r="LF63" s="30"/>
      <c r="LG63" s="30"/>
      <c r="LH63" s="30"/>
      <c r="LI63" s="30"/>
      <c r="LJ63" s="30"/>
      <c r="LK63" s="30"/>
      <c r="LL63" s="30"/>
      <c r="LM63" s="30"/>
      <c r="LN63" s="30"/>
      <c r="LO63" s="30"/>
      <c r="LP63" s="30"/>
      <c r="LQ63" s="30"/>
      <c r="LR63" s="30"/>
      <c r="LS63" s="30"/>
      <c r="LT63" s="30"/>
      <c r="LU63" s="30"/>
      <c r="LV63" s="30"/>
      <c r="LW63" s="30"/>
      <c r="LX63" s="30"/>
      <c r="LY63" s="30"/>
      <c r="LZ63" s="30"/>
      <c r="MA63" s="30"/>
      <c r="MB63" s="30"/>
      <c r="MC63" s="30"/>
      <c r="MD63" s="30"/>
      <c r="ME63" s="30"/>
      <c r="MF63" s="30"/>
      <c r="MG63" s="30"/>
      <c r="MH63" s="30"/>
      <c r="MI63" s="30"/>
      <c r="MJ63" s="30"/>
      <c r="MK63" s="30"/>
      <c r="ML63" s="30"/>
      <c r="MM63" s="30"/>
      <c r="MN63" s="30"/>
      <c r="MO63" s="30"/>
      <c r="MP63" s="30"/>
      <c r="MQ63" s="30"/>
      <c r="MR63" s="30"/>
      <c r="MS63" s="30"/>
      <c r="MT63" s="30"/>
      <c r="MU63" s="30"/>
      <c r="MV63" s="30"/>
      <c r="MW63" s="30"/>
      <c r="MX63" s="30"/>
      <c r="MY63" s="30"/>
      <c r="MZ63" s="30"/>
      <c r="NA63" s="30"/>
      <c r="NB63" s="30"/>
      <c r="NC63" s="30"/>
      <c r="ND63" s="30"/>
      <c r="NE63" s="30"/>
      <c r="NF63" s="30"/>
      <c r="NG63" s="30"/>
      <c r="NH63" s="30"/>
      <c r="NI63" s="30"/>
      <c r="NJ63" s="30"/>
      <c r="NK63" s="30"/>
      <c r="NL63" s="30"/>
      <c r="NM63" s="30"/>
      <c r="NN63" s="30"/>
      <c r="NO63" s="30"/>
      <c r="NP63" s="30"/>
      <c r="NQ63" s="30"/>
      <c r="NR63" s="30"/>
      <c r="NS63" s="30"/>
      <c r="NT63" s="30"/>
      <c r="NU63" s="30"/>
      <c r="NV63" s="30"/>
      <c r="NW63" s="30"/>
      <c r="NX63" s="30"/>
      <c r="NY63" s="30"/>
      <c r="NZ63" s="30"/>
      <c r="OA63" s="30"/>
      <c r="OB63" s="30"/>
      <c r="OC63" s="30"/>
      <c r="OD63" s="30"/>
      <c r="OE63" s="30"/>
      <c r="OF63" s="30"/>
      <c r="OG63" s="30"/>
      <c r="OH63" s="30"/>
      <c r="OI63" s="30"/>
      <c r="OJ63" s="30"/>
      <c r="OK63" s="30"/>
      <c r="OL63" s="30"/>
    </row>
    <row r="64" customFormat="false" ht="14.4" hidden="false" customHeight="false" outlineLevel="0" collapsed="false">
      <c r="A64" s="99"/>
      <c r="C64" s="122"/>
      <c r="D64" s="85" t="s">
        <v>134</v>
      </c>
      <c r="E64" s="145" t="n">
        <f aca="false">IF(AND($F$2="No",$F$3="No"),SUM(I64:L64),IF(AND($F$2="Yes", $F$3="No"), SUM(I64:L64)+N64, IF(AND($F$2="No", $F$3="Yes"),SUM(I64:L64)+M64, SUM(I64:L64)+N64+M64)))</f>
        <v>-1.68964474503225</v>
      </c>
      <c r="F64" s="146" t="n">
        <f aca="false">IF(AND($F$2="No",$F$3="No"),SUM(H64:L64,O64),IF(AND($F$2="Yes", $F$3="No"), SUM(H64:L64,O64)+N64, IF(AND($F$2="No", $F$3="Yes"),SUM(H64:L64,O64)+M64, SUM(H64:L64,O64)+N64+M64)))</f>
        <v>1.72834101571675</v>
      </c>
      <c r="G64" s="151" t="n">
        <f aca="false">SUM(Q64:S64)/(1-'Common input data'!B$126)</f>
        <v>1.21336734179468</v>
      </c>
      <c r="H64" s="87" t="n">
        <f aca="false">SUM(H68,H72,H76,H80,H84,H88,H92)/'Input data meat and eggs'!$J$399</f>
        <v>2.66623576074899</v>
      </c>
      <c r="I64" s="87" t="n">
        <f aca="false">SUM(I68,I72,I76,I80,I84,I88,I92)/'Input data meat and eggs'!$J$399</f>
        <v>0</v>
      </c>
      <c r="J64" s="87" t="n">
        <f aca="false">SUM(J68,J72,J76,J80,J84,J88,J92)/'Input data meat and eggs'!$J$399</f>
        <v>0</v>
      </c>
      <c r="K64" s="87" t="n">
        <f aca="false">SUM(K68,K72,K76,K80,K84,K88,K92)/'Input data meat and eggs'!$J$399</f>
        <v>0</v>
      </c>
      <c r="L64" s="87" t="n">
        <f aca="false">SUM(L68,L72,L76,L80,L84,L88,L92)/'Input data meat and eggs'!$J$399</f>
        <v>0</v>
      </c>
      <c r="M64" s="87" t="n">
        <f aca="false">SUM(M68,M72,M76,M80,M84,M88,M92)/'Input data meat and eggs'!$J$399</f>
        <v>-1.77375538849116</v>
      </c>
      <c r="N64" s="87" t="n">
        <f aca="false">SUM(N68,N72,N76,N80,N84,N88,N92)/'Input data meat and eggs'!$J$399</f>
        <v>0.0841106434589087</v>
      </c>
      <c r="O64" s="87" t="n">
        <f aca="false">'Input data meat and eggs'!B83*'Common input data'!B63</f>
        <v>0.75175</v>
      </c>
      <c r="P64" s="87" t="n">
        <f aca="false">'Input data meat and eggs'!B92*'Common input data'!B63+'Input data meat and eggs'!C92*3.6*'Common input data'!B49</f>
        <v>0.383411320754717</v>
      </c>
      <c r="Q64" s="87" t="n">
        <f aca="false">SUM(Q68,Q72,Q76,Q80,Q84,Q88,Q92)/'Input data meat and eggs'!$J$399</f>
        <v>0.976591015716748</v>
      </c>
      <c r="R64" s="87" t="n">
        <f aca="false">'Common input data'!B92</f>
        <v>0.1</v>
      </c>
      <c r="S64" s="87" t="n">
        <f aca="false">'Common input data'!C98</f>
        <v>0.03</v>
      </c>
      <c r="T64" s="152"/>
      <c r="U64" s="87"/>
      <c r="V64" s="87"/>
      <c r="W64" s="87"/>
    </row>
    <row r="65" customFormat="false" ht="14.4" hidden="false" customHeight="false" outlineLevel="0" collapsed="false">
      <c r="A65" s="99"/>
      <c r="C65" s="93"/>
      <c r="D65" s="85" t="s">
        <v>135</v>
      </c>
      <c r="E65" s="145" t="n">
        <f aca="false">SUM(I65:L65)</f>
        <v>0.654592249205014</v>
      </c>
      <c r="F65" s="146" t="n">
        <f aca="false">SUM(H65:L65,O65)</f>
        <v>0.656476317981671</v>
      </c>
      <c r="G65" s="151" t="n">
        <f aca="false">SUM(Q65:S65)/(1-'Common input data'!B$126)</f>
        <v>0.719820524102709</v>
      </c>
      <c r="H65" s="87" t="n">
        <f aca="false">SUM(H69,H73,H77,H81,H85,H89,H93)/'Input data meat and eggs'!$J$399</f>
        <v>0.00188406877665635</v>
      </c>
      <c r="I65" s="87" t="n">
        <f aca="false">SUM(I69,I73,I77,I81,I85,I89,I93)/'Input data meat and eggs'!$J$399</f>
        <v>0</v>
      </c>
      <c r="J65" s="87" t="n">
        <f aca="false">SUM(J69,J73,J77,J81,J85,J89,J93)/'Input data meat and eggs'!$J$399</f>
        <v>0.0391528049452814</v>
      </c>
      <c r="K65" s="87" t="n">
        <f aca="false">SUM(K69,K73,K77,K81,K85,K89,K93)/'Input data meat and eggs'!$J$399</f>
        <v>0</v>
      </c>
      <c r="L65" s="87" t="n">
        <f aca="false">SUM(L69,L73,L77,L81,L85,L89,L93)/'Input data meat and eggs'!$J$399</f>
        <v>0.615439444259733</v>
      </c>
      <c r="M65" s="87" t="n">
        <f aca="false">SUM(M69,M73,M77,M81,M85,M89,M93)/'Input data meat and eggs'!$J$399</f>
        <v>0</v>
      </c>
      <c r="N65" s="87" t="n">
        <f aca="false">SUM(N69,N73,N77,N81,N85,N89,N93)/'Input data meat and eggs'!$J$399</f>
        <v>0</v>
      </c>
      <c r="O65" s="87" t="n">
        <v>0</v>
      </c>
      <c r="P65" s="87" t="n">
        <f aca="false">'Input data meat and eggs'!C92*3.6*'Common input data'!B50</f>
        <v>0.000103924528301887</v>
      </c>
      <c r="Q65" s="87" t="n">
        <f aca="false">SUM(Q69,Q73,Q77,Q81,Q85,Q89,Q93)/'Input data meat and eggs'!$J$399</f>
        <v>0.656476317981671</v>
      </c>
      <c r="R65" s="89" t="n">
        <v>0</v>
      </c>
      <c r="S65" s="89" t="n">
        <v>0</v>
      </c>
      <c r="T65" s="74"/>
    </row>
    <row r="66" customFormat="false" ht="14.4" hidden="false" customHeight="false" outlineLevel="0" collapsed="false">
      <c r="A66" s="100"/>
      <c r="B66" s="101"/>
      <c r="C66" s="87"/>
      <c r="D66" s="31" t="s">
        <v>136</v>
      </c>
      <c r="E66" s="145" t="n">
        <f aca="false">SUM(I66:L66)</f>
        <v>0.018177729535804</v>
      </c>
      <c r="F66" s="146" t="n">
        <f aca="false">SUM(H66:L66,O66)</f>
        <v>0.0209691489370454</v>
      </c>
      <c r="G66" s="151" t="n">
        <f aca="false">SUM(Q66:S66)/(1-'Common input data'!B$126)</f>
        <v>0.0229924878695673</v>
      </c>
      <c r="H66" s="87" t="n">
        <f aca="false">SUM(H70,H74,H78,H82,H86,H90,H94)/'Input data meat and eggs'!$J$399</f>
        <v>0.00279141940124136</v>
      </c>
      <c r="I66" s="87" t="n">
        <f aca="false">SUM(I70,I74,I78,I82,I86,I90,I94)/'Input data meat and eggs'!$J$399</f>
        <v>0.00705558312311064</v>
      </c>
      <c r="J66" s="87" t="n">
        <f aca="false">SUM(J70,J74,J78,J82,J86,J90,J94)/'Input data meat and eggs'!$J$399</f>
        <v>0.0102318122550645</v>
      </c>
      <c r="K66" s="87" t="n">
        <f aca="false">SUM(K70,K74,K78,K82,K86,K90,K94)/'Input data meat and eggs'!$J$399</f>
        <v>0.000890334157628923</v>
      </c>
      <c r="L66" s="87" t="n">
        <f aca="false">SUM(L70,L74,L78,L82,L86,L90,L94)/'Input data meat and eggs'!$J$399</f>
        <v>0</v>
      </c>
      <c r="M66" s="87" t="n">
        <f aca="false">SUM(M70,M74,M78,M82,M86,M90,M94)/'Input data meat and eggs'!$J$399</f>
        <v>0</v>
      </c>
      <c r="N66" s="87" t="n">
        <f aca="false">SUM(N70,N74,N78,N82,N86,N90,N94)/'Input data meat and eggs'!$J$399</f>
        <v>0</v>
      </c>
      <c r="O66" s="87" t="n">
        <v>0</v>
      </c>
      <c r="P66" s="87" t="n">
        <f aca="false">'Input data meat and eggs'!C92*3.6*'Common input data'!B51</f>
        <v>9.68807547169811E-006</v>
      </c>
      <c r="Q66" s="87" t="n">
        <f aca="false">SUM(Q70,Q74,Q78,Q82,Q86,Q90,Q94)/'Input data meat and eggs'!$J$399</f>
        <v>0.0209691489370454</v>
      </c>
      <c r="R66" s="89" t="n">
        <v>0</v>
      </c>
      <c r="S66" s="89" t="n">
        <v>0</v>
      </c>
      <c r="T66" s="74"/>
    </row>
    <row r="67" s="83" customFormat="true" ht="14.4" hidden="false" customHeight="false" outlineLevel="0" collapsed="false">
      <c r="A67" s="75"/>
      <c r="B67" s="76" t="s">
        <v>146</v>
      </c>
      <c r="C67" s="153"/>
      <c r="D67" s="78" t="s">
        <v>133</v>
      </c>
      <c r="E67" s="154" t="n">
        <f aca="false">IF($F$1="GWP100 without fb",E68+E69*'Common input data'!$C$5+E70*'Common input data'!$D$5,IF($F$1="GWP100 with fb",E68+E69*'Common input data'!$C$6+E70*'Common input data'!$D$6,IF($F$1="GTP100 without fb",E68+E69*'Common input data'!$C$7+E70*'Common input data'!$D$7,IF($F$1="GTP100 with fb",E68+E69*'Common input data'!$C$8+E70*'Common input data'!$D$8,E68+E69*'Common input data'!$C$9+E70*'Common input data'!$D$9))))</f>
        <v>653018634.499679</v>
      </c>
      <c r="F67" s="155" t="n">
        <f aca="false">IF($F$1="GWP100 without fb",F68+F69*'Common input data'!$C$5+F70*'Common input data'!$D$5,IF($F$1="GWP100 with fb",F68+F69*'Common input data'!$C$6+F70*'Common input data'!$D$6,IF($F$1="GTP100 without fb",F68+F69*'Common input data'!$C$7+F70*'Common input data'!$D$7,IF($F$1="GTP100 with fb",F68+F69*'Common input data'!$C$8+F70*'Common input data'!$D$8,F68+F69*'Common input data'!$C$9+F70*'Common input data'!$D$9))))</f>
        <v>744495623.724449</v>
      </c>
      <c r="G67" s="156"/>
      <c r="H67" s="155"/>
      <c r="I67" s="155"/>
      <c r="J67" s="155"/>
      <c r="K67" s="155"/>
      <c r="L67" s="155"/>
      <c r="N67" s="155"/>
      <c r="O67" s="155"/>
      <c r="P67" s="155"/>
      <c r="Q67" s="155"/>
      <c r="R67" s="84"/>
      <c r="S67" s="84"/>
      <c r="T67" s="99"/>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c r="GL67" s="30"/>
      <c r="GM67" s="30"/>
      <c r="GN67" s="30"/>
      <c r="GO67" s="30"/>
      <c r="GP67" s="30"/>
      <c r="GQ67" s="30"/>
      <c r="GR67" s="30"/>
      <c r="GS67" s="30"/>
      <c r="GT67" s="30"/>
      <c r="GU67" s="30"/>
      <c r="GV67" s="30"/>
      <c r="GW67" s="30"/>
      <c r="GX67" s="30"/>
      <c r="GY67" s="30"/>
      <c r="GZ67" s="30"/>
      <c r="HA67" s="30"/>
      <c r="HB67" s="30"/>
      <c r="HC67" s="30"/>
      <c r="HD67" s="30"/>
      <c r="HE67" s="30"/>
      <c r="HF67" s="30"/>
      <c r="HG67" s="30"/>
      <c r="HH67" s="30"/>
      <c r="HI67" s="30"/>
      <c r="HJ67" s="30"/>
      <c r="HK67" s="30"/>
      <c r="HL67" s="30"/>
      <c r="HM67" s="30"/>
      <c r="HN67" s="30"/>
      <c r="HO67" s="30"/>
      <c r="HP67" s="30"/>
      <c r="HQ67" s="30"/>
      <c r="HR67" s="30"/>
      <c r="HS67" s="30"/>
      <c r="HT67" s="30"/>
      <c r="HU67" s="30"/>
      <c r="HV67" s="30"/>
      <c r="HW67" s="30"/>
      <c r="HX67" s="30"/>
      <c r="HY67" s="30"/>
      <c r="HZ67" s="30"/>
      <c r="IA67" s="30"/>
      <c r="IB67" s="30"/>
      <c r="IC67" s="30"/>
      <c r="ID67" s="30"/>
      <c r="IE67" s="30"/>
      <c r="IF67" s="30"/>
      <c r="IG67" s="30"/>
      <c r="IH67" s="30"/>
      <c r="II67" s="30"/>
      <c r="IJ67" s="30"/>
      <c r="IK67" s="30"/>
      <c r="IL67" s="30"/>
      <c r="IM67" s="30"/>
      <c r="IN67" s="30"/>
      <c r="IO67" s="30"/>
      <c r="IP67" s="30"/>
      <c r="IQ67" s="30"/>
      <c r="IR67" s="30"/>
      <c r="IS67" s="30"/>
      <c r="IT67" s="30"/>
      <c r="IU67" s="30"/>
      <c r="IV67" s="30"/>
      <c r="IW67" s="30"/>
      <c r="IX67" s="30"/>
      <c r="IY67" s="30"/>
      <c r="IZ67" s="30"/>
      <c r="JA67" s="30"/>
      <c r="JB67" s="30"/>
      <c r="JC67" s="30"/>
      <c r="JD67" s="30"/>
      <c r="JE67" s="30"/>
      <c r="JF67" s="30"/>
      <c r="JG67" s="30"/>
      <c r="JH67" s="30"/>
      <c r="JI67" s="30"/>
      <c r="JJ67" s="30"/>
      <c r="JK67" s="30"/>
      <c r="JL67" s="30"/>
      <c r="JM67" s="30"/>
      <c r="JN67" s="30"/>
      <c r="JO67" s="30"/>
      <c r="JP67" s="30"/>
      <c r="JQ67" s="30"/>
      <c r="JR67" s="30"/>
      <c r="JS67" s="30"/>
      <c r="JT67" s="30"/>
      <c r="JU67" s="30"/>
      <c r="JV67" s="30"/>
      <c r="JW67" s="30"/>
      <c r="JX67" s="30"/>
      <c r="JY67" s="30"/>
      <c r="JZ67" s="30"/>
      <c r="KA67" s="30"/>
      <c r="KB67" s="30"/>
      <c r="KC67" s="30"/>
      <c r="KD67" s="30"/>
      <c r="KE67" s="30"/>
      <c r="KF67" s="30"/>
      <c r="KG67" s="30"/>
      <c r="KH67" s="30"/>
      <c r="KI67" s="30"/>
      <c r="KJ67" s="30"/>
      <c r="KK67" s="30"/>
      <c r="KL67" s="30"/>
      <c r="KM67" s="30"/>
      <c r="KN67" s="30"/>
      <c r="KO67" s="30"/>
      <c r="KP67" s="30"/>
      <c r="KQ67" s="30"/>
      <c r="KR67" s="30"/>
      <c r="KS67" s="30"/>
      <c r="KT67" s="30"/>
      <c r="KU67" s="30"/>
      <c r="KV67" s="30"/>
      <c r="KW67" s="30"/>
      <c r="KX67" s="30"/>
      <c r="KY67" s="30"/>
      <c r="KZ67" s="30"/>
      <c r="LA67" s="30"/>
      <c r="LB67" s="30"/>
      <c r="LC67" s="30"/>
      <c r="LD67" s="30"/>
      <c r="LE67" s="30"/>
      <c r="LF67" s="30"/>
      <c r="LG67" s="30"/>
      <c r="LH67" s="30"/>
      <c r="LI67" s="30"/>
      <c r="LJ67" s="30"/>
      <c r="LK67" s="30"/>
      <c r="LL67" s="30"/>
      <c r="LM67" s="30"/>
      <c r="LN67" s="30"/>
      <c r="LO67" s="30"/>
      <c r="LP67" s="30"/>
      <c r="LQ67" s="30"/>
      <c r="LR67" s="30"/>
      <c r="LS67" s="30"/>
      <c r="LT67" s="30"/>
      <c r="LU67" s="30"/>
      <c r="LV67" s="30"/>
      <c r="LW67" s="30"/>
      <c r="LX67" s="30"/>
      <c r="LY67" s="30"/>
      <c r="LZ67" s="30"/>
      <c r="MA67" s="30"/>
      <c r="MB67" s="30"/>
      <c r="MC67" s="30"/>
      <c r="MD67" s="30"/>
      <c r="ME67" s="30"/>
      <c r="MF67" s="30"/>
      <c r="MG67" s="30"/>
      <c r="MH67" s="30"/>
      <c r="MI67" s="30"/>
      <c r="MJ67" s="30"/>
      <c r="MK67" s="30"/>
      <c r="ML67" s="30"/>
      <c r="MM67" s="30"/>
      <c r="MN67" s="30"/>
      <c r="MO67" s="30"/>
      <c r="MP67" s="30"/>
      <c r="MQ67" s="30"/>
      <c r="MR67" s="30"/>
      <c r="MS67" s="30"/>
      <c r="MT67" s="30"/>
      <c r="MU67" s="30"/>
      <c r="MV67" s="30"/>
      <c r="MW67" s="30"/>
      <c r="MX67" s="30"/>
      <c r="MY67" s="30"/>
      <c r="MZ67" s="30"/>
      <c r="NA67" s="30"/>
      <c r="NB67" s="30"/>
      <c r="NC67" s="30"/>
      <c r="ND67" s="30"/>
      <c r="NE67" s="30"/>
      <c r="NF67" s="30"/>
      <c r="NG67" s="30"/>
      <c r="NH67" s="30"/>
      <c r="NI67" s="30"/>
      <c r="NJ67" s="30"/>
      <c r="NK67" s="30"/>
      <c r="NL67" s="30"/>
      <c r="NM67" s="30"/>
      <c r="NN67" s="30"/>
      <c r="NO67" s="30"/>
      <c r="NP67" s="30"/>
      <c r="NQ67" s="30"/>
      <c r="NR67" s="30"/>
      <c r="NS67" s="30"/>
      <c r="NT67" s="30"/>
      <c r="NU67" s="30"/>
      <c r="NV67" s="30"/>
      <c r="NW67" s="30"/>
      <c r="NX67" s="30"/>
      <c r="NY67" s="30"/>
      <c r="NZ67" s="30"/>
      <c r="OA67" s="30"/>
      <c r="OB67" s="30"/>
      <c r="OC67" s="30"/>
      <c r="OD67" s="30"/>
      <c r="OE67" s="30"/>
      <c r="OF67" s="30"/>
      <c r="OG67" s="30"/>
      <c r="OH67" s="30"/>
      <c r="OI67" s="30"/>
      <c r="OJ67" s="30"/>
      <c r="OK67" s="30"/>
      <c r="OL67" s="30"/>
    </row>
    <row r="68" customFormat="false" ht="14.4" hidden="false" customHeight="false" outlineLevel="0" collapsed="false">
      <c r="A68" s="99"/>
      <c r="D68" s="85" t="s">
        <v>134</v>
      </c>
      <c r="E68" s="157" t="n">
        <f aca="false">IF(AND($F$2="No",$F$3="No"),SUM(I68:L68),IF(AND($F$2="Yes", $F$3="No"), SUM(I68:L68)+N68, IF(AND($F$2="No", $F$3="Yes"),SUM(I68:L68)+M68, SUM(I68:L68)+N68+M68)))</f>
        <v>-62086604.2744938</v>
      </c>
      <c r="F68" s="144" t="n">
        <f aca="false">IF(AND($F$2="No",$F$3="No"),SUM(H68:L68,O68),IF(AND($F$2="Yes", $F$3="No"), SUM(H68:L68,O68)+N68, IF(AND($F$2="No", $F$3="Yes"),SUM(H68:L68,O68)+M68, SUM(H68:L68,O68)+N68+M68)))</f>
        <v>7194008.49334791</v>
      </c>
      <c r="G68" s="88"/>
      <c r="H68" s="144" t="n">
        <f aca="false">('Input data meat and eggs'!S392*'Input data meat and eggs'!B48+'Input data meat and eggs'!T392*'Input data meat and eggs'!B47+'Input data meat and eggs'!U392*'Input data meat and eggs'!B35+'Input data meat and eggs'!V392*SUMPRODUCT('Input data meat and eggs'!B37:B46,'Input data meat and eggs'!E65:E74))*'Input data meat and eggs'!$C$392</f>
        <v>69280612.7678417</v>
      </c>
      <c r="I68" s="144" t="n">
        <v>0</v>
      </c>
      <c r="J68" s="144" t="n">
        <v>0</v>
      </c>
      <c r="K68" s="144" t="n">
        <v>0</v>
      </c>
      <c r="L68" s="158" t="n">
        <v>0</v>
      </c>
      <c r="M68" s="144" t="n">
        <f aca="false">(('Input data meat and eggs'!S392+'Input data meat and eggs'!T392)*'Common input data'!F13+ 'Input data meat and eggs'!U392*'Common input data'!B13+'Input data meat and eggs'!V392*('Input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eggs'!$C$392</f>
        <v>-62562751.7457112</v>
      </c>
      <c r="N68" s="144" t="n">
        <f aca="false">('Input data meat and eggs'!V392*('Input data meat and eggs'!E67*'Common input data'!B21*'Common input data'!G30/'Common input data'!F30+'Input data meat and eggs'!E71*'Common input data'!C21*'Common input data'!J31/'Common input data'!I31))*'Input data meat and eggs'!$C$392</f>
        <v>476147.47121741</v>
      </c>
      <c r="O68" s="144" t="n">
        <v>0</v>
      </c>
      <c r="P68" s="144" t="n">
        <v>0</v>
      </c>
      <c r="Q68" s="144" t="n">
        <f aca="false">SUM(F68+P68)</f>
        <v>7194008.49334791</v>
      </c>
      <c r="R68" s="89"/>
      <c r="S68" s="89"/>
      <c r="T68" s="99"/>
    </row>
    <row r="69" customFormat="false" ht="14.4" hidden="false" customHeight="false" outlineLevel="0" collapsed="false">
      <c r="A69" s="99"/>
      <c r="C69" s="31"/>
      <c r="D69" s="85" t="s">
        <v>135</v>
      </c>
      <c r="E69" s="157" t="n">
        <f aca="false">SUM(I69:L69)</f>
        <v>16921563.0258346</v>
      </c>
      <c r="F69" s="144" t="n">
        <f aca="false">SUM(H69:L69,O69)</f>
        <v>16958687.7916352</v>
      </c>
      <c r="G69" s="88"/>
      <c r="H69" s="144" t="n">
        <f aca="false">('Input data meat and eggs'!S392*'Input data meat and eggs'!C48+'Input data meat and eggs'!T392*'Input data meat and eggs'!C47+'Input data meat and eggs'!U392*'Input data meat and eggs'!C35+'Input data meat and eggs'!V392*SUMPRODUCT('Input data meat and eggs'!C37:C46,'Input data meat and eggs'!E65:E74))*'Input data meat and eggs'!$C$392</f>
        <v>37124.7658006512</v>
      </c>
      <c r="I69" s="144" t="n">
        <v>0</v>
      </c>
      <c r="J69" s="144" t="n">
        <f aca="false">('Input data meat and eggs'!M392*'Input data meat and eggs'!G392/12*'Input data meat and eggs'!$B$451*'Input data meat and eggs'!$B$452*'Input data meat and eggs'!$B$453* ('Input data meat and eggs'!$O$392*'Input data meat and eggs'!$B$443 +'Input data meat and eggs'!$P$392*'Input data meat and eggs'!$C$443+ 'Input data meat and eggs'!$Q$392*'Input data meat and eggs'!$D$443+ 'Input data meat and eggs'!$R$392*'Input data meat and eggs'!$E$443))*'Input data meat and eggs'!$C$392</f>
        <v>1000331.12076533</v>
      </c>
      <c r="K69" s="144" t="n">
        <v>0</v>
      </c>
      <c r="L69" s="158" t="n">
        <f aca="false">('Input data meat and eggs'!L392*'Input data meat and eggs'!G392/12)*'Input data meat and eggs'!$C$392</f>
        <v>15921231.9050692</v>
      </c>
      <c r="M69" s="144" t="n">
        <v>0</v>
      </c>
      <c r="N69" s="144" t="n">
        <v>0</v>
      </c>
      <c r="O69" s="144" t="n">
        <v>0</v>
      </c>
      <c r="P69" s="144" t="n">
        <v>0</v>
      </c>
      <c r="Q69" s="144" t="n">
        <f aca="false">SUM(F69+P69)</f>
        <v>16958687.7916352</v>
      </c>
      <c r="R69" s="89"/>
      <c r="S69" s="89"/>
      <c r="T69" s="99"/>
    </row>
    <row r="70" customFormat="false" ht="14.4" hidden="false" customHeight="false" outlineLevel="0" collapsed="false">
      <c r="A70" s="99"/>
      <c r="C70" s="87"/>
      <c r="D70" s="31" t="s">
        <v>136</v>
      </c>
      <c r="E70" s="157" t="n">
        <f aca="false">SUM(I70:L70)</f>
        <v>469033.878844957</v>
      </c>
      <c r="F70" s="144" t="n">
        <f aca="false">SUM(H70:L70,O70)</f>
        <v>539282.652065451</v>
      </c>
      <c r="G70" s="159"/>
      <c r="H70" s="144" t="n">
        <f aca="false">(('Input data meat and eggs'!S392*'Input data meat and eggs'!D48+'Input data meat and eggs'!T392*'Input data meat and eggs'!D47+'Input data meat and eggs'!U392*'Input data meat and eggs'!D35+'Input data meat and eggs'!V392*SUMPRODUCT('Input data meat and eggs'!D37:D46,'Input data meat and eggs'!E65:E74))*'Input data meat and eggs'!B58)*'Input data meat and eggs'!$C$392</f>
        <v>70248.7732204933</v>
      </c>
      <c r="I70" s="144" t="n">
        <f aca="false">(('Input data meat and eggs'!S392*'Input data meat and eggs'!D48+'Input data meat and eggs'!T392*'Input data meat and eggs'!D47+'Input data meat and eggs'!U392*'Input data meat and eggs'!D35+'Input data meat and eggs'!V392*SUMPRODUCT('Input data meat and eggs'!D37:D46,'Input data meat and eggs'!E65:E74))*'Input data meat and eggs'!C58)*'Input data meat and eggs'!$C$392</f>
        <v>177560.583885504</v>
      </c>
      <c r="J70" s="160" t="n">
        <f aca="false">('Input data meat and eggs'!K392*'Input data meat and eggs'!G392/12*('Input data meat and eggs'!$O$392*'Input data meat and eggs'!$B$445+'Input data meat and eggs'!$P$392*'Input data meat and eggs'!$C$445+'Input data meat and eggs'!$Q$392*'Input data meat and eggs'!$D$445+'Input data meat and eggs'!$R$392*'Input data meat and eggs'!$E$445)*44/28)*'Input data meat and eggs'!$C$392</f>
        <v>266276.692263803</v>
      </c>
      <c r="K70" s="144" t="n">
        <f aca="false">('Input data meat and eggs'!$B$446*44/28*'Input data meat and eggs'!K392*'Input data meat and eggs'!G392/12*('Input data meat and eggs'!O392*'Input data meat and eggs'!B457+'Input data meat and eggs'!P392*'Input data meat and eggs'!C457+'Input data meat and eggs'!Q392*'Input data meat and eggs'!D457))*'Input data meat and eggs'!$C$392</f>
        <v>25196.6026956497</v>
      </c>
      <c r="L70" s="158" t="n">
        <v>0</v>
      </c>
      <c r="M70" s="144" t="n">
        <v>0</v>
      </c>
      <c r="N70" s="144" t="n">
        <v>0</v>
      </c>
      <c r="O70" s="144" t="n">
        <v>0</v>
      </c>
      <c r="P70" s="144" t="n">
        <v>0</v>
      </c>
      <c r="Q70" s="144" t="n">
        <f aca="false">SUM(F70+P70)</f>
        <v>539282.652065451</v>
      </c>
      <c r="R70" s="102"/>
      <c r="S70" s="89"/>
      <c r="T70" s="99"/>
    </row>
    <row r="71" s="83" customFormat="true" ht="14.4" hidden="false" customHeight="false" outlineLevel="0" collapsed="false">
      <c r="A71" s="75"/>
      <c r="B71" s="76" t="s">
        <v>147</v>
      </c>
      <c r="C71" s="153"/>
      <c r="D71" s="78" t="s">
        <v>133</v>
      </c>
      <c r="E71" s="154" t="n">
        <f aca="false">IF($F$1="GWP100 without fb",E72+E73*'Common input data'!$C$5+E74*'Common input data'!$D$5,IF($F$1="GWP100 with fb",E72+E73*'Common input data'!$C$6+E74*'Common input data'!$D$6,IF($F$1="GTP100 without fb",E72+E73*'Common input data'!$C$7+E74*'Common input data'!$D$7,IF($F$1="GTP100 with fb",E72+E73*'Common input data'!$C$8+E74*'Common input data'!$D$8,E72+E73*'Common input data'!$C$9+E74*'Common input data'!$D$9))))</f>
        <v>192268142.035688</v>
      </c>
      <c r="F71" s="155" t="n">
        <f aca="false">IF($F$1="GWP100 without fb",F72+F73*'Common input data'!$C$5+F74*'Common input data'!$D$5,IF($F$1="GWP100 with fb",F72+F73*'Common input data'!$C$6+F74*'Common input data'!$D$6,IF($F$1="GTP100 without fb",F72+F73*'Common input data'!$C$7+F74*'Common input data'!$D$7,IF($F$1="GTP100 with fb",F72+F73*'Common input data'!$C$8+F74*'Common input data'!$D$8,F72+F73*'Common input data'!$C$9+F74*'Common input data'!$D$9))))</f>
        <v>211044591.329069</v>
      </c>
      <c r="G71" s="156"/>
      <c r="H71" s="155"/>
      <c r="I71" s="155"/>
      <c r="J71" s="155"/>
      <c r="K71" s="155"/>
      <c r="L71" s="155"/>
      <c r="N71" s="155"/>
      <c r="O71" s="155"/>
      <c r="P71" s="155"/>
      <c r="Q71" s="155"/>
      <c r="R71" s="84"/>
      <c r="S71" s="84"/>
      <c r="T71" s="99"/>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c r="FU71" s="30"/>
      <c r="FV71" s="30"/>
      <c r="FW71" s="30"/>
      <c r="FX71" s="30"/>
      <c r="FY71" s="30"/>
      <c r="FZ71" s="30"/>
      <c r="GA71" s="30"/>
      <c r="GB71" s="30"/>
      <c r="GC71" s="30"/>
      <c r="GD71" s="30"/>
      <c r="GE71" s="30"/>
      <c r="GF71" s="30"/>
      <c r="GG71" s="30"/>
      <c r="GH71" s="30"/>
      <c r="GI71" s="30"/>
      <c r="GJ71" s="30"/>
      <c r="GK71" s="30"/>
      <c r="GL71" s="30"/>
      <c r="GM71" s="30"/>
      <c r="GN71" s="30"/>
      <c r="GO71" s="30"/>
      <c r="GP71" s="30"/>
      <c r="GQ71" s="30"/>
      <c r="GR71" s="30"/>
      <c r="GS71" s="30"/>
      <c r="GT71" s="30"/>
      <c r="GU71" s="30"/>
      <c r="GV71" s="30"/>
      <c r="GW71" s="30"/>
      <c r="GX71" s="30"/>
      <c r="GY71" s="30"/>
      <c r="GZ71" s="30"/>
      <c r="HA71" s="30"/>
      <c r="HB71" s="30"/>
      <c r="HC71" s="30"/>
      <c r="HD71" s="30"/>
      <c r="HE71" s="30"/>
      <c r="HF71" s="30"/>
      <c r="HG71" s="30"/>
      <c r="HH71" s="30"/>
      <c r="HI71" s="30"/>
      <c r="HJ71" s="30"/>
      <c r="HK71" s="30"/>
      <c r="HL71" s="30"/>
      <c r="HM71" s="30"/>
      <c r="HN71" s="30"/>
      <c r="HO71" s="30"/>
      <c r="HP71" s="30"/>
      <c r="HQ71" s="30"/>
      <c r="HR71" s="30"/>
      <c r="HS71" s="30"/>
      <c r="HT71" s="30"/>
      <c r="HU71" s="30"/>
      <c r="HV71" s="30"/>
      <c r="HW71" s="30"/>
      <c r="HX71" s="30"/>
      <c r="HY71" s="30"/>
      <c r="HZ71" s="30"/>
      <c r="IA71" s="30"/>
      <c r="IB71" s="30"/>
      <c r="IC71" s="30"/>
      <c r="ID71" s="30"/>
      <c r="IE71" s="30"/>
      <c r="IF71" s="30"/>
      <c r="IG71" s="30"/>
      <c r="IH71" s="30"/>
      <c r="II71" s="30"/>
      <c r="IJ71" s="30"/>
      <c r="IK71" s="30"/>
      <c r="IL71" s="30"/>
      <c r="IM71" s="30"/>
      <c r="IN71" s="30"/>
      <c r="IO71" s="30"/>
      <c r="IP71" s="30"/>
      <c r="IQ71" s="30"/>
      <c r="IR71" s="30"/>
      <c r="IS71" s="30"/>
      <c r="IT71" s="30"/>
      <c r="IU71" s="30"/>
      <c r="IV71" s="30"/>
      <c r="IW71" s="30"/>
      <c r="IX71" s="30"/>
      <c r="IY71" s="30"/>
      <c r="IZ71" s="30"/>
      <c r="JA71" s="30"/>
      <c r="JB71" s="30"/>
      <c r="JC71" s="30"/>
      <c r="JD71" s="30"/>
      <c r="JE71" s="30"/>
      <c r="JF71" s="30"/>
      <c r="JG71" s="30"/>
      <c r="JH71" s="30"/>
      <c r="JI71" s="30"/>
      <c r="JJ71" s="30"/>
      <c r="JK71" s="30"/>
      <c r="JL71" s="30"/>
      <c r="JM71" s="30"/>
      <c r="JN71" s="30"/>
      <c r="JO71" s="30"/>
      <c r="JP71" s="30"/>
      <c r="JQ71" s="30"/>
      <c r="JR71" s="30"/>
      <c r="JS71" s="30"/>
      <c r="JT71" s="30"/>
      <c r="JU71" s="30"/>
      <c r="JV71" s="30"/>
      <c r="JW71" s="30"/>
      <c r="JX71" s="30"/>
      <c r="JY71" s="30"/>
      <c r="JZ71" s="30"/>
      <c r="KA71" s="30"/>
      <c r="KB71" s="30"/>
      <c r="KC71" s="30"/>
      <c r="KD71" s="30"/>
      <c r="KE71" s="30"/>
      <c r="KF71" s="30"/>
      <c r="KG71" s="30"/>
      <c r="KH71" s="30"/>
      <c r="KI71" s="30"/>
      <c r="KJ71" s="30"/>
      <c r="KK71" s="30"/>
      <c r="KL71" s="30"/>
      <c r="KM71" s="30"/>
      <c r="KN71" s="30"/>
      <c r="KO71" s="30"/>
      <c r="KP71" s="30"/>
      <c r="KQ71" s="30"/>
      <c r="KR71" s="30"/>
      <c r="KS71" s="30"/>
      <c r="KT71" s="30"/>
      <c r="KU71" s="30"/>
      <c r="KV71" s="30"/>
      <c r="KW71" s="30"/>
      <c r="KX71" s="30"/>
      <c r="KY71" s="30"/>
      <c r="KZ71" s="30"/>
      <c r="LA71" s="30"/>
      <c r="LB71" s="30"/>
      <c r="LC71" s="30"/>
      <c r="LD71" s="30"/>
      <c r="LE71" s="30"/>
      <c r="LF71" s="30"/>
      <c r="LG71" s="30"/>
      <c r="LH71" s="30"/>
      <c r="LI71" s="30"/>
      <c r="LJ71" s="30"/>
      <c r="LK71" s="30"/>
      <c r="LL71" s="30"/>
      <c r="LM71" s="30"/>
      <c r="LN71" s="30"/>
      <c r="LO71" s="30"/>
      <c r="LP71" s="30"/>
      <c r="LQ71" s="30"/>
      <c r="LR71" s="30"/>
      <c r="LS71" s="30"/>
      <c r="LT71" s="30"/>
      <c r="LU71" s="30"/>
      <c r="LV71" s="30"/>
      <c r="LW71" s="30"/>
      <c r="LX71" s="30"/>
      <c r="LY71" s="30"/>
      <c r="LZ71" s="30"/>
      <c r="MA71" s="30"/>
      <c r="MB71" s="30"/>
      <c r="MC71" s="30"/>
      <c r="MD71" s="30"/>
      <c r="ME71" s="30"/>
      <c r="MF71" s="30"/>
      <c r="MG71" s="30"/>
      <c r="MH71" s="30"/>
      <c r="MI71" s="30"/>
      <c r="MJ71" s="30"/>
      <c r="MK71" s="30"/>
      <c r="ML71" s="30"/>
      <c r="MM71" s="30"/>
      <c r="MN71" s="30"/>
      <c r="MO71" s="30"/>
      <c r="MP71" s="30"/>
      <c r="MQ71" s="30"/>
      <c r="MR71" s="30"/>
      <c r="MS71" s="30"/>
      <c r="MT71" s="30"/>
      <c r="MU71" s="30"/>
      <c r="MV71" s="30"/>
      <c r="MW71" s="30"/>
      <c r="MX71" s="30"/>
      <c r="MY71" s="30"/>
      <c r="MZ71" s="30"/>
      <c r="NA71" s="30"/>
      <c r="NB71" s="30"/>
      <c r="NC71" s="30"/>
      <c r="ND71" s="30"/>
      <c r="NE71" s="30"/>
      <c r="NF71" s="30"/>
      <c r="NG71" s="30"/>
      <c r="NH71" s="30"/>
      <c r="NI71" s="30"/>
      <c r="NJ71" s="30"/>
      <c r="NK71" s="30"/>
      <c r="NL71" s="30"/>
      <c r="NM71" s="30"/>
      <c r="NN71" s="30"/>
      <c r="NO71" s="30"/>
      <c r="NP71" s="30"/>
      <c r="NQ71" s="30"/>
      <c r="NR71" s="30"/>
      <c r="NS71" s="30"/>
      <c r="NT71" s="30"/>
      <c r="NU71" s="30"/>
      <c r="NV71" s="30"/>
      <c r="NW71" s="30"/>
      <c r="NX71" s="30"/>
      <c r="NY71" s="30"/>
      <c r="NZ71" s="30"/>
      <c r="OA71" s="30"/>
      <c r="OB71" s="30"/>
      <c r="OC71" s="30"/>
      <c r="OD71" s="30"/>
      <c r="OE71" s="30"/>
      <c r="OF71" s="30"/>
      <c r="OG71" s="30"/>
      <c r="OH71" s="30"/>
      <c r="OI71" s="30"/>
      <c r="OJ71" s="30"/>
      <c r="OK71" s="30"/>
      <c r="OL71" s="30"/>
    </row>
    <row r="72" customFormat="false" ht="14.4" hidden="false" customHeight="false" outlineLevel="0" collapsed="false">
      <c r="A72" s="99"/>
      <c r="D72" s="85" t="s">
        <v>134</v>
      </c>
      <c r="E72" s="157" t="n">
        <f aca="false">IF(AND($F$2="No",$F$3="No"),SUM(I72:L72),IF(AND($F$2="Yes", $F$3="No"), SUM(I72:L72)+N72, IF(AND($F$2="No", $F$3="Yes"),SUM(I72:L72)+M72, SUM(I72:L72)+N72+M72)))</f>
        <v>-13346626.5441518</v>
      </c>
      <c r="F72" s="144" t="n">
        <f aca="false">IF(AND($F$2="No",$F$3="No"),SUM(H72:L72,O72),IF(AND($F$2="Yes", $F$3="No"), SUM(H72:L72,O72)+N72, IF(AND($F$2="No", $F$3="Yes"),SUM(H72:L72,O72)+M72, SUM(H72:L72,O72)+N72+M72)))</f>
        <v>657574.955667917</v>
      </c>
      <c r="G72" s="159"/>
      <c r="H72" s="144" t="n">
        <f aca="false">('Input data meat and eggs'!S393*'Input data meat and eggs'!B48+'Input data meat and eggs'!T393*'Input data meat and eggs'!B47+'Input data meat and eggs'!U393*'Input data meat and eggs'!B35+'Input data meat and eggs'!V393*SUMPRODUCT('Input data meat and eggs'!B37:B46,'Input data meat and eggs'!E65:E74))*'Input data meat and eggs'!$C$393</f>
        <v>14004201.4998198</v>
      </c>
      <c r="I72" s="144" t="n">
        <v>0</v>
      </c>
      <c r="J72" s="144" t="n">
        <v>0</v>
      </c>
      <c r="K72" s="144" t="n">
        <v>0</v>
      </c>
      <c r="L72" s="144" t="n">
        <v>0</v>
      </c>
      <c r="M72" s="144" t="n">
        <f aca="false">(('Input data meat and eggs'!S393+'Input data meat and eggs'!T393)*'Common input data'!F13+ 'Input data meat and eggs'!U393*'Common input data'!B13+'Input data meat and eggs'!V393*('Input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eggs'!$C$393</f>
        <v>-13538350.2365761</v>
      </c>
      <c r="N72" s="144" t="n">
        <f aca="false">('Input data meat and eggs'!V393*('Input data meat and eggs'!E67*'Common input data'!B21*'Common input data'!G30/'Common input data'!F30+'Input data meat and eggs'!E71*'Common input data'!C21*'Common input data'!J31/'Common input data'!I31))*'Input data meat and eggs'!$C$393</f>
        <v>191723.692424227</v>
      </c>
      <c r="O72" s="144" t="n">
        <v>0</v>
      </c>
      <c r="P72" s="144" t="n">
        <v>0</v>
      </c>
      <c r="Q72" s="144" t="n">
        <f aca="false">SUM(F72+P72)</f>
        <v>657574.955667917</v>
      </c>
      <c r="R72" s="89"/>
      <c r="S72" s="89"/>
      <c r="T72" s="99"/>
    </row>
    <row r="73" customFormat="false" ht="14.4" hidden="false" customHeight="false" outlineLevel="0" collapsed="false">
      <c r="A73" s="99"/>
      <c r="C73" s="31"/>
      <c r="D73" s="85" t="s">
        <v>135</v>
      </c>
      <c r="E73" s="157" t="n">
        <f aca="false">SUM(I73:L73)</f>
        <v>4991166.44360739</v>
      </c>
      <c r="F73" s="144" t="n">
        <f aca="false">SUM(H73:L73,O73)</f>
        <v>5000010.99246807</v>
      </c>
      <c r="G73" s="159"/>
      <c r="H73" s="144" t="n">
        <f aca="false">('Input data meat and eggs'!S393*'Input data meat and eggs'!C48+'Input data meat and eggs'!T393*'Input data meat and eggs'!C47+'Input data meat and eggs'!U393*'Input data meat and eggs'!C35+'Input data meat and eggs'!V393*SUMPRODUCT('Input data meat and eggs'!C37:C46,'Input data meat and eggs'!E65:E74))*'Input data meat and eggs'!$C$393</f>
        <v>8844.5488606816</v>
      </c>
      <c r="I73" s="144" t="n">
        <v>0</v>
      </c>
      <c r="J73" s="144" t="n">
        <f aca="false">('Input data meat and eggs'!M393*'Input data meat and eggs'!G393/12*'Input data meat and eggs'!$B$451*'Input data meat and eggs'!$B$452*'Input data meat and eggs'!$B$453* ('Input data meat and eggs'!$O$393*'Input data meat and eggs'!$B$443 +'Input data meat and eggs'!$P$393*'Input data meat and eggs'!$C$443+ 'Input data meat and eggs'!$Q$393*'Input data meat and eggs'!$D$443+ 'Input data meat and eggs'!$R$393*'Input data meat and eggs'!$E$443))*'Input data meat and eggs'!$C$393</f>
        <v>291513.551726799</v>
      </c>
      <c r="K73" s="144" t="n">
        <v>0</v>
      </c>
      <c r="L73" s="144" t="n">
        <f aca="false">('Input data meat and eggs'!L393*'Input data meat and eggs'!G393/12)*'Input data meat and eggs'!$C$393</f>
        <v>4699652.89188059</v>
      </c>
      <c r="M73" s="158" t="n">
        <v>0</v>
      </c>
      <c r="N73" s="144" t="n">
        <v>0</v>
      </c>
      <c r="O73" s="144" t="n">
        <v>0</v>
      </c>
      <c r="P73" s="144" t="n">
        <v>0</v>
      </c>
      <c r="Q73" s="144" t="n">
        <f aca="false">SUM(F73+P73)</f>
        <v>5000010.99246807</v>
      </c>
      <c r="R73" s="89"/>
      <c r="S73" s="89"/>
      <c r="T73" s="99"/>
    </row>
    <row r="74" customFormat="false" ht="14.4" hidden="false" customHeight="false" outlineLevel="0" collapsed="false">
      <c r="A74" s="99"/>
      <c r="C74" s="87"/>
      <c r="D74" s="31" t="s">
        <v>136</v>
      </c>
      <c r="E74" s="157" t="n">
        <f aca="false">SUM(I74:L74)</f>
        <v>120520.501668417</v>
      </c>
      <c r="F74" s="144" t="n">
        <f aca="false">SUM(H74:L74,O74)</f>
        <v>135525.646407674</v>
      </c>
      <c r="G74" s="159"/>
      <c r="H74" s="144" t="n">
        <f aca="false">(('Input data meat and eggs'!S393*'Input data meat and eggs'!D48+'Input data meat and eggs'!T393*'Input data meat and eggs'!D47+'Input data meat and eggs'!U393*'Input data meat and eggs'!D35+'Input data meat and eggs'!V393*SUMPRODUCT('Input data meat and eggs'!D37:D46,'Input data meat and eggs'!E65:E74))*'Input data meat and eggs'!B58)*'Input data meat and eggs'!$C$393</f>
        <v>15005.1447392568</v>
      </c>
      <c r="I74" s="144" t="n">
        <f aca="false">(('Input data meat and eggs'!S393*'Input data meat and eggs'!D48+'Input data meat and eggs'!T393*'Input data meat and eggs'!D47+'Input data meat and eggs'!U393*'Input data meat and eggs'!D35+'Input data meat and eggs'!V393*SUMPRODUCT('Input data meat and eggs'!D37:D46,'Input data meat and eggs'!E65:E74))*'Input data meat and eggs'!C58)*'Input data meat and eggs'!$C$393</f>
        <v>37926.9578534317</v>
      </c>
      <c r="J74" s="144" t="n">
        <f aca="false">('Input data meat and eggs'!K393*'Input data meat and eggs'!G393/12*('Input data meat and eggs'!$O$393*'Input data meat and eggs'!$B$445+'Input data meat and eggs'!$P$393*'Input data meat and eggs'!$C$445+'Input data meat and eggs'!$Q$393*'Input data meat and eggs'!$D$445+'Input data meat and eggs'!$R$393*'Input data meat and eggs'!$E$445)*44/28)*'Input data meat and eggs'!$C$393</f>
        <v>76765.0272710982</v>
      </c>
      <c r="K74" s="144" t="n">
        <f aca="false">('Input data meat and eggs'!$B$446*44/28*'Input data meat and eggs'!K393*'Input data meat and eggs'!G393/12*('Input data meat and eggs'!O393*'Input data meat and eggs'!B457+'Input data meat and eggs'!P393*'Input data meat and eggs'!C457+'Input data meat and eggs'!Q393*'Input data meat and eggs'!D457))*'Input data meat and eggs'!$C$393</f>
        <v>5828.51654388742</v>
      </c>
      <c r="L74" s="144" t="n">
        <v>0</v>
      </c>
      <c r="M74" s="144" t="n">
        <v>0</v>
      </c>
      <c r="N74" s="144" t="n">
        <v>0</v>
      </c>
      <c r="O74" s="144" t="n">
        <v>0</v>
      </c>
      <c r="P74" s="144" t="n">
        <v>0</v>
      </c>
      <c r="Q74" s="144" t="n">
        <f aca="false">SUM(F74+P74)</f>
        <v>135525.646407674</v>
      </c>
      <c r="R74" s="89"/>
      <c r="S74" s="89"/>
      <c r="T74" s="99"/>
    </row>
    <row r="75" s="83" customFormat="true" ht="14.4" hidden="false" customHeight="false" outlineLevel="0" collapsed="false">
      <c r="A75" s="161"/>
      <c r="B75" s="84" t="s">
        <v>148</v>
      </c>
      <c r="D75" s="78" t="s">
        <v>133</v>
      </c>
      <c r="E75" s="154" t="n">
        <f aca="false">IF($F$1="GWP100 without fb",E76+E77*'Common input data'!$C$5+E78*'Common input data'!$D$5,IF($F$1="GWP100 with fb",E76+E77*'Common input data'!$C$6+E78*'Common input data'!$D$6,IF($F$1="GTP100 without fb",E76+E77*'Common input data'!$C$7+E78*'Common input data'!$D$7,IF($F$1="GTP100 with fb",E76+E77*'Common input data'!$C$8+E78*'Common input data'!$D$8,E76+E77*'Common input data'!$C$9+E78*'Common input data'!$D$9))))</f>
        <v>220134294.282127</v>
      </c>
      <c r="F75" s="155" t="n">
        <f aca="false">IF($F$1="GWP100 without fb",F76+F77*'Common input data'!$C$5+F78*'Common input data'!$D$5,IF($F$1="GWP100 with fb",F76+F77*'Common input data'!$C$6+F78*'Common input data'!$D$6,IF($F$1="GTP100 without fb",F76+F77*'Common input data'!$C$7+F78*'Common input data'!$D$7,IF($F$1="GTP100 with fb",F76+F77*'Common input data'!$C$8+F78*'Common input data'!$D$8,F76+F77*'Common input data'!$C$9+F78*'Common input data'!$D$9))))</f>
        <v>245948729.131226</v>
      </c>
      <c r="G75" s="156"/>
      <c r="H75" s="155"/>
      <c r="I75" s="155"/>
      <c r="J75" s="155"/>
      <c r="K75" s="155"/>
      <c r="L75" s="155"/>
      <c r="N75" s="155"/>
      <c r="O75" s="155"/>
      <c r="P75" s="155"/>
      <c r="Q75" s="155"/>
      <c r="R75" s="84"/>
      <c r="S75" s="84"/>
      <c r="T75" s="99"/>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c r="FR75" s="30"/>
      <c r="FS75" s="30"/>
      <c r="FT75" s="30"/>
      <c r="FU75" s="30"/>
      <c r="FV75" s="30"/>
      <c r="FW75" s="30"/>
      <c r="FX75" s="30"/>
      <c r="FY75" s="30"/>
      <c r="FZ75" s="30"/>
      <c r="GA75" s="30"/>
      <c r="GB75" s="30"/>
      <c r="GC75" s="30"/>
      <c r="GD75" s="30"/>
      <c r="GE75" s="30"/>
      <c r="GF75" s="30"/>
      <c r="GG75" s="30"/>
      <c r="GH75" s="30"/>
      <c r="GI75" s="30"/>
      <c r="GJ75" s="30"/>
      <c r="GK75" s="30"/>
      <c r="GL75" s="30"/>
      <c r="GM75" s="30"/>
      <c r="GN75" s="30"/>
      <c r="GO75" s="30"/>
      <c r="GP75" s="30"/>
      <c r="GQ75" s="30"/>
      <c r="GR75" s="30"/>
      <c r="GS75" s="30"/>
      <c r="GT75" s="30"/>
      <c r="GU75" s="30"/>
      <c r="GV75" s="30"/>
      <c r="GW75" s="30"/>
      <c r="GX75" s="30"/>
      <c r="GY75" s="30"/>
      <c r="GZ75" s="30"/>
      <c r="HA75" s="30"/>
      <c r="HB75" s="30"/>
      <c r="HC75" s="30"/>
      <c r="HD75" s="30"/>
      <c r="HE75" s="30"/>
      <c r="HF75" s="30"/>
      <c r="HG75" s="30"/>
      <c r="HH75" s="30"/>
      <c r="HI75" s="30"/>
      <c r="HJ75" s="30"/>
      <c r="HK75" s="30"/>
      <c r="HL75" s="30"/>
      <c r="HM75" s="30"/>
      <c r="HN75" s="30"/>
      <c r="HO75" s="30"/>
      <c r="HP75" s="30"/>
      <c r="HQ75" s="30"/>
      <c r="HR75" s="30"/>
      <c r="HS75" s="30"/>
      <c r="HT75" s="30"/>
      <c r="HU75" s="30"/>
      <c r="HV75" s="30"/>
      <c r="HW75" s="30"/>
      <c r="HX75" s="30"/>
      <c r="HY75" s="30"/>
      <c r="HZ75" s="30"/>
      <c r="IA75" s="30"/>
      <c r="IB75" s="30"/>
      <c r="IC75" s="30"/>
      <c r="ID75" s="30"/>
      <c r="IE75" s="30"/>
      <c r="IF75" s="30"/>
      <c r="IG75" s="30"/>
      <c r="IH75" s="30"/>
      <c r="II75" s="30"/>
      <c r="IJ75" s="30"/>
      <c r="IK75" s="30"/>
      <c r="IL75" s="30"/>
      <c r="IM75" s="30"/>
      <c r="IN75" s="30"/>
      <c r="IO75" s="30"/>
      <c r="IP75" s="30"/>
      <c r="IQ75" s="30"/>
      <c r="IR75" s="30"/>
      <c r="IS75" s="30"/>
      <c r="IT75" s="30"/>
      <c r="IU75" s="30"/>
      <c r="IV75" s="30"/>
      <c r="IW75" s="30"/>
      <c r="IX75" s="30"/>
      <c r="IY75" s="30"/>
      <c r="IZ75" s="30"/>
      <c r="JA75" s="30"/>
      <c r="JB75" s="30"/>
      <c r="JC75" s="30"/>
      <c r="JD75" s="30"/>
      <c r="JE75" s="30"/>
      <c r="JF75" s="30"/>
      <c r="JG75" s="30"/>
      <c r="JH75" s="30"/>
      <c r="JI75" s="30"/>
      <c r="JJ75" s="30"/>
      <c r="JK75" s="30"/>
      <c r="JL75" s="30"/>
      <c r="JM75" s="30"/>
      <c r="JN75" s="30"/>
      <c r="JO75" s="30"/>
      <c r="JP75" s="30"/>
      <c r="JQ75" s="30"/>
      <c r="JR75" s="30"/>
      <c r="JS75" s="30"/>
      <c r="JT75" s="30"/>
      <c r="JU75" s="30"/>
      <c r="JV75" s="30"/>
      <c r="JW75" s="30"/>
      <c r="JX75" s="30"/>
      <c r="JY75" s="30"/>
      <c r="JZ75" s="30"/>
      <c r="KA75" s="30"/>
      <c r="KB75" s="30"/>
      <c r="KC75" s="30"/>
      <c r="KD75" s="30"/>
      <c r="KE75" s="30"/>
      <c r="KF75" s="30"/>
      <c r="KG75" s="30"/>
      <c r="KH75" s="30"/>
      <c r="KI75" s="30"/>
      <c r="KJ75" s="30"/>
      <c r="KK75" s="30"/>
      <c r="KL75" s="30"/>
      <c r="KM75" s="30"/>
      <c r="KN75" s="30"/>
      <c r="KO75" s="30"/>
      <c r="KP75" s="30"/>
      <c r="KQ75" s="30"/>
      <c r="KR75" s="30"/>
      <c r="KS75" s="30"/>
      <c r="KT75" s="30"/>
      <c r="KU75" s="30"/>
      <c r="KV75" s="30"/>
      <c r="KW75" s="30"/>
      <c r="KX75" s="30"/>
      <c r="KY75" s="30"/>
      <c r="KZ75" s="30"/>
      <c r="LA75" s="30"/>
      <c r="LB75" s="30"/>
      <c r="LC75" s="30"/>
      <c r="LD75" s="30"/>
      <c r="LE75" s="30"/>
      <c r="LF75" s="30"/>
      <c r="LG75" s="30"/>
      <c r="LH75" s="30"/>
      <c r="LI75" s="30"/>
      <c r="LJ75" s="30"/>
      <c r="LK75" s="30"/>
      <c r="LL75" s="30"/>
      <c r="LM75" s="30"/>
      <c r="LN75" s="30"/>
      <c r="LO75" s="30"/>
      <c r="LP75" s="30"/>
      <c r="LQ75" s="30"/>
      <c r="LR75" s="30"/>
      <c r="LS75" s="30"/>
      <c r="LT75" s="30"/>
      <c r="LU75" s="30"/>
      <c r="LV75" s="30"/>
      <c r="LW75" s="30"/>
      <c r="LX75" s="30"/>
      <c r="LY75" s="30"/>
      <c r="LZ75" s="30"/>
      <c r="MA75" s="30"/>
      <c r="MB75" s="30"/>
      <c r="MC75" s="30"/>
      <c r="MD75" s="30"/>
      <c r="ME75" s="30"/>
      <c r="MF75" s="30"/>
      <c r="MG75" s="30"/>
      <c r="MH75" s="30"/>
      <c r="MI75" s="30"/>
      <c r="MJ75" s="30"/>
      <c r="MK75" s="30"/>
      <c r="ML75" s="30"/>
      <c r="MM75" s="30"/>
      <c r="MN75" s="30"/>
      <c r="MO75" s="30"/>
      <c r="MP75" s="30"/>
      <c r="MQ75" s="30"/>
      <c r="MR75" s="30"/>
      <c r="MS75" s="30"/>
      <c r="MT75" s="30"/>
      <c r="MU75" s="30"/>
      <c r="MV75" s="30"/>
      <c r="MW75" s="30"/>
      <c r="MX75" s="30"/>
      <c r="MY75" s="30"/>
      <c r="MZ75" s="30"/>
      <c r="NA75" s="30"/>
      <c r="NB75" s="30"/>
      <c r="NC75" s="30"/>
      <c r="ND75" s="30"/>
      <c r="NE75" s="30"/>
      <c r="NF75" s="30"/>
      <c r="NG75" s="30"/>
      <c r="NH75" s="30"/>
      <c r="NI75" s="30"/>
      <c r="NJ75" s="30"/>
      <c r="NK75" s="30"/>
      <c r="NL75" s="30"/>
      <c r="NM75" s="30"/>
      <c r="NN75" s="30"/>
      <c r="NO75" s="30"/>
      <c r="NP75" s="30"/>
      <c r="NQ75" s="30"/>
      <c r="NR75" s="30"/>
      <c r="NS75" s="30"/>
      <c r="NT75" s="30"/>
      <c r="NU75" s="30"/>
      <c r="NV75" s="30"/>
      <c r="NW75" s="30"/>
      <c r="NX75" s="30"/>
      <c r="NY75" s="30"/>
      <c r="NZ75" s="30"/>
      <c r="OA75" s="30"/>
      <c r="OB75" s="30"/>
      <c r="OC75" s="30"/>
      <c r="OD75" s="30"/>
      <c r="OE75" s="30"/>
      <c r="OF75" s="30"/>
      <c r="OG75" s="30"/>
      <c r="OH75" s="30"/>
      <c r="OI75" s="30"/>
      <c r="OJ75" s="30"/>
      <c r="OK75" s="30"/>
      <c r="OL75" s="30"/>
    </row>
    <row r="76" customFormat="false" ht="14.4" hidden="false" customHeight="false" outlineLevel="0" collapsed="false">
      <c r="A76" s="162"/>
      <c r="D76" s="85" t="s">
        <v>134</v>
      </c>
      <c r="E76" s="157" t="n">
        <f aca="false">IF(AND($F$2="No",$F$3="No"),SUM(I76:L76),IF(AND($F$2="Yes", $F$3="No"), SUM(I76:L76)+N76, IF(AND($F$2="No", $F$3="Yes"),SUM(I76:L76)+M76, SUM(I76:L76)+N76+M76)))</f>
        <v>-13791265.2830339</v>
      </c>
      <c r="F76" s="144" t="n">
        <f aca="false">IF(AND($F$2="No",$F$3="No"),SUM(H76:L76,O76),IF(AND($F$2="Yes", $F$3="No"), SUM(H76:L76,O76)+N76, IF(AND($F$2="No", $F$3="Yes"),SUM(H76:L76,O76)+M76, SUM(H76:L76,O76)+N76+M76)))</f>
        <v>5289291.26520904</v>
      </c>
      <c r="G76" s="159"/>
      <c r="H76" s="144" t="n">
        <f aca="false">('Input data meat and eggs'!S394*'Input data meat and eggs'!B48+'Input data meat and eggs'!T394*'Input data meat and eggs'!B47+'Input data meat and eggs'!U394*'Input data meat and eggs'!B35+'Input data meat and eggs'!V394*SUMPRODUCT('Input data meat and eggs'!B37:B46,'Input data meat and eggs'!E65:E74))*'Input data meat and eggs'!$E$394</f>
        <v>19080556.5482429</v>
      </c>
      <c r="I76" s="144" t="n">
        <v>0</v>
      </c>
      <c r="J76" s="163" t="n">
        <v>0</v>
      </c>
      <c r="K76" s="163" t="n">
        <v>0</v>
      </c>
      <c r="L76" s="163" t="n">
        <v>0</v>
      </c>
      <c r="M76" s="164" t="n">
        <f aca="false">(('Input data meat and eggs'!S394+'Input data meat and eggs'!T394)*'Common input data'!F13+ 'Input data meat and eggs'!U394*'Common input data'!B13+'Input data meat and eggs'!V394*('Input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eggs'!$E$394</f>
        <v>-13926492.5042337</v>
      </c>
      <c r="N76" s="164" t="n">
        <f aca="false">('Input data meat and eggs'!V394*('Input data meat and eggs'!E67*'Common input data'!B21*'Common input data'!G30/'Common input data'!F30+'Input data meat and eggs'!E71*'Common input data'!C21*'Common input data'!J31/'Common input data'!I31))*'Input data meat and eggs'!$E$394</f>
        <v>135227.221199784</v>
      </c>
      <c r="O76" s="163" t="n">
        <v>0</v>
      </c>
      <c r="P76" s="144" t="n">
        <v>0</v>
      </c>
      <c r="Q76" s="144" t="n">
        <f aca="false">SUM(F76+P76)</f>
        <v>5289291.26520904</v>
      </c>
      <c r="R76" s="92"/>
      <c r="S76" s="92"/>
      <c r="T76" s="165"/>
      <c r="U76" s="166"/>
    </row>
    <row r="77" customFormat="false" ht="14.4" hidden="false" customHeight="false" outlineLevel="0" collapsed="false">
      <c r="A77" s="162"/>
      <c r="D77" s="85" t="s">
        <v>135</v>
      </c>
      <c r="E77" s="157" t="n">
        <f aca="false">SUM(I77:L77)</f>
        <v>5592890.63074971</v>
      </c>
      <c r="F77" s="144" t="n">
        <f aca="false">SUM(H77:L77,O77)</f>
        <v>5602588.32104824</v>
      </c>
      <c r="G77" s="159"/>
      <c r="H77" s="144" t="n">
        <f aca="false">('Input data meat and eggs'!S394*'Input data meat and eggs'!C48+'Input data meat and eggs'!T394*'Input data meat and eggs'!C47+'Input data meat and eggs'!U394*'Input data meat and eggs'!C35+'Input data meat and eggs'!V394*SUMPRODUCT('Input data meat and eggs'!C37:C46,'Input data meat and eggs'!E65:E74))*'Input data meat and eggs'!$E$394</f>
        <v>9697.69029853282</v>
      </c>
      <c r="I77" s="144" t="n">
        <v>0</v>
      </c>
      <c r="J77" s="163" t="n">
        <f aca="false">('Input data meat and eggs'!M394*'Input data meat and eggs'!G394/12*'Input data meat and eggs'!$B$451*'Input data meat and eggs'!$B$452*'Input data meat and eggs'!$B$453* ('Input data meat and eggs'!$O$394*'Input data meat and eggs'!$B$443 +'Input data meat and eggs'!$P$394*'Input data meat and eggs'!$C$443+ 'Input data meat and eggs'!$Q$394*'Input data meat and eggs'!$D$443+ 'Input data meat and eggs'!$R$394*'Input data meat and eggs'!$E$443))*'Input data meat and eggs'!$E$394</f>
        <v>326657.792444005</v>
      </c>
      <c r="K77" s="163" t="n">
        <v>0</v>
      </c>
      <c r="L77" s="163" t="n">
        <f aca="false">('Input data meat and eggs'!L394*'Input data meat and eggs'!G394/12)*'Input data meat and eggs'!$E$394</f>
        <v>5266232.83830571</v>
      </c>
      <c r="M77" s="163" t="n">
        <v>0</v>
      </c>
      <c r="N77" s="158" t="n">
        <v>0</v>
      </c>
      <c r="O77" s="163" t="n">
        <v>0</v>
      </c>
      <c r="P77" s="144" t="n">
        <v>0</v>
      </c>
      <c r="Q77" s="144" t="n">
        <f aca="false">SUM(F77+P77)</f>
        <v>5602588.32104824</v>
      </c>
      <c r="R77" s="167"/>
      <c r="S77" s="167"/>
      <c r="T77" s="100"/>
      <c r="U77" s="122"/>
    </row>
    <row r="78" customFormat="false" ht="14.4" hidden="false" customHeight="false" outlineLevel="0" collapsed="false">
      <c r="A78" s="162"/>
      <c r="D78" s="31" t="s">
        <v>136</v>
      </c>
      <c r="E78" s="157" t="n">
        <f aca="false">SUM(I78:L78)</f>
        <v>146870.060804265</v>
      </c>
      <c r="F78" s="144" t="n">
        <f aca="false">SUM(H78:L78,O78)</f>
        <v>168360.519967708</v>
      </c>
      <c r="G78" s="159"/>
      <c r="H78" s="144" t="n">
        <f aca="false">(('Input data meat and eggs'!S394*'Input data meat and eggs'!D48+'Input data meat and eggs'!T394*'Input data meat and eggs'!D47+'Input data meat and eggs'!U394*'Input data meat and eggs'!D35+'Input data meat and eggs'!V394*SUMPRODUCT('Input data meat and eggs'!D37:D46,'Input data meat and eggs'!E65:E74))*'Input data meat and eggs'!B58)*'Input data meat and eggs'!$E$394</f>
        <v>21490.4591634434</v>
      </c>
      <c r="I78" s="144" t="n">
        <f aca="false">(('Input data meat and eggs'!S394*'Input data meat and eggs'!D48+'Input data meat and eggs'!T394*'Input data meat and eggs'!D47+'Input data meat and eggs'!U394*'Input data meat and eggs'!D35+'Input data meat and eggs'!V394*SUMPRODUCT('Input data meat and eggs'!D37:D46,'Input data meat and eggs'!E65:E74))*'Input data meat and eggs'!C58)*'Input data meat and eggs'!$E$394</f>
        <v>54319.2187150595</v>
      </c>
      <c r="J78" s="168" t="n">
        <f aca="false">('Input data meat and eggs'!K394*'Input data meat and eggs'!G394/12*('Input data meat and eggs'!$O$394*'Input data meat and eggs'!$B$445+'Input data meat and eggs'!$P$394*'Input data meat and eggs'!$C$445+'Input data meat and eggs'!$Q$394*'Input data meat and eggs'!$D$445+'Input data meat and eggs'!$R$394*'Input data meat and eggs'!$E$445)*44/28)*'Input data meat and eggs'!$E$394</f>
        <v>86019.6522485563</v>
      </c>
      <c r="K78" s="168" t="n">
        <f aca="false">('Input data meat and eggs'!$B$446*44/28*'Input data meat and eggs'!K394*'Input data meat and eggs'!G394/12*('Input data meat and eggs'!O394*'Input data meat and eggs'!B457+'Input data meat and eggs'!P394*'Input data meat and eggs'!C457+'Input data meat and eggs'!Q394*'Input data meat and eggs'!D457))*'Input data meat and eggs'!$E$394</f>
        <v>6531.18984064917</v>
      </c>
      <c r="L78" s="168" t="n">
        <v>0</v>
      </c>
      <c r="M78" s="168" t="n">
        <v>0</v>
      </c>
      <c r="N78" s="163" t="n">
        <v>0</v>
      </c>
      <c r="O78" s="168" t="n">
        <v>0</v>
      </c>
      <c r="P78" s="144" t="n">
        <v>0</v>
      </c>
      <c r="Q78" s="144" t="n">
        <f aca="false">SUM(F78+P78)</f>
        <v>168360.519967708</v>
      </c>
      <c r="R78" s="167"/>
      <c r="S78" s="167"/>
      <c r="T78" s="169"/>
      <c r="U78" s="28"/>
    </row>
    <row r="79" s="83" customFormat="true" ht="14.4" hidden="false" customHeight="false" outlineLevel="0" collapsed="false">
      <c r="A79" s="161"/>
      <c r="B79" s="84" t="s">
        <v>149</v>
      </c>
      <c r="D79" s="78" t="s">
        <v>133</v>
      </c>
      <c r="E79" s="154" t="n">
        <f aca="false">IF($F$1="GWP100 without fb",E80+E81*'Common input data'!$C$5+E82*'Common input data'!$D$5,IF($F$1="GWP100 with fb",E80+E81*'Common input data'!$C$6+E82*'Common input data'!$D$6,IF($F$1="GTP100 without fb",E80+E81*'Common input data'!$C$7+E82*'Common input data'!$D$7,IF($F$1="GTP100 with fb",E80+E81*'Common input data'!$C$8+E82*'Common input data'!$D$8,E80+E81*'Common input data'!$C$9+E82*'Common input data'!$D$9))))</f>
        <v>294845335.393297</v>
      </c>
      <c r="F79" s="155" t="n">
        <f aca="false">IF($F$1="GWP100 without fb",F80+F81*'Common input data'!$C$5+F82*'Common input data'!$D$5,IF($F$1="GWP100 with fb",F80+F81*'Common input data'!$C$6+F82*'Common input data'!$D$6,IF($F$1="GTP100 without fb",F80+F81*'Common input data'!$C$7+F82*'Common input data'!$D$7,IF($F$1="GTP100 with fb",F80+F81*'Common input data'!$C$8+F82*'Common input data'!$D$8,F80+F81*'Common input data'!$C$9+F82*'Common input data'!$D$9))))</f>
        <v>345525217.859774</v>
      </c>
      <c r="G79" s="156"/>
      <c r="H79" s="155"/>
      <c r="I79" s="155"/>
      <c r="J79" s="155"/>
      <c r="K79" s="155"/>
      <c r="L79" s="155"/>
      <c r="N79" s="155"/>
      <c r="O79" s="155"/>
      <c r="P79" s="155"/>
      <c r="Q79" s="155"/>
      <c r="R79" s="170"/>
      <c r="S79" s="171"/>
      <c r="T79" s="172"/>
      <c r="U79" s="173"/>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c r="GL79" s="30"/>
      <c r="GM79" s="30"/>
      <c r="GN79" s="30"/>
      <c r="GO79" s="30"/>
      <c r="GP79" s="30"/>
      <c r="GQ79" s="30"/>
      <c r="GR79" s="30"/>
      <c r="GS79" s="30"/>
      <c r="GT79" s="30"/>
      <c r="GU79" s="30"/>
      <c r="GV79" s="30"/>
      <c r="GW79" s="30"/>
      <c r="GX79" s="30"/>
      <c r="GY79" s="30"/>
      <c r="GZ79" s="30"/>
      <c r="HA79" s="30"/>
      <c r="HB79" s="30"/>
      <c r="HC79" s="30"/>
      <c r="HD79" s="30"/>
      <c r="HE79" s="30"/>
      <c r="HF79" s="30"/>
      <c r="HG79" s="30"/>
      <c r="HH79" s="30"/>
      <c r="HI79" s="30"/>
      <c r="HJ79" s="30"/>
      <c r="HK79" s="30"/>
      <c r="HL79" s="30"/>
      <c r="HM79" s="30"/>
      <c r="HN79" s="30"/>
      <c r="HO79" s="30"/>
      <c r="HP79" s="30"/>
      <c r="HQ79" s="30"/>
      <c r="HR79" s="30"/>
      <c r="HS79" s="30"/>
      <c r="HT79" s="30"/>
      <c r="HU79" s="30"/>
      <c r="HV79" s="30"/>
      <c r="HW79" s="30"/>
      <c r="HX79" s="30"/>
      <c r="HY79" s="30"/>
      <c r="HZ79" s="30"/>
      <c r="IA79" s="30"/>
      <c r="IB79" s="30"/>
      <c r="IC79" s="30"/>
      <c r="ID79" s="30"/>
      <c r="IE79" s="30"/>
      <c r="IF79" s="30"/>
      <c r="IG79" s="30"/>
      <c r="IH79" s="30"/>
      <c r="II79" s="30"/>
      <c r="IJ79" s="30"/>
      <c r="IK79" s="30"/>
      <c r="IL79" s="30"/>
      <c r="IM79" s="30"/>
      <c r="IN79" s="30"/>
      <c r="IO79" s="30"/>
      <c r="IP79" s="30"/>
      <c r="IQ79" s="30"/>
      <c r="IR79" s="30"/>
      <c r="IS79" s="30"/>
      <c r="IT79" s="30"/>
      <c r="IU79" s="30"/>
      <c r="IV79" s="30"/>
      <c r="IW79" s="30"/>
      <c r="IX79" s="30"/>
      <c r="IY79" s="30"/>
      <c r="IZ79" s="30"/>
      <c r="JA79" s="30"/>
      <c r="JB79" s="30"/>
      <c r="JC79" s="30"/>
      <c r="JD79" s="30"/>
      <c r="JE79" s="30"/>
      <c r="JF79" s="30"/>
      <c r="JG79" s="30"/>
      <c r="JH79" s="30"/>
      <c r="JI79" s="30"/>
      <c r="JJ79" s="30"/>
      <c r="JK79" s="30"/>
      <c r="JL79" s="30"/>
      <c r="JM79" s="30"/>
      <c r="JN79" s="30"/>
      <c r="JO79" s="30"/>
      <c r="JP79" s="30"/>
      <c r="JQ79" s="30"/>
      <c r="JR79" s="30"/>
      <c r="JS79" s="30"/>
      <c r="JT79" s="30"/>
      <c r="JU79" s="30"/>
      <c r="JV79" s="30"/>
      <c r="JW79" s="30"/>
      <c r="JX79" s="30"/>
      <c r="JY79" s="30"/>
      <c r="JZ79" s="30"/>
      <c r="KA79" s="30"/>
      <c r="KB79" s="30"/>
      <c r="KC79" s="30"/>
      <c r="KD79" s="30"/>
      <c r="KE79" s="30"/>
      <c r="KF79" s="30"/>
      <c r="KG79" s="30"/>
      <c r="KH79" s="30"/>
      <c r="KI79" s="30"/>
      <c r="KJ79" s="30"/>
      <c r="KK79" s="30"/>
      <c r="KL79" s="30"/>
      <c r="KM79" s="30"/>
      <c r="KN79" s="30"/>
      <c r="KO79" s="30"/>
      <c r="KP79" s="30"/>
      <c r="KQ79" s="30"/>
      <c r="KR79" s="30"/>
      <c r="KS79" s="30"/>
      <c r="KT79" s="30"/>
      <c r="KU79" s="30"/>
      <c r="KV79" s="30"/>
      <c r="KW79" s="30"/>
      <c r="KX79" s="30"/>
      <c r="KY79" s="30"/>
      <c r="KZ79" s="30"/>
      <c r="LA79" s="30"/>
      <c r="LB79" s="30"/>
      <c r="LC79" s="30"/>
      <c r="LD79" s="30"/>
      <c r="LE79" s="30"/>
      <c r="LF79" s="30"/>
      <c r="LG79" s="30"/>
      <c r="LH79" s="30"/>
      <c r="LI79" s="30"/>
      <c r="LJ79" s="30"/>
      <c r="LK79" s="30"/>
      <c r="LL79" s="30"/>
      <c r="LM79" s="30"/>
      <c r="LN79" s="30"/>
      <c r="LO79" s="30"/>
      <c r="LP79" s="30"/>
      <c r="LQ79" s="30"/>
      <c r="LR79" s="30"/>
      <c r="LS79" s="30"/>
      <c r="LT79" s="30"/>
      <c r="LU79" s="30"/>
      <c r="LV79" s="30"/>
      <c r="LW79" s="30"/>
      <c r="LX79" s="30"/>
      <c r="LY79" s="30"/>
      <c r="LZ79" s="30"/>
      <c r="MA79" s="30"/>
      <c r="MB79" s="30"/>
      <c r="MC79" s="30"/>
      <c r="MD79" s="30"/>
      <c r="ME79" s="30"/>
      <c r="MF79" s="30"/>
      <c r="MG79" s="30"/>
      <c r="MH79" s="30"/>
      <c r="MI79" s="30"/>
      <c r="MJ79" s="30"/>
      <c r="MK79" s="30"/>
      <c r="ML79" s="30"/>
      <c r="MM79" s="30"/>
      <c r="MN79" s="30"/>
      <c r="MO79" s="30"/>
      <c r="MP79" s="30"/>
      <c r="MQ79" s="30"/>
      <c r="MR79" s="30"/>
      <c r="MS79" s="30"/>
      <c r="MT79" s="30"/>
      <c r="MU79" s="30"/>
      <c r="MV79" s="30"/>
      <c r="MW79" s="30"/>
      <c r="MX79" s="30"/>
      <c r="MY79" s="30"/>
      <c r="MZ79" s="30"/>
      <c r="NA79" s="30"/>
      <c r="NB79" s="30"/>
      <c r="NC79" s="30"/>
      <c r="ND79" s="30"/>
      <c r="NE79" s="30"/>
      <c r="NF79" s="30"/>
      <c r="NG79" s="30"/>
      <c r="NH79" s="30"/>
      <c r="NI79" s="30"/>
      <c r="NJ79" s="30"/>
      <c r="NK79" s="30"/>
      <c r="NL79" s="30"/>
      <c r="NM79" s="30"/>
      <c r="NN79" s="30"/>
      <c r="NO79" s="30"/>
      <c r="NP79" s="30"/>
      <c r="NQ79" s="30"/>
      <c r="NR79" s="30"/>
      <c r="NS79" s="30"/>
      <c r="NT79" s="30"/>
      <c r="NU79" s="30"/>
      <c r="NV79" s="30"/>
      <c r="NW79" s="30"/>
      <c r="NX79" s="30"/>
      <c r="NY79" s="30"/>
      <c r="NZ79" s="30"/>
      <c r="OA79" s="30"/>
      <c r="OB79" s="30"/>
      <c r="OC79" s="30"/>
      <c r="OD79" s="30"/>
      <c r="OE79" s="30"/>
      <c r="OF79" s="30"/>
      <c r="OG79" s="30"/>
      <c r="OH79" s="30"/>
      <c r="OI79" s="30"/>
      <c r="OJ79" s="30"/>
      <c r="OK79" s="30"/>
      <c r="OL79" s="30"/>
    </row>
    <row r="80" customFormat="false" ht="14.4" hidden="false" customHeight="false" outlineLevel="0" collapsed="false">
      <c r="A80" s="74"/>
      <c r="D80" s="85" t="s">
        <v>134</v>
      </c>
      <c r="E80" s="157" t="n">
        <f aca="false">IF(AND($F$2="No",$F$3="No"),SUM(I80:L80),IF(AND($F$2="Yes", $F$3="No"), SUM(I80:L80)+N80, IF(AND($F$2="No", $F$3="Yes"),SUM(I80:L80)+M80, SUM(I80:L80)+N80+M80)))</f>
        <v>-1882655.00985917</v>
      </c>
      <c r="F80" s="144" t="n">
        <f aca="false">IF(AND($F$2="No",$F$3="No"),SUM(H80:L80,O80),IF(AND($F$2="Yes", $F$3="No"), SUM(H80:L80,O80)+N80, IF(AND($F$2="No", $F$3="Yes"),SUM(H80:L80,O80)+M80, SUM(H80:L80,O80)+N80+M80)))</f>
        <v>35578343.805762</v>
      </c>
      <c r="G80" s="159"/>
      <c r="H80" s="144" t="n">
        <f aca="false">('Input data meat and eggs'!S395*'Input data meat and eggs'!B48+'Input data meat and eggs'!T395*'Input data meat and eggs'!B47+'Input data meat and eggs'!U395*'Input data meat and eggs'!B35+'Input data meat and eggs'!V395*SUMPRODUCT('Input data meat and eggs'!B37:B46,'Input data meat and eggs'!E65:E74))*'Input data meat and eggs'!$E$395</f>
        <v>37460998.8156212</v>
      </c>
      <c r="I80" s="144" t="n">
        <v>0</v>
      </c>
      <c r="J80" s="144" t="n">
        <v>0</v>
      </c>
      <c r="K80" s="158" t="n">
        <v>0</v>
      </c>
      <c r="L80" s="158" t="n">
        <v>0</v>
      </c>
      <c r="M80" s="158" t="n">
        <f aca="false">(('Input data meat and eggs'!S395+'Input data meat and eggs'!T395)*'Common input data'!F13+ 'Input data meat and eggs'!U395*'Common input data'!B13+'Input data meat and eggs'!V395*('Input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eggs'!$E$395</f>
        <v>-5246804.98545219</v>
      </c>
      <c r="N80" s="158" t="n">
        <f aca="false">('Input data meat and eggs'!V395*('Input data meat and eggs'!E67*'Common input data'!B21*'Common input data'!G30/'Common input data'!F30+'Input data meat and eggs'!E71*'Common input data'!C21*'Common input data'!J31/'Common input data'!I31))*'Input data meat and eggs'!$E$395</f>
        <v>3364149.97559302</v>
      </c>
      <c r="O80" s="158" t="n">
        <v>0</v>
      </c>
      <c r="P80" s="144" t="n">
        <v>0</v>
      </c>
      <c r="Q80" s="144" t="n">
        <f aca="false">SUM(F80+P80)</f>
        <v>35578343.805762</v>
      </c>
      <c r="R80" s="101"/>
      <c r="S80" s="158"/>
      <c r="T80" s="174"/>
      <c r="U80" s="175"/>
    </row>
    <row r="81" customFormat="false" ht="14.4" hidden="false" customHeight="false" outlineLevel="0" collapsed="false">
      <c r="A81" s="74"/>
      <c r="D81" s="85" t="s">
        <v>135</v>
      </c>
      <c r="E81" s="157" t="n">
        <f aca="false">SUM(I81:L81)</f>
        <v>6831947.93496503</v>
      </c>
      <c r="F81" s="144" t="n">
        <f aca="false">SUM(H81:L81,O81)</f>
        <v>6873431.98031788</v>
      </c>
      <c r="G81" s="159"/>
      <c r="H81" s="144" t="n">
        <f aca="false">('Input data meat and eggs'!S395*'Input data meat and eggs'!C48+'Input data meat and eggs'!T395*'Input data meat and eggs'!C47+'Input data meat and eggs'!U395*'Input data meat and eggs'!C35+'Input data meat and eggs'!V395*SUMPRODUCT('Input data meat and eggs'!C37:C46,'Input data meat and eggs'!E65:E74))*'Input data meat and eggs'!$E$395</f>
        <v>41484.0453528523</v>
      </c>
      <c r="I81" s="144" t="n">
        <v>0</v>
      </c>
      <c r="J81" s="158" t="n">
        <f aca="false">('Input data meat and eggs'!M395*'Input data meat and eggs'!G395/12*'Input data meat and eggs'!$B$451*'Input data meat and eggs'!$B$452*'Input data meat and eggs'!$B$453* ('Input data meat and eggs'!$O$395*'Input data meat and eggs'!$B$443 +'Input data meat and eggs'!$P$395*'Input data meat and eggs'!$C$443+ 'Input data meat and eggs'!$Q$395*'Input data meat and eggs'!$D$443+ 'Input data meat and eggs'!$R$395*'Input data meat and eggs'!$E$443))*'Input data meat and eggs'!$E$395</f>
        <v>426122.192085016</v>
      </c>
      <c r="K81" s="158" t="n">
        <v>0</v>
      </c>
      <c r="L81" s="158" t="n">
        <f aca="false">('Input data meat and eggs'!L395*'Input data meat and eggs'!G395/12)*'Input data meat and eggs'!$E$395</f>
        <v>6405825.74288001</v>
      </c>
      <c r="M81" s="158" t="n">
        <v>0</v>
      </c>
      <c r="N81" s="158" t="n">
        <v>0</v>
      </c>
      <c r="O81" s="158" t="n">
        <v>0</v>
      </c>
      <c r="P81" s="144" t="n">
        <v>0</v>
      </c>
      <c r="Q81" s="144" t="n">
        <f aca="false">SUM(F81+P81)</f>
        <v>6873431.98031788</v>
      </c>
      <c r="R81" s="101"/>
      <c r="S81" s="158"/>
      <c r="T81" s="174"/>
      <c r="U81" s="175"/>
    </row>
    <row r="82" customFormat="false" ht="14.4" hidden="false" customHeight="false" outlineLevel="0" collapsed="false">
      <c r="A82" s="74"/>
      <c r="D82" s="31" t="s">
        <v>136</v>
      </c>
      <c r="E82" s="157" t="n">
        <f aca="false">SUM(I82:L82)</f>
        <v>216247.518840086</v>
      </c>
      <c r="F82" s="144" t="n">
        <f aca="false">SUM(H82:L82,O82)</f>
        <v>255873.109809409</v>
      </c>
      <c r="G82" s="159"/>
      <c r="H82" s="144" t="n">
        <f aca="false">(('Input data meat and eggs'!S395*'Input data meat and eggs'!D48+'Input data meat and eggs'!T395*'Input data meat and eggs'!D47+'Input data meat and eggs'!U395*'Input data meat and eggs'!D35+'Input data meat and eggs'!V395*SUMPRODUCT('Input data meat and eggs'!D37:D46,'Input data meat and eggs'!E65:E74))*'Input data meat and eggs'!B58)*'Input data meat and eggs'!$E$395</f>
        <v>39625.5909693227</v>
      </c>
      <c r="I82" s="144" t="n">
        <f aca="false">(('Input data meat and eggs'!S395*'Input data meat and eggs'!D48+'Input data meat and eggs'!T395*'Input data meat and eggs'!D47+'Input data meat and eggs'!U395*'Input data meat and eggs'!D35+'Input data meat and eggs'!V395*SUMPRODUCT('Input data meat and eggs'!D37:D46,'Input data meat and eggs'!E65:E74))*'Input data meat and eggs'!C58)*'Input data meat and eggs'!$E$395</f>
        <v>100157.522284938</v>
      </c>
      <c r="J82" s="158" t="n">
        <f aca="false">('Input data meat and eggs'!K395*'Input data meat and eggs'!G395/12*('Input data meat and eggs'!$O$395*'Input data meat and eggs'!$B$445+'Input data meat and eggs'!$P$395*'Input data meat and eggs'!$C$445+'Input data meat and eggs'!$Q$395*'Input data meat and eggs'!$D$445+'Input data meat and eggs'!$R$395*'Input data meat and eggs'!$E$445)*44/28)*'Input data meat and eggs'!$E$395</f>
        <v>107047.807295261</v>
      </c>
      <c r="K82" s="158" t="n">
        <f aca="false">('Input data meat and eggs'!$B$446*44/28*'Input data meat and eggs'!K395*'Input data meat and eggs'!G395/12*('Input data meat and eggs'!O395*'Input data meat and eggs'!B457+'Input data meat and eggs'!P395*'Input data meat and eggs'!C457+'Input data meat and eggs'!Q395*'Input data meat and eggs'!D457))*'Input data meat and eggs'!$E$395</f>
        <v>9042.18925988769</v>
      </c>
      <c r="L82" s="158" t="n">
        <v>0</v>
      </c>
      <c r="M82" s="158" t="n">
        <v>0</v>
      </c>
      <c r="N82" s="158" t="n">
        <v>0</v>
      </c>
      <c r="O82" s="158" t="n">
        <v>0</v>
      </c>
      <c r="P82" s="144" t="n">
        <v>0</v>
      </c>
      <c r="Q82" s="144" t="n">
        <f aca="false">SUM(F82+P82)</f>
        <v>255873.109809409</v>
      </c>
      <c r="R82" s="101"/>
      <c r="S82" s="158"/>
      <c r="T82" s="174"/>
      <c r="U82" s="175"/>
    </row>
    <row r="83" s="83" customFormat="true" ht="14.4" hidden="false" customHeight="false" outlineLevel="0" collapsed="false">
      <c r="A83" s="176"/>
      <c r="B83" s="84" t="s">
        <v>150</v>
      </c>
      <c r="D83" s="78" t="s">
        <v>133</v>
      </c>
      <c r="E83" s="154" t="n">
        <f aca="false">IF($F$1="GWP100 without fb",E84+E85*'Common input data'!$C$5+E86*'Common input data'!$D$5,IF($F$1="GWP100 with fb",E84+E85*'Common input data'!$C$6+E86*'Common input data'!$D$6,IF($F$1="GTP100 without fb",E84+E85*'Common input data'!$C$7+E86*'Common input data'!$D$7,IF($F$1="GTP100 with fb",E84+E85*'Common input data'!$C$8+E86*'Common input data'!$D$8,E84+E85*'Common input data'!$C$9+E86*'Common input data'!$D$9))))</f>
        <v>55896164.1542514</v>
      </c>
      <c r="F83" s="155" t="n">
        <f aca="false">IF($F$1="GWP100 without fb",F84+F85*'Common input data'!$C$5+F86*'Common input data'!$D$5,IF($F$1="GWP100 with fb",F84+F85*'Common input data'!$C$6+F86*'Common input data'!$D$6,IF($F$1="GTP100 without fb",F84+F85*'Common input data'!$C$7+F86*'Common input data'!$D$7,IF($F$1="GTP100 with fb",F84+F85*'Common input data'!$C$8+F86*'Common input data'!$D$8,F84+F85*'Common input data'!$C$9+F86*'Common input data'!$D$9))))</f>
        <v>62116419.124728</v>
      </c>
      <c r="G83" s="156"/>
      <c r="H83" s="155"/>
      <c r="I83" s="155"/>
      <c r="J83" s="155"/>
      <c r="K83" s="155"/>
      <c r="L83" s="155"/>
      <c r="N83" s="155"/>
      <c r="O83" s="155"/>
      <c r="P83" s="155"/>
      <c r="Q83" s="155"/>
      <c r="R83" s="84"/>
      <c r="S83" s="84"/>
      <c r="T83" s="99"/>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c r="FQ83" s="30"/>
      <c r="FR83" s="30"/>
      <c r="FS83" s="30"/>
      <c r="FT83" s="30"/>
      <c r="FU83" s="30"/>
      <c r="FV83" s="30"/>
      <c r="FW83" s="30"/>
      <c r="FX83" s="30"/>
      <c r="FY83" s="30"/>
      <c r="FZ83" s="30"/>
      <c r="GA83" s="30"/>
      <c r="GB83" s="30"/>
      <c r="GC83" s="30"/>
      <c r="GD83" s="30"/>
      <c r="GE83" s="30"/>
      <c r="GF83" s="30"/>
      <c r="GG83" s="30"/>
      <c r="GH83" s="30"/>
      <c r="GI83" s="30"/>
      <c r="GJ83" s="30"/>
      <c r="GK83" s="30"/>
      <c r="GL83" s="30"/>
      <c r="GM83" s="30"/>
      <c r="GN83" s="30"/>
      <c r="GO83" s="30"/>
      <c r="GP83" s="30"/>
      <c r="GQ83" s="30"/>
      <c r="GR83" s="30"/>
      <c r="GS83" s="30"/>
      <c r="GT83" s="30"/>
      <c r="GU83" s="30"/>
      <c r="GV83" s="30"/>
      <c r="GW83" s="30"/>
      <c r="GX83" s="30"/>
      <c r="GY83" s="30"/>
      <c r="GZ83" s="30"/>
      <c r="HA83" s="30"/>
      <c r="HB83" s="30"/>
      <c r="HC83" s="30"/>
      <c r="HD83" s="30"/>
      <c r="HE83" s="30"/>
      <c r="HF83" s="30"/>
      <c r="HG83" s="30"/>
      <c r="HH83" s="30"/>
      <c r="HI83" s="30"/>
      <c r="HJ83" s="30"/>
      <c r="HK83" s="30"/>
      <c r="HL83" s="30"/>
      <c r="HM83" s="30"/>
      <c r="HN83" s="30"/>
      <c r="HO83" s="30"/>
      <c r="HP83" s="30"/>
      <c r="HQ83" s="30"/>
      <c r="HR83" s="30"/>
      <c r="HS83" s="30"/>
      <c r="HT83" s="30"/>
      <c r="HU83" s="30"/>
      <c r="HV83" s="30"/>
      <c r="HW83" s="30"/>
      <c r="HX83" s="30"/>
      <c r="HY83" s="30"/>
      <c r="HZ83" s="30"/>
      <c r="IA83" s="30"/>
      <c r="IB83" s="30"/>
      <c r="IC83" s="30"/>
      <c r="ID83" s="30"/>
      <c r="IE83" s="30"/>
      <c r="IF83" s="30"/>
      <c r="IG83" s="30"/>
      <c r="IH83" s="30"/>
      <c r="II83" s="30"/>
      <c r="IJ83" s="30"/>
      <c r="IK83" s="30"/>
      <c r="IL83" s="30"/>
      <c r="IM83" s="30"/>
      <c r="IN83" s="30"/>
      <c r="IO83" s="30"/>
      <c r="IP83" s="30"/>
      <c r="IQ83" s="30"/>
      <c r="IR83" s="30"/>
      <c r="IS83" s="30"/>
      <c r="IT83" s="30"/>
      <c r="IU83" s="30"/>
      <c r="IV83" s="30"/>
      <c r="IW83" s="30"/>
      <c r="IX83" s="30"/>
      <c r="IY83" s="30"/>
      <c r="IZ83" s="30"/>
      <c r="JA83" s="30"/>
      <c r="JB83" s="30"/>
      <c r="JC83" s="30"/>
      <c r="JD83" s="30"/>
      <c r="JE83" s="30"/>
      <c r="JF83" s="30"/>
      <c r="JG83" s="30"/>
      <c r="JH83" s="30"/>
      <c r="JI83" s="30"/>
      <c r="JJ83" s="30"/>
      <c r="JK83" s="30"/>
      <c r="JL83" s="30"/>
      <c r="JM83" s="30"/>
      <c r="JN83" s="30"/>
      <c r="JO83" s="30"/>
      <c r="JP83" s="30"/>
      <c r="JQ83" s="30"/>
      <c r="JR83" s="30"/>
      <c r="JS83" s="30"/>
      <c r="JT83" s="30"/>
      <c r="JU83" s="30"/>
      <c r="JV83" s="30"/>
      <c r="JW83" s="30"/>
      <c r="JX83" s="30"/>
      <c r="JY83" s="30"/>
      <c r="JZ83" s="30"/>
      <c r="KA83" s="30"/>
      <c r="KB83" s="30"/>
      <c r="KC83" s="30"/>
      <c r="KD83" s="30"/>
      <c r="KE83" s="30"/>
      <c r="KF83" s="30"/>
      <c r="KG83" s="30"/>
      <c r="KH83" s="30"/>
      <c r="KI83" s="30"/>
      <c r="KJ83" s="30"/>
      <c r="KK83" s="30"/>
      <c r="KL83" s="30"/>
      <c r="KM83" s="30"/>
      <c r="KN83" s="30"/>
      <c r="KO83" s="30"/>
      <c r="KP83" s="30"/>
      <c r="KQ83" s="30"/>
      <c r="KR83" s="30"/>
      <c r="KS83" s="30"/>
      <c r="KT83" s="30"/>
      <c r="KU83" s="30"/>
      <c r="KV83" s="30"/>
      <c r="KW83" s="30"/>
      <c r="KX83" s="30"/>
      <c r="KY83" s="30"/>
      <c r="KZ83" s="30"/>
      <c r="LA83" s="30"/>
      <c r="LB83" s="30"/>
      <c r="LC83" s="30"/>
      <c r="LD83" s="30"/>
      <c r="LE83" s="30"/>
      <c r="LF83" s="30"/>
      <c r="LG83" s="30"/>
      <c r="LH83" s="30"/>
      <c r="LI83" s="30"/>
      <c r="LJ83" s="30"/>
      <c r="LK83" s="30"/>
      <c r="LL83" s="30"/>
      <c r="LM83" s="30"/>
      <c r="LN83" s="30"/>
      <c r="LO83" s="30"/>
      <c r="LP83" s="30"/>
      <c r="LQ83" s="30"/>
      <c r="LR83" s="30"/>
      <c r="LS83" s="30"/>
      <c r="LT83" s="30"/>
      <c r="LU83" s="30"/>
      <c r="LV83" s="30"/>
      <c r="LW83" s="30"/>
      <c r="LX83" s="30"/>
      <c r="LY83" s="30"/>
      <c r="LZ83" s="30"/>
      <c r="MA83" s="30"/>
      <c r="MB83" s="30"/>
      <c r="MC83" s="30"/>
      <c r="MD83" s="30"/>
      <c r="ME83" s="30"/>
      <c r="MF83" s="30"/>
      <c r="MG83" s="30"/>
      <c r="MH83" s="30"/>
      <c r="MI83" s="30"/>
      <c r="MJ83" s="30"/>
      <c r="MK83" s="30"/>
      <c r="ML83" s="30"/>
      <c r="MM83" s="30"/>
      <c r="MN83" s="30"/>
      <c r="MO83" s="30"/>
      <c r="MP83" s="30"/>
      <c r="MQ83" s="30"/>
      <c r="MR83" s="30"/>
      <c r="MS83" s="30"/>
      <c r="MT83" s="30"/>
      <c r="MU83" s="30"/>
      <c r="MV83" s="30"/>
      <c r="MW83" s="30"/>
      <c r="MX83" s="30"/>
      <c r="MY83" s="30"/>
      <c r="MZ83" s="30"/>
      <c r="NA83" s="30"/>
      <c r="NB83" s="30"/>
      <c r="NC83" s="30"/>
      <c r="ND83" s="30"/>
      <c r="NE83" s="30"/>
      <c r="NF83" s="30"/>
      <c r="NG83" s="30"/>
      <c r="NH83" s="30"/>
      <c r="NI83" s="30"/>
      <c r="NJ83" s="30"/>
      <c r="NK83" s="30"/>
      <c r="NL83" s="30"/>
      <c r="NM83" s="30"/>
      <c r="NN83" s="30"/>
      <c r="NO83" s="30"/>
      <c r="NP83" s="30"/>
      <c r="NQ83" s="30"/>
      <c r="NR83" s="30"/>
      <c r="NS83" s="30"/>
      <c r="NT83" s="30"/>
      <c r="NU83" s="30"/>
      <c r="NV83" s="30"/>
      <c r="NW83" s="30"/>
      <c r="NX83" s="30"/>
      <c r="NY83" s="30"/>
      <c r="NZ83" s="30"/>
      <c r="OA83" s="30"/>
      <c r="OB83" s="30"/>
      <c r="OC83" s="30"/>
      <c r="OD83" s="30"/>
      <c r="OE83" s="30"/>
      <c r="OF83" s="30"/>
      <c r="OG83" s="30"/>
      <c r="OH83" s="30"/>
      <c r="OI83" s="30"/>
      <c r="OJ83" s="30"/>
      <c r="OK83" s="30"/>
      <c r="OL83" s="30"/>
    </row>
    <row r="84" customFormat="false" ht="14.4" hidden="false" customHeight="false" outlineLevel="0" collapsed="false">
      <c r="A84" s="74"/>
      <c r="D84" s="85" t="s">
        <v>134</v>
      </c>
      <c r="E84" s="157" t="n">
        <f aca="false">IF(AND($F$2="No",$F$3="No"),SUM(I84:L84),IF(AND($F$2="Yes", $F$3="No"), SUM(I84:L84)+N84, IF(AND($F$2="No", $F$3="Yes"),SUM(I84:L84)+M84, SUM(I84:L84)+N84+M84)))</f>
        <v>-237216.288893508</v>
      </c>
      <c r="F84" s="144" t="n">
        <f aca="false">IF(AND($F$2="No",$F$3="No"),SUM(H84:L84,O84),IF(AND($F$2="Yes", $F$3="No"), SUM(H84:L84,O84)+N84, IF(AND($F$2="No", $F$3="Yes"),SUM(H84:L84,O84)+M84, SUM(H84:L84,O84)+N84+M84)))</f>
        <v>4361102.14741101</v>
      </c>
      <c r="G84" s="159"/>
      <c r="H84" s="144" t="n">
        <f aca="false">('Input data meat and eggs'!S396*'Input data meat and eggs'!B48+'Input data meat and eggs'!T396*'Input data meat and eggs'!B47+'Input data meat and eggs'!U396*'Input data meat and eggs'!B35+'Input data meat and eggs'!V396*SUMPRODUCT('Input data meat and eggs'!B37:B46,'Input data meat and eggs'!E65:E74))*'Input data meat and eggs'!$E$396</f>
        <v>4598318.43630452</v>
      </c>
      <c r="I84" s="144" t="n">
        <v>0</v>
      </c>
      <c r="J84" s="144" t="n">
        <v>0</v>
      </c>
      <c r="K84" s="144" t="n">
        <v>0</v>
      </c>
      <c r="L84" s="144" t="n">
        <v>0</v>
      </c>
      <c r="M84" s="144" t="n">
        <f aca="false">(('Input data meat and eggs'!S396+'Input data meat and eggs'!T396)*'Common input data'!F13+ 'Input data meat and eggs'!U396*'Common input data'!B13+'Input data meat and eggs'!V396*('Input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eggs'!$E$396</f>
        <v>-651522.851623394</v>
      </c>
      <c r="N84" s="144" t="n">
        <f aca="false">('Input data meat and eggs'!V396*('Input data meat and eggs'!E67*'Common input data'!B21*'Common input data'!G30/'Common input data'!F30+'Input data meat and eggs'!E71*'Common input data'!C21*'Common input data'!J31/'Common input data'!I31))*'Input data meat and eggs'!$E$396</f>
        <v>414306.562729886</v>
      </c>
      <c r="O84" s="144" t="n">
        <v>0</v>
      </c>
      <c r="P84" s="144" t="n">
        <v>0</v>
      </c>
      <c r="Q84" s="144" t="n">
        <f aca="false">SUM(F84+P84)</f>
        <v>4361102.14741101</v>
      </c>
      <c r="R84" s="31"/>
      <c r="S84" s="31"/>
      <c r="T84" s="99"/>
    </row>
    <row r="85" customFormat="false" ht="14.4" hidden="false" customHeight="false" outlineLevel="0" collapsed="false">
      <c r="A85" s="74"/>
      <c r="D85" s="85" t="s">
        <v>135</v>
      </c>
      <c r="E85" s="157" t="n">
        <f aca="false">SUM(I85:L85)</f>
        <v>1343258.65726947</v>
      </c>
      <c r="F85" s="144" t="n">
        <f aca="false">SUM(H85:L85,O85)</f>
        <v>1348365.24927831</v>
      </c>
      <c r="G85" s="159"/>
      <c r="H85" s="144" t="n">
        <f aca="false">('Input data meat and eggs'!S396*'Input data meat and eggs'!C48+'Input data meat and eggs'!T396*'Input data meat and eggs'!C47+'Input data meat and eggs'!U396*'Input data meat and eggs'!C35+'Input data meat and eggs'!V396*SUMPRODUCT('Input data meat and eggs'!C37:C46,'Input data meat and eggs'!E65:E74))*'Input data meat and eggs'!$E$396</f>
        <v>5106.59200884229</v>
      </c>
      <c r="I85" s="144" t="n">
        <v>0</v>
      </c>
      <c r="J85" s="144" t="n">
        <f aca="false">('Input data meat and eggs'!M396*'Input data meat and eggs'!G396/12*'Input data meat and eggs'!$B$451*'Input data meat and eggs'!$B$452*'Input data meat and eggs'!$B$453* ('Input data meat and eggs'!$O$396*'Input data meat and eggs'!$B$443 +'Input data meat and eggs'!$P$396*'Input data meat and eggs'!$C$443+ 'Input data meat and eggs'!$Q$396*'Input data meat and eggs'!$D$443+ 'Input data meat and eggs'!$R$396*'Input data meat and eggs'!$E$443))*'Input data meat and eggs'!$E$396</f>
        <v>83781.7162867141</v>
      </c>
      <c r="K85" s="144" t="n">
        <v>0</v>
      </c>
      <c r="L85" s="144" t="n">
        <f aca="false">('Input data meat and eggs'!L396*'Input data meat and eggs'!G396/12)*'Input data meat and eggs'!$E$396</f>
        <v>1259476.94098276</v>
      </c>
      <c r="M85" s="144" t="n">
        <v>0</v>
      </c>
      <c r="N85" s="144" t="n">
        <v>0</v>
      </c>
      <c r="O85" s="144" t="n">
        <v>0</v>
      </c>
      <c r="P85" s="144" t="n">
        <v>0</v>
      </c>
      <c r="Q85" s="144" t="n">
        <f aca="false">SUM(F85+P85)</f>
        <v>1348365.24927831</v>
      </c>
      <c r="R85" s="31"/>
      <c r="S85" s="31"/>
      <c r="T85" s="99"/>
    </row>
    <row r="86" customFormat="false" ht="14.4" hidden="false" customHeight="false" outlineLevel="0" collapsed="false">
      <c r="A86" s="74"/>
      <c r="D86" s="31" t="s">
        <v>136</v>
      </c>
      <c r="E86" s="157" t="n">
        <f aca="false">SUM(I86:L86)</f>
        <v>35109.3493153787</v>
      </c>
      <c r="F86" s="144" t="n">
        <f aca="false">SUM(H86:L86,O86)</f>
        <v>39969.4580599137</v>
      </c>
      <c r="G86" s="159"/>
      <c r="H86" s="144" t="n">
        <f aca="false">(('Input data meat and eggs'!S396*'Input data meat and eggs'!D48+'Input data meat and eggs'!T396*'Input data meat and eggs'!D47+'Input data meat and eggs'!U396*'Input data meat and eggs'!D35+'Input data meat and eggs'!V396*SUMPRODUCT('Input data meat and eggs'!D37:D46,'Input data meat and eggs'!E65:E74))*'Input data meat and eggs'!B58)*'Input data meat and eggs'!$E$396</f>
        <v>4860.10874453499</v>
      </c>
      <c r="I86" s="144" t="n">
        <f aca="false">(('Input data meat and eggs'!S396*'Input data meat and eggs'!D48+'Input data meat and eggs'!T396*'Input data meat and eggs'!D47+'Input data meat and eggs'!U396*'Input data meat and eggs'!D35+'Input data meat and eggs'!V396*SUMPRODUCT('Input data meat and eggs'!D37:D46,'Input data meat and eggs'!E65:E74))*'Input data meat and eggs'!C58)*'Input data meat and eggs'!$E$396</f>
        <v>12284.3959668598</v>
      </c>
      <c r="J86" s="144" t="n">
        <f aca="false">('Input data meat and eggs'!K396*'Input data meat and eggs'!G396/12*('Input data meat and eggs'!$O$396*'Input data meat and eggs'!$B$445+'Input data meat and eggs'!$P$396*'Input data meat and eggs'!$C$445+'Input data meat and eggs'!$Q$396*'Input data meat and eggs'!$D$445+'Input data meat and eggs'!$R$396*'Input data meat and eggs'!$E$445)*44/28)*'Input data meat and eggs'!$E$396</f>
        <v>21047.1296414833</v>
      </c>
      <c r="K86" s="144" t="n">
        <f aca="false">('Input data meat and eggs'!$B$446*44/28*'Input data meat and eggs'!K396*'Input data meat and eggs'!G396/12*('Input data meat and eggs'!O396*'Input data meat and eggs'!B457+'Input data meat and eggs'!P396*'Input data meat and eggs'!C457+'Input data meat and eggs'!Q396*'Input data meat and eggs'!D457))*'Input data meat and eggs'!$E$396</f>
        <v>1777.82370703552</v>
      </c>
      <c r="L86" s="144" t="n">
        <v>0</v>
      </c>
      <c r="M86" s="144" t="n">
        <v>0</v>
      </c>
      <c r="N86" s="144" t="n">
        <v>0</v>
      </c>
      <c r="O86" s="144" t="n">
        <v>0</v>
      </c>
      <c r="P86" s="144" t="n">
        <v>0</v>
      </c>
      <c r="Q86" s="144" t="n">
        <f aca="false">SUM(F86+P86)</f>
        <v>39969.4580599137</v>
      </c>
      <c r="R86" s="31"/>
      <c r="S86" s="31"/>
      <c r="T86" s="99"/>
    </row>
    <row r="87" s="83" customFormat="true" ht="14.4" hidden="false" customHeight="false" outlineLevel="0" collapsed="false">
      <c r="A87" s="176"/>
      <c r="B87" s="84" t="s">
        <v>151</v>
      </c>
      <c r="D87" s="78" t="s">
        <v>133</v>
      </c>
      <c r="E87" s="154" t="n">
        <f aca="false">IF($F$1="GWP100 without fb",E88+E89*'Common input data'!$C$5+E90*'Common input data'!$D$5,IF($F$1="GWP100 with fb",E88+E89*'Common input data'!$C$6+E90*'Common input data'!$D$6,IF($F$1="GTP100 without fb",E88+E89*'Common input data'!$C$7+E90*'Common input data'!$D$7,IF($F$1="GTP100 with fb",E88+E89*'Common input data'!$C$8+E90*'Common input data'!$D$8,E88+E89*'Common input data'!$C$9+E90*'Common input data'!$D$9))))</f>
        <v>46001165.6834563</v>
      </c>
      <c r="F87" s="155" t="n">
        <f aca="false">IF($F$1="GWP100 without fb",F88+F89*'Common input data'!$C$5+F90*'Common input data'!$D$5,IF($F$1="GWP100 with fb",F88+F89*'Common input data'!$C$6+F90*'Common input data'!$D$6,IF($F$1="GTP100 without fb",F88+F89*'Common input data'!$C$7+F90*'Common input data'!$D$7,IF($F$1="GTP100 with fb",F88+F89*'Common input data'!$C$8+F90*'Common input data'!$D$8,F88+F89*'Common input data'!$C$9+F90*'Common input data'!$D$9))))</f>
        <v>52614383.0212582</v>
      </c>
      <c r="G87" s="156"/>
      <c r="H87" s="155"/>
      <c r="I87" s="155"/>
      <c r="J87" s="155"/>
      <c r="K87" s="155"/>
      <c r="L87" s="155"/>
      <c r="N87" s="155"/>
      <c r="O87" s="155"/>
      <c r="P87" s="155"/>
      <c r="Q87" s="155"/>
      <c r="R87" s="84"/>
      <c r="S87" s="84"/>
      <c r="T87" s="99"/>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c r="FQ87" s="30"/>
      <c r="FR87" s="30"/>
      <c r="FS87" s="30"/>
      <c r="FT87" s="30"/>
      <c r="FU87" s="30"/>
      <c r="FV87" s="30"/>
      <c r="FW87" s="30"/>
      <c r="FX87" s="30"/>
      <c r="FY87" s="30"/>
      <c r="FZ87" s="30"/>
      <c r="GA87" s="30"/>
      <c r="GB87" s="30"/>
      <c r="GC87" s="30"/>
      <c r="GD87" s="30"/>
      <c r="GE87" s="30"/>
      <c r="GF87" s="30"/>
      <c r="GG87" s="30"/>
      <c r="GH87" s="30"/>
      <c r="GI87" s="30"/>
      <c r="GJ87" s="30"/>
      <c r="GK87" s="30"/>
      <c r="GL87" s="30"/>
      <c r="GM87" s="30"/>
      <c r="GN87" s="30"/>
      <c r="GO87" s="30"/>
      <c r="GP87" s="30"/>
      <c r="GQ87" s="30"/>
      <c r="GR87" s="30"/>
      <c r="GS87" s="30"/>
      <c r="GT87" s="30"/>
      <c r="GU87" s="30"/>
      <c r="GV87" s="30"/>
      <c r="GW87" s="30"/>
      <c r="GX87" s="30"/>
      <c r="GY87" s="30"/>
      <c r="GZ87" s="30"/>
      <c r="HA87" s="30"/>
      <c r="HB87" s="30"/>
      <c r="HC87" s="30"/>
      <c r="HD87" s="30"/>
      <c r="HE87" s="30"/>
      <c r="HF87" s="30"/>
      <c r="HG87" s="30"/>
      <c r="HH87" s="30"/>
      <c r="HI87" s="30"/>
      <c r="HJ87" s="30"/>
      <c r="HK87" s="30"/>
      <c r="HL87" s="30"/>
      <c r="HM87" s="30"/>
      <c r="HN87" s="30"/>
      <c r="HO87" s="30"/>
      <c r="HP87" s="30"/>
      <c r="HQ87" s="30"/>
      <c r="HR87" s="30"/>
      <c r="HS87" s="30"/>
      <c r="HT87" s="30"/>
      <c r="HU87" s="30"/>
      <c r="HV87" s="30"/>
      <c r="HW87" s="30"/>
      <c r="HX87" s="30"/>
      <c r="HY87" s="30"/>
      <c r="HZ87" s="30"/>
      <c r="IA87" s="30"/>
      <c r="IB87" s="30"/>
      <c r="IC87" s="30"/>
      <c r="ID87" s="30"/>
      <c r="IE87" s="30"/>
      <c r="IF87" s="30"/>
      <c r="IG87" s="30"/>
      <c r="IH87" s="30"/>
      <c r="II87" s="30"/>
      <c r="IJ87" s="30"/>
      <c r="IK87" s="30"/>
      <c r="IL87" s="30"/>
      <c r="IM87" s="30"/>
      <c r="IN87" s="30"/>
      <c r="IO87" s="30"/>
      <c r="IP87" s="30"/>
      <c r="IQ87" s="30"/>
      <c r="IR87" s="30"/>
      <c r="IS87" s="30"/>
      <c r="IT87" s="30"/>
      <c r="IU87" s="30"/>
      <c r="IV87" s="30"/>
      <c r="IW87" s="30"/>
      <c r="IX87" s="30"/>
      <c r="IY87" s="30"/>
      <c r="IZ87" s="30"/>
      <c r="JA87" s="30"/>
      <c r="JB87" s="30"/>
      <c r="JC87" s="30"/>
      <c r="JD87" s="30"/>
      <c r="JE87" s="30"/>
      <c r="JF87" s="30"/>
      <c r="JG87" s="30"/>
      <c r="JH87" s="30"/>
      <c r="JI87" s="30"/>
      <c r="JJ87" s="30"/>
      <c r="JK87" s="30"/>
      <c r="JL87" s="30"/>
      <c r="JM87" s="30"/>
      <c r="JN87" s="30"/>
      <c r="JO87" s="30"/>
      <c r="JP87" s="30"/>
      <c r="JQ87" s="30"/>
      <c r="JR87" s="30"/>
      <c r="JS87" s="30"/>
      <c r="JT87" s="30"/>
      <c r="JU87" s="30"/>
      <c r="JV87" s="30"/>
      <c r="JW87" s="30"/>
      <c r="JX87" s="30"/>
      <c r="JY87" s="30"/>
      <c r="JZ87" s="30"/>
      <c r="KA87" s="30"/>
      <c r="KB87" s="30"/>
      <c r="KC87" s="30"/>
      <c r="KD87" s="30"/>
      <c r="KE87" s="30"/>
      <c r="KF87" s="30"/>
      <c r="KG87" s="30"/>
      <c r="KH87" s="30"/>
      <c r="KI87" s="30"/>
      <c r="KJ87" s="30"/>
      <c r="KK87" s="30"/>
      <c r="KL87" s="30"/>
      <c r="KM87" s="30"/>
      <c r="KN87" s="30"/>
      <c r="KO87" s="30"/>
      <c r="KP87" s="30"/>
      <c r="KQ87" s="30"/>
      <c r="KR87" s="30"/>
      <c r="KS87" s="30"/>
      <c r="KT87" s="30"/>
      <c r="KU87" s="30"/>
      <c r="KV87" s="30"/>
      <c r="KW87" s="30"/>
      <c r="KX87" s="30"/>
      <c r="KY87" s="30"/>
      <c r="KZ87" s="30"/>
      <c r="LA87" s="30"/>
      <c r="LB87" s="30"/>
      <c r="LC87" s="30"/>
      <c r="LD87" s="30"/>
      <c r="LE87" s="30"/>
      <c r="LF87" s="30"/>
      <c r="LG87" s="30"/>
      <c r="LH87" s="30"/>
      <c r="LI87" s="30"/>
      <c r="LJ87" s="30"/>
      <c r="LK87" s="30"/>
      <c r="LL87" s="30"/>
      <c r="LM87" s="30"/>
      <c r="LN87" s="30"/>
      <c r="LO87" s="30"/>
      <c r="LP87" s="30"/>
      <c r="LQ87" s="30"/>
      <c r="LR87" s="30"/>
      <c r="LS87" s="30"/>
      <c r="LT87" s="30"/>
      <c r="LU87" s="30"/>
      <c r="LV87" s="30"/>
      <c r="LW87" s="30"/>
      <c r="LX87" s="30"/>
      <c r="LY87" s="30"/>
      <c r="LZ87" s="30"/>
      <c r="MA87" s="30"/>
      <c r="MB87" s="30"/>
      <c r="MC87" s="30"/>
      <c r="MD87" s="30"/>
      <c r="ME87" s="30"/>
      <c r="MF87" s="30"/>
      <c r="MG87" s="30"/>
      <c r="MH87" s="30"/>
      <c r="MI87" s="30"/>
      <c r="MJ87" s="30"/>
      <c r="MK87" s="30"/>
      <c r="ML87" s="30"/>
      <c r="MM87" s="30"/>
      <c r="MN87" s="30"/>
      <c r="MO87" s="30"/>
      <c r="MP87" s="30"/>
      <c r="MQ87" s="30"/>
      <c r="MR87" s="30"/>
      <c r="MS87" s="30"/>
      <c r="MT87" s="30"/>
      <c r="MU87" s="30"/>
      <c r="MV87" s="30"/>
      <c r="MW87" s="30"/>
      <c r="MX87" s="30"/>
      <c r="MY87" s="30"/>
      <c r="MZ87" s="30"/>
      <c r="NA87" s="30"/>
      <c r="NB87" s="30"/>
      <c r="NC87" s="30"/>
      <c r="ND87" s="30"/>
      <c r="NE87" s="30"/>
      <c r="NF87" s="30"/>
      <c r="NG87" s="30"/>
      <c r="NH87" s="30"/>
      <c r="NI87" s="30"/>
      <c r="NJ87" s="30"/>
      <c r="NK87" s="30"/>
      <c r="NL87" s="30"/>
      <c r="NM87" s="30"/>
      <c r="NN87" s="30"/>
      <c r="NO87" s="30"/>
      <c r="NP87" s="30"/>
      <c r="NQ87" s="30"/>
      <c r="NR87" s="30"/>
      <c r="NS87" s="30"/>
      <c r="NT87" s="30"/>
      <c r="NU87" s="30"/>
      <c r="NV87" s="30"/>
      <c r="NW87" s="30"/>
      <c r="NX87" s="30"/>
      <c r="NY87" s="30"/>
      <c r="NZ87" s="30"/>
      <c r="OA87" s="30"/>
      <c r="OB87" s="30"/>
      <c r="OC87" s="30"/>
      <c r="OD87" s="30"/>
      <c r="OE87" s="30"/>
      <c r="OF87" s="30"/>
      <c r="OG87" s="30"/>
      <c r="OH87" s="30"/>
      <c r="OI87" s="30"/>
      <c r="OJ87" s="30"/>
      <c r="OK87" s="30"/>
      <c r="OL87" s="30"/>
    </row>
    <row r="88" customFormat="false" ht="14.4" hidden="false" customHeight="false" outlineLevel="0" collapsed="false">
      <c r="A88" s="74"/>
      <c r="D88" s="85" t="s">
        <v>134</v>
      </c>
      <c r="E88" s="157" t="n">
        <f aca="false">IF(AND($F$2="No",$F$3="No"),SUM(I88:L88),IF(AND($F$2="Yes", $F$3="No"), SUM(I88:L88)+N88, IF(AND($F$2="No", $F$3="Yes"),SUM(I88:L88)+M88, SUM(I88:L88)+N88+M88)))</f>
        <v>-4112792.19775434</v>
      </c>
      <c r="F88" s="144" t="n">
        <f aca="false">IF(AND($F$2="No",$F$3="No"),SUM(H88:L88,O88),IF(AND($F$2="Yes", $F$3="No"), SUM(H88:L88,O88)+N88, IF(AND($F$2="No", $F$3="Yes"),SUM(H88:L88,O88)+M88, SUM(H88:L88,O88)+N88+M88)))</f>
        <v>860516.575141894</v>
      </c>
      <c r="G88" s="159"/>
      <c r="H88" s="144" t="n">
        <f aca="false">('Input data meat and eggs'!S397*'Input data meat and eggs'!B48+'Input data meat and eggs'!T397*'Input data meat and eggs'!B47+'Input data meat and eggs'!U397*'Input data meat and eggs'!B35+'Input data meat and eggs'!V397*SUMPRODUCT('Input data meat and eggs'!B37:B46,'Input data meat and eggs'!E65:E74))*'Input data meat and eggs'!$E$397</f>
        <v>4973308.77289623</v>
      </c>
      <c r="I88" s="144" t="n">
        <v>0</v>
      </c>
      <c r="J88" s="144" t="n">
        <v>0</v>
      </c>
      <c r="K88" s="144" t="n">
        <v>0</v>
      </c>
      <c r="L88" s="144" t="n">
        <v>0</v>
      </c>
      <c r="M88" s="144" t="n">
        <f aca="false">(('Input data meat and eggs'!S397+'Input data meat and eggs'!T397)*'Common input data'!F13+ 'Input data meat and eggs'!U397*'Common input data'!B13+'Input data meat and eggs'!V397*('Input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eggs'!$E$397</f>
        <v>-4154437.01993632</v>
      </c>
      <c r="N88" s="144" t="n">
        <f aca="false">('Input data meat and eggs'!V397*('Input data meat and eggs'!E67*'Common input data'!B21*'Common input data'!G30/'Common input data'!F30+'Input data meat and eggs'!E71*'Common input data'!C21*'Common input data'!J31/'Common input data'!I31))*'Input data meat and eggs'!$E$397</f>
        <v>41644.8221819834</v>
      </c>
      <c r="O88" s="144" t="n">
        <v>0</v>
      </c>
      <c r="P88" s="144" t="n">
        <v>0</v>
      </c>
      <c r="Q88" s="144" t="n">
        <f aca="false">SUM(F88+P88)</f>
        <v>860516.575141894</v>
      </c>
      <c r="R88" s="31"/>
      <c r="S88" s="31"/>
      <c r="T88" s="99"/>
    </row>
    <row r="89" customFormat="false" ht="14.4" hidden="false" customHeight="false" outlineLevel="0" collapsed="false">
      <c r="A89" s="74"/>
      <c r="D89" s="85" t="s">
        <v>135</v>
      </c>
      <c r="E89" s="157" t="n">
        <f aca="false">SUM(I89:L89)</f>
        <v>1182634.53198831</v>
      </c>
      <c r="F89" s="144" t="n">
        <f aca="false">SUM(H89:L89,O89)</f>
        <v>1185300.75318354</v>
      </c>
      <c r="G89" s="159"/>
      <c r="H89" s="144" t="n">
        <f aca="false">('Input data meat and eggs'!S397*'Input data meat and eggs'!C48+'Input data meat and eggs'!T397*'Input data meat and eggs'!C47+'Input data meat and eggs'!U397*'Input data meat and eggs'!C35+'Input data meat and eggs'!V397*SUMPRODUCT('Input data meat and eggs'!C37:C46,'Input data meat and eggs'!E65:E74))*'Input data meat and eggs'!$E$397</f>
        <v>2666.22119522443</v>
      </c>
      <c r="I89" s="144" t="n">
        <v>0</v>
      </c>
      <c r="J89" s="144" t="n">
        <f aca="false">('Input data meat and eggs'!M397*'Input data meat and eggs'!G397/12*'Input data meat and eggs'!$B$451*'Input data meat and eggs'!$B$452*'Input data meat and eggs'!$B$453* ('Input data meat and eggs'!$O$397*'Input data meat and eggs'!$B$443 +'Input data meat and eggs'!$P$397*'Input data meat and eggs'!$C$443+ 'Input data meat and eggs'!$Q$397*'Input data meat and eggs'!$D$443+ 'Input data meat and eggs'!$R$397*'Input data meat and eggs'!$E$443))*'Input data meat and eggs'!$E$397</f>
        <v>73763.2698614638</v>
      </c>
      <c r="K89" s="144" t="n">
        <v>0</v>
      </c>
      <c r="L89" s="144" t="n">
        <f aca="false">('Input data meat and eggs'!L397*'Input data meat and eggs'!G397/12)*'Input data meat and eggs'!$E$397</f>
        <v>1108871.26212685</v>
      </c>
      <c r="M89" s="144" t="n">
        <v>0</v>
      </c>
      <c r="N89" s="144" t="n">
        <v>0</v>
      </c>
      <c r="O89" s="144" t="n">
        <v>0</v>
      </c>
      <c r="P89" s="144" t="n">
        <v>0</v>
      </c>
      <c r="Q89" s="144" t="n">
        <f aca="false">SUM(F89+P89)</f>
        <v>1185300.75318354</v>
      </c>
      <c r="R89" s="31"/>
      <c r="S89" s="31"/>
      <c r="T89" s="99"/>
    </row>
    <row r="90" customFormat="false" ht="14.4" hidden="false" customHeight="false" outlineLevel="0" collapsed="false">
      <c r="A90" s="74"/>
      <c r="D90" s="31" t="s">
        <v>136</v>
      </c>
      <c r="E90" s="157" t="n">
        <f aca="false">SUM(I90:L90)</f>
        <v>33236.1872268727</v>
      </c>
      <c r="F90" s="144" t="n">
        <f aca="false">SUM(H90:L90,O90)</f>
        <v>38435.0363687118</v>
      </c>
      <c r="G90" s="159"/>
      <c r="H90" s="144" t="n">
        <f aca="false">(('Input data meat and eggs'!S397*'Input data meat and eggs'!D48+'Input data meat and eggs'!T397*'Input data meat and eggs'!D47+'Input data meat and eggs'!U397*'Input data meat and eggs'!D35+'Input data meat and eggs'!V397*SUMPRODUCT('Input data meat and eggs'!D37:D46,'Input data meat and eggs'!E65:E74))*'Input data meat and eggs'!B58)*'Input data meat and eggs'!$E$397</f>
        <v>5198.84914183908</v>
      </c>
      <c r="I90" s="144" t="n">
        <f aca="false">(('Input data meat and eggs'!S397*'Input data meat and eggs'!D48+'Input data meat and eggs'!T397*'Input data meat and eggs'!D47+'Input data meat and eggs'!U397*'Input data meat and eggs'!D35+'Input data meat and eggs'!V397*SUMPRODUCT('Input data meat and eggs'!D37:D46,'Input data meat and eggs'!E65:E74))*'Input data meat and eggs'!C58)*'Input data meat and eggs'!$E$397</f>
        <v>13140.5951568746</v>
      </c>
      <c r="J90" s="144" t="n">
        <f aca="false">('Input data meat and eggs'!K397*'Input data meat and eggs'!G397/12*('Input data meat and eggs'!$O$397*'Input data meat and eggs'!$B$445+'Input data meat and eggs'!$P$397*'Input data meat and eggs'!$C$445+'Input data meat and eggs'!$Q$397*'Input data meat and eggs'!$D$445+'Input data meat and eggs'!$R$397*'Input data meat and eggs'!$E$445)*44/28)*'Input data meat and eggs'!$E$397</f>
        <v>18530.3568888591</v>
      </c>
      <c r="K90" s="144" t="n">
        <f aca="false">('Input data meat and eggs'!$B$446*44/28*'Input data meat and eggs'!K397*'Input data meat and eggs'!G397/12*('Input data meat and eggs'!O397*'Input data meat and eggs'!B457+'Input data meat and eggs'!P397*'Input data meat and eggs'!C457+'Input data meat and eggs'!Q397*'Input data meat and eggs'!D457))*'Input data meat and eggs'!$E$397</f>
        <v>1565.23518113897</v>
      </c>
      <c r="L90" s="144" t="n">
        <v>0</v>
      </c>
      <c r="M90" s="144" t="n">
        <v>0</v>
      </c>
      <c r="N90" s="144" t="n">
        <v>0</v>
      </c>
      <c r="O90" s="144" t="n">
        <v>0</v>
      </c>
      <c r="P90" s="144" t="n">
        <v>0</v>
      </c>
      <c r="Q90" s="144" t="n">
        <f aca="false">SUM(F90+P90)</f>
        <v>38435.0363687118</v>
      </c>
      <c r="R90" s="31"/>
      <c r="S90" s="31"/>
      <c r="T90" s="99"/>
    </row>
    <row r="91" s="83" customFormat="true" ht="14.4" hidden="false" customHeight="false" outlineLevel="0" collapsed="false">
      <c r="A91" s="176"/>
      <c r="B91" s="84" t="s">
        <v>152</v>
      </c>
      <c r="D91" s="78" t="s">
        <v>133</v>
      </c>
      <c r="E91" s="154" t="n">
        <f aca="false">IF($F$1="GWP100 without fb",E92+E93*'Common input data'!$C$5+E94*'Common input data'!$D$5,IF($F$1="GWP100 with fb",E92+E93*'Common input data'!$C$6+E94*'Common input data'!$D$6,IF($F$1="GTP100 without fb",E92+E93*'Common input data'!$C$7+E94*'Common input data'!$D$7,IF($F$1="GTP100 with fb",E92+E93*'Common input data'!$C$8+E94*'Common input data'!$D$8,E92+E93*'Common input data'!$C$9+E94*'Common input data'!$D$9))))</f>
        <v>6645550.02954703</v>
      </c>
      <c r="F91" s="155" t="n">
        <f aca="false">IF($F$1="GWP100 without fb",F92+F93*'Common input data'!$C$5+F94*'Common input data'!$D$5,IF($F$1="GWP100 with fb",F92+F93*'Common input data'!$C$6+F94*'Common input data'!$D$6,IF($F$1="GTP100 without fb",F92+F93*'Common input data'!$C$7+F94*'Common input data'!$D$7,IF($F$1="GTP100 with fb",F92+F93*'Common input data'!$C$8+F94*'Common input data'!$D$8,F92+F93*'Common input data'!$C$9+F94*'Common input data'!$D$9))))</f>
        <v>8427073.54446913</v>
      </c>
      <c r="G91" s="156"/>
      <c r="H91" s="155"/>
      <c r="I91" s="155"/>
      <c r="J91" s="155"/>
      <c r="K91" s="155"/>
      <c r="L91" s="155"/>
      <c r="N91" s="155"/>
      <c r="O91" s="155"/>
      <c r="P91" s="155"/>
      <c r="Q91" s="155"/>
      <c r="R91" s="84"/>
      <c r="S91" s="84"/>
      <c r="T91" s="99"/>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c r="FQ91" s="30"/>
      <c r="FR91" s="30"/>
      <c r="FS91" s="30"/>
      <c r="FT91" s="30"/>
      <c r="FU91" s="30"/>
      <c r="FV91" s="30"/>
      <c r="FW91" s="30"/>
      <c r="FX91" s="30"/>
      <c r="FY91" s="30"/>
      <c r="FZ91" s="30"/>
      <c r="GA91" s="30"/>
      <c r="GB91" s="30"/>
      <c r="GC91" s="30"/>
      <c r="GD91" s="30"/>
      <c r="GE91" s="30"/>
      <c r="GF91" s="30"/>
      <c r="GG91" s="30"/>
      <c r="GH91" s="30"/>
      <c r="GI91" s="30"/>
      <c r="GJ91" s="30"/>
      <c r="GK91" s="30"/>
      <c r="GL91" s="30"/>
      <c r="GM91" s="30"/>
      <c r="GN91" s="30"/>
      <c r="GO91" s="30"/>
      <c r="GP91" s="30"/>
      <c r="GQ91" s="30"/>
      <c r="GR91" s="30"/>
      <c r="GS91" s="30"/>
      <c r="GT91" s="30"/>
      <c r="GU91" s="30"/>
      <c r="GV91" s="30"/>
      <c r="GW91" s="30"/>
      <c r="GX91" s="30"/>
      <c r="GY91" s="30"/>
      <c r="GZ91" s="30"/>
      <c r="HA91" s="30"/>
      <c r="HB91" s="30"/>
      <c r="HC91" s="30"/>
      <c r="HD91" s="30"/>
      <c r="HE91" s="30"/>
      <c r="HF91" s="30"/>
      <c r="HG91" s="30"/>
      <c r="HH91" s="30"/>
      <c r="HI91" s="30"/>
      <c r="HJ91" s="30"/>
      <c r="HK91" s="30"/>
      <c r="HL91" s="30"/>
      <c r="HM91" s="30"/>
      <c r="HN91" s="30"/>
      <c r="HO91" s="30"/>
      <c r="HP91" s="30"/>
      <c r="HQ91" s="30"/>
      <c r="HR91" s="30"/>
      <c r="HS91" s="30"/>
      <c r="HT91" s="30"/>
      <c r="HU91" s="30"/>
      <c r="HV91" s="30"/>
      <c r="HW91" s="30"/>
      <c r="HX91" s="30"/>
      <c r="HY91" s="30"/>
      <c r="HZ91" s="30"/>
      <c r="IA91" s="30"/>
      <c r="IB91" s="30"/>
      <c r="IC91" s="30"/>
      <c r="ID91" s="30"/>
      <c r="IE91" s="30"/>
      <c r="IF91" s="30"/>
      <c r="IG91" s="30"/>
      <c r="IH91" s="30"/>
      <c r="II91" s="30"/>
      <c r="IJ91" s="30"/>
      <c r="IK91" s="30"/>
      <c r="IL91" s="30"/>
      <c r="IM91" s="30"/>
      <c r="IN91" s="30"/>
      <c r="IO91" s="30"/>
      <c r="IP91" s="30"/>
      <c r="IQ91" s="30"/>
      <c r="IR91" s="30"/>
      <c r="IS91" s="30"/>
      <c r="IT91" s="30"/>
      <c r="IU91" s="30"/>
      <c r="IV91" s="30"/>
      <c r="IW91" s="30"/>
      <c r="IX91" s="30"/>
      <c r="IY91" s="30"/>
      <c r="IZ91" s="30"/>
      <c r="JA91" s="30"/>
      <c r="JB91" s="30"/>
      <c r="JC91" s="30"/>
      <c r="JD91" s="30"/>
      <c r="JE91" s="30"/>
      <c r="JF91" s="30"/>
      <c r="JG91" s="30"/>
      <c r="JH91" s="30"/>
      <c r="JI91" s="30"/>
      <c r="JJ91" s="30"/>
      <c r="JK91" s="30"/>
      <c r="JL91" s="30"/>
      <c r="JM91" s="30"/>
      <c r="JN91" s="30"/>
      <c r="JO91" s="30"/>
      <c r="JP91" s="30"/>
      <c r="JQ91" s="30"/>
      <c r="JR91" s="30"/>
      <c r="JS91" s="30"/>
      <c r="JT91" s="30"/>
      <c r="JU91" s="30"/>
      <c r="JV91" s="30"/>
      <c r="JW91" s="30"/>
      <c r="JX91" s="30"/>
      <c r="JY91" s="30"/>
      <c r="JZ91" s="30"/>
      <c r="KA91" s="30"/>
      <c r="KB91" s="30"/>
      <c r="KC91" s="30"/>
      <c r="KD91" s="30"/>
      <c r="KE91" s="30"/>
      <c r="KF91" s="30"/>
      <c r="KG91" s="30"/>
      <c r="KH91" s="30"/>
      <c r="KI91" s="30"/>
      <c r="KJ91" s="30"/>
      <c r="KK91" s="30"/>
      <c r="KL91" s="30"/>
      <c r="KM91" s="30"/>
      <c r="KN91" s="30"/>
      <c r="KO91" s="30"/>
      <c r="KP91" s="30"/>
      <c r="KQ91" s="30"/>
      <c r="KR91" s="30"/>
      <c r="KS91" s="30"/>
      <c r="KT91" s="30"/>
      <c r="KU91" s="30"/>
      <c r="KV91" s="30"/>
      <c r="KW91" s="30"/>
      <c r="KX91" s="30"/>
      <c r="KY91" s="30"/>
      <c r="KZ91" s="30"/>
      <c r="LA91" s="30"/>
      <c r="LB91" s="30"/>
      <c r="LC91" s="30"/>
      <c r="LD91" s="30"/>
      <c r="LE91" s="30"/>
      <c r="LF91" s="30"/>
      <c r="LG91" s="30"/>
      <c r="LH91" s="30"/>
      <c r="LI91" s="30"/>
      <c r="LJ91" s="30"/>
      <c r="LK91" s="30"/>
      <c r="LL91" s="30"/>
      <c r="LM91" s="30"/>
      <c r="LN91" s="30"/>
      <c r="LO91" s="30"/>
      <c r="LP91" s="30"/>
      <c r="LQ91" s="30"/>
      <c r="LR91" s="30"/>
      <c r="LS91" s="30"/>
      <c r="LT91" s="30"/>
      <c r="LU91" s="30"/>
      <c r="LV91" s="30"/>
      <c r="LW91" s="30"/>
      <c r="LX91" s="30"/>
      <c r="LY91" s="30"/>
      <c r="LZ91" s="30"/>
      <c r="MA91" s="30"/>
      <c r="MB91" s="30"/>
      <c r="MC91" s="30"/>
      <c r="MD91" s="30"/>
      <c r="ME91" s="30"/>
      <c r="MF91" s="30"/>
      <c r="MG91" s="30"/>
      <c r="MH91" s="30"/>
      <c r="MI91" s="30"/>
      <c r="MJ91" s="30"/>
      <c r="MK91" s="30"/>
      <c r="ML91" s="30"/>
      <c r="MM91" s="30"/>
      <c r="MN91" s="30"/>
      <c r="MO91" s="30"/>
      <c r="MP91" s="30"/>
      <c r="MQ91" s="30"/>
      <c r="MR91" s="30"/>
      <c r="MS91" s="30"/>
      <c r="MT91" s="30"/>
      <c r="MU91" s="30"/>
      <c r="MV91" s="30"/>
      <c r="MW91" s="30"/>
      <c r="MX91" s="30"/>
      <c r="MY91" s="30"/>
      <c r="MZ91" s="30"/>
      <c r="NA91" s="30"/>
      <c r="NB91" s="30"/>
      <c r="NC91" s="30"/>
      <c r="ND91" s="30"/>
      <c r="NE91" s="30"/>
      <c r="NF91" s="30"/>
      <c r="NG91" s="30"/>
      <c r="NH91" s="30"/>
      <c r="NI91" s="30"/>
      <c r="NJ91" s="30"/>
      <c r="NK91" s="30"/>
      <c r="NL91" s="30"/>
      <c r="NM91" s="30"/>
      <c r="NN91" s="30"/>
      <c r="NO91" s="30"/>
      <c r="NP91" s="30"/>
      <c r="NQ91" s="30"/>
      <c r="NR91" s="30"/>
      <c r="NS91" s="30"/>
      <c r="NT91" s="30"/>
      <c r="NU91" s="30"/>
      <c r="NV91" s="30"/>
      <c r="NW91" s="30"/>
      <c r="NX91" s="30"/>
      <c r="NY91" s="30"/>
      <c r="NZ91" s="30"/>
      <c r="OA91" s="30"/>
      <c r="OB91" s="30"/>
      <c r="OC91" s="30"/>
      <c r="OD91" s="30"/>
      <c r="OE91" s="30"/>
      <c r="OF91" s="30"/>
      <c r="OG91" s="30"/>
      <c r="OH91" s="30"/>
      <c r="OI91" s="30"/>
      <c r="OJ91" s="30"/>
      <c r="OK91" s="30"/>
      <c r="OL91" s="30"/>
    </row>
    <row r="92" customFormat="false" ht="14.4" hidden="false" customHeight="false" outlineLevel="0" collapsed="false">
      <c r="A92" s="74"/>
      <c r="D92" s="85" t="s">
        <v>134</v>
      </c>
      <c r="E92" s="157" t="n">
        <f aca="false">IF(AND($F$2="No",$F$3="No"),SUM(I92:L92),IF(AND($F$2="Yes", $F$3="No"), SUM(I92:L92)+N92, IF(AND($F$2="No", $F$3="Yes"),SUM(I92:L92)+M92, SUM(I92:L92)+N92+M92)))</f>
        <v>-56153.7505217845</v>
      </c>
      <c r="F92" s="144" t="n">
        <f aca="false">IF(AND($F$2="No",$F$3="No"),SUM(H92:L92,O92),IF(AND($F$2="Yes", $F$3="No"), SUM(H92:L92,O92)+N92, IF(AND($F$2="No", $F$3="Yes"),SUM(H92:L92,O92)+M92, SUM(H92:L92,O92)+N92+M92)))</f>
        <v>1264521.14533059</v>
      </c>
      <c r="G92" s="159"/>
      <c r="H92" s="144" t="n">
        <f aca="false">('Input data meat and eggs'!S398*'Input data meat and eggs'!B48+'Input data meat and eggs'!T398*'Input data meat and eggs'!B47+'Input data meat and eggs'!U398*'Input data meat and eggs'!B35+'Input data meat and eggs'!V398*SUMPRODUCT('Input data meat and eggs'!B37:B46,'Input data meat and eggs'!E65:E74))*'Input data meat and eggs'!$E$398</f>
        <v>1320674.89585237</v>
      </c>
      <c r="I92" s="144" t="n">
        <v>0</v>
      </c>
      <c r="J92" s="144" t="n">
        <v>0</v>
      </c>
      <c r="K92" s="144" t="n">
        <v>0</v>
      </c>
      <c r="L92" s="144" t="n">
        <v>0</v>
      </c>
      <c r="M92" s="144" t="n">
        <f aca="false">(('Input data meat and eggs'!S398+'Input data meat and eggs'!T398)*'Common input data'!F13+ 'Input data meat and eggs'!U398*'Common input data'!B13+'Input data meat and eggs'!V398*('Input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eggs'!$E$398</f>
        <v>-187613.982234089</v>
      </c>
      <c r="N92" s="144" t="n">
        <f aca="false">('Input data meat and eggs'!V398*('Input data meat and eggs'!E67*'Common input data'!B21*'Common input data'!G30/'Common input data'!F30+'Input data meat and eggs'!E71*'Common input data'!C21*'Common input data'!J31/'Common input data'!I31))*'Input data meat and eggs'!$E$398</f>
        <v>131460.231712305</v>
      </c>
      <c r="O92" s="144" t="n">
        <v>0</v>
      </c>
      <c r="P92" s="144" t="n">
        <v>0</v>
      </c>
      <c r="Q92" s="144" t="n">
        <f aca="false">SUM(F92+P92)</f>
        <v>1264521.14533059</v>
      </c>
      <c r="R92" s="31"/>
      <c r="S92" s="31"/>
      <c r="T92" s="99"/>
    </row>
    <row r="93" customFormat="false" ht="14.4" hidden="false" customHeight="false" outlineLevel="0" collapsed="false">
      <c r="A93" s="74"/>
      <c r="D93" s="85" t="s">
        <v>135</v>
      </c>
      <c r="E93" s="157" t="n">
        <f aca="false">SUM(I93:L93)</f>
        <v>139745.986910326</v>
      </c>
      <c r="F93" s="144" t="n">
        <f aca="false">SUM(H93:L93,O93)</f>
        <v>141325.96212318</v>
      </c>
      <c r="G93" s="159"/>
      <c r="H93" s="144" t="n">
        <f aca="false">('Input data meat and eggs'!S398*'Input data meat and eggs'!C48+'Input data meat and eggs'!T398*'Input data meat and eggs'!C47+'Input data meat and eggs'!U398*'Input data meat and eggs'!C35+'Input data meat and eggs'!V398*SUMPRODUCT('Input data meat and eggs'!C37:C46,'Input data meat and eggs'!E65:E74))*'Input data meat and eggs'!$E$398</f>
        <v>1579.97521285382</v>
      </c>
      <c r="I93" s="144" t="n">
        <v>0</v>
      </c>
      <c r="J93" s="144" t="n">
        <f aca="false">('Input data meat and eggs'!M398*'Input data meat and eggs'!G398/12*'Input data meat and eggs'!$B$451*'Input data meat and eggs'!$B$452*'Input data meat and eggs'!$B$453* ('Input data meat and eggs'!$O$398*'Input data meat and eggs'!$B$443 +'Input data meat and eggs'!$P$398*'Input data meat and eggs'!$C$443+ 'Input data meat and eggs'!$Q$398*'Input data meat and eggs'!$D$443+ 'Input data meat and eggs'!$R$398*'Input data meat and eggs'!$E$443))*'Input data meat and eggs'!$E$398</f>
        <v>11085.0295744077</v>
      </c>
      <c r="K93" s="144" t="n">
        <v>0</v>
      </c>
      <c r="L93" s="144" t="n">
        <f aca="false">('Input data meat and eggs'!L398*'Input data meat and eggs'!G398/12)*'Input data meat and eggs'!$E$398</f>
        <v>128660.957335918</v>
      </c>
      <c r="M93" s="144" t="n">
        <v>0</v>
      </c>
      <c r="N93" s="144" t="n">
        <v>0</v>
      </c>
      <c r="O93" s="144" t="n">
        <v>0</v>
      </c>
      <c r="P93" s="144" t="n">
        <v>0</v>
      </c>
      <c r="Q93" s="144" t="n">
        <f aca="false">SUM(F93+P93)</f>
        <v>141325.96212318</v>
      </c>
      <c r="R93" s="31"/>
      <c r="S93" s="31"/>
      <c r="T93" s="99"/>
    </row>
    <row r="94" customFormat="false" ht="14.4" hidden="false" customHeight="false" outlineLevel="0" collapsed="false">
      <c r="A94" s="162"/>
      <c r="D94" s="31" t="s">
        <v>136</v>
      </c>
      <c r="E94" s="157" t="n">
        <f aca="false">SUM(I94:L94)</f>
        <v>6544.76585609977</v>
      </c>
      <c r="F94" s="144" t="n">
        <f aca="false">SUM(H94:L94,O94)</f>
        <v>7910.9721038605</v>
      </c>
      <c r="G94" s="159"/>
      <c r="H94" s="144" t="n">
        <f aca="false">(('Input data meat and eggs'!S398*'Input data meat and eggs'!D48+'Input data meat and eggs'!T398*'Input data meat and eggs'!D47+'Input data meat and eggs'!U398*'Input data meat and eggs'!D35+'Input data meat and eggs'!V398*SUMPRODUCT('Input data meat and eggs'!D37:D46,'Input data meat and eggs'!E65:E74))*'Input data meat and eggs'!B58)*'Input data meat and eggs'!$E$398</f>
        <v>1366.20624776073</v>
      </c>
      <c r="I94" s="144" t="n">
        <f aca="false">(('Input data meat and eggs'!S398*'Input data meat and eggs'!D48+'Input data meat and eggs'!T398*'Input data meat and eggs'!D47+'Input data meat and eggs'!U398*'Input data meat and eggs'!D35+'Input data meat and eggs'!V398*SUMPRODUCT('Input data meat and eggs'!D37:D46,'Input data meat and eggs'!E65:E74))*'Input data meat and eggs'!C58)*'Input data meat and eggs'!$E$398</f>
        <v>3453.21872453213</v>
      </c>
      <c r="J94" s="144" t="n">
        <f aca="false">('Input data meat and eggs'!K398*'Input data meat and eggs'!G398/12*('Input data meat and eggs'!$O$398*'Input data meat and eggs'!$B$445+'Input data meat and eggs'!$P$398*'Input data meat and eggs'!$C$445+'Input data meat and eggs'!$Q$398*'Input data meat and eggs'!$D$445+'Input data meat and eggs'!$R$398*'Input data meat and eggs'!$E$445)*44/28)*'Input data meat and eggs'!$E$398</f>
        <v>2703.72853528642</v>
      </c>
      <c r="K94" s="144" t="n">
        <f aca="false">('Input data meat and eggs'!$B$446*44/28*'Input data meat and eggs'!K398*'Input data meat and eggs'!G398/12*('Input data meat and eggs'!O398*'Input data meat and eggs'!B457+'Input data meat and eggs'!P398*'Input data meat and eggs'!C457+'Input data meat and eggs'!Q398*'Input data meat and eggs'!D457))*'Input data meat and eggs'!$E$398</f>
        <v>387.818596281218</v>
      </c>
      <c r="L94" s="144" t="n">
        <v>0</v>
      </c>
      <c r="M94" s="144" t="n">
        <v>0</v>
      </c>
      <c r="N94" s="144" t="n">
        <v>0</v>
      </c>
      <c r="O94" s="144" t="n">
        <v>0</v>
      </c>
      <c r="P94" s="144" t="n">
        <v>0</v>
      </c>
      <c r="Q94" s="144" t="n">
        <f aca="false">SUM(F94+P94)</f>
        <v>7910.9721038605</v>
      </c>
      <c r="R94" s="31"/>
      <c r="S94" s="31"/>
      <c r="T94" s="99"/>
    </row>
    <row r="95" s="83" customFormat="true" ht="14.4" hidden="false" customHeight="false" outlineLevel="0" collapsed="false">
      <c r="A95" s="176"/>
      <c r="B95" s="177" t="s">
        <v>153</v>
      </c>
      <c r="C95" s="153"/>
      <c r="D95" s="78" t="s">
        <v>133</v>
      </c>
      <c r="E95" s="154" t="n">
        <f aca="false">IF($F$1="GWP100 without fb",E96+E97*'Common input data'!$C$5+E98*'Common input data'!$D$5,IF($F$1="GWP100 with fb",E96+E97*'Common input data'!$C$6+E98*'Common input data'!$D$6,IF($F$1="GTP100 without fb",E96+E97*'Common input data'!$C$7+E98*'Common input data'!$D$7,IF($F$1="GTP100 with fb",E96+E97*'Common input data'!$C$8+E98*'Common input data'!$D$8,E96+E97*'Common input data'!$C$9+E98*'Common input data'!$D$9))))</f>
        <v>6627.47286429333</v>
      </c>
      <c r="F95" s="155" t="n">
        <f aca="false">IF($F$1="GWP100 without fb",F96+F97*'Common input data'!$C$5+F98*'Common input data'!$D$5,IF($F$1="GWP100 with fb",F96+F97*'Common input data'!$C$6+F98*'Common input data'!$D$6,IF($F$1="GTP100 without fb",F96+F97*'Common input data'!$C$7+F98*'Common input data'!$D$7,IF($F$1="GTP100 with fb",F96+F97*'Common input data'!$C$8+F98*'Common input data'!$D$8,F96+F97*'Common input data'!$C$9+F98*'Common input data'!$D$9))))</f>
        <v>8678.77928254534</v>
      </c>
      <c r="G95" s="156"/>
      <c r="H95" s="84"/>
      <c r="I95" s="84"/>
      <c r="J95" s="84"/>
      <c r="K95" s="84"/>
      <c r="L95" s="84"/>
      <c r="M95" s="178"/>
      <c r="N95" s="84"/>
      <c r="O95" s="84"/>
      <c r="P95" s="84"/>
      <c r="Q95" s="84"/>
      <c r="R95" s="84"/>
      <c r="S95" s="84"/>
      <c r="T95" s="99"/>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c r="FR95" s="30"/>
      <c r="FS95" s="30"/>
      <c r="FT95" s="30"/>
      <c r="FU95" s="30"/>
      <c r="FV95" s="30"/>
      <c r="FW95" s="30"/>
      <c r="FX95" s="30"/>
      <c r="FY95" s="30"/>
      <c r="FZ95" s="30"/>
      <c r="GA95" s="30"/>
      <c r="GB95" s="30"/>
      <c r="GC95" s="30"/>
      <c r="GD95" s="30"/>
      <c r="GE95" s="30"/>
      <c r="GF95" s="30"/>
      <c r="GG95" s="30"/>
      <c r="GH95" s="30"/>
      <c r="GI95" s="30"/>
      <c r="GJ95" s="30"/>
      <c r="GK95" s="30"/>
      <c r="GL95" s="30"/>
      <c r="GM95" s="30"/>
      <c r="GN95" s="30"/>
      <c r="GO95" s="30"/>
      <c r="GP95" s="30"/>
      <c r="GQ95" s="30"/>
      <c r="GR95" s="30"/>
      <c r="GS95" s="30"/>
      <c r="GT95" s="30"/>
      <c r="GU95" s="30"/>
      <c r="GV95" s="30"/>
      <c r="GW95" s="30"/>
      <c r="GX95" s="30"/>
      <c r="GY95" s="30"/>
      <c r="GZ95" s="30"/>
      <c r="HA95" s="30"/>
      <c r="HB95" s="30"/>
      <c r="HC95" s="30"/>
      <c r="HD95" s="30"/>
      <c r="HE95" s="30"/>
      <c r="HF95" s="30"/>
      <c r="HG95" s="30"/>
      <c r="HH95" s="30"/>
      <c r="HI95" s="30"/>
      <c r="HJ95" s="30"/>
      <c r="HK95" s="30"/>
      <c r="HL95" s="30"/>
      <c r="HM95" s="30"/>
      <c r="HN95" s="30"/>
      <c r="HO95" s="30"/>
      <c r="HP95" s="30"/>
      <c r="HQ95" s="30"/>
      <c r="HR95" s="30"/>
      <c r="HS95" s="30"/>
      <c r="HT95" s="30"/>
      <c r="HU95" s="30"/>
      <c r="HV95" s="30"/>
      <c r="HW95" s="30"/>
      <c r="HX95" s="30"/>
      <c r="HY95" s="30"/>
      <c r="HZ95" s="30"/>
      <c r="IA95" s="30"/>
      <c r="IB95" s="30"/>
      <c r="IC95" s="30"/>
      <c r="ID95" s="30"/>
      <c r="IE95" s="30"/>
      <c r="IF95" s="30"/>
      <c r="IG95" s="30"/>
      <c r="IH95" s="30"/>
      <c r="II95" s="30"/>
      <c r="IJ95" s="30"/>
      <c r="IK95" s="30"/>
      <c r="IL95" s="30"/>
      <c r="IM95" s="30"/>
      <c r="IN95" s="30"/>
      <c r="IO95" s="30"/>
      <c r="IP95" s="30"/>
      <c r="IQ95" s="30"/>
      <c r="IR95" s="30"/>
      <c r="IS95" s="30"/>
      <c r="IT95" s="30"/>
      <c r="IU95" s="30"/>
      <c r="IV95" s="30"/>
      <c r="IW95" s="30"/>
      <c r="IX95" s="30"/>
      <c r="IY95" s="30"/>
      <c r="IZ95" s="30"/>
      <c r="JA95" s="30"/>
      <c r="JB95" s="30"/>
      <c r="JC95" s="30"/>
      <c r="JD95" s="30"/>
      <c r="JE95" s="30"/>
      <c r="JF95" s="30"/>
      <c r="JG95" s="30"/>
      <c r="JH95" s="30"/>
      <c r="JI95" s="30"/>
      <c r="JJ95" s="30"/>
      <c r="JK95" s="30"/>
      <c r="JL95" s="30"/>
      <c r="JM95" s="30"/>
      <c r="JN95" s="30"/>
      <c r="JO95" s="30"/>
      <c r="JP95" s="30"/>
      <c r="JQ95" s="30"/>
      <c r="JR95" s="30"/>
      <c r="JS95" s="30"/>
      <c r="JT95" s="30"/>
      <c r="JU95" s="30"/>
      <c r="JV95" s="30"/>
      <c r="JW95" s="30"/>
      <c r="JX95" s="30"/>
      <c r="JY95" s="30"/>
      <c r="JZ95" s="30"/>
      <c r="KA95" s="30"/>
      <c r="KB95" s="30"/>
      <c r="KC95" s="30"/>
      <c r="KD95" s="30"/>
      <c r="KE95" s="30"/>
      <c r="KF95" s="30"/>
      <c r="KG95" s="30"/>
      <c r="KH95" s="30"/>
      <c r="KI95" s="30"/>
      <c r="KJ95" s="30"/>
      <c r="KK95" s="30"/>
      <c r="KL95" s="30"/>
      <c r="KM95" s="30"/>
      <c r="KN95" s="30"/>
      <c r="KO95" s="30"/>
      <c r="KP95" s="30"/>
      <c r="KQ95" s="30"/>
      <c r="KR95" s="30"/>
      <c r="KS95" s="30"/>
      <c r="KT95" s="30"/>
      <c r="KU95" s="30"/>
      <c r="KV95" s="30"/>
      <c r="KW95" s="30"/>
      <c r="KX95" s="30"/>
      <c r="KY95" s="30"/>
      <c r="KZ95" s="30"/>
      <c r="LA95" s="30"/>
      <c r="LB95" s="30"/>
      <c r="LC95" s="30"/>
      <c r="LD95" s="30"/>
      <c r="LE95" s="30"/>
      <c r="LF95" s="30"/>
      <c r="LG95" s="30"/>
      <c r="LH95" s="30"/>
      <c r="LI95" s="30"/>
      <c r="LJ95" s="30"/>
      <c r="LK95" s="30"/>
      <c r="LL95" s="30"/>
      <c r="LM95" s="30"/>
      <c r="LN95" s="30"/>
      <c r="LO95" s="30"/>
      <c r="LP95" s="30"/>
      <c r="LQ95" s="30"/>
      <c r="LR95" s="30"/>
      <c r="LS95" s="30"/>
      <c r="LT95" s="30"/>
      <c r="LU95" s="30"/>
      <c r="LV95" s="30"/>
      <c r="LW95" s="30"/>
      <c r="LX95" s="30"/>
      <c r="LY95" s="30"/>
      <c r="LZ95" s="30"/>
      <c r="MA95" s="30"/>
      <c r="MB95" s="30"/>
      <c r="MC95" s="30"/>
      <c r="MD95" s="30"/>
      <c r="ME95" s="30"/>
      <c r="MF95" s="30"/>
      <c r="MG95" s="30"/>
      <c r="MH95" s="30"/>
      <c r="MI95" s="30"/>
      <c r="MJ95" s="30"/>
      <c r="MK95" s="30"/>
      <c r="ML95" s="30"/>
      <c r="MM95" s="30"/>
      <c r="MN95" s="30"/>
      <c r="MO95" s="30"/>
      <c r="MP95" s="30"/>
      <c r="MQ95" s="30"/>
      <c r="MR95" s="30"/>
      <c r="MS95" s="30"/>
      <c r="MT95" s="30"/>
      <c r="MU95" s="30"/>
      <c r="MV95" s="30"/>
      <c r="MW95" s="30"/>
      <c r="MX95" s="30"/>
      <c r="MY95" s="30"/>
      <c r="MZ95" s="30"/>
      <c r="NA95" s="30"/>
      <c r="NB95" s="30"/>
      <c r="NC95" s="30"/>
      <c r="ND95" s="30"/>
      <c r="NE95" s="30"/>
      <c r="NF95" s="30"/>
      <c r="NG95" s="30"/>
      <c r="NH95" s="30"/>
      <c r="NI95" s="30"/>
      <c r="NJ95" s="30"/>
      <c r="NK95" s="30"/>
      <c r="NL95" s="30"/>
      <c r="NM95" s="30"/>
      <c r="NN95" s="30"/>
      <c r="NO95" s="30"/>
      <c r="NP95" s="30"/>
      <c r="NQ95" s="30"/>
      <c r="NR95" s="30"/>
      <c r="NS95" s="30"/>
      <c r="NT95" s="30"/>
      <c r="NU95" s="30"/>
      <c r="NV95" s="30"/>
      <c r="NW95" s="30"/>
      <c r="NX95" s="30"/>
      <c r="NY95" s="30"/>
      <c r="NZ95" s="30"/>
      <c r="OA95" s="30"/>
      <c r="OB95" s="30"/>
      <c r="OC95" s="30"/>
      <c r="OD95" s="30"/>
      <c r="OE95" s="30"/>
      <c r="OF95" s="30"/>
      <c r="OG95" s="30"/>
      <c r="OH95" s="30"/>
      <c r="OI95" s="30"/>
      <c r="OJ95" s="30"/>
      <c r="OK95" s="30"/>
      <c r="OL95" s="30"/>
    </row>
    <row r="96" customFormat="false" ht="14.4" hidden="false" customHeight="false" outlineLevel="0" collapsed="false">
      <c r="A96" s="162"/>
      <c r="D96" s="85" t="s">
        <v>134</v>
      </c>
      <c r="E96" s="157" t="n">
        <f aca="false">IF(AND($F$2="No",$F$3="No"),SUM(I96:L96),IF(AND($F$2="Yes", $F$3="No"), SUM(I96:L96)+N96, IF(AND($F$2="No", $F$3="Yes"),SUM(I96:L96)+M96, SUM(I96:L96)+N96+M96)))</f>
        <v>40.9778402256675</v>
      </c>
      <c r="F96" s="144" t="n">
        <f aca="false">IF(AND($F$2="No",$F$3="No"),SUM(H96:L96,O96),IF(AND($F$2="Yes", $F$3="No"), SUM(H96:L96,O96)+N96, IF(AND($F$2="No", $F$3="Yes"),SUM(H96:L96,O96)+M96, SUM(H96:L96,O96)+N96+M96)))</f>
        <v>1595.74500167087</v>
      </c>
      <c r="G96" s="159"/>
      <c r="H96" s="144" t="n">
        <f aca="false">'Input data meat and eggs'!S401*'Input data meat and eggs'!B48+'Input data meat and eggs'!T401*'Input data meat and eggs'!B47+'Input data meat and eggs'!U401*'Input data meat and eggs'!B35+'Input data meat and eggs'!V401*SUMPRODUCT('Input data meat and eggs'!B37:B46,'Input data meat and eggs'!F65:F74)</f>
        <v>1463.81996144521</v>
      </c>
      <c r="I96" s="144" t="n">
        <v>0</v>
      </c>
      <c r="J96" s="144" t="n">
        <v>0</v>
      </c>
      <c r="K96" s="144" t="n">
        <v>0</v>
      </c>
      <c r="L96" s="144" t="n">
        <v>0</v>
      </c>
      <c r="M96" s="144" t="n">
        <f aca="false">('Input data meat and eggs'!S401+'Input data meat and eggs'!T401)*'Common input data'!F13+ 'Input data meat and eggs'!U401*'Common input data'!B13+'Input data meat and eggs'!V401*('Input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f>
        <v>-127.624921556154</v>
      </c>
      <c r="N96" s="144" t="n">
        <f aca="false">'Input data meat and eggs'!V401*('Input data meat and eggs'!F67*'Common input data'!B21*'Common input data'!G30/'Common input data'!F30+'Input data meat and eggs'!F71*'Common input data'!C21*'Common input data'!J31/'Common input data'!I31)</f>
        <v>168.602761781822</v>
      </c>
      <c r="O96" s="144" t="n">
        <f aca="false">'Input data meat and eggs'!B82*'Common input data'!B63</f>
        <v>90.9472</v>
      </c>
      <c r="P96" s="144" t="n">
        <f aca="false">('Input data meat and eggs'!B92*'Common input data'!B63+'Input data meat and eggs'!C92*3.6*'Common input data'!B49)*'Input data meat and eggs'!$F$401</f>
        <v>110.930480377358</v>
      </c>
      <c r="Q96" s="87"/>
      <c r="R96" s="87"/>
      <c r="S96" s="87"/>
      <c r="T96" s="99"/>
    </row>
    <row r="97" customFormat="false" ht="14.4" hidden="false" customHeight="false" outlineLevel="0" collapsed="false">
      <c r="A97" s="74"/>
      <c r="C97" s="31"/>
      <c r="D97" s="85" t="s">
        <v>135</v>
      </c>
      <c r="E97" s="157" t="n">
        <f aca="false">SUM(I97:L97)</f>
        <v>144.80339575924</v>
      </c>
      <c r="F97" s="144" t="n">
        <f aca="false">SUM(H97:L97,O97)</f>
        <v>146.568126972767</v>
      </c>
      <c r="G97" s="159"/>
      <c r="H97" s="144" t="n">
        <f aca="false">'Input data meat and eggs'!S401*'Input data meat and eggs'!C48+'Input data meat and eggs'!T401*'Input data meat and eggs'!C47+'Input data meat and eggs'!U401*'Input data meat and eggs'!C35+'Input data meat and eggs'!V401*SUMPRODUCT('Input data meat and eggs'!C37:C46,'Input data meat and eggs'!F65:F74)</f>
        <v>1.76473121352718</v>
      </c>
      <c r="I97" s="144" t="n">
        <v>0</v>
      </c>
      <c r="J97" s="144" t="n">
        <f aca="false">'Input data meat and eggs'!M401*'Input data meat and eggs'!G401/12*'Input data meat and eggs'!$B$450*'Input data meat and eggs'!$B$452*'Input data meat and eggs'!$B$453* ('Input data meat and eggs'!$O$401*'Input data meat and eggs'!$B$443 +'Input data meat and eggs'!$P$401*'Input data meat and eggs'!$C$443+ 'Input data meat and eggs'!$Q$401*'Input data meat and eggs'!$D$443+ 'Input data meat and eggs'!$R$401*'Input data meat and eggs'!$E$443)</f>
        <v>8.98339575924</v>
      </c>
      <c r="K97" s="144" t="n">
        <v>0</v>
      </c>
      <c r="L97" s="144" t="n">
        <f aca="false">'Input data meat and eggs'!L401*'Input data meat and eggs'!G401/12</f>
        <v>135.82</v>
      </c>
      <c r="M97" s="144" t="n">
        <v>0</v>
      </c>
      <c r="N97" s="144" t="n">
        <v>0</v>
      </c>
      <c r="O97" s="144" t="n">
        <v>0</v>
      </c>
      <c r="P97" s="144" t="n">
        <f aca="false">('Input data meat and eggs'!C92*3.6*'Common input data'!B50)*'Input data meat and eggs'!$F$401</f>
        <v>0.0300679641509434</v>
      </c>
      <c r="Q97" s="87"/>
      <c r="R97" s="87"/>
      <c r="S97" s="87"/>
      <c r="T97" s="99"/>
    </row>
    <row r="98" customFormat="false" ht="14.4" hidden="false" customHeight="false" outlineLevel="0" collapsed="false">
      <c r="A98" s="74"/>
      <c r="C98" s="87"/>
      <c r="D98" s="31" t="s">
        <v>136</v>
      </c>
      <c r="E98" s="157" t="n">
        <f aca="false">SUM(I98:L98)</f>
        <v>5.58113949078356</v>
      </c>
      <c r="F98" s="144" t="n">
        <f aca="false">SUM(H98:L98,O98)</f>
        <v>7.04603343557177</v>
      </c>
      <c r="G98" s="159"/>
      <c r="H98" s="144" t="n">
        <f aca="false">('Input data meat and eggs'!S401*'Input data meat and eggs'!D48+'Input data meat and eggs'!T401*'Input data meat and eggs'!D47+'Input data meat and eggs'!U401*'Input data meat and eggs'!D35+'Input data meat and eggs'!V401*SUMPRODUCT('Input data meat and eggs'!D37:D46,'Input data meat and eggs'!F65:F74))*'Input data meat and eggs'!B58</f>
        <v>1.46489394478822</v>
      </c>
      <c r="I98" s="144" t="n">
        <f aca="false">('Input data meat and eggs'!S401*'Input data meat and eggs'!D48+'Input data meat and eggs'!T401*'Input data meat and eggs'!D47+'Input data meat and eggs'!U401*'Input data meat and eggs'!D35+'Input data meat and eggs'!V401*SUMPRODUCT('Input data meat and eggs'!D37:D46,'Input data meat and eggs'!F65:F74))*'Input data meat and eggs'!C58</f>
        <v>3.70266144506927</v>
      </c>
      <c r="J98" s="144" t="n">
        <f aca="false">'Input data meat and eggs'!K401*'Input data meat and eggs'!G401/12*('Input data meat and eggs'!$O$401*'Input data meat and eggs'!$B$445+'Input data meat and eggs'!$P$401*'Input data meat and eggs'!$C$445+'Input data meat and eggs'!$Q$401*'Input data meat and eggs'!$D$445+'Input data meat and eggs'!$R$401*'Input data meat and eggs'!$E$445)*44/28</f>
        <v>1.72629285714286</v>
      </c>
      <c r="K98" s="144" t="n">
        <f aca="false">'Input data meat and eggs'!$B$446*44/28*'Input data meat and eggs'!K401*'Input data meat and eggs'!G401/12*('Input data meat and eggs'!O401*'Input data meat and eggs'!B457+'Input data meat and eggs'!P401*'Input data meat and eggs'!C457+'Input data meat and eggs'!Q401*'Input data meat and eggs'!D457)</f>
        <v>0.152185188571429</v>
      </c>
      <c r="L98" s="144" t="n">
        <v>0</v>
      </c>
      <c r="M98" s="144" t="n">
        <v>0</v>
      </c>
      <c r="N98" s="144" t="n">
        <v>0</v>
      </c>
      <c r="O98" s="144" t="n">
        <v>0</v>
      </c>
      <c r="P98" s="144" t="n">
        <f aca="false">('Input data meat and eggs'!C92*3.6*'Common input data'!B51)*'Input data meat and eggs'!$F$401</f>
        <v>0.00280300243584906</v>
      </c>
      <c r="Q98" s="87"/>
      <c r="R98" s="87"/>
      <c r="S98" s="87"/>
      <c r="T98" s="99"/>
    </row>
    <row r="99" s="83" customFormat="true" ht="14.4" hidden="false" customHeight="false" outlineLevel="0" collapsed="false">
      <c r="A99" s="176"/>
      <c r="B99" s="76" t="s">
        <v>154</v>
      </c>
      <c r="C99" s="153"/>
      <c r="D99" s="78" t="s">
        <v>133</v>
      </c>
      <c r="E99" s="154" t="n">
        <f aca="false">IF($F$1="GWP100 without fb",E100+E101*'Common input data'!$C$5+E102*'Common input data'!$D$5,IF($F$1="GWP100 with fb",E100+E101*'Common input data'!$C$6+E102*'Common input data'!$D$6,IF($F$1="GTP100 without fb",E100+E101*'Common input data'!$C$7+E102*'Common input data'!$D$7,IF($F$1="GTP100 with fb",E100+E101*'Common input data'!$C$8+E102*'Common input data'!$D$8,E100+E101*'Common input data'!$C$9+E102*'Common input data'!$D$9))))</f>
        <v>2514.71866105102</v>
      </c>
      <c r="F99" s="155" t="n">
        <f aca="false">IF($F$1="GWP100 without fb",F100+F101*'Common input data'!$C$5+F102*'Common input data'!$D$5,IF($F$1="GWP100 with fb",F100+F101*'Common input data'!$C$6+F102*'Common input data'!$D$6,IF($F$1="GTP100 without fb",F100+F101*'Common input data'!$C$7+F102*'Common input data'!$D$7,IF($F$1="GTP100 with fb",F100+F101*'Common input data'!$C$8+F102*'Common input data'!$D$8,F100+F101*'Common input data'!$C$9+F102*'Common input data'!$D$9))))</f>
        <v>3417.73903035336</v>
      </c>
      <c r="G99" s="156"/>
      <c r="H99" s="179"/>
      <c r="I99" s="179"/>
      <c r="J99" s="179"/>
      <c r="K99" s="179"/>
      <c r="L99" s="179"/>
      <c r="N99" s="179"/>
      <c r="O99" s="179"/>
      <c r="P99" s="179"/>
      <c r="Q99" s="97"/>
      <c r="R99" s="97"/>
      <c r="S99" s="97"/>
      <c r="T99" s="99"/>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c r="FR99" s="30"/>
      <c r="FS99" s="30"/>
      <c r="FT99" s="30"/>
      <c r="FU99" s="30"/>
      <c r="FV99" s="30"/>
      <c r="FW99" s="30"/>
      <c r="FX99" s="30"/>
      <c r="FY99" s="30"/>
      <c r="FZ99" s="30"/>
      <c r="GA99" s="30"/>
      <c r="GB99" s="30"/>
      <c r="GC99" s="30"/>
      <c r="GD99" s="30"/>
      <c r="GE99" s="30"/>
      <c r="GF99" s="30"/>
      <c r="GG99" s="30"/>
      <c r="GH99" s="30"/>
      <c r="GI99" s="30"/>
      <c r="GJ99" s="30"/>
      <c r="GK99" s="30"/>
      <c r="GL99" s="30"/>
      <c r="GM99" s="30"/>
      <c r="GN99" s="30"/>
      <c r="GO99" s="30"/>
      <c r="GP99" s="30"/>
      <c r="GQ99" s="30"/>
      <c r="GR99" s="30"/>
      <c r="GS99" s="30"/>
      <c r="GT99" s="30"/>
      <c r="GU99" s="30"/>
      <c r="GV99" s="30"/>
      <c r="GW99" s="30"/>
      <c r="GX99" s="30"/>
      <c r="GY99" s="30"/>
      <c r="GZ99" s="30"/>
      <c r="HA99" s="30"/>
      <c r="HB99" s="30"/>
      <c r="HC99" s="30"/>
      <c r="HD99" s="30"/>
      <c r="HE99" s="30"/>
      <c r="HF99" s="30"/>
      <c r="HG99" s="30"/>
      <c r="HH99" s="30"/>
      <c r="HI99" s="30"/>
      <c r="HJ99" s="30"/>
      <c r="HK99" s="30"/>
      <c r="HL99" s="30"/>
      <c r="HM99" s="30"/>
      <c r="HN99" s="30"/>
      <c r="HO99" s="30"/>
      <c r="HP99" s="30"/>
      <c r="HQ99" s="30"/>
      <c r="HR99" s="30"/>
      <c r="HS99" s="30"/>
      <c r="HT99" s="30"/>
      <c r="HU99" s="30"/>
      <c r="HV99" s="30"/>
      <c r="HW99" s="30"/>
      <c r="HX99" s="30"/>
      <c r="HY99" s="30"/>
      <c r="HZ99" s="30"/>
      <c r="IA99" s="30"/>
      <c r="IB99" s="30"/>
      <c r="IC99" s="30"/>
      <c r="ID99" s="30"/>
      <c r="IE99" s="30"/>
      <c r="IF99" s="30"/>
      <c r="IG99" s="30"/>
      <c r="IH99" s="30"/>
      <c r="II99" s="30"/>
      <c r="IJ99" s="30"/>
      <c r="IK99" s="30"/>
      <c r="IL99" s="30"/>
      <c r="IM99" s="30"/>
      <c r="IN99" s="30"/>
      <c r="IO99" s="30"/>
      <c r="IP99" s="30"/>
      <c r="IQ99" s="30"/>
      <c r="IR99" s="30"/>
      <c r="IS99" s="30"/>
      <c r="IT99" s="30"/>
      <c r="IU99" s="30"/>
      <c r="IV99" s="30"/>
      <c r="IW99" s="30"/>
      <c r="IX99" s="30"/>
      <c r="IY99" s="30"/>
      <c r="IZ99" s="30"/>
      <c r="JA99" s="30"/>
      <c r="JB99" s="30"/>
      <c r="JC99" s="30"/>
      <c r="JD99" s="30"/>
      <c r="JE99" s="30"/>
      <c r="JF99" s="30"/>
      <c r="JG99" s="30"/>
      <c r="JH99" s="30"/>
      <c r="JI99" s="30"/>
      <c r="JJ99" s="30"/>
      <c r="JK99" s="30"/>
      <c r="JL99" s="30"/>
      <c r="JM99" s="30"/>
      <c r="JN99" s="30"/>
      <c r="JO99" s="30"/>
      <c r="JP99" s="30"/>
      <c r="JQ99" s="30"/>
      <c r="JR99" s="30"/>
      <c r="JS99" s="30"/>
      <c r="JT99" s="30"/>
      <c r="JU99" s="30"/>
      <c r="JV99" s="30"/>
      <c r="JW99" s="30"/>
      <c r="JX99" s="30"/>
      <c r="JY99" s="30"/>
      <c r="JZ99" s="30"/>
      <c r="KA99" s="30"/>
      <c r="KB99" s="30"/>
      <c r="KC99" s="30"/>
      <c r="KD99" s="30"/>
      <c r="KE99" s="30"/>
      <c r="KF99" s="30"/>
      <c r="KG99" s="30"/>
      <c r="KH99" s="30"/>
      <c r="KI99" s="30"/>
      <c r="KJ99" s="30"/>
      <c r="KK99" s="30"/>
      <c r="KL99" s="30"/>
      <c r="KM99" s="30"/>
      <c r="KN99" s="30"/>
      <c r="KO99" s="30"/>
      <c r="KP99" s="30"/>
      <c r="KQ99" s="30"/>
      <c r="KR99" s="30"/>
      <c r="KS99" s="30"/>
      <c r="KT99" s="30"/>
      <c r="KU99" s="30"/>
      <c r="KV99" s="30"/>
      <c r="KW99" s="30"/>
      <c r="KX99" s="30"/>
      <c r="KY99" s="30"/>
      <c r="KZ99" s="30"/>
      <c r="LA99" s="30"/>
      <c r="LB99" s="30"/>
      <c r="LC99" s="30"/>
      <c r="LD99" s="30"/>
      <c r="LE99" s="30"/>
      <c r="LF99" s="30"/>
      <c r="LG99" s="30"/>
      <c r="LH99" s="30"/>
      <c r="LI99" s="30"/>
      <c r="LJ99" s="30"/>
      <c r="LK99" s="30"/>
      <c r="LL99" s="30"/>
      <c r="LM99" s="30"/>
      <c r="LN99" s="30"/>
      <c r="LO99" s="30"/>
      <c r="LP99" s="30"/>
      <c r="LQ99" s="30"/>
      <c r="LR99" s="30"/>
      <c r="LS99" s="30"/>
      <c r="LT99" s="30"/>
      <c r="LU99" s="30"/>
      <c r="LV99" s="30"/>
      <c r="LW99" s="30"/>
      <c r="LX99" s="30"/>
      <c r="LY99" s="30"/>
      <c r="LZ99" s="30"/>
      <c r="MA99" s="30"/>
      <c r="MB99" s="30"/>
      <c r="MC99" s="30"/>
      <c r="MD99" s="30"/>
      <c r="ME99" s="30"/>
      <c r="MF99" s="30"/>
      <c r="MG99" s="30"/>
      <c r="MH99" s="30"/>
      <c r="MI99" s="30"/>
      <c r="MJ99" s="30"/>
      <c r="MK99" s="30"/>
      <c r="ML99" s="30"/>
      <c r="MM99" s="30"/>
      <c r="MN99" s="30"/>
      <c r="MO99" s="30"/>
      <c r="MP99" s="30"/>
      <c r="MQ99" s="30"/>
      <c r="MR99" s="30"/>
      <c r="MS99" s="30"/>
      <c r="MT99" s="30"/>
      <c r="MU99" s="30"/>
      <c r="MV99" s="30"/>
      <c r="MW99" s="30"/>
      <c r="MX99" s="30"/>
      <c r="MY99" s="30"/>
      <c r="MZ99" s="30"/>
      <c r="NA99" s="30"/>
      <c r="NB99" s="30"/>
      <c r="NC99" s="30"/>
      <c r="ND99" s="30"/>
      <c r="NE99" s="30"/>
      <c r="NF99" s="30"/>
      <c r="NG99" s="30"/>
      <c r="NH99" s="30"/>
      <c r="NI99" s="30"/>
      <c r="NJ99" s="30"/>
      <c r="NK99" s="30"/>
      <c r="NL99" s="30"/>
      <c r="NM99" s="30"/>
      <c r="NN99" s="30"/>
      <c r="NO99" s="30"/>
      <c r="NP99" s="30"/>
      <c r="NQ99" s="30"/>
      <c r="NR99" s="30"/>
      <c r="NS99" s="30"/>
      <c r="NT99" s="30"/>
      <c r="NU99" s="30"/>
      <c r="NV99" s="30"/>
      <c r="NW99" s="30"/>
      <c r="NX99" s="30"/>
      <c r="NY99" s="30"/>
      <c r="NZ99" s="30"/>
      <c r="OA99" s="30"/>
      <c r="OB99" s="30"/>
      <c r="OC99" s="30"/>
      <c r="OD99" s="30"/>
      <c r="OE99" s="30"/>
      <c r="OF99" s="30"/>
      <c r="OG99" s="30"/>
      <c r="OH99" s="30"/>
      <c r="OI99" s="30"/>
      <c r="OJ99" s="30"/>
      <c r="OK99" s="30"/>
      <c r="OL99" s="30"/>
    </row>
    <row r="100" customFormat="false" ht="14.4" hidden="false" customHeight="false" outlineLevel="0" collapsed="false">
      <c r="A100" s="74"/>
      <c r="D100" s="85" t="s">
        <v>134</v>
      </c>
      <c r="E100" s="157" t="n">
        <f aca="false">IF(AND($F$2="No",$F$3="No"),SUM(I100:L100),IF(AND($F$2="Yes", $F$3="No"), SUM(I100:L100)+N100, IF(AND($F$2="No", $F$3="Yes"),SUM(I100:L100)+M100, SUM(I100:L100)+N100+M100)))</f>
        <v>-390.134887387865</v>
      </c>
      <c r="F100" s="144" t="n">
        <f aca="false">IF(AND($F$2="No",$F$3="No"),SUM(H100:L100,O100),IF(AND($F$2="Yes", $F$3="No"), SUM(H100:L100,O100)+N100, IF(AND($F$2="No", $F$3="Yes"),SUM(H100:L100,O100)+M100, SUM(H100:L100,O100)+N100+M100)))</f>
        <v>340.049374247922</v>
      </c>
      <c r="G100" s="159"/>
      <c r="H100" s="144" t="n">
        <f aca="false">'Input data meat and eggs'!S402*'Input data meat and eggs'!B48+'Input data meat and eggs'!T402*'Input data meat and eggs'!B47+'Input data meat and eggs'!U402*'Input data meat and eggs'!B35+'Input data meat and eggs'!V402*SUMPRODUCT('Input data meat and eggs'!B37:B46,'Input data meat and eggs'!F65:F74)</f>
        <v>520.047584135787</v>
      </c>
      <c r="I100" s="144" t="n">
        <v>0</v>
      </c>
      <c r="J100" s="144" t="n">
        <v>0</v>
      </c>
      <c r="K100" s="144" t="n">
        <v>0</v>
      </c>
      <c r="L100" s="144" t="n">
        <v>0</v>
      </c>
      <c r="M100" s="144" t="n">
        <f aca="false">('Input data meat and eggs'!S402+'Input data meat and eggs'!T402)*'Common input data'!F13+ 'Input data meat and eggs'!U402*'Common input data'!B13+'Input data meat and eggs'!V402*('Input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f>
        <v>-394.571802171598</v>
      </c>
      <c r="N100" s="144" t="n">
        <f aca="false">'Input data meat and eggs'!V402*('Input data meat and eggs'!F67*'Common input data'!B21*'Common input data'!G30/'Common input data'!F30+'Input data meat and eggs'!F71*'Common input data'!C21*'Common input data'!J31/'Common input data'!I31)</f>
        <v>4.43691478373215</v>
      </c>
      <c r="O100" s="144" t="n">
        <f aca="false">('Input data meat and eggs'!B83*'Common input data'!B63)*'Input data meat and eggs'!F402</f>
        <v>210.1366775</v>
      </c>
      <c r="P100" s="144" t="n">
        <v>0</v>
      </c>
      <c r="Q100" s="87"/>
      <c r="R100" s="87"/>
      <c r="S100" s="87"/>
      <c r="T100" s="99"/>
    </row>
    <row r="101" customFormat="false" ht="14.4" hidden="false" customHeight="false" outlineLevel="0" collapsed="false">
      <c r="A101" s="74"/>
      <c r="C101" s="31"/>
      <c r="D101" s="85" t="s">
        <v>135</v>
      </c>
      <c r="E101" s="157" t="n">
        <f aca="false">SUM(I101:L101)</f>
        <v>64.1322254509333</v>
      </c>
      <c r="F101" s="144" t="n">
        <f aca="false">SUM(H101:L101,O101)</f>
        <v>64.3965675002262</v>
      </c>
      <c r="G101" s="159"/>
      <c r="H101" s="144" t="n">
        <f aca="false">'Input data meat and eggs'!S402*'Input data meat and eggs'!C48+'Input data meat and eggs'!T402*'Input data meat and eggs'!C47+'Input data meat and eggs'!U402*'Input data meat and eggs'!C35+'Input data meat and eggs'!V402*SUMPRODUCT('Input data meat and eggs'!C37:C46,'Input data meat and eggs'!F65:F74)</f>
        <v>0.264342049292893</v>
      </c>
      <c r="I101" s="144" t="n">
        <v>0</v>
      </c>
      <c r="J101" s="144" t="n">
        <f aca="false">'Input data meat and eggs'!M402*'Input data meat and eggs'!G402/12*'Input data meat and eggs'!$B$450*'Input data meat and eggs'!$B$452*'Input data meat and eggs'!$B$453* ('Input data meat and eggs'!$O$402*'Input data meat and eggs'!$B$443 +'Input data meat and eggs'!$P$402*'Input data meat and eggs'!$C$443+ 'Input data meat and eggs'!$Q$402*'Input data meat and eggs'!$D$443+ 'Input data meat and eggs'!$R$402*'Input data meat and eggs'!$E$443)</f>
        <v>4.8988921176</v>
      </c>
      <c r="K101" s="144" t="n">
        <v>0</v>
      </c>
      <c r="L101" s="144" t="n">
        <f aca="false">'Input data meat and eggs'!L402*'Input data meat and eggs'!G402/12</f>
        <v>59.2333333333333</v>
      </c>
      <c r="M101" s="144" t="n">
        <v>0</v>
      </c>
      <c r="N101" s="144" t="n">
        <v>0</v>
      </c>
      <c r="O101" s="144" t="n">
        <v>0</v>
      </c>
      <c r="P101" s="144" t="n">
        <v>0</v>
      </c>
      <c r="Q101" s="87"/>
      <c r="R101" s="87"/>
      <c r="S101" s="87"/>
      <c r="T101" s="99"/>
    </row>
    <row r="102" customFormat="false" ht="14.4" hidden="false" customHeight="false" outlineLevel="0" collapsed="false">
      <c r="A102" s="74"/>
      <c r="C102" s="87"/>
      <c r="D102" s="31" t="s">
        <v>136</v>
      </c>
      <c r="E102" s="157" t="n">
        <f aca="false">SUM(I102:L102)</f>
        <v>2.43073115136628</v>
      </c>
      <c r="F102" s="144" t="n">
        <f aca="false">SUM(H102:L102,O102)</f>
        <v>2.98055825871728</v>
      </c>
      <c r="G102" s="159"/>
      <c r="H102" s="144" t="n">
        <f aca="false">('Input data meat and eggs'!S402*'Input data meat and eggs'!D48+'Input data meat and eggs'!T402*'Input data meat and eggs'!D47+'Input data meat and eggs'!U402*'Input data meat and eggs'!D35+'Input data meat and eggs'!V402*SUMPRODUCT('Input data meat and eggs'!D37:D46,'Input data meat and eggs'!F65:F74))*'Input data meat and eggs'!B58</f>
        <v>0.549827107350998</v>
      </c>
      <c r="I102" s="144" t="n">
        <f aca="false">('Input data meat and eggs'!S402*'Input data meat and eggs'!D48+'Input data meat and eggs'!T402*'Input data meat and eggs'!D47+'Input data meat and eggs'!U402*'Input data meat and eggs'!D35+'Input data meat and eggs'!V402*SUMPRODUCT('Input data meat and eggs'!D37:D46,'Input data meat and eggs'!F65:F74))*'Input data meat and eggs'!C58</f>
        <v>1.38974131136628</v>
      </c>
      <c r="J102" s="144" t="n">
        <f aca="false">'Input data meat and eggs'!K402*'Input data meat and eggs'!G402/12*('Input data meat and eggs'!$O$402*'Input data meat and eggs'!$B$445+'Input data meat and eggs'!$P$402*'Input data meat and eggs'!$C$445+'Input data meat and eggs'!$Q$402*'Input data meat and eggs'!$D$445+'Input data meat and eggs'!$R$402*'Input data meat and eggs'!$E$445)*44/28</f>
        <v>0.967528571428572</v>
      </c>
      <c r="K102" s="144" t="n">
        <f aca="false">'Input data meat and eggs'!$B$446*44/28*'Input data meat and eggs'!K402*'Input data meat and eggs'!G402/12*('Input data meat and eggs'!O402*'Input data meat and eggs'!B457+'Input data meat and eggs'!P402*'Input data meat and eggs'!C457+'Input data meat and eggs'!Q402*'Input data meat and eggs'!D457)</f>
        <v>0.0734612685714286</v>
      </c>
      <c r="L102" s="144" t="n">
        <v>0</v>
      </c>
      <c r="M102" s="144" t="n">
        <v>0</v>
      </c>
      <c r="N102" s="144" t="n">
        <v>0</v>
      </c>
      <c r="O102" s="144" t="n">
        <v>0</v>
      </c>
      <c r="P102" s="144" t="n">
        <v>0</v>
      </c>
      <c r="Q102" s="87"/>
      <c r="R102" s="87"/>
      <c r="S102" s="87"/>
      <c r="T102" s="99"/>
    </row>
    <row r="103" s="83" customFormat="true" ht="14.4" hidden="false" customHeight="false" outlineLevel="0" collapsed="false">
      <c r="A103" s="176"/>
      <c r="B103" s="84" t="s">
        <v>155</v>
      </c>
      <c r="C103" s="97"/>
      <c r="D103" s="78" t="s">
        <v>133</v>
      </c>
      <c r="E103" s="154" t="n">
        <f aca="false">IF($F$1="GWP100 without fb",E104+E105*'Common input data'!$C$5+E106*'Common input data'!$D$5,IF($F$1="GWP100 with fb",E104+E105*'Common input data'!$C$6+E106*'Common input data'!$D$6,IF($F$1="GTP100 without fb",E104+E105*'Common input data'!$C$7+E106*'Common input data'!$D$7,IF($F$1="GTP100 with fb",E104+E105*'Common input data'!$C$8+E106*'Common input data'!$D$8,E104+E105*'Common input data'!$C$9+E106*'Common input data'!$D$9))))</f>
        <v>2978762340.14199</v>
      </c>
      <c r="F103" s="155" t="n">
        <f aca="false">IF($F$1="GWP100 without fb",F104+F105*'Common input data'!$C$5+F106*'Common input data'!$D$5,IF($F$1="GWP100 with fb",F104+F105*'Common input data'!$C$6+F106*'Common input data'!$D$6,IF($F$1="GTP100 without fb",F104+F105*'Common input data'!$C$7+F106*'Common input data'!$D$7,IF($F$1="GTP100 with fb",F104+F105*'Common input data'!$C$8+F106*'Common input data'!$D$8,F104+F105*'Common input data'!$C$9+F106*'Common input data'!$D$9))))</f>
        <v>3930866217.74764</v>
      </c>
      <c r="G103" s="156"/>
      <c r="H103" s="179"/>
      <c r="I103" s="179"/>
      <c r="J103" s="179"/>
      <c r="K103" s="179"/>
      <c r="L103" s="179"/>
      <c r="M103" s="179"/>
      <c r="N103" s="179"/>
      <c r="O103" s="179"/>
      <c r="P103" s="179"/>
      <c r="Q103" s="97"/>
      <c r="R103" s="97"/>
      <c r="S103" s="97"/>
      <c r="T103" s="99"/>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c r="FQ103" s="30"/>
      <c r="FR103" s="30"/>
      <c r="FS103" s="30"/>
      <c r="FT103" s="30"/>
      <c r="FU103" s="30"/>
      <c r="FV103" s="30"/>
      <c r="FW103" s="30"/>
      <c r="FX103" s="30"/>
      <c r="FY103" s="30"/>
      <c r="FZ103" s="30"/>
      <c r="GA103" s="30"/>
      <c r="GB103" s="30"/>
      <c r="GC103" s="30"/>
      <c r="GD103" s="30"/>
      <c r="GE103" s="30"/>
      <c r="GF103" s="30"/>
      <c r="GG103" s="30"/>
      <c r="GH103" s="30"/>
      <c r="GI103" s="30"/>
      <c r="GJ103" s="30"/>
      <c r="GK103" s="30"/>
      <c r="GL103" s="30"/>
      <c r="GM103" s="30"/>
      <c r="GN103" s="30"/>
      <c r="GO103" s="30"/>
      <c r="GP103" s="30"/>
      <c r="GQ103" s="30"/>
      <c r="GR103" s="30"/>
      <c r="GS103" s="30"/>
      <c r="GT103" s="30"/>
      <c r="GU103" s="30"/>
      <c r="GV103" s="30"/>
      <c r="GW103" s="30"/>
      <c r="GX103" s="30"/>
      <c r="GY103" s="30"/>
      <c r="GZ103" s="30"/>
      <c r="HA103" s="30"/>
      <c r="HB103" s="30"/>
      <c r="HC103" s="30"/>
      <c r="HD103" s="30"/>
      <c r="HE103" s="30"/>
      <c r="HF103" s="30"/>
      <c r="HG103" s="30"/>
      <c r="HH103" s="30"/>
      <c r="HI103" s="30"/>
      <c r="HJ103" s="30"/>
      <c r="HK103" s="30"/>
      <c r="HL103" s="30"/>
      <c r="HM103" s="30"/>
      <c r="HN103" s="30"/>
      <c r="HO103" s="30"/>
      <c r="HP103" s="30"/>
      <c r="HQ103" s="30"/>
      <c r="HR103" s="30"/>
      <c r="HS103" s="30"/>
      <c r="HT103" s="30"/>
      <c r="HU103" s="30"/>
      <c r="HV103" s="30"/>
      <c r="HW103" s="30"/>
      <c r="HX103" s="30"/>
      <c r="HY103" s="30"/>
      <c r="HZ103" s="30"/>
      <c r="IA103" s="30"/>
      <c r="IB103" s="30"/>
      <c r="IC103" s="30"/>
      <c r="ID103" s="30"/>
      <c r="IE103" s="30"/>
      <c r="IF103" s="30"/>
      <c r="IG103" s="30"/>
      <c r="IH103" s="30"/>
      <c r="II103" s="30"/>
      <c r="IJ103" s="30"/>
      <c r="IK103" s="30"/>
      <c r="IL103" s="30"/>
      <c r="IM103" s="30"/>
      <c r="IN103" s="30"/>
      <c r="IO103" s="30"/>
      <c r="IP103" s="30"/>
      <c r="IQ103" s="30"/>
      <c r="IR103" s="30"/>
      <c r="IS103" s="30"/>
      <c r="IT103" s="30"/>
      <c r="IU103" s="30"/>
      <c r="IV103" s="30"/>
      <c r="IW103" s="30"/>
      <c r="IX103" s="30"/>
      <c r="IY103" s="30"/>
      <c r="IZ103" s="30"/>
      <c r="JA103" s="30"/>
      <c r="JB103" s="30"/>
      <c r="JC103" s="30"/>
      <c r="JD103" s="30"/>
      <c r="JE103" s="30"/>
      <c r="JF103" s="30"/>
      <c r="JG103" s="30"/>
      <c r="JH103" s="30"/>
      <c r="JI103" s="30"/>
      <c r="JJ103" s="30"/>
      <c r="JK103" s="30"/>
      <c r="JL103" s="30"/>
      <c r="JM103" s="30"/>
      <c r="JN103" s="30"/>
      <c r="JO103" s="30"/>
      <c r="JP103" s="30"/>
      <c r="JQ103" s="30"/>
      <c r="JR103" s="30"/>
      <c r="JS103" s="30"/>
      <c r="JT103" s="30"/>
      <c r="JU103" s="30"/>
      <c r="JV103" s="30"/>
      <c r="JW103" s="30"/>
      <c r="JX103" s="30"/>
      <c r="JY103" s="30"/>
      <c r="JZ103" s="30"/>
      <c r="KA103" s="30"/>
      <c r="KB103" s="30"/>
      <c r="KC103" s="30"/>
      <c r="KD103" s="30"/>
      <c r="KE103" s="30"/>
      <c r="KF103" s="30"/>
      <c r="KG103" s="30"/>
      <c r="KH103" s="30"/>
      <c r="KI103" s="30"/>
      <c r="KJ103" s="30"/>
      <c r="KK103" s="30"/>
      <c r="KL103" s="30"/>
      <c r="KM103" s="30"/>
      <c r="KN103" s="30"/>
      <c r="KO103" s="30"/>
      <c r="KP103" s="30"/>
      <c r="KQ103" s="30"/>
      <c r="KR103" s="30"/>
      <c r="KS103" s="30"/>
      <c r="KT103" s="30"/>
      <c r="KU103" s="30"/>
      <c r="KV103" s="30"/>
      <c r="KW103" s="30"/>
      <c r="KX103" s="30"/>
      <c r="KY103" s="30"/>
      <c r="KZ103" s="30"/>
      <c r="LA103" s="30"/>
      <c r="LB103" s="30"/>
      <c r="LC103" s="30"/>
      <c r="LD103" s="30"/>
      <c r="LE103" s="30"/>
      <c r="LF103" s="30"/>
      <c r="LG103" s="30"/>
      <c r="LH103" s="30"/>
      <c r="LI103" s="30"/>
      <c r="LJ103" s="30"/>
      <c r="LK103" s="30"/>
      <c r="LL103" s="30"/>
      <c r="LM103" s="30"/>
      <c r="LN103" s="30"/>
      <c r="LO103" s="30"/>
      <c r="LP103" s="30"/>
      <c r="LQ103" s="30"/>
      <c r="LR103" s="30"/>
      <c r="LS103" s="30"/>
      <c r="LT103" s="30"/>
      <c r="LU103" s="30"/>
      <c r="LV103" s="30"/>
      <c r="LW103" s="30"/>
      <c r="LX103" s="30"/>
      <c r="LY103" s="30"/>
      <c r="LZ103" s="30"/>
      <c r="MA103" s="30"/>
      <c r="MB103" s="30"/>
      <c r="MC103" s="30"/>
      <c r="MD103" s="30"/>
      <c r="ME103" s="30"/>
      <c r="MF103" s="30"/>
      <c r="MG103" s="30"/>
      <c r="MH103" s="30"/>
      <c r="MI103" s="30"/>
      <c r="MJ103" s="30"/>
      <c r="MK103" s="30"/>
      <c r="ML103" s="30"/>
      <c r="MM103" s="30"/>
      <c r="MN103" s="30"/>
      <c r="MO103" s="30"/>
      <c r="MP103" s="30"/>
      <c r="MQ103" s="30"/>
      <c r="MR103" s="30"/>
      <c r="MS103" s="30"/>
      <c r="MT103" s="30"/>
      <c r="MU103" s="30"/>
      <c r="MV103" s="30"/>
      <c r="MW103" s="30"/>
      <c r="MX103" s="30"/>
      <c r="MY103" s="30"/>
      <c r="MZ103" s="30"/>
      <c r="NA103" s="30"/>
      <c r="NB103" s="30"/>
      <c r="NC103" s="30"/>
      <c r="ND103" s="30"/>
      <c r="NE103" s="30"/>
      <c r="NF103" s="30"/>
      <c r="NG103" s="30"/>
      <c r="NH103" s="30"/>
      <c r="NI103" s="30"/>
      <c r="NJ103" s="30"/>
      <c r="NK103" s="30"/>
      <c r="NL103" s="30"/>
      <c r="NM103" s="30"/>
      <c r="NN103" s="30"/>
      <c r="NO103" s="30"/>
      <c r="NP103" s="30"/>
      <c r="NQ103" s="30"/>
      <c r="NR103" s="30"/>
      <c r="NS103" s="30"/>
      <c r="NT103" s="30"/>
      <c r="NU103" s="30"/>
      <c r="NV103" s="30"/>
      <c r="NW103" s="30"/>
      <c r="NX103" s="30"/>
      <c r="NY103" s="30"/>
      <c r="NZ103" s="30"/>
      <c r="OA103" s="30"/>
      <c r="OB103" s="30"/>
      <c r="OC103" s="30"/>
      <c r="OD103" s="30"/>
      <c r="OE103" s="30"/>
      <c r="OF103" s="30"/>
      <c r="OG103" s="30"/>
      <c r="OH103" s="30"/>
      <c r="OI103" s="30"/>
      <c r="OJ103" s="30"/>
      <c r="OK103" s="30"/>
      <c r="OL103" s="30"/>
    </row>
    <row r="104" customFormat="false" ht="14.4" hidden="false" customHeight="false" outlineLevel="0" collapsed="false">
      <c r="A104" s="74"/>
      <c r="C104" s="87"/>
      <c r="D104" s="85" t="s">
        <v>134</v>
      </c>
      <c r="E104" s="157" t="n">
        <f aca="false">IF(AND($F$2="No",$F$3="No"),SUM(I104:L104),IF(AND($F$2="Yes", $F$3="No"), SUM(I104:L104)+N104, IF(AND($F$2="No", $F$3="Yes"),SUM(I104:L104)+M104, SUM(I104:L104)+N104+M104)))</f>
        <v>-79623823.77557</v>
      </c>
      <c r="F104" s="144" t="n">
        <f aca="false">IF(AND($F$2="No",$F$3="No"),SUM(H104:L104,O104),IF(AND($F$2="Yes", $F$3="No"), SUM(H104:L104,O104)+N104, IF(AND($F$2="No", $F$3="Yes"),SUM(H104:L104,O104)+M104, SUM(H104:L104,O104)+N104+M104)))</f>
        <v>653069949.468341</v>
      </c>
      <c r="G104" s="159"/>
      <c r="H104" s="144" t="n">
        <f aca="false">H96*'Input data meat and eggs'!$C$401+H100*'Input data meat and eggs'!$C$402</f>
        <v>649372940.193455</v>
      </c>
      <c r="I104" s="144" t="n">
        <f aca="false">I96*'Input data meat and eggs'!$C$401+I100*'Input data meat and eggs'!$C$402</f>
        <v>0</v>
      </c>
      <c r="J104" s="144" t="n">
        <f aca="false">J96*'Input data meat and eggs'!$C$401+J100*'Input data meat and eggs'!$C$402</f>
        <v>0</v>
      </c>
      <c r="K104" s="144" t="n">
        <f aca="false">K96*'Input data meat and eggs'!$C$401+K100*'Input data meat and eggs'!$C$402</f>
        <v>0</v>
      </c>
      <c r="L104" s="144" t="n">
        <f aca="false">L96*'Input data meat and eggs'!$C$401+L100*'Input data meat and eggs'!$C$402</f>
        <v>0</v>
      </c>
      <c r="M104" s="144" t="n">
        <f aca="false">M96*'Input data meat and eggs'!$C$401+M100*'Input data meat and eggs'!$C$402</f>
        <v>-141015040.359436</v>
      </c>
      <c r="N104" s="144" t="n">
        <f aca="false">N96*'Input data meat and eggs'!$C$401+N100*'Input data meat and eggs'!$C$402</f>
        <v>61391216.5838665</v>
      </c>
      <c r="O104" s="144" t="n">
        <f aca="false">O96*'Input data meat and eggs'!$C$401+O100*'Input data meat and eggs'!$C$402</f>
        <v>83320833.0504561</v>
      </c>
      <c r="P104" s="144" t="n">
        <f aca="false">P96*'Input data meat and eggs'!$E$401+P100*'Input data meat and eggs'!$E$402</f>
        <v>11114834.784082</v>
      </c>
      <c r="Q104" s="87"/>
      <c r="R104" s="87"/>
      <c r="S104" s="87"/>
      <c r="T104" s="99"/>
    </row>
    <row r="105" customFormat="false" ht="14.4" hidden="false" customHeight="false" outlineLevel="0" collapsed="false">
      <c r="A105" s="74"/>
      <c r="C105" s="87"/>
      <c r="D105" s="85" t="s">
        <v>135</v>
      </c>
      <c r="E105" s="157" t="n">
        <f aca="false">SUM(I105:L105)</f>
        <v>67303384.4876005</v>
      </c>
      <c r="F105" s="144" t="n">
        <f aca="false">SUM(H105:L105,O105)</f>
        <v>67998614.3639314</v>
      </c>
      <c r="G105" s="159"/>
      <c r="H105" s="144" t="n">
        <f aca="false">H97*'Input data meat and eggs'!$C$401+H101*'Input data meat and eggs'!$C$402</f>
        <v>695229.876330849</v>
      </c>
      <c r="I105" s="144" t="n">
        <f aca="false">I97*'Input data meat and eggs'!$C$401+I101*'Input data meat and eggs'!$C$402</f>
        <v>0</v>
      </c>
      <c r="J105" s="144" t="n">
        <f aca="false">J97*'Input data meat and eggs'!$C$401+J101*'Input data meat and eggs'!$C$402</f>
        <v>4397795.64346938</v>
      </c>
      <c r="K105" s="144" t="n">
        <f aca="false">K97*'Input data meat and eggs'!$C$401+K101*'Input data meat and eggs'!$C$402</f>
        <v>0</v>
      </c>
      <c r="L105" s="144" t="n">
        <f aca="false">L97*'Input data meat and eggs'!$C$401+L101*'Input data meat and eggs'!$C$402</f>
        <v>62905588.8441311</v>
      </c>
      <c r="M105" s="144" t="n">
        <f aca="false">M97*'Input data meat and eggs'!$C$401+M101*'Input data meat and eggs'!$C$402</f>
        <v>0</v>
      </c>
      <c r="N105" s="144" t="n">
        <f aca="false">N97*'Input data meat and eggs'!$C$401+N101*'Input data meat and eggs'!$C$402</f>
        <v>0</v>
      </c>
      <c r="O105" s="144" t="n">
        <f aca="false">O97*'Input data meat and eggs'!$C$401+O101*'Input data meat and eggs'!$C$402</f>
        <v>0</v>
      </c>
      <c r="P105" s="144" t="n">
        <f aca="false">P97*'Input data meat and eggs'!$E$401+P101*'Input data meat and eggs'!$E$402</f>
        <v>3012.70176325358</v>
      </c>
      <c r="Q105" s="87"/>
      <c r="R105" s="87"/>
      <c r="S105" s="87"/>
      <c r="T105" s="99"/>
    </row>
    <row r="106" customFormat="false" ht="14.4" hidden="false" customHeight="false" outlineLevel="0" collapsed="false">
      <c r="A106" s="74"/>
      <c r="C106" s="87"/>
      <c r="D106" s="31" t="s">
        <v>136</v>
      </c>
      <c r="E106" s="157" t="n">
        <f aca="false">SUM(I106:L106)</f>
        <v>2584131.1789904</v>
      </c>
      <c r="F106" s="144" t="n">
        <f aca="false">SUM(H106:L106,O106)</f>
        <v>3241085.16746856</v>
      </c>
      <c r="G106" s="159"/>
      <c r="H106" s="144" t="n">
        <f aca="false">H98*'Input data meat and eggs'!$C$401+H102*'Input data meat and eggs'!$C$402</f>
        <v>656953.988478157</v>
      </c>
      <c r="I106" s="144" t="n">
        <f aca="false">I98*'Input data meat and eggs'!$C$401+I102*'Input data meat and eggs'!$C$402</f>
        <v>1660514.88776836</v>
      </c>
      <c r="J106" s="144" t="n">
        <f aca="false">J98*'Input data meat and eggs'!$C$401+J102*'Input data meat and eggs'!$C$402</f>
        <v>851417.461634582</v>
      </c>
      <c r="K106" s="144" t="n">
        <f aca="false">K98*'Input data meat and eggs'!$C$401+K102*'Input data meat and eggs'!$C$402</f>
        <v>72198.8295874601</v>
      </c>
      <c r="L106" s="144" t="n">
        <f aca="false">L98*'Input data meat and eggs'!$C$401+L102*'Input data meat and eggs'!$C$402</f>
        <v>0</v>
      </c>
      <c r="M106" s="144" t="n">
        <f aca="false">M98*'Input data meat and eggs'!$C$401+M102*'Input data meat and eggs'!$C$402</f>
        <v>0</v>
      </c>
      <c r="N106" s="144" t="n">
        <f aca="false">N98*'Input data meat and eggs'!$C$401+N102*'Input data meat and eggs'!$C$402</f>
        <v>0</v>
      </c>
      <c r="O106" s="144" t="n">
        <f aca="false">O98*'Input data meat and eggs'!$C$401+O102*'Input data meat and eggs'!$C$402</f>
        <v>0</v>
      </c>
      <c r="P106" s="144" t="n">
        <f aca="false">P98*'Input data meat and eggs'!$E$401+P102*'Input data meat and eggs'!$E$402</f>
        <v>280.850753263306</v>
      </c>
      <c r="Q106" s="87"/>
      <c r="R106" s="87"/>
      <c r="S106" s="87"/>
      <c r="T106" s="99"/>
    </row>
    <row r="107" s="83" customFormat="true" ht="14.4" hidden="false" customHeight="false" outlineLevel="0" collapsed="false">
      <c r="A107" s="176"/>
      <c r="B107" s="84" t="s">
        <v>156</v>
      </c>
      <c r="C107" s="97" t="n">
        <f aca="false">'Input data meat and eggs'!D5</f>
        <v>0.122823495684019</v>
      </c>
      <c r="D107" s="78" t="s">
        <v>133</v>
      </c>
      <c r="E107" s="94" t="n">
        <f aca="false">IF($F$1="GWP100 without fb",E108+E109*'Common input data'!$C$5+E110*'Common input data'!$D$5,IF($F$1="GWP100 with fb",E108+E109*'Common input data'!$C$6+E110*'Common input data'!$D$6,IF($F$1="GTP100 without fb",E108+E109*'Common input data'!$C$7+E110*'Common input data'!$D$7,IF($F$1="GTP100 with fb",E108+E109*'Common input data'!$C$8+E110*'Common input data'!$D$8,E108+E109*'Common input data'!$C$9+E110*'Common input data'!$D$9))))</f>
        <v>7.40763372342479</v>
      </c>
      <c r="F107" s="95" t="n">
        <f aca="false">IF($F$1="GWP100 without fb",F108+F109*'Common input data'!$C$5+F110*'Common input data'!$D$5,IF($F$1="GWP100 with fb",F108+F109*'Common input data'!$C$6+F110*'Common input data'!$D$6,IF($F$1="GTP100 without fb",F108+F109*'Common input data'!$C$7+F110*'Common input data'!$D$7,IF($F$1="GTP100 with fb",F108+F109*'Common input data'!$C$8+F110*'Common input data'!$D$8,F108+F109*'Common input data'!$C$9+F110*'Common input data'!$D$9))))</f>
        <v>9.77534084020637</v>
      </c>
      <c r="G107" s="96" t="n">
        <f aca="false">IF($F$1="GWP100 without fb",G108+G109*'Common input data'!$C$5+G110*'Common input data'!$D$5,IF($F$1="GWP100 with fb",G108+G109*'Common input data'!$C$6+G110*'Common input data'!$D$6,IF($F$1="GTP100 without fb",G108+G109*'Common input data'!$C$7+G110*'Common input data'!$D$7,IF($F$1="GTP100 with fb",G108+G109*'Common input data'!$C$8+G110*'Common input data'!$D$8,G108+G109*'Common input data'!$C$9+G110*'Common input data'!$D$9))))</f>
        <v>10.8919344827823</v>
      </c>
      <c r="H107" s="180"/>
      <c r="I107" s="180"/>
      <c r="J107" s="180"/>
      <c r="K107" s="180"/>
      <c r="L107" s="180"/>
      <c r="M107" s="180"/>
      <c r="N107" s="180"/>
      <c r="O107" s="180"/>
      <c r="P107" s="180"/>
      <c r="Q107" s="180"/>
      <c r="R107" s="180"/>
      <c r="S107" s="180"/>
      <c r="T107" s="74"/>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c r="GL107" s="30"/>
      <c r="GM107" s="30"/>
      <c r="GN107" s="30"/>
      <c r="GO107" s="30"/>
      <c r="GP107" s="30"/>
      <c r="GQ107" s="30"/>
      <c r="GR107" s="30"/>
      <c r="GS107" s="30"/>
      <c r="GT107" s="30"/>
      <c r="GU107" s="30"/>
      <c r="GV107" s="30"/>
      <c r="GW107" s="30"/>
      <c r="GX107" s="30"/>
      <c r="GY107" s="30"/>
      <c r="GZ107" s="30"/>
      <c r="HA107" s="30"/>
      <c r="HB107" s="30"/>
      <c r="HC107" s="30"/>
      <c r="HD107" s="30"/>
      <c r="HE107" s="30"/>
      <c r="HF107" s="30"/>
      <c r="HG107" s="30"/>
      <c r="HH107" s="30"/>
      <c r="HI107" s="30"/>
      <c r="HJ107" s="30"/>
      <c r="HK107" s="30"/>
      <c r="HL107" s="30"/>
      <c r="HM107" s="30"/>
      <c r="HN107" s="30"/>
      <c r="HO107" s="30"/>
      <c r="HP107" s="30"/>
      <c r="HQ107" s="30"/>
      <c r="HR107" s="30"/>
      <c r="HS107" s="30"/>
      <c r="HT107" s="30"/>
      <c r="HU107" s="30"/>
      <c r="HV107" s="30"/>
      <c r="HW107" s="30"/>
      <c r="HX107" s="30"/>
      <c r="HY107" s="30"/>
      <c r="HZ107" s="30"/>
      <c r="IA107" s="30"/>
      <c r="IB107" s="30"/>
      <c r="IC107" s="30"/>
      <c r="ID107" s="30"/>
      <c r="IE107" s="30"/>
      <c r="IF107" s="30"/>
      <c r="IG107" s="30"/>
      <c r="IH107" s="30"/>
      <c r="II107" s="30"/>
      <c r="IJ107" s="30"/>
      <c r="IK107" s="30"/>
      <c r="IL107" s="30"/>
      <c r="IM107" s="30"/>
      <c r="IN107" s="30"/>
      <c r="IO107" s="30"/>
      <c r="IP107" s="30"/>
      <c r="IQ107" s="30"/>
      <c r="IR107" s="30"/>
      <c r="IS107" s="30"/>
      <c r="IT107" s="30"/>
      <c r="IU107" s="30"/>
      <c r="IV107" s="30"/>
      <c r="IW107" s="30"/>
      <c r="IX107" s="30"/>
      <c r="IY107" s="30"/>
      <c r="IZ107" s="30"/>
      <c r="JA107" s="30"/>
      <c r="JB107" s="30"/>
      <c r="JC107" s="30"/>
      <c r="JD107" s="30"/>
      <c r="JE107" s="30"/>
      <c r="JF107" s="30"/>
      <c r="JG107" s="30"/>
      <c r="JH107" s="30"/>
      <c r="JI107" s="30"/>
      <c r="JJ107" s="30"/>
      <c r="JK107" s="30"/>
      <c r="JL107" s="30"/>
      <c r="JM107" s="30"/>
      <c r="JN107" s="30"/>
      <c r="JO107" s="30"/>
      <c r="JP107" s="30"/>
      <c r="JQ107" s="30"/>
      <c r="JR107" s="30"/>
      <c r="JS107" s="30"/>
      <c r="JT107" s="30"/>
      <c r="JU107" s="30"/>
      <c r="JV107" s="30"/>
      <c r="JW107" s="30"/>
      <c r="JX107" s="30"/>
      <c r="JY107" s="30"/>
      <c r="JZ107" s="30"/>
      <c r="KA107" s="30"/>
      <c r="KB107" s="30"/>
      <c r="KC107" s="30"/>
      <c r="KD107" s="30"/>
      <c r="KE107" s="30"/>
      <c r="KF107" s="30"/>
      <c r="KG107" s="30"/>
      <c r="KH107" s="30"/>
      <c r="KI107" s="30"/>
      <c r="KJ107" s="30"/>
      <c r="KK107" s="30"/>
      <c r="KL107" s="30"/>
      <c r="KM107" s="30"/>
      <c r="KN107" s="30"/>
      <c r="KO107" s="30"/>
      <c r="KP107" s="30"/>
      <c r="KQ107" s="30"/>
      <c r="KR107" s="30"/>
      <c r="KS107" s="30"/>
      <c r="KT107" s="30"/>
      <c r="KU107" s="30"/>
      <c r="KV107" s="30"/>
      <c r="KW107" s="30"/>
      <c r="KX107" s="30"/>
      <c r="KY107" s="30"/>
      <c r="KZ107" s="30"/>
      <c r="LA107" s="30"/>
      <c r="LB107" s="30"/>
      <c r="LC107" s="30"/>
      <c r="LD107" s="30"/>
      <c r="LE107" s="30"/>
      <c r="LF107" s="30"/>
      <c r="LG107" s="30"/>
      <c r="LH107" s="30"/>
      <c r="LI107" s="30"/>
      <c r="LJ107" s="30"/>
      <c r="LK107" s="30"/>
      <c r="LL107" s="30"/>
      <c r="LM107" s="30"/>
      <c r="LN107" s="30"/>
      <c r="LO107" s="30"/>
      <c r="LP107" s="30"/>
      <c r="LQ107" s="30"/>
      <c r="LR107" s="30"/>
      <c r="LS107" s="30"/>
      <c r="LT107" s="30"/>
      <c r="LU107" s="30"/>
      <c r="LV107" s="30"/>
      <c r="LW107" s="30"/>
      <c r="LX107" s="30"/>
      <c r="LY107" s="30"/>
      <c r="LZ107" s="30"/>
      <c r="MA107" s="30"/>
      <c r="MB107" s="30"/>
      <c r="MC107" s="30"/>
      <c r="MD107" s="30"/>
      <c r="ME107" s="30"/>
      <c r="MF107" s="30"/>
      <c r="MG107" s="30"/>
      <c r="MH107" s="30"/>
      <c r="MI107" s="30"/>
      <c r="MJ107" s="30"/>
      <c r="MK107" s="30"/>
      <c r="ML107" s="30"/>
      <c r="MM107" s="30"/>
      <c r="MN107" s="30"/>
      <c r="MO107" s="30"/>
      <c r="MP107" s="30"/>
      <c r="MQ107" s="30"/>
      <c r="MR107" s="30"/>
      <c r="MS107" s="30"/>
      <c r="MT107" s="30"/>
      <c r="MU107" s="30"/>
      <c r="MV107" s="30"/>
      <c r="MW107" s="30"/>
      <c r="MX107" s="30"/>
      <c r="MY107" s="30"/>
      <c r="MZ107" s="30"/>
      <c r="NA107" s="30"/>
      <c r="NB107" s="30"/>
      <c r="NC107" s="30"/>
      <c r="ND107" s="30"/>
      <c r="NE107" s="30"/>
      <c r="NF107" s="30"/>
      <c r="NG107" s="30"/>
      <c r="NH107" s="30"/>
      <c r="NI107" s="30"/>
      <c r="NJ107" s="30"/>
      <c r="NK107" s="30"/>
      <c r="NL107" s="30"/>
      <c r="NM107" s="30"/>
      <c r="NN107" s="30"/>
      <c r="NO107" s="30"/>
      <c r="NP107" s="30"/>
      <c r="NQ107" s="30"/>
      <c r="NR107" s="30"/>
      <c r="NS107" s="30"/>
      <c r="NT107" s="30"/>
      <c r="NU107" s="30"/>
      <c r="NV107" s="30"/>
      <c r="NW107" s="30"/>
      <c r="NX107" s="30"/>
      <c r="NY107" s="30"/>
      <c r="NZ107" s="30"/>
      <c r="OA107" s="30"/>
      <c r="OB107" s="30"/>
      <c r="OC107" s="30"/>
      <c r="OD107" s="30"/>
      <c r="OE107" s="30"/>
      <c r="OF107" s="30"/>
      <c r="OG107" s="30"/>
      <c r="OH107" s="30"/>
      <c r="OI107" s="30"/>
      <c r="OJ107" s="30"/>
      <c r="OK107" s="30"/>
      <c r="OL107" s="30"/>
    </row>
    <row r="108" customFormat="false" ht="14.4" hidden="false" customHeight="false" outlineLevel="0" collapsed="false">
      <c r="A108" s="74"/>
      <c r="C108" s="87"/>
      <c r="D108" s="85" t="s">
        <v>134</v>
      </c>
      <c r="E108" s="86" t="n">
        <f aca="false">IF(AND($F$2="No",$F$3="No"),SUM(I108:L108),IF(AND($F$2="Yes", $F$3="No"), SUM(I108:L108)+N108, IF(AND($F$2="No", $F$3="Yes"),SUM(I108:L108)+M108, SUM(I108:L108)+N108+M108)))</f>
        <v>-0.19800979562533</v>
      </c>
      <c r="F108" s="87" t="n">
        <f aca="false">IF(AND($F$2="No",$F$3="No"),SUM(H108:L108,O108),IF(AND($F$2="Yes", $F$3="No"), SUM(H108:L108,O108)+N108, IF(AND($F$2="No", $F$3="Yes"),SUM(H108:L108,O108)+M108, SUM(H108:L108,O108)+N108+M108)))</f>
        <v>1.62406477221893</v>
      </c>
      <c r="G108" s="88" t="n">
        <f aca="false">SUM(Q108:S108)/(1-'Common input data'!B$126)</f>
        <v>1.95362425519053</v>
      </c>
      <c r="H108" s="146" t="n">
        <f aca="false">H104*'Common input data'!$G$37/'Input data meat and eggs'!$H$401</f>
        <v>1.61487099055618</v>
      </c>
      <c r="I108" s="146" t="n">
        <f aca="false">I104*'Common input data'!$G$37/'Input data meat and eggs'!$H$401</f>
        <v>0</v>
      </c>
      <c r="J108" s="146" t="n">
        <f aca="false">J104*'Common input data'!$G$37/'Input data meat and eggs'!$H$401</f>
        <v>0</v>
      </c>
      <c r="K108" s="146" t="n">
        <f aca="false">K104*'Common input data'!$G$37/'Input data meat and eggs'!$H$401</f>
        <v>0</v>
      </c>
      <c r="L108" s="146" t="n">
        <f aca="false">L104*'Common input data'!$G$37/'Input data meat and eggs'!$H$401</f>
        <v>0</v>
      </c>
      <c r="M108" s="146" t="n">
        <f aca="false">M104*'Common input data'!$G$37/'Input data meat and eggs'!$H$401</f>
        <v>-0.35067845272506</v>
      </c>
      <c r="N108" s="146" t="n">
        <f aca="false">N104*'Common input data'!$G$37/'Input data meat and eggs'!$H$401</f>
        <v>0.152668657099729</v>
      </c>
      <c r="O108" s="146" t="n">
        <f aca="false">O104*'Common input data'!$G$37/'Input data meat and eggs'!$H$401</f>
        <v>0.207203577288071</v>
      </c>
      <c r="P108" s="146" t="n">
        <f aca="false">P104*'Common input data'!$G$37/'Input data meat and eggs'!$H$401</f>
        <v>0.0276405485148358</v>
      </c>
      <c r="Q108" s="146" t="n">
        <f aca="false">(F108+P108)</f>
        <v>1.65170532073376</v>
      </c>
      <c r="R108" s="181" t="n">
        <f aca="false">'Common input data'!B92</f>
        <v>0.1</v>
      </c>
      <c r="S108" s="181" t="n">
        <f aca="false">'Common input data'!C98</f>
        <v>0.03</v>
      </c>
      <c r="T108" s="74"/>
    </row>
    <row r="109" customFormat="false" ht="14.4" hidden="false" customHeight="false" outlineLevel="0" collapsed="false">
      <c r="A109" s="74"/>
      <c r="C109" s="87"/>
      <c r="D109" s="85" t="s">
        <v>135</v>
      </c>
      <c r="E109" s="86" t="n">
        <f aca="false">SUM(I109:L109)</f>
        <v>0.167371130590838</v>
      </c>
      <c r="F109" s="87" t="n">
        <f aca="false">SUM(H109:L109,O109)</f>
        <v>0.169100039341979</v>
      </c>
      <c r="G109" s="88" t="n">
        <f aca="false">SUM(Q109:S109)/(1-'Common input data'!B$126)</f>
        <v>0.185424924755265</v>
      </c>
      <c r="H109" s="146" t="n">
        <f aca="false">H105*'Common input data'!$G$37/'Input data meat and eggs'!$H$401</f>
        <v>0.00172890875114104</v>
      </c>
      <c r="I109" s="146" t="n">
        <f aca="false">I105*'Common input data'!$G$37/'Input data meat and eggs'!$H$401</f>
        <v>0</v>
      </c>
      <c r="J109" s="146" t="n">
        <f aca="false">J105*'Common input data'!$G$37/'Input data meat and eggs'!$H$401</f>
        <v>0.0109365083874874</v>
      </c>
      <c r="K109" s="146" t="n">
        <f aca="false">K105*'Common input data'!$G$37/'Input data meat and eggs'!$H$401</f>
        <v>0</v>
      </c>
      <c r="L109" s="146" t="n">
        <f aca="false">L105*'Common input data'!$G$37/'Input data meat and eggs'!$H$401</f>
        <v>0.156434622203351</v>
      </c>
      <c r="M109" s="146" t="n">
        <f aca="false">M105*'Common input data'!$G$37/'Input data meat and eggs'!$H$401</f>
        <v>0</v>
      </c>
      <c r="N109" s="146" t="n">
        <f aca="false">N105*'Common input data'!$G$37/'Input data meat and eggs'!$H$401</f>
        <v>0</v>
      </c>
      <c r="O109" s="146" t="n">
        <f aca="false">O105*'Common input data'!$G$37/'Input data meat and eggs'!$H$401</f>
        <v>0</v>
      </c>
      <c r="P109" s="146" t="n">
        <f aca="false">P105*'Common input data'!$G$37/'Input data meat and eggs'!$H$401</f>
        <v>7.49203482243394E-006</v>
      </c>
      <c r="Q109" s="146" t="n">
        <f aca="false">(F109+P109)</f>
        <v>0.169107531376801</v>
      </c>
      <c r="R109" s="181" t="n">
        <v>0</v>
      </c>
      <c r="S109" s="181" t="n">
        <v>0</v>
      </c>
      <c r="T109" s="74"/>
    </row>
    <row r="110" customFormat="false" ht="14.4" hidden="false" customHeight="false" outlineLevel="0" collapsed="false">
      <c r="A110" s="74"/>
      <c r="C110" s="87"/>
      <c r="D110" s="31" t="s">
        <v>136</v>
      </c>
      <c r="E110" s="86" t="n">
        <f aca="false">SUM(I110:L110)</f>
        <v>0.00642625865423366</v>
      </c>
      <c r="F110" s="87" t="n">
        <f aca="false">SUM(H110:L110,O110)</f>
        <v>0.00805998231664483</v>
      </c>
      <c r="G110" s="88" t="n">
        <f aca="false">SUM(Q110:S110)/(1-'Common input data'!B$126)</f>
        <v>0.00883846572453941</v>
      </c>
      <c r="H110" s="146" t="n">
        <f aca="false">H106*'Common input data'!$G$37/'Input data meat and eggs'!$H$401</f>
        <v>0.00163372366241116</v>
      </c>
      <c r="I110" s="146" t="n">
        <f aca="false">I106*'Common input data'!$G$37/'Input data meat and eggs'!$H$401</f>
        <v>0.00412939492188407</v>
      </c>
      <c r="J110" s="146" t="n">
        <f aca="false">J106*'Common input data'!$G$37/'Input data meat and eggs'!$H$401</f>
        <v>0.00211731853076148</v>
      </c>
      <c r="K110" s="146" t="n">
        <f aca="false">K106*'Common input data'!$G$37/'Input data meat and eggs'!$H$401</f>
        <v>0.000179545201588112</v>
      </c>
      <c r="L110" s="146" t="n">
        <f aca="false">L106*'Common input data'!$G$37/'Input data meat and eggs'!$H$401</f>
        <v>0</v>
      </c>
      <c r="M110" s="146" t="n">
        <f aca="false">M106*'Common input data'!$G$37/'Input data meat and eggs'!$H$401</f>
        <v>0</v>
      </c>
      <c r="N110" s="146" t="n">
        <f aca="false">N106*'Common input data'!$G$37/'Input data meat and eggs'!$H$401</f>
        <v>0</v>
      </c>
      <c r="O110" s="146" t="n">
        <f aca="false">O106*'Common input data'!$G$37/'Input data meat and eggs'!$H$401</f>
        <v>0</v>
      </c>
      <c r="P110" s="146" t="n">
        <f aca="false">P106*'Common input data'!$G$37/'Input data meat and eggs'!$H$401</f>
        <v>6.98424135113564E-007</v>
      </c>
      <c r="Q110" s="146" t="n">
        <f aca="false">(F110+P110)</f>
        <v>0.00806068074077994</v>
      </c>
      <c r="R110" s="181" t="n">
        <v>0</v>
      </c>
      <c r="S110" s="181" t="n">
        <v>0</v>
      </c>
      <c r="T110" s="74"/>
    </row>
    <row r="111" s="83" customFormat="true" ht="14.4" hidden="false" customHeight="false" outlineLevel="0" collapsed="false">
      <c r="A111" s="176"/>
      <c r="B111" s="84" t="s">
        <v>157</v>
      </c>
      <c r="C111" s="97" t="n">
        <f aca="false">'Input data meat and eggs'!D6</f>
        <v>0.0170600001777126</v>
      </c>
      <c r="D111" s="78" t="s">
        <v>133</v>
      </c>
      <c r="E111" s="94" t="n">
        <f aca="false">IF($F$1="GWP100 without fb",E112+E113*'Common input data'!$C$5+E114*'Common input data'!$D$5,IF($F$1="GWP100 with fb",E112+E113*'Common input data'!$C$6+E114*'Common input data'!$D$6,IF($F$1="GTP100 without fb",E112+E113*'Common input data'!$C$7+E114*'Common input data'!$D$7,IF($F$1="GTP100 with fb",E112+E113*'Common input data'!$C$8+E114*'Common input data'!$D$8,E112+E113*'Common input data'!$C$9+E114*'Common input data'!$D$9))))</f>
        <v>21.6340878693535</v>
      </c>
      <c r="F111" s="95" t="n">
        <f aca="false">IF($F$1="GWP100 without fb",F112+F113*'Common input data'!$C$5+F114*'Common input data'!$D$5,IF($F$1="GWP100 with fb",F112+F113*'Common input data'!$C$6+F114*'Common input data'!$D$6,IF($F$1="GTP100 without fb",F112+F113*'Common input data'!$C$7+F114*'Common input data'!$D$7,IF($F$1="GTP100 with fb",F112+F113*'Common input data'!$C$8+F114*'Common input data'!$D$8,F112+F113*'Common input data'!$C$9+F114*'Common input data'!$D$9))))</f>
        <v>24.8645832340813</v>
      </c>
      <c r="G111" s="96" t="n">
        <f aca="false">IF($F$1="GWP100 without fb",G112+G113*'Common input data'!$C$5+G114*'Common input data'!$D$5,IF($F$1="GWP100 with fb",G112+G113*'Common input data'!$C$6+G114*'Common input data'!$D$6,IF($F$1="GTP100 without fb",G112+G113*'Common input data'!$C$7+G114*'Common input data'!$D$7,IF($F$1="GTP100 with fb",G112+G113*'Common input data'!$C$8+G114*'Common input data'!$D$8,G112+G113*'Common input data'!$C$9+G114*'Common input data'!$D$9))))</f>
        <v>27.8337884158869</v>
      </c>
      <c r="H111" s="180"/>
      <c r="I111" s="180"/>
      <c r="J111" s="180"/>
      <c r="K111" s="180"/>
      <c r="L111" s="180"/>
      <c r="M111" s="180"/>
      <c r="N111" s="180"/>
      <c r="O111" s="180"/>
      <c r="P111" s="180"/>
      <c r="Q111" s="180"/>
      <c r="R111" s="180"/>
      <c r="S111" s="180"/>
      <c r="T111" s="74"/>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c r="GL111" s="30"/>
      <c r="GM111" s="30"/>
      <c r="GN111" s="30"/>
      <c r="GO111" s="30"/>
      <c r="GP111" s="30"/>
      <c r="GQ111" s="30"/>
      <c r="GR111" s="30"/>
      <c r="GS111" s="30"/>
      <c r="GT111" s="30"/>
      <c r="GU111" s="30"/>
      <c r="GV111" s="30"/>
      <c r="GW111" s="30"/>
      <c r="GX111" s="30"/>
      <c r="GY111" s="30"/>
      <c r="GZ111" s="30"/>
      <c r="HA111" s="30"/>
      <c r="HB111" s="30"/>
      <c r="HC111" s="30"/>
      <c r="HD111" s="30"/>
      <c r="HE111" s="30"/>
      <c r="HF111" s="30"/>
      <c r="HG111" s="30"/>
      <c r="HH111" s="30"/>
      <c r="HI111" s="30"/>
      <c r="HJ111" s="30"/>
      <c r="HK111" s="30"/>
      <c r="HL111" s="30"/>
      <c r="HM111" s="30"/>
      <c r="HN111" s="30"/>
      <c r="HO111" s="30"/>
      <c r="HP111" s="30"/>
      <c r="HQ111" s="30"/>
      <c r="HR111" s="30"/>
      <c r="HS111" s="30"/>
      <c r="HT111" s="30"/>
      <c r="HU111" s="30"/>
      <c r="HV111" s="30"/>
      <c r="HW111" s="30"/>
      <c r="HX111" s="30"/>
      <c r="HY111" s="30"/>
      <c r="HZ111" s="30"/>
      <c r="IA111" s="30"/>
      <c r="IB111" s="30"/>
      <c r="IC111" s="30"/>
      <c r="ID111" s="30"/>
      <c r="IE111" s="30"/>
      <c r="IF111" s="30"/>
      <c r="IG111" s="30"/>
      <c r="IH111" s="30"/>
      <c r="II111" s="30"/>
      <c r="IJ111" s="30"/>
      <c r="IK111" s="30"/>
      <c r="IL111" s="30"/>
      <c r="IM111" s="30"/>
      <c r="IN111" s="30"/>
      <c r="IO111" s="30"/>
      <c r="IP111" s="30"/>
      <c r="IQ111" s="30"/>
      <c r="IR111" s="30"/>
      <c r="IS111" s="30"/>
      <c r="IT111" s="30"/>
      <c r="IU111" s="30"/>
      <c r="IV111" s="30"/>
      <c r="IW111" s="30"/>
      <c r="IX111" s="30"/>
      <c r="IY111" s="30"/>
      <c r="IZ111" s="30"/>
      <c r="JA111" s="30"/>
      <c r="JB111" s="30"/>
      <c r="JC111" s="30"/>
      <c r="JD111" s="30"/>
      <c r="JE111" s="30"/>
      <c r="JF111" s="30"/>
      <c r="JG111" s="30"/>
      <c r="JH111" s="30"/>
      <c r="JI111" s="30"/>
      <c r="JJ111" s="30"/>
      <c r="JK111" s="30"/>
      <c r="JL111" s="30"/>
      <c r="JM111" s="30"/>
      <c r="JN111" s="30"/>
      <c r="JO111" s="30"/>
      <c r="JP111" s="30"/>
      <c r="JQ111" s="30"/>
      <c r="JR111" s="30"/>
      <c r="JS111" s="30"/>
      <c r="JT111" s="30"/>
      <c r="JU111" s="30"/>
      <c r="JV111" s="30"/>
      <c r="JW111" s="30"/>
      <c r="JX111" s="30"/>
      <c r="JY111" s="30"/>
      <c r="JZ111" s="30"/>
      <c r="KA111" s="30"/>
      <c r="KB111" s="30"/>
      <c r="KC111" s="30"/>
      <c r="KD111" s="30"/>
      <c r="KE111" s="30"/>
      <c r="KF111" s="30"/>
      <c r="KG111" s="30"/>
      <c r="KH111" s="30"/>
      <c r="KI111" s="30"/>
      <c r="KJ111" s="30"/>
      <c r="KK111" s="30"/>
      <c r="KL111" s="30"/>
      <c r="KM111" s="30"/>
      <c r="KN111" s="30"/>
      <c r="KO111" s="30"/>
      <c r="KP111" s="30"/>
      <c r="KQ111" s="30"/>
      <c r="KR111" s="30"/>
      <c r="KS111" s="30"/>
      <c r="KT111" s="30"/>
      <c r="KU111" s="30"/>
      <c r="KV111" s="30"/>
      <c r="KW111" s="30"/>
      <c r="KX111" s="30"/>
      <c r="KY111" s="30"/>
      <c r="KZ111" s="30"/>
      <c r="LA111" s="30"/>
      <c r="LB111" s="30"/>
      <c r="LC111" s="30"/>
      <c r="LD111" s="30"/>
      <c r="LE111" s="30"/>
      <c r="LF111" s="30"/>
      <c r="LG111" s="30"/>
      <c r="LH111" s="30"/>
      <c r="LI111" s="30"/>
      <c r="LJ111" s="30"/>
      <c r="LK111" s="30"/>
      <c r="LL111" s="30"/>
      <c r="LM111" s="30"/>
      <c r="LN111" s="30"/>
      <c r="LO111" s="30"/>
      <c r="LP111" s="30"/>
      <c r="LQ111" s="30"/>
      <c r="LR111" s="30"/>
      <c r="LS111" s="30"/>
      <c r="LT111" s="30"/>
      <c r="LU111" s="30"/>
      <c r="LV111" s="30"/>
      <c r="LW111" s="30"/>
      <c r="LX111" s="30"/>
      <c r="LY111" s="30"/>
      <c r="LZ111" s="30"/>
      <c r="MA111" s="30"/>
      <c r="MB111" s="30"/>
      <c r="MC111" s="30"/>
      <c r="MD111" s="30"/>
      <c r="ME111" s="30"/>
      <c r="MF111" s="30"/>
      <c r="MG111" s="30"/>
      <c r="MH111" s="30"/>
      <c r="MI111" s="30"/>
      <c r="MJ111" s="30"/>
      <c r="MK111" s="30"/>
      <c r="ML111" s="30"/>
      <c r="MM111" s="30"/>
      <c r="MN111" s="30"/>
      <c r="MO111" s="30"/>
      <c r="MP111" s="30"/>
      <c r="MQ111" s="30"/>
      <c r="MR111" s="30"/>
      <c r="MS111" s="30"/>
      <c r="MT111" s="30"/>
      <c r="MU111" s="30"/>
      <c r="MV111" s="30"/>
      <c r="MW111" s="30"/>
      <c r="MX111" s="30"/>
      <c r="MY111" s="30"/>
      <c r="MZ111" s="30"/>
      <c r="NA111" s="30"/>
      <c r="NB111" s="30"/>
      <c r="NC111" s="30"/>
      <c r="ND111" s="30"/>
      <c r="NE111" s="30"/>
      <c r="NF111" s="30"/>
      <c r="NG111" s="30"/>
      <c r="NH111" s="30"/>
      <c r="NI111" s="30"/>
      <c r="NJ111" s="30"/>
      <c r="NK111" s="30"/>
      <c r="NL111" s="30"/>
      <c r="NM111" s="30"/>
      <c r="NN111" s="30"/>
      <c r="NO111" s="30"/>
      <c r="NP111" s="30"/>
      <c r="NQ111" s="30"/>
      <c r="NR111" s="30"/>
      <c r="NS111" s="30"/>
      <c r="NT111" s="30"/>
      <c r="NU111" s="30"/>
      <c r="NV111" s="30"/>
      <c r="NW111" s="30"/>
      <c r="NX111" s="30"/>
      <c r="NY111" s="30"/>
      <c r="NZ111" s="30"/>
      <c r="OA111" s="30"/>
      <c r="OB111" s="30"/>
      <c r="OC111" s="30"/>
      <c r="OD111" s="30"/>
      <c r="OE111" s="30"/>
      <c r="OF111" s="30"/>
      <c r="OG111" s="30"/>
      <c r="OH111" s="30"/>
      <c r="OI111" s="30"/>
      <c r="OJ111" s="30"/>
      <c r="OK111" s="30"/>
      <c r="OL111" s="30"/>
    </row>
    <row r="112" customFormat="false" ht="14.4" hidden="false" customHeight="false" outlineLevel="0" collapsed="false">
      <c r="A112" s="74"/>
      <c r="D112" s="85" t="s">
        <v>134</v>
      </c>
      <c r="E112" s="86" t="n">
        <f aca="false">IF(AND($F$2="No",$F$3="No"),SUM(I112:L112),IF(AND($F$2="Yes", $F$3="No"), SUM(I112:L112)+N112, IF(AND($F$2="No", $F$3="Yes"),SUM(I112:L112)+M112, SUM(I112:L112)+N112+M112)))</f>
        <v>-1.39568163484372</v>
      </c>
      <c r="F112" s="87" t="n">
        <f aca="false">IF(AND($F$2="No",$F$3="No"),SUM(H112:L112,O112),IF(AND($F$2="Yes", $F$3="No"), SUM(H112:L112,O112)+N112, IF(AND($F$2="No", $F$3="Yes"),SUM(H112:L112,O112)+M112, SUM(H112:L112,O112)+N112+M112)))</f>
        <v>1.2165040398094</v>
      </c>
      <c r="G112" s="88" t="n">
        <f aca="false">SUM(Q112:S112)/(1-'Common input data'!B$126)</f>
        <v>1.89683701816241</v>
      </c>
      <c r="H112" s="146" t="n">
        <f aca="false">('Input data meat and eggs'!S403*'Input data meat and eggs'!B48+'Input data meat and eggs'!T403*'Input data meat and eggs'!B47+'Input data meat and eggs'!U403*'Input data meat and eggs'!B35+'Input data meat and eggs'!V403*SUMPRODUCT('Input data meat and eggs'!B37:B46,'Input data meat and eggs'!F65:F74))*'Input data meat and eggs'!$E$403/'Input data meat and eggs'!$H$403</f>
        <v>1.86043567465312</v>
      </c>
      <c r="I112" s="146" t="n">
        <v>0</v>
      </c>
      <c r="J112" s="146" t="n">
        <v>0</v>
      </c>
      <c r="K112" s="146" t="n">
        <v>0</v>
      </c>
      <c r="L112" s="146" t="n">
        <v>0</v>
      </c>
      <c r="M112" s="146" t="n">
        <f aca="false">(('Input data meat and eggs'!S403+'Input data meat and eggs'!T403)*'Common input data'!F13+ 'Input data meat and eggs'!U403*'Common input data'!B13+'Input data meat and eggs'!V403*('Input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eggs'!$E$403/'Input data meat and eggs'!$H$403</f>
        <v>-1.41155440264586</v>
      </c>
      <c r="N112" s="146" t="n">
        <f aca="false">('Input data meat and eggs'!V403*('Input data meat and eggs'!F67*'Common input data'!B21*'Common input data'!G30/'Common input data'!F30+'Input data meat and eggs'!F71*'Common input data'!C21*'Common input data'!J31/'Common input data'!I31))*'Input data meat and eggs'!$E$403/'Input data meat and eggs'!$H$403</f>
        <v>0.0158727678021398</v>
      </c>
      <c r="O112" s="146" t="n">
        <f aca="false">'Input data meat and eggs'!B83*'Common input data'!B63</f>
        <v>0.75175</v>
      </c>
      <c r="P112" s="146" t="n">
        <f aca="false">'Input data meat and eggs'!B92*'Common input data'!B63+'Input data meat and eggs'!C92*3.6*'Common input data'!B49</f>
        <v>0.383411320754717</v>
      </c>
      <c r="Q112" s="146" t="n">
        <f aca="false">(F112+P112)</f>
        <v>1.59991536056412</v>
      </c>
      <c r="R112" s="146" t="n">
        <f aca="false">'Common input data'!B92</f>
        <v>0.1</v>
      </c>
      <c r="S112" s="146" t="n">
        <f aca="false">'Common input data'!C98</f>
        <v>0.03</v>
      </c>
      <c r="T112" s="74"/>
    </row>
    <row r="113" customFormat="false" ht="14.4" hidden="false" customHeight="false" outlineLevel="0" collapsed="false">
      <c r="A113" s="74"/>
      <c r="D113" s="85" t="s">
        <v>135</v>
      </c>
      <c r="E113" s="86" t="n">
        <f aca="false">SUM(I113:L113)</f>
        <v>0.554835253993634</v>
      </c>
      <c r="F113" s="87" t="n">
        <f aca="false">SUM(H113:L113,O113)</f>
        <v>0.555780920109231</v>
      </c>
      <c r="G113" s="88" t="n">
        <f aca="false">SUM(Q113:S113)/(1-'Common input data'!B$126)</f>
        <v>0.609522855962207</v>
      </c>
      <c r="H113" s="146" t="n">
        <f aca="false">('Input data meat and eggs'!S403*'Input data meat and eggs'!C48+'Input data meat and eggs'!T403*'Input data meat and eggs'!C47+'Input data meat and eggs'!U403*'Input data meat and eggs'!C35+'Input data meat and eggs'!V403*SUMPRODUCT('Input data meat and eggs'!C37:C46,'Input data meat and eggs'!F65:F74))*'Input data meat and eggs'!$E$403/'Input data meat and eggs'!$H$403</f>
        <v>0.000945666115597227</v>
      </c>
      <c r="I113" s="146" t="n">
        <v>0</v>
      </c>
      <c r="J113" s="146" t="n">
        <f aca="false">('Input data meat and eggs'!M403*'Input data meat and eggs'!G403/12*'Input data meat and eggs'!$B$450*'Input data meat and eggs'!$B$452*'Input data meat and eggs'!$B$453* ('Input data meat and eggs'!$O$403*'Input data meat and eggs'!$B$443 +'Input data meat and eggs'!$P$403*'Input data meat and eggs'!$C$443+ 'Input data meat and eggs'!$Q$403*'Input data meat and eggs'!$D$443+ 'Input data meat and eggs'!$R$403*'Input data meat and eggs'!$E$443))*'Input data meat and eggs'!$E$403/'Input data meat and eggs'!$H$403</f>
        <v>0.0423824065552749</v>
      </c>
      <c r="K113" s="146" t="n">
        <v>0</v>
      </c>
      <c r="L113" s="146" t="n">
        <f aca="false">('Input data meat and eggs'!L403*'Input data meat and eggs'!G403/12)*'Input data meat and eggs'!$E$403/'Input data meat and eggs'!$H$403</f>
        <v>0.512452847438359</v>
      </c>
      <c r="M113" s="146" t="n">
        <v>0</v>
      </c>
      <c r="N113" s="146" t="n">
        <v>0</v>
      </c>
      <c r="O113" s="146" t="n">
        <v>0</v>
      </c>
      <c r="P113" s="146" t="n">
        <f aca="false">'Input data meat and eggs'!C92*3.6*'Common input data'!B50</f>
        <v>0.000103924528301887</v>
      </c>
      <c r="Q113" s="146" t="n">
        <f aca="false">(F113+P113)</f>
        <v>0.555884844637533</v>
      </c>
      <c r="R113" s="146" t="n">
        <v>0</v>
      </c>
      <c r="S113" s="146" t="n">
        <v>0</v>
      </c>
      <c r="T113" s="74"/>
    </row>
    <row r="114" customFormat="false" ht="14.4" hidden="false" customHeight="false" outlineLevel="0" collapsed="false">
      <c r="A114" s="74"/>
      <c r="D114" s="31" t="s">
        <v>136</v>
      </c>
      <c r="E114" s="86" t="n">
        <f aca="false">SUM(I114:L114)</f>
        <v>0.0139777545919923</v>
      </c>
      <c r="F114" s="87" t="n">
        <f aca="false">SUM(H114:L114,O114)</f>
        <v>0.0159447245320739</v>
      </c>
      <c r="G114" s="88" t="n">
        <f aca="false">SUM(Q114:S114)/(1-'Common input data'!B$126)</f>
        <v>0.0174938734731859</v>
      </c>
      <c r="H114" s="146" t="n">
        <f aca="false">(('Input data meat and eggs'!S403*'Input data meat and eggs'!D48+'Input data meat and eggs'!T403*'Input data meat and eggs'!D47+'Input data meat and eggs'!U403*'Input data meat and eggs'!D35+'Input data meat and eggs'!V403*SUMPRODUCT('Input data meat and eggs'!D37:D46,'Input data meat and eggs'!F65:F74))*'Input data meat and eggs'!B58)*'Input data meat and eggs'!$E$403/'Input data meat and eggs'!$H$403</f>
        <v>0.00196696994008156</v>
      </c>
      <c r="I114" s="146" t="n">
        <f aca="false">(('Input data meat and eggs'!S403*'Input data meat and eggs'!D48+'Input data meat and eggs'!T403*'Input data meat and eggs'!D47+'Input data meat and eggs'!U403*'Input data meat and eggs'!D35+'Input data meat and eggs'!V403*SUMPRODUCT('Input data meat and eggs'!D37:D46,'Input data meat and eggs'!F65:F74))*'Input data meat and eggs'!C58)*'Input data meat and eggs'!$E$403/'Input data meat and eggs'!$H$403</f>
        <v>0.00497170719195178</v>
      </c>
      <c r="J114" s="146" t="n">
        <f aca="false">('Input data meat and eggs'!K403*'Input data meat and eggs'!G403/12*('Input data meat and eggs'!$O$403*'Input data meat and eggs'!$B$445+'Input data meat and eggs'!$P$403*'Input data meat and eggs'!$C$445+'Input data meat and eggs'!$Q$403*'Input data meat and eggs'!$D$445+'Input data meat and eggs'!$R$403*'Input data meat and eggs'!$E$445)*44/28)*'Input data meat and eggs'!$E$403/'Input data meat and eggs'!$H$403</f>
        <v>0.00837050261237826</v>
      </c>
      <c r="K114" s="146" t="n">
        <f aca="false">('Input data meat and eggs'!$B$446*44/28*'Input data meat and eggs'!K403*'Input data meat and eggs'!G403/12*('Input data meat and eggs'!O403*'Input data meat and eggs'!B457+'Input data meat and eggs'!P403*'Input data meat and eggs'!C457+'Input data meat and eggs'!Q403*'Input data meat and eggs'!D457))*'Input data meat and eggs'!$E$403/'Input data meat and eggs'!$H$403</f>
        <v>0.000635544787662283</v>
      </c>
      <c r="L114" s="146" t="n">
        <v>0</v>
      </c>
      <c r="M114" s="146" t="n">
        <v>0</v>
      </c>
      <c r="N114" s="146" t="n">
        <v>0</v>
      </c>
      <c r="O114" s="146" t="n">
        <v>0</v>
      </c>
      <c r="P114" s="146" t="n">
        <f aca="false">'Input data meat and eggs'!C92*3.6*'Common input data'!B51</f>
        <v>9.68807547169811E-006</v>
      </c>
      <c r="Q114" s="146" t="n">
        <f aca="false">(F114+P114)</f>
        <v>0.0159544126075456</v>
      </c>
      <c r="R114" s="146" t="n">
        <v>0</v>
      </c>
      <c r="S114" s="146" t="n">
        <v>0</v>
      </c>
      <c r="T114" s="74"/>
    </row>
    <row r="115" s="83" customFormat="true" ht="14.4" hidden="false" customHeight="false" outlineLevel="0" collapsed="false">
      <c r="A115" s="176"/>
      <c r="B115" s="84" t="s">
        <v>158</v>
      </c>
      <c r="C115" s="97" t="n">
        <f aca="false">'Input data meat and eggs'!D7</f>
        <v>0.0984319339092864</v>
      </c>
      <c r="D115" s="78" t="s">
        <v>133</v>
      </c>
      <c r="E115" s="94" t="n">
        <f aca="false">IF($F$1="GWP100 without fb",E116+E117*'Common input data'!$C$5+E118*'Common input data'!$D$5,IF($F$1="GWP100 with fb",E116+E117*'Common input data'!$C$6+E118*'Common input data'!$D$6,IF($F$1="GTP100 without fb",E116+E117*'Common input data'!$C$7+E118*'Common input data'!$D$7,IF($F$1="GTP100 with fb",E116+E117*'Common input data'!$C$8+E118*'Common input data'!$D$8,E116+E117*'Common input data'!$C$9+E118*'Common input data'!$D$9))))</f>
        <v>14.4188112255149</v>
      </c>
      <c r="F115" s="95" t="n">
        <f aca="false">IF($F$1="GWP100 without fb",F116+F117*'Common input data'!$C$5+F118*'Common input data'!$D$5,IF($F$1="GWP100 with fb",F116+F117*'Common input data'!$C$6+F118*'Common input data'!$D$6,IF($F$1="GTP100 without fb",F116+F117*'Common input data'!$C$7+F118*'Common input data'!$D$7,IF($F$1="GTP100 with fb",F116+F117*'Common input data'!$C$8+F118*'Common input data'!$D$8,F116+F117*'Common input data'!$C$9+F118*'Common input data'!$D$9))))</f>
        <v>17.9506111850068</v>
      </c>
      <c r="G115" s="96" t="n">
        <f aca="false">IF($F$1="GWP100 without fb",G116+G117*'Common input data'!$C$5+G118*'Common input data'!$D$5,IF($F$1="GWP100 with fb",G116+G117*'Common input data'!$C$6+G118*'Common input data'!$D$6,IF($F$1="GTP100 without fb",G116+G117*'Common input data'!$C$7+G118*'Common input data'!$D$7,IF($F$1="GTP100 with fb",G116+G117*'Common input data'!$C$8+G118*'Common input data'!$D$8,G116+G117*'Common input data'!$C$9+G118*'Common input data'!$D$9))))</f>
        <v>20.2526787129544</v>
      </c>
      <c r="H115" s="180"/>
      <c r="I115" s="180"/>
      <c r="J115" s="180"/>
      <c r="K115" s="180"/>
      <c r="L115" s="180"/>
      <c r="M115" s="180"/>
      <c r="N115" s="180"/>
      <c r="O115" s="180"/>
      <c r="P115" s="180"/>
      <c r="Q115" s="180"/>
      <c r="R115" s="180"/>
      <c r="S115" s="180"/>
      <c r="T115" s="74"/>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c r="GL115" s="30"/>
      <c r="GM115" s="30"/>
      <c r="GN115" s="30"/>
      <c r="GO115" s="30"/>
      <c r="GP115" s="30"/>
      <c r="GQ115" s="30"/>
      <c r="GR115" s="30"/>
      <c r="GS115" s="30"/>
      <c r="GT115" s="30"/>
      <c r="GU115" s="30"/>
      <c r="GV115" s="30"/>
      <c r="GW115" s="30"/>
      <c r="GX115" s="30"/>
      <c r="GY115" s="30"/>
      <c r="GZ115" s="30"/>
      <c r="HA115" s="30"/>
      <c r="HB115" s="30"/>
      <c r="HC115" s="30"/>
      <c r="HD115" s="30"/>
      <c r="HE115" s="30"/>
      <c r="HF115" s="30"/>
      <c r="HG115" s="30"/>
      <c r="HH115" s="30"/>
      <c r="HI115" s="30"/>
      <c r="HJ115" s="30"/>
      <c r="HK115" s="30"/>
      <c r="HL115" s="30"/>
      <c r="HM115" s="30"/>
      <c r="HN115" s="30"/>
      <c r="HO115" s="30"/>
      <c r="HP115" s="30"/>
      <c r="HQ115" s="30"/>
      <c r="HR115" s="30"/>
      <c r="HS115" s="30"/>
      <c r="HT115" s="30"/>
      <c r="HU115" s="30"/>
      <c r="HV115" s="30"/>
      <c r="HW115" s="30"/>
      <c r="HX115" s="30"/>
      <c r="HY115" s="30"/>
      <c r="HZ115" s="30"/>
      <c r="IA115" s="30"/>
      <c r="IB115" s="30"/>
      <c r="IC115" s="30"/>
      <c r="ID115" s="30"/>
      <c r="IE115" s="30"/>
      <c r="IF115" s="30"/>
      <c r="IG115" s="30"/>
      <c r="IH115" s="30"/>
      <c r="II115" s="30"/>
      <c r="IJ115" s="30"/>
      <c r="IK115" s="30"/>
      <c r="IL115" s="30"/>
      <c r="IM115" s="30"/>
      <c r="IN115" s="30"/>
      <c r="IO115" s="30"/>
      <c r="IP115" s="30"/>
      <c r="IQ115" s="30"/>
      <c r="IR115" s="30"/>
      <c r="IS115" s="30"/>
      <c r="IT115" s="30"/>
      <c r="IU115" s="30"/>
      <c r="IV115" s="30"/>
      <c r="IW115" s="30"/>
      <c r="IX115" s="30"/>
      <c r="IY115" s="30"/>
      <c r="IZ115" s="30"/>
      <c r="JA115" s="30"/>
      <c r="JB115" s="30"/>
      <c r="JC115" s="30"/>
      <c r="JD115" s="30"/>
      <c r="JE115" s="30"/>
      <c r="JF115" s="30"/>
      <c r="JG115" s="30"/>
      <c r="JH115" s="30"/>
      <c r="JI115" s="30"/>
      <c r="JJ115" s="30"/>
      <c r="JK115" s="30"/>
      <c r="JL115" s="30"/>
      <c r="JM115" s="30"/>
      <c r="JN115" s="30"/>
      <c r="JO115" s="30"/>
      <c r="JP115" s="30"/>
      <c r="JQ115" s="30"/>
      <c r="JR115" s="30"/>
      <c r="JS115" s="30"/>
      <c r="JT115" s="30"/>
      <c r="JU115" s="30"/>
      <c r="JV115" s="30"/>
      <c r="JW115" s="30"/>
      <c r="JX115" s="30"/>
      <c r="JY115" s="30"/>
      <c r="JZ115" s="30"/>
      <c r="KA115" s="30"/>
      <c r="KB115" s="30"/>
      <c r="KC115" s="30"/>
      <c r="KD115" s="30"/>
      <c r="KE115" s="30"/>
      <c r="KF115" s="30"/>
      <c r="KG115" s="30"/>
      <c r="KH115" s="30"/>
      <c r="KI115" s="30"/>
      <c r="KJ115" s="30"/>
      <c r="KK115" s="30"/>
      <c r="KL115" s="30"/>
      <c r="KM115" s="30"/>
      <c r="KN115" s="30"/>
      <c r="KO115" s="30"/>
      <c r="KP115" s="30"/>
      <c r="KQ115" s="30"/>
      <c r="KR115" s="30"/>
      <c r="KS115" s="30"/>
      <c r="KT115" s="30"/>
      <c r="KU115" s="30"/>
      <c r="KV115" s="30"/>
      <c r="KW115" s="30"/>
      <c r="KX115" s="30"/>
      <c r="KY115" s="30"/>
      <c r="KZ115" s="30"/>
      <c r="LA115" s="30"/>
      <c r="LB115" s="30"/>
      <c r="LC115" s="30"/>
      <c r="LD115" s="30"/>
      <c r="LE115" s="30"/>
      <c r="LF115" s="30"/>
      <c r="LG115" s="30"/>
      <c r="LH115" s="30"/>
      <c r="LI115" s="30"/>
      <c r="LJ115" s="30"/>
      <c r="LK115" s="30"/>
      <c r="LL115" s="30"/>
      <c r="LM115" s="30"/>
      <c r="LN115" s="30"/>
      <c r="LO115" s="30"/>
      <c r="LP115" s="30"/>
      <c r="LQ115" s="30"/>
      <c r="LR115" s="30"/>
      <c r="LS115" s="30"/>
      <c r="LT115" s="30"/>
      <c r="LU115" s="30"/>
      <c r="LV115" s="30"/>
      <c r="LW115" s="30"/>
      <c r="LX115" s="30"/>
      <c r="LY115" s="30"/>
      <c r="LZ115" s="30"/>
      <c r="MA115" s="30"/>
      <c r="MB115" s="30"/>
      <c r="MC115" s="30"/>
      <c r="MD115" s="30"/>
      <c r="ME115" s="30"/>
      <c r="MF115" s="30"/>
      <c r="MG115" s="30"/>
      <c r="MH115" s="30"/>
      <c r="MI115" s="30"/>
      <c r="MJ115" s="30"/>
      <c r="MK115" s="30"/>
      <c r="ML115" s="30"/>
      <c r="MM115" s="30"/>
      <c r="MN115" s="30"/>
      <c r="MO115" s="30"/>
      <c r="MP115" s="30"/>
      <c r="MQ115" s="30"/>
      <c r="MR115" s="30"/>
      <c r="MS115" s="30"/>
      <c r="MT115" s="30"/>
      <c r="MU115" s="30"/>
      <c r="MV115" s="30"/>
      <c r="MW115" s="30"/>
      <c r="MX115" s="30"/>
      <c r="MY115" s="30"/>
      <c r="MZ115" s="30"/>
      <c r="NA115" s="30"/>
      <c r="NB115" s="30"/>
      <c r="NC115" s="30"/>
      <c r="ND115" s="30"/>
      <c r="NE115" s="30"/>
      <c r="NF115" s="30"/>
      <c r="NG115" s="30"/>
      <c r="NH115" s="30"/>
      <c r="NI115" s="30"/>
      <c r="NJ115" s="30"/>
      <c r="NK115" s="30"/>
      <c r="NL115" s="30"/>
      <c r="NM115" s="30"/>
      <c r="NN115" s="30"/>
      <c r="NO115" s="30"/>
      <c r="NP115" s="30"/>
      <c r="NQ115" s="30"/>
      <c r="NR115" s="30"/>
      <c r="NS115" s="30"/>
      <c r="NT115" s="30"/>
      <c r="NU115" s="30"/>
      <c r="NV115" s="30"/>
      <c r="NW115" s="30"/>
      <c r="NX115" s="30"/>
      <c r="NY115" s="30"/>
      <c r="NZ115" s="30"/>
      <c r="OA115" s="30"/>
      <c r="OB115" s="30"/>
      <c r="OC115" s="30"/>
      <c r="OD115" s="30"/>
      <c r="OE115" s="30"/>
      <c r="OF115" s="30"/>
      <c r="OG115" s="30"/>
      <c r="OH115" s="30"/>
      <c r="OI115" s="30"/>
      <c r="OJ115" s="30"/>
      <c r="OK115" s="30"/>
      <c r="OL115" s="30"/>
    </row>
    <row r="116" customFormat="false" ht="14.4" hidden="false" customHeight="false" outlineLevel="0" collapsed="false">
      <c r="A116" s="74"/>
      <c r="D116" s="85" t="s">
        <v>134</v>
      </c>
      <c r="E116" s="86" t="n">
        <f aca="false">IF(AND($F$2="No",$F$3="No"),SUM(I116:L116),IF(AND($F$2="Yes", $F$3="No"), SUM(I116:L116)+N116, IF(AND($F$2="No", $F$3="Yes"),SUM(I116:L116)+M116, SUM(I116:L116)+N116+M116)))</f>
        <v>-0.0382621769320916</v>
      </c>
      <c r="F116" s="87" t="n">
        <f aca="false">IF(AND($F$2="No",$F$3="No"),SUM(H116:L116,O116),IF(AND($F$2="Yes", $F$3="No"), SUM(H116:L116,O116)+N116, IF(AND($F$2="No", $F$3="Yes"),SUM(H116:L116,O116)+M116, SUM(H116:L116,O116)+N116+M116)))</f>
        <v>2.71277009182673</v>
      </c>
      <c r="G116" s="88" t="n">
        <f aca="false">SUM(Q116:S116)/(1-'Common input data'!B$126)</f>
        <v>3.5374796190586</v>
      </c>
      <c r="H116" s="146" t="n">
        <f aca="false">('Input data meat and eggs'!S404*'Input data meat and eggs'!B48+'Input data meat and eggs'!T404*'Input data meat and eggs'!B47+'Input data meat and eggs'!U404*'Input data meat and eggs'!B35+'Input data meat and eggs'!V404*SUMPRODUCT('Input data meat and eggs'!B37:B46,'Input data meat and eggs'!F65:F74))*'Input data meat and eggs'!$E$404/'Input data meat and eggs'!$H$404</f>
        <v>1.99928226875882</v>
      </c>
      <c r="I116" s="146" t="n">
        <v>0</v>
      </c>
      <c r="J116" s="146" t="n">
        <v>0</v>
      </c>
      <c r="K116" s="146" t="n">
        <v>0</v>
      </c>
      <c r="L116" s="146" t="n">
        <v>0</v>
      </c>
      <c r="M116" s="146" t="n">
        <f aca="false">(('Input data meat and eggs'!S404+'Input data meat and eggs'!T404)*'Common input data'!F13+ 'Input data meat and eggs'!U404*'Common input data'!B13+'Input data meat and eggs'!V404*('Input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eggs'!$E$404/'Input data meat and eggs'!$H$404</f>
        <v>-0.0840803236596728</v>
      </c>
      <c r="N116" s="146" t="n">
        <f aca="false">('Input data meat and eggs'!V404*('Input data meat and eggs'!F67*'Common input data'!B21*'Common input data'!G30/'Common input data'!F30+'Input data meat and eggs'!F71*'Common input data'!C21*'Common input data'!J31/'Common input data'!I31))*'Input data meat and eggs'!$E$404/'Input data meat and eggs'!$H$404</f>
        <v>0.0458181467275812</v>
      </c>
      <c r="O116" s="146" t="n">
        <f aca="false">'Input data meat and eggs'!B83*'Common input data'!B63</f>
        <v>0.75175</v>
      </c>
      <c r="P116" s="146" t="n">
        <f aca="false">'Input data meat and eggs'!B92*'Common input data'!B63+'Input data meat and eggs'!C92*3.6*'Common input data'!B49</f>
        <v>0.383411320754717</v>
      </c>
      <c r="Q116" s="146" t="n">
        <f aca="false">(F116+P116)</f>
        <v>3.09618141258145</v>
      </c>
      <c r="R116" s="146" t="n">
        <f aca="false">'Common input data'!B92</f>
        <v>0.1</v>
      </c>
      <c r="S116" s="146" t="n">
        <f aca="false">'Common input data'!C98</f>
        <v>0.03</v>
      </c>
      <c r="T116" s="74"/>
    </row>
    <row r="117" customFormat="false" ht="14.4" hidden="false" customHeight="false" outlineLevel="0" collapsed="false">
      <c r="A117" s="74"/>
      <c r="D117" s="85" t="s">
        <v>135</v>
      </c>
      <c r="E117" s="86" t="n">
        <f aca="false">SUM(I117:L117)</f>
        <v>0.340637334892216</v>
      </c>
      <c r="F117" s="87" t="n">
        <f aca="false">SUM(H117:L117,O117)</f>
        <v>0.341548662527897</v>
      </c>
      <c r="G117" s="88" t="n">
        <f aca="false">SUM(Q117:S117)/(1-'Common input data'!B$126)</f>
        <v>0.374619064754604</v>
      </c>
      <c r="H117" s="146" t="n">
        <f aca="false">('Input data meat and eggs'!S404*'Input data meat and eggs'!C48+'Input data meat and eggs'!T404*'Input data meat and eggs'!C47+'Input data meat and eggs'!U404*'Input data meat and eggs'!C35+'Input data meat and eggs'!V404*SUMPRODUCT('Input data meat and eggs'!C37:C46,'Input data meat and eggs'!F65:F74))*'Input data meat and eggs'!$E$404/'Input data meat and eggs'!$H$404</f>
        <v>0.000911327635680943</v>
      </c>
      <c r="I117" s="146" t="n">
        <v>0</v>
      </c>
      <c r="J117" s="146" t="n">
        <f aca="false">('Input data meat and eggs'!M404*'Input data meat and eggs'!G404/12*'Input data meat and eggs'!$B$450*'Input data meat and eggs'!$B$452*'Input data meat and eggs'!$B$453* ('Input data meat and eggs'!$O$404*'Input data meat and eggs'!$B$443 +'Input data meat and eggs'!$P$404*'Input data meat and eggs'!$C$443+ 'Input data meat and eggs'!$Q$404*'Input data meat and eggs'!$D$443+ 'Input data meat and eggs'!$R$404*'Input data meat and eggs'!$E$443))*'Input data meat and eggs'!$E$404/'Input data meat and eggs'!$H$404</f>
        <v>0.0468010111539951</v>
      </c>
      <c r="K117" s="146" t="n">
        <v>0</v>
      </c>
      <c r="L117" s="146" t="n">
        <f aca="false">('Input data meat and eggs'!L404*'Input data meat and eggs'!G404/12)*'Input data meat and eggs'!$E$404/'Input data meat and eggs'!$H$404</f>
        <v>0.293836323738221</v>
      </c>
      <c r="M117" s="146" t="n">
        <v>0</v>
      </c>
      <c r="N117" s="146" t="n">
        <v>0</v>
      </c>
      <c r="O117" s="146" t="n">
        <v>0</v>
      </c>
      <c r="P117" s="146" t="n">
        <f aca="false">'Input data meat and eggs'!C92*3.6*'Common input data'!B50</f>
        <v>0.000103924528301887</v>
      </c>
      <c r="Q117" s="146" t="n">
        <f aca="false">(F117+P117)</f>
        <v>0.341652587056199</v>
      </c>
      <c r="R117" s="146" t="n">
        <v>0</v>
      </c>
      <c r="S117" s="146" t="n">
        <v>0</v>
      </c>
      <c r="T117" s="74"/>
    </row>
    <row r="118" customFormat="false" ht="14.4" hidden="false" customHeight="false" outlineLevel="0" collapsed="false">
      <c r="A118" s="74"/>
      <c r="D118" s="31" t="s">
        <v>136</v>
      </c>
      <c r="E118" s="86" t="n">
        <f aca="false">SUM(I118:L118)</f>
        <v>0.00964900676547533</v>
      </c>
      <c r="F118" s="87" t="n">
        <f aca="false">SUM(H118:L118,O118)</f>
        <v>0.0121650555947369</v>
      </c>
      <c r="G118" s="88" t="n">
        <f aca="false">SUM(Q118:S118)/(1-'Common input data'!B$126)</f>
        <v>0.0133494996383866</v>
      </c>
      <c r="H118" s="146" t="n">
        <f aca="false">(('Input data meat and eggs'!S404*'Input data meat and eggs'!D48+'Input data meat and eggs'!T404*'Input data meat and eggs'!D47+'Input data meat and eggs'!U404*'Input data meat and eggs'!D35+'Input data meat and eggs'!V404*SUMPRODUCT('Input data meat and eggs'!D37:D46,'Input data meat and eggs'!F65:F74))*'Input data meat and eggs'!B58)*'Input data meat and eggs'!$E$404/'Input data meat and eggs'!$H$404</f>
        <v>0.00251604882926155</v>
      </c>
      <c r="I118" s="146" t="n">
        <f aca="false">(('Input data meat and eggs'!S404*'Input data meat and eggs'!D48+'Input data meat and eggs'!T404*'Input data meat and eggs'!D47+'Input data meat and eggs'!U404*'Input data meat and eggs'!D35+'Input data meat and eggs'!V404*SUMPRODUCT('Input data meat and eggs'!D37:D46,'Input data meat and eggs'!F65:F74))*'Input data meat and eggs'!C58)*'Input data meat and eggs'!$E$404/'Input data meat and eggs'!$H$404</f>
        <v>0.00635955730936227</v>
      </c>
      <c r="J118" s="146" t="n">
        <f aca="false">('Input data meat and eggs'!K404*'Input data meat and eggs'!G404/12*('Input data meat and eggs'!$O$404*'Input data meat and eggs'!$B$445+'Input data meat and eggs'!$P$404*'Input data meat and eggs'!$C$445+'Input data meat and eggs'!$Q$404*'Input data meat and eggs'!$D$445+'Input data meat and eggs'!$R$404*'Input data meat and eggs'!$E$445)*44/28)*'Input data meat and eggs'!$E$404/'Input data meat and eggs'!$H$404</f>
        <v>0.00243284480150364</v>
      </c>
      <c r="K118" s="146" t="n">
        <f aca="false">('Input data meat and eggs'!$B$446*44/28*'Input data meat and eggs'!K404*'Input data meat and eggs'!G404/12*('Input data meat and eggs'!O404*'Input data meat and eggs'!B457+'Input data meat and eggs'!P404*'Input data meat and eggs'!C457+'Input data meat and eggs'!Q404*'Input data meat and eggs'!D457))*'Input data meat and eggs'!$E$404/'Input data meat and eggs'!$H$404</f>
        <v>0.000856604654609431</v>
      </c>
      <c r="L118" s="146" t="n">
        <v>0</v>
      </c>
      <c r="M118" s="146" t="n">
        <v>0</v>
      </c>
      <c r="N118" s="146" t="n">
        <v>0</v>
      </c>
      <c r="O118" s="146" t="n">
        <v>0</v>
      </c>
      <c r="P118" s="146" t="n">
        <f aca="false">'Input data meat and eggs'!C92*3.6*'Common input data'!B51</f>
        <v>9.68807547169811E-006</v>
      </c>
      <c r="Q118" s="146" t="n">
        <f aca="false">(F118+P118)</f>
        <v>0.0121747436702086</v>
      </c>
      <c r="R118" s="146" t="n">
        <v>0</v>
      </c>
      <c r="S118" s="146" t="n">
        <v>0</v>
      </c>
      <c r="T118" s="74"/>
    </row>
    <row r="119" s="83" customFormat="true" ht="14.4" hidden="false" customHeight="false" outlineLevel="0" collapsed="false">
      <c r="A119" s="176"/>
      <c r="B119" s="84" t="s">
        <v>159</v>
      </c>
      <c r="C119" s="97" t="n">
        <f aca="false">'Input data meat and eggs'!D8</f>
        <v>0.0155299033327312</v>
      </c>
      <c r="D119" s="78" t="s">
        <v>133</v>
      </c>
      <c r="E119" s="94" t="n">
        <f aca="false">IF($F$1="GWP100 without fb",E120+E121*'Common input data'!$C$5+E122*'Common input data'!$D$5,IF($F$1="GWP100 with fb",E120+E121*'Common input data'!$C$6+E122*'Common input data'!$D$6,IF($F$1="GTP100 without fb",E120+E121*'Common input data'!$C$7+E122*'Common input data'!$D$7,IF($F$1="GTP100 with fb",E120+E121*'Common input data'!$C$8+E122*'Common input data'!$D$8,E120+E121*'Common input data'!$C$9+E122*'Common input data'!$D$9))))</f>
        <v>18.1017718794176</v>
      </c>
      <c r="F119" s="95" t="n">
        <f aca="false">IF($F$1="GWP100 without fb",F120+F121*'Common input data'!$C$5+F122*'Common input data'!$D$5,IF($F$1="GWP100 with fb",F120+F121*'Common input data'!$C$6+F122*'Common input data'!$D$6,IF($F$1="GTP100 without fb",F120+F121*'Common input data'!$C$7+F122*'Common input data'!$D$7,IF($F$1="GTP100 with fb",F120+F121*'Common input data'!$C$8+F122*'Common input data'!$D$8,F120+F121*'Common input data'!$C$9+F122*'Common input data'!$D$9))))</f>
        <v>21.6429500949452</v>
      </c>
      <c r="G119" s="96" t="n">
        <f aca="false">IF($F$1="GWP100 without fb",G120+G121*'Common input data'!$C$5+G122*'Common input data'!$D$5,IF($F$1="GWP100 with fb",G120+G121*'Common input data'!$C$6+G122*'Common input data'!$D$6,IF($F$1="GTP100 without fb",G120+G121*'Common input data'!$C$7+G122*'Common input data'!$D$7,IF($F$1="GTP100 with fb",G120+G121*'Common input data'!$C$8+G122*'Common input data'!$D$8,G120+G121*'Common input data'!$C$9+G122*'Common input data'!$D$9))))</f>
        <v>24.3012959387639</v>
      </c>
      <c r="H119" s="180"/>
      <c r="I119" s="180"/>
      <c r="J119" s="180"/>
      <c r="K119" s="180"/>
      <c r="L119" s="180"/>
      <c r="M119" s="180"/>
      <c r="N119" s="180"/>
      <c r="O119" s="180"/>
      <c r="P119" s="180"/>
      <c r="Q119" s="180"/>
      <c r="R119" s="180"/>
      <c r="S119" s="180"/>
      <c r="T119" s="74"/>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c r="GL119" s="30"/>
      <c r="GM119" s="30"/>
      <c r="GN119" s="30"/>
      <c r="GO119" s="30"/>
      <c r="GP119" s="30"/>
      <c r="GQ119" s="30"/>
      <c r="GR119" s="30"/>
      <c r="GS119" s="30"/>
      <c r="GT119" s="30"/>
      <c r="GU119" s="30"/>
      <c r="GV119" s="30"/>
      <c r="GW119" s="30"/>
      <c r="GX119" s="30"/>
      <c r="GY119" s="30"/>
      <c r="GZ119" s="30"/>
      <c r="HA119" s="30"/>
      <c r="HB119" s="30"/>
      <c r="HC119" s="30"/>
      <c r="HD119" s="30"/>
      <c r="HE119" s="30"/>
      <c r="HF119" s="30"/>
      <c r="HG119" s="30"/>
      <c r="HH119" s="30"/>
      <c r="HI119" s="30"/>
      <c r="HJ119" s="30"/>
      <c r="HK119" s="30"/>
      <c r="HL119" s="30"/>
      <c r="HM119" s="30"/>
      <c r="HN119" s="30"/>
      <c r="HO119" s="30"/>
      <c r="HP119" s="30"/>
      <c r="HQ119" s="30"/>
      <c r="HR119" s="30"/>
      <c r="HS119" s="30"/>
      <c r="HT119" s="30"/>
      <c r="HU119" s="30"/>
      <c r="HV119" s="30"/>
      <c r="HW119" s="30"/>
      <c r="HX119" s="30"/>
      <c r="HY119" s="30"/>
      <c r="HZ119" s="30"/>
      <c r="IA119" s="30"/>
      <c r="IB119" s="30"/>
      <c r="IC119" s="30"/>
      <c r="ID119" s="30"/>
      <c r="IE119" s="30"/>
      <c r="IF119" s="30"/>
      <c r="IG119" s="30"/>
      <c r="IH119" s="30"/>
      <c r="II119" s="30"/>
      <c r="IJ119" s="30"/>
      <c r="IK119" s="30"/>
      <c r="IL119" s="30"/>
      <c r="IM119" s="30"/>
      <c r="IN119" s="30"/>
      <c r="IO119" s="30"/>
      <c r="IP119" s="30"/>
      <c r="IQ119" s="30"/>
      <c r="IR119" s="30"/>
      <c r="IS119" s="30"/>
      <c r="IT119" s="30"/>
      <c r="IU119" s="30"/>
      <c r="IV119" s="30"/>
      <c r="IW119" s="30"/>
      <c r="IX119" s="30"/>
      <c r="IY119" s="30"/>
      <c r="IZ119" s="30"/>
      <c r="JA119" s="30"/>
      <c r="JB119" s="30"/>
      <c r="JC119" s="30"/>
      <c r="JD119" s="30"/>
      <c r="JE119" s="30"/>
      <c r="JF119" s="30"/>
      <c r="JG119" s="30"/>
      <c r="JH119" s="30"/>
      <c r="JI119" s="30"/>
      <c r="JJ119" s="30"/>
      <c r="JK119" s="30"/>
      <c r="JL119" s="30"/>
      <c r="JM119" s="30"/>
      <c r="JN119" s="30"/>
      <c r="JO119" s="30"/>
      <c r="JP119" s="30"/>
      <c r="JQ119" s="30"/>
      <c r="JR119" s="30"/>
      <c r="JS119" s="30"/>
      <c r="JT119" s="30"/>
      <c r="JU119" s="30"/>
      <c r="JV119" s="30"/>
      <c r="JW119" s="30"/>
      <c r="JX119" s="30"/>
      <c r="JY119" s="30"/>
      <c r="JZ119" s="30"/>
      <c r="KA119" s="30"/>
      <c r="KB119" s="30"/>
      <c r="KC119" s="30"/>
      <c r="KD119" s="30"/>
      <c r="KE119" s="30"/>
      <c r="KF119" s="30"/>
      <c r="KG119" s="30"/>
      <c r="KH119" s="30"/>
      <c r="KI119" s="30"/>
      <c r="KJ119" s="30"/>
      <c r="KK119" s="30"/>
      <c r="KL119" s="30"/>
      <c r="KM119" s="30"/>
      <c r="KN119" s="30"/>
      <c r="KO119" s="30"/>
      <c r="KP119" s="30"/>
      <c r="KQ119" s="30"/>
      <c r="KR119" s="30"/>
      <c r="KS119" s="30"/>
      <c r="KT119" s="30"/>
      <c r="KU119" s="30"/>
      <c r="KV119" s="30"/>
      <c r="KW119" s="30"/>
      <c r="KX119" s="30"/>
      <c r="KY119" s="30"/>
      <c r="KZ119" s="30"/>
      <c r="LA119" s="30"/>
      <c r="LB119" s="30"/>
      <c r="LC119" s="30"/>
      <c r="LD119" s="30"/>
      <c r="LE119" s="30"/>
      <c r="LF119" s="30"/>
      <c r="LG119" s="30"/>
      <c r="LH119" s="30"/>
      <c r="LI119" s="30"/>
      <c r="LJ119" s="30"/>
      <c r="LK119" s="30"/>
      <c r="LL119" s="30"/>
      <c r="LM119" s="30"/>
      <c r="LN119" s="30"/>
      <c r="LO119" s="30"/>
      <c r="LP119" s="30"/>
      <c r="LQ119" s="30"/>
      <c r="LR119" s="30"/>
      <c r="LS119" s="30"/>
      <c r="LT119" s="30"/>
      <c r="LU119" s="30"/>
      <c r="LV119" s="30"/>
      <c r="LW119" s="30"/>
      <c r="LX119" s="30"/>
      <c r="LY119" s="30"/>
      <c r="LZ119" s="30"/>
      <c r="MA119" s="30"/>
      <c r="MB119" s="30"/>
      <c r="MC119" s="30"/>
      <c r="MD119" s="30"/>
      <c r="ME119" s="30"/>
      <c r="MF119" s="30"/>
      <c r="MG119" s="30"/>
      <c r="MH119" s="30"/>
      <c r="MI119" s="30"/>
      <c r="MJ119" s="30"/>
      <c r="MK119" s="30"/>
      <c r="ML119" s="30"/>
      <c r="MM119" s="30"/>
      <c r="MN119" s="30"/>
      <c r="MO119" s="30"/>
      <c r="MP119" s="30"/>
      <c r="MQ119" s="30"/>
      <c r="MR119" s="30"/>
      <c r="MS119" s="30"/>
      <c r="MT119" s="30"/>
      <c r="MU119" s="30"/>
      <c r="MV119" s="30"/>
      <c r="MW119" s="30"/>
      <c r="MX119" s="30"/>
      <c r="MY119" s="30"/>
      <c r="MZ119" s="30"/>
      <c r="NA119" s="30"/>
      <c r="NB119" s="30"/>
      <c r="NC119" s="30"/>
      <c r="ND119" s="30"/>
      <c r="NE119" s="30"/>
      <c r="NF119" s="30"/>
      <c r="NG119" s="30"/>
      <c r="NH119" s="30"/>
      <c r="NI119" s="30"/>
      <c r="NJ119" s="30"/>
      <c r="NK119" s="30"/>
      <c r="NL119" s="30"/>
      <c r="NM119" s="30"/>
      <c r="NN119" s="30"/>
      <c r="NO119" s="30"/>
      <c r="NP119" s="30"/>
      <c r="NQ119" s="30"/>
      <c r="NR119" s="30"/>
      <c r="NS119" s="30"/>
      <c r="NT119" s="30"/>
      <c r="NU119" s="30"/>
      <c r="NV119" s="30"/>
      <c r="NW119" s="30"/>
      <c r="NX119" s="30"/>
      <c r="NY119" s="30"/>
      <c r="NZ119" s="30"/>
      <c r="OA119" s="30"/>
      <c r="OB119" s="30"/>
      <c r="OC119" s="30"/>
      <c r="OD119" s="30"/>
      <c r="OE119" s="30"/>
      <c r="OF119" s="30"/>
      <c r="OG119" s="30"/>
      <c r="OH119" s="30"/>
      <c r="OI119" s="30"/>
      <c r="OJ119" s="30"/>
      <c r="OK119" s="30"/>
      <c r="OL119" s="30"/>
    </row>
    <row r="120" customFormat="false" ht="14.4" hidden="false" customHeight="false" outlineLevel="0" collapsed="false">
      <c r="A120" s="74"/>
      <c r="D120" s="85" t="s">
        <v>134</v>
      </c>
      <c r="E120" s="86" t="n">
        <f aca="false">IF(AND($F$2="No",$F$3="No"),SUM(I120:L120),IF(AND($F$2="Yes", $F$3="No"), SUM(I120:L120)+N120, IF(AND($F$2="No", $F$3="Yes"),SUM(I120:L120)+M120, SUM(I120:L120)+N120+M120)))</f>
        <v>-0.0343318465428033</v>
      </c>
      <c r="F120" s="87" t="n">
        <f aca="false">IF(AND($F$2="No",$F$3="No"),SUM(H120:L120,O120),IF(AND($F$2="Yes", $F$3="No"), SUM(H120:L120,O120)+N120, IF(AND($F$2="No", $F$3="Yes"),SUM(H120:L120,O120)+M120, SUM(H120:L120,O120)+N120+M120)))</f>
        <v>2.72404878062681</v>
      </c>
      <c r="G120" s="88" t="n">
        <f aca="false">SUM(Q120:S120)/(1-'Common input data'!B$126)</f>
        <v>3.54984660239202</v>
      </c>
      <c r="H120" s="146" t="n">
        <f aca="false">('Input data meat and eggs'!S405*'Input data meat and eggs'!B48+'Input data meat and eggs'!T405*'Input data meat and eggs'!B47+'Input data meat and eggs'!U405*'Input data meat and eggs'!B35+'Input data meat and eggs'!V405*SUMPRODUCT('Input data meat and eggs'!B37:B46,'Input data meat and eggs'!F65:F74))*'Input data meat and eggs'!$E$405/'Input data meat and eggs'!$H$405</f>
        <v>2.00663062716961</v>
      </c>
      <c r="I120" s="146" t="n">
        <v>0</v>
      </c>
      <c r="J120" s="146" t="n">
        <v>0</v>
      </c>
      <c r="K120" s="146" t="n">
        <v>0</v>
      </c>
      <c r="L120" s="146" t="n">
        <v>0</v>
      </c>
      <c r="M120" s="146" t="n">
        <f aca="false">(('Input data meat and eggs'!S405+'Input data meat and eggs'!T405)*'Common input data'!F13+ 'Input data meat and eggs'!U405*'Common input data'!B13+'Input data meat and eggs'!V405*('Input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eggs'!$E$405/'Input data meat and eggs'!$H$405</f>
        <v>-0.0823215509696622</v>
      </c>
      <c r="N120" s="146" t="n">
        <f aca="false">('Input data meat and eggs'!V405*('Input data meat and eggs'!F67*'Common input data'!B21*'Common input data'!G30/'Common input data'!F30+'Input data meat and eggs'!F71*'Common input data'!C21*'Common input data'!J31/'Common input data'!I31))*'Input data meat and eggs'!$E$405/'Input data meat and eggs'!$H$405</f>
        <v>0.0479897044268589</v>
      </c>
      <c r="O120" s="146" t="n">
        <f aca="false">'Input data meat and eggs'!B83*'Common input data'!B63</f>
        <v>0.75175</v>
      </c>
      <c r="P120" s="146" t="n">
        <f aca="false">'Input data meat and eggs'!B92*'Common input data'!B63+'Input data meat and eggs'!C92*3.6*'Common input data'!B49</f>
        <v>0.383411320754717</v>
      </c>
      <c r="Q120" s="146" t="n">
        <f aca="false">(F120+P120)</f>
        <v>3.10746010138152</v>
      </c>
      <c r="R120" s="146" t="n">
        <f aca="false">'Common input data'!B92</f>
        <v>0.1</v>
      </c>
      <c r="S120" s="146" t="n">
        <f aca="false">'Common input data'!C98</f>
        <v>0.03</v>
      </c>
      <c r="T120" s="74"/>
    </row>
    <row r="121" customFormat="false" ht="14.4" hidden="false" customHeight="false" outlineLevel="0" collapsed="false">
      <c r="A121" s="74"/>
      <c r="D121" s="85" t="s">
        <v>135</v>
      </c>
      <c r="E121" s="86" t="n">
        <f aca="false">SUM(I121:L121)</f>
        <v>0.440305254361555</v>
      </c>
      <c r="F121" s="87" t="n">
        <f aca="false">SUM(H121:L121,O121)</f>
        <v>0.441235493337702</v>
      </c>
      <c r="G121" s="88" t="n">
        <f aca="false">SUM(Q121:S121)/(1-'Common input data'!B$126)</f>
        <v>0.483924800291671</v>
      </c>
      <c r="H121" s="146" t="n">
        <f aca="false">('Input data meat and eggs'!S405*'Input data meat and eggs'!C48+'Input data meat and eggs'!T405*'Input data meat and eggs'!C47+'Input data meat and eggs'!U405*'Input data meat and eggs'!C35+'Input data meat and eggs'!V405*SUMPRODUCT('Input data meat and eggs'!C37:C46,'Input data meat and eggs'!F65:F74))*'Input data meat and eggs'!$E$405/'Input data meat and eggs'!$H$405</f>
        <v>0.000930238976146766</v>
      </c>
      <c r="I121" s="146" t="n">
        <v>0</v>
      </c>
      <c r="J121" s="146" t="n">
        <f aca="false">('Input data meat and eggs'!M405*'Input data meat and eggs'!G405/12*'Input data meat and eggs'!$B$450*'Input data meat and eggs'!$B$452*'Input data meat and eggs'!$B$453* ('Input data meat and eggs'!$O$405*'Input data meat and eggs'!$B$443 +'Input data meat and eggs'!$P$405*'Input data meat and eggs'!$C$443+ 'Input data meat and eggs'!$Q$405*'Input data meat and eggs'!$D$443+ 'Input data meat and eggs'!$R$405*'Input data meat and eggs'!$E$443))*'Input data meat and eggs'!$E$405/'Input data meat and eggs'!$H$405</f>
        <v>0.0604946346443737</v>
      </c>
      <c r="K121" s="146" t="n">
        <v>0</v>
      </c>
      <c r="L121" s="146" t="n">
        <f aca="false">('Input data meat and eggs'!L405*'Input data meat and eggs'!G405/12)*'Input data meat and eggs'!$E$405/'Input data meat and eggs'!$H$405</f>
        <v>0.379810619717181</v>
      </c>
      <c r="M121" s="146" t="n">
        <v>0</v>
      </c>
      <c r="N121" s="146" t="n">
        <v>0</v>
      </c>
      <c r="O121" s="146" t="n">
        <v>0</v>
      </c>
      <c r="P121" s="146" t="n">
        <f aca="false">'Input data meat and eggs'!C92*3.6*'Common input data'!B50</f>
        <v>0.000103924528301887</v>
      </c>
      <c r="Q121" s="146" t="n">
        <f aca="false">(F121+P121)</f>
        <v>0.441339417866004</v>
      </c>
      <c r="R121" s="146" t="n">
        <v>0</v>
      </c>
      <c r="S121" s="146" t="n">
        <v>0</v>
      </c>
      <c r="T121" s="74"/>
    </row>
    <row r="122" customFormat="false" ht="14.4" hidden="false" customHeight="false" outlineLevel="0" collapsed="false">
      <c r="A122" s="74"/>
      <c r="D122" s="31" t="s">
        <v>136</v>
      </c>
      <c r="E122" s="86" t="n">
        <f aca="false">SUM(I122:L122)</f>
        <v>0.0106232385156629</v>
      </c>
      <c r="F122" s="87" t="n">
        <f aca="false">SUM(H122:L122,O122)</f>
        <v>0.013143941412203</v>
      </c>
      <c r="G122" s="88" t="n">
        <f aca="false">SUM(Q122:S122)/(1-'Common input data'!B$126)</f>
        <v>0.0144228393505205</v>
      </c>
      <c r="H122" s="146" t="n">
        <f aca="false">(('Input data meat and eggs'!S405*'Input data meat and eggs'!D48+'Input data meat and eggs'!T405*'Input data meat and eggs'!D47+'Input data meat and eggs'!U405*'Input data meat and eggs'!D35+'Input data meat and eggs'!V405*SUMPRODUCT('Input data meat and eggs'!D37:D46,'Input data meat and eggs'!F65:F74))*'Input data meat and eggs'!B58)*'Input data meat and eggs'!$E$405/'Input data meat and eggs'!$H$405</f>
        <v>0.00252070289654012</v>
      </c>
      <c r="I122" s="146" t="n">
        <f aca="false">(('Input data meat and eggs'!S405*'Input data meat and eggs'!D48+'Input data meat and eggs'!T405*'Input data meat and eggs'!D47+'Input data meat and eggs'!U405*'Input data meat and eggs'!D35+'Input data meat and eggs'!V405*SUMPRODUCT('Input data meat and eggs'!D37:D46,'Input data meat and eggs'!F65:F74))*'Input data meat and eggs'!C58)*'Input data meat and eggs'!$E$405/'Input data meat and eggs'!$H$405</f>
        <v>0.00637132091555123</v>
      </c>
      <c r="J122" s="146" t="n">
        <f aca="false">('Input data meat and eggs'!K405*'Input data meat and eggs'!G405/12*('Input data meat and eggs'!$O$405*'Input data meat and eggs'!$B$445+'Input data meat and eggs'!$P$405*'Input data meat and eggs'!$C$445+'Input data meat and eggs'!$Q$405*'Input data meat and eggs'!$D$445+'Input data meat and eggs'!$R$405*'Input data meat and eggs'!$E$445)*44/28)*'Input data meat and eggs'!$E$405/'Input data meat and eggs'!$H$405</f>
        <v>0.00314467687309493</v>
      </c>
      <c r="K122" s="146" t="n">
        <f aca="false">('Input data meat and eggs'!$B$446*44/28*'Input data meat and eggs'!K405*'Input data meat and eggs'!G405/12*('Input data meat and eggs'!O405*'Input data meat and eggs'!B457+'Input data meat and eggs'!P405*'Input data meat and eggs'!C457+'Input data meat and eggs'!Q405*'Input data meat and eggs'!D457))*'Input data meat and eggs'!$E$405/'Input data meat and eggs'!$H$405</f>
        <v>0.00110724072701673</v>
      </c>
      <c r="L122" s="146" t="n">
        <v>0</v>
      </c>
      <c r="M122" s="146" t="n">
        <v>0</v>
      </c>
      <c r="N122" s="146" t="n">
        <v>0</v>
      </c>
      <c r="O122" s="146" t="n">
        <v>0</v>
      </c>
      <c r="P122" s="146" t="n">
        <f aca="false">'Input data meat and eggs'!C92*3.6*'Common input data'!B51</f>
        <v>9.68807547169811E-006</v>
      </c>
      <c r="Q122" s="146" t="n">
        <f aca="false">(F122+P122)</f>
        <v>0.0131536294876747</v>
      </c>
      <c r="R122" s="146" t="n">
        <v>0</v>
      </c>
      <c r="S122" s="146" t="n">
        <v>0</v>
      </c>
      <c r="T122" s="74"/>
    </row>
    <row r="123" s="83" customFormat="true" ht="14.4" hidden="false" customHeight="false" outlineLevel="0" collapsed="false">
      <c r="A123" s="176"/>
      <c r="B123" s="84" t="s">
        <v>160</v>
      </c>
      <c r="C123" s="97" t="n">
        <f aca="false">'Input data meat and eggs'!D9</f>
        <v>0.0327955066382389</v>
      </c>
      <c r="D123" s="78" t="s">
        <v>133</v>
      </c>
      <c r="E123" s="94" t="n">
        <f aca="false">IF($F$1="GWP100 without fb",E124+E125*'Common input data'!$C$5+E126*'Common input data'!$D$5,IF($F$1="GWP100 with fb",E124+E125*'Common input data'!$C$6+E126*'Common input data'!$D$6,IF($F$1="GTP100 without fb",E124+E125*'Common input data'!$C$7+E126*'Common input data'!$D$7,IF($F$1="GTP100 with fb",E124+E125*'Common input data'!$C$8+E126*'Common input data'!$D$8,E124+E125*'Common input data'!$C$9+E126*'Common input data'!$D$9))))</f>
        <v>17.8210662919302</v>
      </c>
      <c r="F123" s="95" t="n">
        <f aca="false">IF($F$1="GWP100 without fb",F124+F125*'Common input data'!$C$5+F126*'Common input data'!$D$5,IF($F$1="GWP100 with fb",F124+F125*'Common input data'!$C$6+F126*'Common input data'!$D$6,IF($F$1="GTP100 without fb",F124+F125*'Common input data'!$C$7+F126*'Common input data'!$D$7,IF($F$1="GTP100 with fb",F124+F125*'Common input data'!$C$8+F126*'Common input data'!$D$8,F124+F125*'Common input data'!$C$9+F126*'Common input data'!$D$9))))</f>
        <v>20.9862253906737</v>
      </c>
      <c r="G123" s="96" t="n">
        <f aca="false">IF($F$1="GWP100 without fb",G124+G125*'Common input data'!$C$5+G126*'Common input data'!$D$5,IF($F$1="GWP100 with fb",G124+G125*'Common input data'!$C$6+G126*'Common input data'!$D$6,IF($F$1="GTP100 without fb",G124+G125*'Common input data'!$C$7+G126*'Common input data'!$D$7,IF($F$1="GTP100 with fb",G124+G125*'Common input data'!$C$8+G126*'Common input data'!$D$8,G124+G125*'Common input data'!$C$9+G126*'Common input data'!$D$9))))</f>
        <v>23.5812030612733</v>
      </c>
      <c r="H123" s="180"/>
      <c r="I123" s="180"/>
      <c r="J123" s="180"/>
      <c r="K123" s="180"/>
      <c r="L123" s="180"/>
      <c r="M123" s="180"/>
      <c r="N123" s="180"/>
      <c r="O123" s="180"/>
      <c r="P123" s="180"/>
      <c r="Q123" s="180"/>
      <c r="R123" s="180"/>
      <c r="S123" s="180"/>
      <c r="T123" s="74"/>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c r="FR123" s="30"/>
      <c r="FS123" s="30"/>
      <c r="FT123" s="30"/>
      <c r="FU123" s="30"/>
      <c r="FV123" s="30"/>
      <c r="FW123" s="30"/>
      <c r="FX123" s="30"/>
      <c r="FY123" s="30"/>
      <c r="FZ123" s="30"/>
      <c r="GA123" s="30"/>
      <c r="GB123" s="30"/>
      <c r="GC123" s="30"/>
      <c r="GD123" s="30"/>
      <c r="GE123" s="30"/>
      <c r="GF123" s="30"/>
      <c r="GG123" s="30"/>
      <c r="GH123" s="30"/>
      <c r="GI123" s="30"/>
      <c r="GJ123" s="30"/>
      <c r="GK123" s="30"/>
      <c r="GL123" s="30"/>
      <c r="GM123" s="30"/>
      <c r="GN123" s="30"/>
      <c r="GO123" s="30"/>
      <c r="GP123" s="30"/>
      <c r="GQ123" s="30"/>
      <c r="GR123" s="30"/>
      <c r="GS123" s="30"/>
      <c r="GT123" s="30"/>
      <c r="GU123" s="30"/>
      <c r="GV123" s="30"/>
      <c r="GW123" s="30"/>
      <c r="GX123" s="30"/>
      <c r="GY123" s="30"/>
      <c r="GZ123" s="30"/>
      <c r="HA123" s="30"/>
      <c r="HB123" s="30"/>
      <c r="HC123" s="30"/>
      <c r="HD123" s="30"/>
      <c r="HE123" s="30"/>
      <c r="HF123" s="30"/>
      <c r="HG123" s="30"/>
      <c r="HH123" s="30"/>
      <c r="HI123" s="30"/>
      <c r="HJ123" s="30"/>
      <c r="HK123" s="30"/>
      <c r="HL123" s="30"/>
      <c r="HM123" s="30"/>
      <c r="HN123" s="30"/>
      <c r="HO123" s="30"/>
      <c r="HP123" s="30"/>
      <c r="HQ123" s="30"/>
      <c r="HR123" s="30"/>
      <c r="HS123" s="30"/>
      <c r="HT123" s="30"/>
      <c r="HU123" s="30"/>
      <c r="HV123" s="30"/>
      <c r="HW123" s="30"/>
      <c r="HX123" s="30"/>
      <c r="HY123" s="30"/>
      <c r="HZ123" s="30"/>
      <c r="IA123" s="30"/>
      <c r="IB123" s="30"/>
      <c r="IC123" s="30"/>
      <c r="ID123" s="30"/>
      <c r="IE123" s="30"/>
      <c r="IF123" s="30"/>
      <c r="IG123" s="30"/>
      <c r="IH123" s="30"/>
      <c r="II123" s="30"/>
      <c r="IJ123" s="30"/>
      <c r="IK123" s="30"/>
      <c r="IL123" s="30"/>
      <c r="IM123" s="30"/>
      <c r="IN123" s="30"/>
      <c r="IO123" s="30"/>
      <c r="IP123" s="30"/>
      <c r="IQ123" s="30"/>
      <c r="IR123" s="30"/>
      <c r="IS123" s="30"/>
      <c r="IT123" s="30"/>
      <c r="IU123" s="30"/>
      <c r="IV123" s="30"/>
      <c r="IW123" s="30"/>
      <c r="IX123" s="30"/>
      <c r="IY123" s="30"/>
      <c r="IZ123" s="30"/>
      <c r="JA123" s="30"/>
      <c r="JB123" s="30"/>
      <c r="JC123" s="30"/>
      <c r="JD123" s="30"/>
      <c r="JE123" s="30"/>
      <c r="JF123" s="30"/>
      <c r="JG123" s="30"/>
      <c r="JH123" s="30"/>
      <c r="JI123" s="30"/>
      <c r="JJ123" s="30"/>
      <c r="JK123" s="30"/>
      <c r="JL123" s="30"/>
      <c r="JM123" s="30"/>
      <c r="JN123" s="30"/>
      <c r="JO123" s="30"/>
      <c r="JP123" s="30"/>
      <c r="JQ123" s="30"/>
      <c r="JR123" s="30"/>
      <c r="JS123" s="30"/>
      <c r="JT123" s="30"/>
      <c r="JU123" s="30"/>
      <c r="JV123" s="30"/>
      <c r="JW123" s="30"/>
      <c r="JX123" s="30"/>
      <c r="JY123" s="30"/>
      <c r="JZ123" s="30"/>
      <c r="KA123" s="30"/>
      <c r="KB123" s="30"/>
      <c r="KC123" s="30"/>
      <c r="KD123" s="30"/>
      <c r="KE123" s="30"/>
      <c r="KF123" s="30"/>
      <c r="KG123" s="30"/>
      <c r="KH123" s="30"/>
      <c r="KI123" s="30"/>
      <c r="KJ123" s="30"/>
      <c r="KK123" s="30"/>
      <c r="KL123" s="30"/>
      <c r="KM123" s="30"/>
      <c r="KN123" s="30"/>
      <c r="KO123" s="30"/>
      <c r="KP123" s="30"/>
      <c r="KQ123" s="30"/>
      <c r="KR123" s="30"/>
      <c r="KS123" s="30"/>
      <c r="KT123" s="30"/>
      <c r="KU123" s="30"/>
      <c r="KV123" s="30"/>
      <c r="KW123" s="30"/>
      <c r="KX123" s="30"/>
      <c r="KY123" s="30"/>
      <c r="KZ123" s="30"/>
      <c r="LA123" s="30"/>
      <c r="LB123" s="30"/>
      <c r="LC123" s="30"/>
      <c r="LD123" s="30"/>
      <c r="LE123" s="30"/>
      <c r="LF123" s="30"/>
      <c r="LG123" s="30"/>
      <c r="LH123" s="30"/>
      <c r="LI123" s="30"/>
      <c r="LJ123" s="30"/>
      <c r="LK123" s="30"/>
      <c r="LL123" s="30"/>
      <c r="LM123" s="30"/>
      <c r="LN123" s="30"/>
      <c r="LO123" s="30"/>
      <c r="LP123" s="30"/>
      <c r="LQ123" s="30"/>
      <c r="LR123" s="30"/>
      <c r="LS123" s="30"/>
      <c r="LT123" s="30"/>
      <c r="LU123" s="30"/>
      <c r="LV123" s="30"/>
      <c r="LW123" s="30"/>
      <c r="LX123" s="30"/>
      <c r="LY123" s="30"/>
      <c r="LZ123" s="30"/>
      <c r="MA123" s="30"/>
      <c r="MB123" s="30"/>
      <c r="MC123" s="30"/>
      <c r="MD123" s="30"/>
      <c r="ME123" s="30"/>
      <c r="MF123" s="30"/>
      <c r="MG123" s="30"/>
      <c r="MH123" s="30"/>
      <c r="MI123" s="30"/>
      <c r="MJ123" s="30"/>
      <c r="MK123" s="30"/>
      <c r="ML123" s="30"/>
      <c r="MM123" s="30"/>
      <c r="MN123" s="30"/>
      <c r="MO123" s="30"/>
      <c r="MP123" s="30"/>
      <c r="MQ123" s="30"/>
      <c r="MR123" s="30"/>
      <c r="MS123" s="30"/>
      <c r="MT123" s="30"/>
      <c r="MU123" s="30"/>
      <c r="MV123" s="30"/>
      <c r="MW123" s="30"/>
      <c r="MX123" s="30"/>
      <c r="MY123" s="30"/>
      <c r="MZ123" s="30"/>
      <c r="NA123" s="30"/>
      <c r="NB123" s="30"/>
      <c r="NC123" s="30"/>
      <c r="ND123" s="30"/>
      <c r="NE123" s="30"/>
      <c r="NF123" s="30"/>
      <c r="NG123" s="30"/>
      <c r="NH123" s="30"/>
      <c r="NI123" s="30"/>
      <c r="NJ123" s="30"/>
      <c r="NK123" s="30"/>
      <c r="NL123" s="30"/>
      <c r="NM123" s="30"/>
      <c r="NN123" s="30"/>
      <c r="NO123" s="30"/>
      <c r="NP123" s="30"/>
      <c r="NQ123" s="30"/>
      <c r="NR123" s="30"/>
      <c r="NS123" s="30"/>
      <c r="NT123" s="30"/>
      <c r="NU123" s="30"/>
      <c r="NV123" s="30"/>
      <c r="NW123" s="30"/>
      <c r="NX123" s="30"/>
      <c r="NY123" s="30"/>
      <c r="NZ123" s="30"/>
      <c r="OA123" s="30"/>
      <c r="OB123" s="30"/>
      <c r="OC123" s="30"/>
      <c r="OD123" s="30"/>
      <c r="OE123" s="30"/>
      <c r="OF123" s="30"/>
      <c r="OG123" s="30"/>
      <c r="OH123" s="30"/>
      <c r="OI123" s="30"/>
      <c r="OJ123" s="30"/>
      <c r="OK123" s="30"/>
      <c r="OL123" s="30"/>
    </row>
    <row r="124" customFormat="false" ht="14.4" hidden="false" customHeight="false" outlineLevel="0" collapsed="false">
      <c r="A124" s="74"/>
      <c r="D124" s="85" t="s">
        <v>134</v>
      </c>
      <c r="E124" s="86" t="n">
        <f aca="false">IF(AND($F$2="No",$F$3="No"),SUM(I124:L124),IF(AND($F$2="Yes", $F$3="No"), SUM(I124:L124)+N124, IF(AND($F$2="No", $F$3="Yes"),SUM(I124:L124)+M124, SUM(I124:L124)+N124+M124)))</f>
        <v>-1.49904074822517</v>
      </c>
      <c r="F124" s="87" t="n">
        <f aca="false">IF(AND($F$2="No",$F$3="No"),SUM(H124:L124,O124),IF(AND($F$2="Yes", $F$3="No"), SUM(H124:L124,O124)+N124, IF(AND($F$2="No", $F$3="Yes"),SUM(H124:L124,O124)+M124, SUM(H124:L124,O124)+N124+M124)))</f>
        <v>1.06821040479698</v>
      </c>
      <c r="G124" s="88" t="n">
        <f aca="false">SUM(Q124:S124)/(1-'Common input data'!B$126)</f>
        <v>1.73423434819265</v>
      </c>
      <c r="H124" s="146" t="n">
        <f aca="false">('Input data meat and eggs'!S406*'Input data meat and eggs'!B48+'Input data meat and eggs'!T406*'Input data meat and eggs'!B47+'Input data meat and eggs'!U406*'Input data meat and eggs'!B35+'Input data meat and eggs'!V406*SUMPRODUCT('Input data meat and eggs'!B37:B46,'Input data meat and eggs'!F65:F74))*'Input data meat and eggs'!$E$406/'Input data meat and eggs'!$H$406</f>
        <v>1.81550115302214</v>
      </c>
      <c r="I124" s="146" t="n">
        <v>0</v>
      </c>
      <c r="J124" s="146" t="n">
        <v>0</v>
      </c>
      <c r="K124" s="146" t="n">
        <v>0</v>
      </c>
      <c r="L124" s="146" t="n">
        <v>0</v>
      </c>
      <c r="M124" s="146" t="n">
        <f aca="false">(('Input data meat and eggs'!S406+'Input data meat and eggs'!T406)*'Common input data'!F13+ 'Input data meat and eggs'!U406*'Common input data'!B13+'Input data meat and eggs'!V406*('Input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eggs'!$E$406/'Input data meat and eggs'!$H$406</f>
        <v>-1.51617334706186</v>
      </c>
      <c r="N124" s="146" t="n">
        <f aca="false">('Input data meat and eggs'!V406*('Input data meat and eggs'!F67*'Common input data'!B21*'Common input data'!G30/'Common input data'!F30+'Input data meat and eggs'!F71*'Common input data'!C21*'Common input data'!J31/'Common input data'!I31))*'Input data meat and eggs'!$E$406/'Input data meat and eggs'!$H$406</f>
        <v>0.0171325988366914</v>
      </c>
      <c r="O124" s="146" t="n">
        <f aca="false">'Input data meat and eggs'!B83*'Common input data'!B63</f>
        <v>0.75175</v>
      </c>
      <c r="P124" s="146" t="n">
        <f aca="false">'Input data meat and eggs'!B92*'Common input data'!B63+'Input data meat and eggs'!C92*3.6*'Common input data'!B49</f>
        <v>0.383411320754717</v>
      </c>
      <c r="Q124" s="146" t="n">
        <f aca="false">(F124+P124)</f>
        <v>1.45162172555169</v>
      </c>
      <c r="R124" s="146" t="n">
        <f aca="false">'Common input data'!B92</f>
        <v>0.1</v>
      </c>
      <c r="S124" s="146" t="n">
        <f aca="false">'Common input data'!C98</f>
        <v>0.03</v>
      </c>
      <c r="T124" s="74"/>
    </row>
    <row r="125" customFormat="false" ht="14.4" hidden="false" customHeight="false" outlineLevel="0" collapsed="false">
      <c r="A125" s="74"/>
      <c r="D125" s="85" t="s">
        <v>135</v>
      </c>
      <c r="E125" s="86" t="n">
        <f aca="false">SUM(I125:L125)</f>
        <v>0.459247020271735</v>
      </c>
      <c r="F125" s="87" t="n">
        <f aca="false">SUM(H125:L125,O125)</f>
        <v>0.46022073883027</v>
      </c>
      <c r="G125" s="88" t="n">
        <f aca="false">SUM(Q125:S125)/(1-'Common input data'!B$126)</f>
        <v>0.504741955437031</v>
      </c>
      <c r="H125" s="146" t="n">
        <f aca="false">('Input data meat and eggs'!S406*'Input data meat and eggs'!C48+'Input data meat and eggs'!T406*'Input data meat and eggs'!C47+'Input data meat and eggs'!U406*'Input data meat and eggs'!C35+'Input data meat and eggs'!V406*SUMPRODUCT('Input data meat and eggs'!C37:C46,'Input data meat and eggs'!F65:F74))*'Input data meat and eggs'!$E$406/'Input data meat and eggs'!$H$406</f>
        <v>0.000973718558534801</v>
      </c>
      <c r="I125" s="146" t="n">
        <v>0</v>
      </c>
      <c r="J125" s="146" t="n">
        <f aca="false">('Input data meat and eggs'!M406*'Input data meat and eggs'!G406/12*'Input data meat and eggs'!$B$450*'Input data meat and eggs'!$B$452*'Input data meat and eggs'!$B$453* ('Input data meat and eggs'!$O$406*'Input data meat and eggs'!$B$443 +'Input data meat and eggs'!$P$406*'Input data meat and eggs'!$C$443+ 'Input data meat and eggs'!$Q$406*'Input data meat and eggs'!$D$443+ 'Input data meat and eggs'!$R$406*'Input data meat and eggs'!$E$443))*'Input data meat and eggs'!$E$406/'Input data meat and eggs'!$H$406</f>
        <v>0.0374143322888394</v>
      </c>
      <c r="K125" s="146" t="n">
        <v>0</v>
      </c>
      <c r="L125" s="146" t="n">
        <f aca="false">('Input data meat and eggs'!L406*'Input data meat and eggs'!G406/12)*'Input data meat and eggs'!$E$406/'Input data meat and eggs'!$H$406</f>
        <v>0.421832687982896</v>
      </c>
      <c r="M125" s="146" t="n">
        <v>0</v>
      </c>
      <c r="N125" s="146" t="n">
        <v>0</v>
      </c>
      <c r="O125" s="146" t="n">
        <v>0</v>
      </c>
      <c r="P125" s="146" t="n">
        <f aca="false">'Input data meat and eggs'!C92*3.6*'Common input data'!B50</f>
        <v>0.000103924528301887</v>
      </c>
      <c r="Q125" s="146" t="n">
        <f aca="false">(F125+P125)</f>
        <v>0.460324663358572</v>
      </c>
      <c r="R125" s="146" t="n">
        <v>0</v>
      </c>
      <c r="S125" s="146" t="n">
        <v>0</v>
      </c>
      <c r="T125" s="74"/>
    </row>
    <row r="126" customFormat="false" ht="14.4" hidden="false" customHeight="false" outlineLevel="0" collapsed="false">
      <c r="A126" s="74"/>
      <c r="D126" s="31" t="s">
        <v>136</v>
      </c>
      <c r="E126" s="86" t="n">
        <f aca="false">SUM(I126:L126)</f>
        <v>0.0124352629225382</v>
      </c>
      <c r="F126" s="87" t="n">
        <f aca="false">SUM(H126:L126,O126)</f>
        <v>0.0143305700189516</v>
      </c>
      <c r="G126" s="88" t="n">
        <f aca="false">SUM(Q126:S126)/(1-'Common input data'!B$126)</f>
        <v>0.0157239672087975</v>
      </c>
      <c r="H126" s="146" t="n">
        <f aca="false">(('Input data meat and eggs'!S406*'Input data meat and eggs'!D48+'Input data meat and eggs'!T406*'Input data meat and eggs'!D47+'Input data meat and eggs'!U406*'Input data meat and eggs'!D35+'Input data meat and eggs'!V406*SUMPRODUCT('Input data meat and eggs'!D37:D46,'Input data meat and eggs'!F65:F74))*'Input data meat and eggs'!B58)*'Input data meat and eggs'!$E$406/'Input data meat and eggs'!$H$406</f>
        <v>0.00189530709641346</v>
      </c>
      <c r="I126" s="146" t="n">
        <f aca="false">(('Input data meat and eggs'!S406*'Input data meat and eggs'!D48+'Input data meat and eggs'!T406*'Input data meat and eggs'!D47+'Input data meat and eggs'!U406*'Input data meat and eggs'!D35+'Input data meat and eggs'!V406*SUMPRODUCT('Input data meat and eggs'!D37:D46,'Input data meat and eggs'!F65:F74))*'Input data meat and eggs'!C58)*'Input data meat and eggs'!$E$406/'Input data meat and eggs'!$H$406</f>
        <v>0.00479057240793691</v>
      </c>
      <c r="J126" s="146" t="n">
        <f aca="false">('Input data meat and eggs'!K406*'Input data meat and eggs'!G406/12*('Input data meat and eggs'!$O$406*'Input data meat and eggs'!$B$445+'Input data meat and eggs'!$P$406*'Input data meat and eggs'!$C$445+'Input data meat and eggs'!$Q$406*'Input data meat and eggs'!$D$445+'Input data meat and eggs'!$R$406*'Input data meat and eggs'!$E$445)*44/28)*'Input data meat and eggs'!$E$406/'Input data meat and eggs'!$H$406</f>
        <v>0.00704924955915722</v>
      </c>
      <c r="K126" s="146" t="n">
        <f aca="false">('Input data meat and eggs'!$B$446*44/28*'Input data meat and eggs'!K406*'Input data meat and eggs'!G406/12*('Input data meat and eggs'!O406*'Input data meat and eggs'!B457+'Input data meat and eggs'!P406*'Input data meat and eggs'!C457+'Input data meat and eggs'!Q406*'Input data meat and eggs'!D457))*'Input data meat and eggs'!$E$406/'Input data meat and eggs'!$H$406</f>
        <v>0.000595440955444039</v>
      </c>
      <c r="L126" s="146" t="n">
        <v>0</v>
      </c>
      <c r="M126" s="146" t="n">
        <v>0</v>
      </c>
      <c r="N126" s="146" t="n">
        <v>0</v>
      </c>
      <c r="O126" s="146" t="n">
        <v>0</v>
      </c>
      <c r="P126" s="146" t="n">
        <f aca="false">'Input data meat and eggs'!C92*3.6*'Common input data'!B51</f>
        <v>9.68807547169811E-006</v>
      </c>
      <c r="Q126" s="146" t="n">
        <f aca="false">(F126+P126)</f>
        <v>0.0143402580944233</v>
      </c>
      <c r="R126" s="146" t="n">
        <v>0</v>
      </c>
      <c r="S126" s="146" t="n">
        <v>0</v>
      </c>
      <c r="T126" s="74"/>
    </row>
    <row r="127" s="83" customFormat="true" ht="14.4" hidden="false" customHeight="false" outlineLevel="0" collapsed="false">
      <c r="A127" s="176"/>
      <c r="B127" s="84" t="s">
        <v>161</v>
      </c>
      <c r="C127" s="97" t="n">
        <f aca="false">'Input data meat and eggs'!D10</f>
        <v>0.0134261007600587</v>
      </c>
      <c r="D127" s="78" t="s">
        <v>133</v>
      </c>
      <c r="E127" s="94" t="n">
        <f aca="false">IF($F$1="GWP100 without fb",E128+E129*'Common input data'!$C$5+E130*'Common input data'!$D$5,IF($F$1="GWP100 with fb",E128+E129*'Common input data'!$C$6+E130*'Common input data'!$D$6,IF($F$1="GTP100 without fb",E128+E129*'Common input data'!$C$7+E130*'Common input data'!$D$7,IF($F$1="GTP100 with fb",E128+E129*'Common input data'!$C$8+E130*'Common input data'!$D$8,E128+E129*'Common input data'!$C$9+E130*'Common input data'!$D$9))))</f>
        <v>8.07915851276338</v>
      </c>
      <c r="F127" s="95" t="n">
        <f aca="false">IF($F$1="GWP100 without fb",F128+F129*'Common input data'!$C$5+F130*'Common input data'!$D$5,IF($F$1="GWP100 with fb",F128+F129*'Common input data'!$C$6+F130*'Common input data'!$D$6,IF($F$1="GTP100 without fb",F128+F129*'Common input data'!$C$7+F130*'Common input data'!$D$7,IF($F$1="GTP100 with fb",F128+F129*'Common input data'!$C$8+F130*'Common input data'!$D$8,F128+F129*'Common input data'!$C$9+F130*'Common input data'!$D$9))))</f>
        <v>10.9433591658861</v>
      </c>
      <c r="G127" s="96" t="n">
        <f aca="false">IF($F$1="GWP100 without fb",G128+G129*'Common input data'!$C$5+G130*'Common input data'!$D$5,IF($F$1="GWP100 with fb",G128+G129*'Common input data'!$C$6+G130*'Common input data'!$D$6,IF($F$1="GTP100 without fb",G128+G129*'Common input data'!$C$7+G130*'Common input data'!$D$7,IF($F$1="GTP100 with fb",G128+G129*'Common input data'!$C$8+G130*'Common input data'!$D$8,G128+G129*'Common input data'!$C$9+G130*'Common input data'!$D$9))))</f>
        <v>12.5692883411114</v>
      </c>
      <c r="H127" s="180"/>
      <c r="I127" s="180"/>
      <c r="J127" s="180"/>
      <c r="K127" s="180"/>
      <c r="L127" s="180"/>
      <c r="M127" s="180"/>
      <c r="N127" s="180"/>
      <c r="O127" s="180"/>
      <c r="P127" s="180"/>
      <c r="Q127" s="180"/>
      <c r="R127" s="180"/>
      <c r="S127" s="180"/>
      <c r="T127" s="74"/>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c r="FQ127" s="30"/>
      <c r="FR127" s="30"/>
      <c r="FS127" s="30"/>
      <c r="FT127" s="30"/>
      <c r="FU127" s="30"/>
      <c r="FV127" s="30"/>
      <c r="FW127" s="30"/>
      <c r="FX127" s="30"/>
      <c r="FY127" s="30"/>
      <c r="FZ127" s="30"/>
      <c r="GA127" s="30"/>
      <c r="GB127" s="30"/>
      <c r="GC127" s="30"/>
      <c r="GD127" s="30"/>
      <c r="GE127" s="30"/>
      <c r="GF127" s="30"/>
      <c r="GG127" s="30"/>
      <c r="GH127" s="30"/>
      <c r="GI127" s="30"/>
      <c r="GJ127" s="30"/>
      <c r="GK127" s="30"/>
      <c r="GL127" s="30"/>
      <c r="GM127" s="30"/>
      <c r="GN127" s="30"/>
      <c r="GO127" s="30"/>
      <c r="GP127" s="30"/>
      <c r="GQ127" s="30"/>
      <c r="GR127" s="30"/>
      <c r="GS127" s="30"/>
      <c r="GT127" s="30"/>
      <c r="GU127" s="30"/>
      <c r="GV127" s="30"/>
      <c r="GW127" s="30"/>
      <c r="GX127" s="30"/>
      <c r="GY127" s="30"/>
      <c r="GZ127" s="30"/>
      <c r="HA127" s="30"/>
      <c r="HB127" s="30"/>
      <c r="HC127" s="30"/>
      <c r="HD127" s="30"/>
      <c r="HE127" s="30"/>
      <c r="HF127" s="30"/>
      <c r="HG127" s="30"/>
      <c r="HH127" s="30"/>
      <c r="HI127" s="30"/>
      <c r="HJ127" s="30"/>
      <c r="HK127" s="30"/>
      <c r="HL127" s="30"/>
      <c r="HM127" s="30"/>
      <c r="HN127" s="30"/>
      <c r="HO127" s="30"/>
      <c r="HP127" s="30"/>
      <c r="HQ127" s="30"/>
      <c r="HR127" s="30"/>
      <c r="HS127" s="30"/>
      <c r="HT127" s="30"/>
      <c r="HU127" s="30"/>
      <c r="HV127" s="30"/>
      <c r="HW127" s="30"/>
      <c r="HX127" s="30"/>
      <c r="HY127" s="30"/>
      <c r="HZ127" s="30"/>
      <c r="IA127" s="30"/>
      <c r="IB127" s="30"/>
      <c r="IC127" s="30"/>
      <c r="ID127" s="30"/>
      <c r="IE127" s="30"/>
      <c r="IF127" s="30"/>
      <c r="IG127" s="30"/>
      <c r="IH127" s="30"/>
      <c r="II127" s="30"/>
      <c r="IJ127" s="30"/>
      <c r="IK127" s="30"/>
      <c r="IL127" s="30"/>
      <c r="IM127" s="30"/>
      <c r="IN127" s="30"/>
      <c r="IO127" s="30"/>
      <c r="IP127" s="30"/>
      <c r="IQ127" s="30"/>
      <c r="IR127" s="30"/>
      <c r="IS127" s="30"/>
      <c r="IT127" s="30"/>
      <c r="IU127" s="30"/>
      <c r="IV127" s="30"/>
      <c r="IW127" s="30"/>
      <c r="IX127" s="30"/>
      <c r="IY127" s="30"/>
      <c r="IZ127" s="30"/>
      <c r="JA127" s="30"/>
      <c r="JB127" s="30"/>
      <c r="JC127" s="30"/>
      <c r="JD127" s="30"/>
      <c r="JE127" s="30"/>
      <c r="JF127" s="30"/>
      <c r="JG127" s="30"/>
      <c r="JH127" s="30"/>
      <c r="JI127" s="30"/>
      <c r="JJ127" s="30"/>
      <c r="JK127" s="30"/>
      <c r="JL127" s="30"/>
      <c r="JM127" s="30"/>
      <c r="JN127" s="30"/>
      <c r="JO127" s="30"/>
      <c r="JP127" s="30"/>
      <c r="JQ127" s="30"/>
      <c r="JR127" s="30"/>
      <c r="JS127" s="30"/>
      <c r="JT127" s="30"/>
      <c r="JU127" s="30"/>
      <c r="JV127" s="30"/>
      <c r="JW127" s="30"/>
      <c r="JX127" s="30"/>
      <c r="JY127" s="30"/>
      <c r="JZ127" s="30"/>
      <c r="KA127" s="30"/>
      <c r="KB127" s="30"/>
      <c r="KC127" s="30"/>
      <c r="KD127" s="30"/>
      <c r="KE127" s="30"/>
      <c r="KF127" s="30"/>
      <c r="KG127" s="30"/>
      <c r="KH127" s="30"/>
      <c r="KI127" s="30"/>
      <c r="KJ127" s="30"/>
      <c r="KK127" s="30"/>
      <c r="KL127" s="30"/>
      <c r="KM127" s="30"/>
      <c r="KN127" s="30"/>
      <c r="KO127" s="30"/>
      <c r="KP127" s="30"/>
      <c r="KQ127" s="30"/>
      <c r="KR127" s="30"/>
      <c r="KS127" s="30"/>
      <c r="KT127" s="30"/>
      <c r="KU127" s="30"/>
      <c r="KV127" s="30"/>
      <c r="KW127" s="30"/>
      <c r="KX127" s="30"/>
      <c r="KY127" s="30"/>
      <c r="KZ127" s="30"/>
      <c r="LA127" s="30"/>
      <c r="LB127" s="30"/>
      <c r="LC127" s="30"/>
      <c r="LD127" s="30"/>
      <c r="LE127" s="30"/>
      <c r="LF127" s="30"/>
      <c r="LG127" s="30"/>
      <c r="LH127" s="30"/>
      <c r="LI127" s="30"/>
      <c r="LJ127" s="30"/>
      <c r="LK127" s="30"/>
      <c r="LL127" s="30"/>
      <c r="LM127" s="30"/>
      <c r="LN127" s="30"/>
      <c r="LO127" s="30"/>
      <c r="LP127" s="30"/>
      <c r="LQ127" s="30"/>
      <c r="LR127" s="30"/>
      <c r="LS127" s="30"/>
      <c r="LT127" s="30"/>
      <c r="LU127" s="30"/>
      <c r="LV127" s="30"/>
      <c r="LW127" s="30"/>
      <c r="LX127" s="30"/>
      <c r="LY127" s="30"/>
      <c r="LZ127" s="30"/>
      <c r="MA127" s="30"/>
      <c r="MB127" s="30"/>
      <c r="MC127" s="30"/>
      <c r="MD127" s="30"/>
      <c r="ME127" s="30"/>
      <c r="MF127" s="30"/>
      <c r="MG127" s="30"/>
      <c r="MH127" s="30"/>
      <c r="MI127" s="30"/>
      <c r="MJ127" s="30"/>
      <c r="MK127" s="30"/>
      <c r="ML127" s="30"/>
      <c r="MM127" s="30"/>
      <c r="MN127" s="30"/>
      <c r="MO127" s="30"/>
      <c r="MP127" s="30"/>
      <c r="MQ127" s="30"/>
      <c r="MR127" s="30"/>
      <c r="MS127" s="30"/>
      <c r="MT127" s="30"/>
      <c r="MU127" s="30"/>
      <c r="MV127" s="30"/>
      <c r="MW127" s="30"/>
      <c r="MX127" s="30"/>
      <c r="MY127" s="30"/>
      <c r="MZ127" s="30"/>
      <c r="NA127" s="30"/>
      <c r="NB127" s="30"/>
      <c r="NC127" s="30"/>
      <c r="ND127" s="30"/>
      <c r="NE127" s="30"/>
      <c r="NF127" s="30"/>
      <c r="NG127" s="30"/>
      <c r="NH127" s="30"/>
      <c r="NI127" s="30"/>
      <c r="NJ127" s="30"/>
      <c r="NK127" s="30"/>
      <c r="NL127" s="30"/>
      <c r="NM127" s="30"/>
      <c r="NN127" s="30"/>
      <c r="NO127" s="30"/>
      <c r="NP127" s="30"/>
      <c r="NQ127" s="30"/>
      <c r="NR127" s="30"/>
      <c r="NS127" s="30"/>
      <c r="NT127" s="30"/>
      <c r="NU127" s="30"/>
      <c r="NV127" s="30"/>
      <c r="NW127" s="30"/>
      <c r="NX127" s="30"/>
      <c r="NY127" s="30"/>
      <c r="NZ127" s="30"/>
      <c r="OA127" s="30"/>
      <c r="OB127" s="30"/>
      <c r="OC127" s="30"/>
      <c r="OD127" s="30"/>
      <c r="OE127" s="30"/>
      <c r="OF127" s="30"/>
      <c r="OG127" s="30"/>
      <c r="OH127" s="30"/>
      <c r="OI127" s="30"/>
      <c r="OJ127" s="30"/>
      <c r="OK127" s="30"/>
      <c r="OL127" s="30"/>
    </row>
    <row r="128" customFormat="false" ht="14.4" hidden="false" customHeight="false" outlineLevel="0" collapsed="false">
      <c r="A128" s="74"/>
      <c r="D128" s="85" t="s">
        <v>134</v>
      </c>
      <c r="E128" s="86" t="n">
        <f aca="false">IF(AND($F$2="No",$F$3="No"),SUM(I128:L128),IF(AND($F$2="Yes", $F$3="No"), SUM(I128:L128)+N128, IF(AND($F$2="No", $F$3="Yes"),SUM(I128:L128)+M128, SUM(I128:L128)+N128+M128)))</f>
        <v>0.452646907965357</v>
      </c>
      <c r="F128" s="87" t="n">
        <f aca="false">IF(AND($F$2="No",$F$3="No"),SUM(H128:L128,O128),IF(AND($F$2="Yes", $F$3="No"), SUM(H128:L128,O128)+N128, IF(AND($F$2="No", $F$3="Yes"),SUM(H128:L128,O128)+M128, SUM(H128:L128,O128)+N128+M128)))</f>
        <v>2.78612342731325</v>
      </c>
      <c r="G128" s="88" t="n">
        <f aca="false">SUM(Q128:S128)/(1-'Common input data'!B$126)</f>
        <v>3.61791090796926</v>
      </c>
      <c r="H128" s="146" t="n">
        <f aca="false">('Input data meat and eggs'!S407*'Input data meat and eggs'!B48+'Input data meat and eggs'!T407*'Input data meat and eggs'!B47+'Input data meat and eggs'!U407*'Input data meat and eggs'!B35+'Input data meat and eggs'!V407*SUMPRODUCT('Input data meat and eggs'!B37:B46,'Input data meat and eggs'!F65:F74))*'Input data meat and eggs'!$E$407/'Input data meat and eggs'!$H$407</f>
        <v>1.58172651934789</v>
      </c>
      <c r="I128" s="146" t="n">
        <v>0</v>
      </c>
      <c r="J128" s="146" t="n">
        <v>0</v>
      </c>
      <c r="K128" s="146" t="n">
        <v>0</v>
      </c>
      <c r="L128" s="146" t="n">
        <v>0</v>
      </c>
      <c r="M128" s="146" t="n">
        <f aca="false">(('Input data meat and eggs'!S407+'Input data meat and eggs'!T407)*'Common input data'!F13+ 'Input data meat and eggs'!U407*'Common input data'!B13+'Input data meat and eggs'!V407*('Input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eggs'!$E$407/'Input data meat and eggs'!$H$407</f>
        <v>0.207979099291934</v>
      </c>
      <c r="N128" s="146" t="n">
        <f aca="false">('Input data meat and eggs'!V407*('Input data meat and eggs'!F67*'Common input data'!B21*'Common input data'!G30/'Common input data'!F30+'Input data meat and eggs'!F71*'Common input data'!C21*'Common input data'!J31/'Common input data'!I31))*'Input data meat and eggs'!$E$407/'Input data meat and eggs'!$H$407</f>
        <v>0.244667808673423</v>
      </c>
      <c r="O128" s="146" t="n">
        <f aca="false">'Input data meat and eggs'!B83*'Common input data'!B63</f>
        <v>0.75175</v>
      </c>
      <c r="P128" s="146" t="n">
        <f aca="false">'Input data meat and eggs'!B92*'Common input data'!B63+'Input data meat and eggs'!C92*3.6*'Common input data'!B49</f>
        <v>0.383411320754717</v>
      </c>
      <c r="Q128" s="146" t="n">
        <f aca="false">(F128+P128)</f>
        <v>3.16953474806797</v>
      </c>
      <c r="R128" s="146" t="n">
        <f aca="false">'Common input data'!B92</f>
        <v>0.1</v>
      </c>
      <c r="S128" s="146" t="n">
        <f aca="false">'Common input data'!C98</f>
        <v>0.03</v>
      </c>
      <c r="T128" s="74"/>
    </row>
    <row r="129" customFormat="false" ht="14.4" hidden="false" customHeight="false" outlineLevel="0" collapsed="false">
      <c r="A129" s="74"/>
      <c r="D129" s="85" t="s">
        <v>135</v>
      </c>
      <c r="E129" s="86" t="n">
        <f aca="false">SUM(I129:L129)</f>
        <v>0.168674326846351</v>
      </c>
      <c r="F129" s="87" t="n">
        <f aca="false">SUM(H129:L129,O129)</f>
        <v>0.170997275440323</v>
      </c>
      <c r="G129" s="88" t="n">
        <f aca="false">SUM(Q129:S129)/(1-'Common input data'!B$126)</f>
        <v>0.187610964877878</v>
      </c>
      <c r="H129" s="146" t="n">
        <f aca="false">('Input data meat and eggs'!S407*'Input data meat and eggs'!C48+'Input data meat and eggs'!T407*'Input data meat and eggs'!C47+'Input data meat and eggs'!U407*'Input data meat and eggs'!C35+'Input data meat and eggs'!V407*SUMPRODUCT('Input data meat and eggs'!C37:C46,'Input data meat and eggs'!F65:F74))*'Input data meat and eggs'!$E$407/'Input data meat and eggs'!$H$407</f>
        <v>0.00232294859397223</v>
      </c>
      <c r="I129" s="146" t="n">
        <v>0</v>
      </c>
      <c r="J129" s="146" t="n">
        <f aca="false">('Input data meat and eggs'!M407*'Input data meat and eggs'!G407/12*'Input data meat and eggs'!$B$450*'Input data meat and eggs'!$B$452*'Input data meat and eggs'!$B$453* ('Input data meat and eggs'!$O$407*'Input data meat and eggs'!$B$443 +'Input data meat and eggs'!$P$407*'Input data meat and eggs'!$C$443+ 'Input data meat and eggs'!$Q$407*'Input data meat and eggs'!$D$443+ 'Input data meat and eggs'!$R$407*'Input data meat and eggs'!$E$443))*'Input data meat and eggs'!$E$407/'Input data meat and eggs'!$H$407</f>
        <v>0.0252497000873694</v>
      </c>
      <c r="K129" s="146" t="n">
        <v>0</v>
      </c>
      <c r="L129" s="146" t="n">
        <f aca="false">('Input data meat and eggs'!L407*'Input data meat and eggs'!G407/12)*'Input data meat and eggs'!$E$407/'Input data meat and eggs'!$H$407</f>
        <v>0.143424626758981</v>
      </c>
      <c r="M129" s="146" t="n">
        <v>0</v>
      </c>
      <c r="N129" s="146" t="n">
        <v>0</v>
      </c>
      <c r="O129" s="146" t="n">
        <v>0</v>
      </c>
      <c r="P129" s="146" t="n">
        <f aca="false">'Input data meat and eggs'!C92*3.6*'Common input data'!B50</f>
        <v>0.000103924528301887</v>
      </c>
      <c r="Q129" s="146" t="n">
        <f aca="false">(F129+P129)</f>
        <v>0.171101199968625</v>
      </c>
      <c r="R129" s="146" t="n">
        <v>0</v>
      </c>
      <c r="S129" s="146" t="n">
        <v>0</v>
      </c>
      <c r="T129" s="74"/>
    </row>
    <row r="130" customFormat="false" ht="14.4" hidden="false" customHeight="false" outlineLevel="0" collapsed="false">
      <c r="A130" s="74"/>
      <c r="D130" s="31" t="s">
        <v>136</v>
      </c>
      <c r="E130" s="86" t="n">
        <f aca="false">SUM(I130:L130)</f>
        <v>0.00634759896651712</v>
      </c>
      <c r="F130" s="87" t="n">
        <f aca="false">SUM(H130:L130,O130)</f>
        <v>0.00786351803222101</v>
      </c>
      <c r="G130" s="88" t="n">
        <f aca="false">SUM(Q130:S130)/(1-'Common input data'!B$126)</f>
        <v>0.00863290143387358</v>
      </c>
      <c r="H130" s="146" t="n">
        <f aca="false">(('Input data meat and eggs'!S407*'Input data meat and eggs'!D48+'Input data meat and eggs'!T407*'Input data meat and eggs'!D47+'Input data meat and eggs'!U407*'Input data meat and eggs'!D35+'Input data meat and eggs'!V407*SUMPRODUCT('Input data meat and eggs'!D37:D46,'Input data meat and eggs'!F65:F74))*'Input data meat and eggs'!B58)*'Input data meat and eggs'!$E$407/'Input data meat and eggs'!$H$407</f>
        <v>0.00151591906570389</v>
      </c>
      <c r="I130" s="146" t="n">
        <f aca="false">(('Input data meat and eggs'!S407*'Input data meat and eggs'!D48+'Input data meat and eggs'!T407*'Input data meat and eggs'!D47+'Input data meat and eggs'!U407*'Input data meat and eggs'!D35+'Input data meat and eggs'!V407*SUMPRODUCT('Input data meat and eggs'!D37:D46,'Input data meat and eggs'!F65:F74))*'Input data meat and eggs'!C58)*'Input data meat and eggs'!$E$407/'Input data meat and eggs'!$H$407</f>
        <v>0.00383163238430799</v>
      </c>
      <c r="J130" s="146" t="n">
        <f aca="false">('Input data meat and eggs'!K407*'Input data meat and eggs'!G407/12*('Input data meat and eggs'!$O$407*'Input data meat and eggs'!$B$445+'Input data meat and eggs'!$P$407*'Input data meat and eggs'!$C$445+'Input data meat and eggs'!$Q$407*'Input data meat and eggs'!$D$445+'Input data meat and eggs'!$R$407*'Input data meat and eggs'!$E$445)*44/28)*'Input data meat and eggs'!$E$407/'Input data meat and eggs'!$H$407</f>
        <v>0.00180355274270728</v>
      </c>
      <c r="K130" s="146" t="n">
        <f aca="false">('Input data meat and eggs'!$B$446*44/28*'Input data meat and eggs'!K407*'Input data meat and eggs'!G407/12*('Input data meat and eggs'!O407*'Input data meat and eggs'!B457+'Input data meat and eggs'!P407*'Input data meat and eggs'!C457+'Input data meat and eggs'!Q407*'Input data meat and eggs'!D457))*'Input data meat and eggs'!$E$407/'Input data meat and eggs'!$H$407</f>
        <v>0.000712413839501857</v>
      </c>
      <c r="L130" s="146" t="n">
        <v>0</v>
      </c>
      <c r="M130" s="146" t="n">
        <v>0</v>
      </c>
      <c r="N130" s="146" t="n">
        <v>0</v>
      </c>
      <c r="O130" s="146" t="n">
        <v>0</v>
      </c>
      <c r="P130" s="146" t="n">
        <f aca="false">'Input data meat and eggs'!C92*3.6*'Common input data'!B51</f>
        <v>9.68807547169811E-006</v>
      </c>
      <c r="Q130" s="146" t="n">
        <f aca="false">(F130+P130)</f>
        <v>0.00787320610769271</v>
      </c>
      <c r="R130" s="146" t="n">
        <v>0</v>
      </c>
      <c r="S130" s="146" t="n">
        <v>0</v>
      </c>
      <c r="T130" s="74"/>
    </row>
    <row r="131" s="83" customFormat="true" ht="14.4" hidden="false" customHeight="false" outlineLevel="0" collapsed="false">
      <c r="A131" s="75" t="s">
        <v>162</v>
      </c>
      <c r="B131" s="177" t="s">
        <v>153</v>
      </c>
      <c r="C131" s="153"/>
      <c r="D131" s="78" t="s">
        <v>133</v>
      </c>
      <c r="E131" s="154" t="n">
        <f aca="false">IF($F$1="GWP100 without fb",E132+E133*'Common input data'!$C$5+E134*'Common input data'!$D$5,IF($F$1="GWP100 with fb",E132+E133*'Common input data'!$C$6+E134*'Common input data'!$D$6,IF($F$1="GTP100 without fb",E132+E133*'Common input data'!$C$7+E134*'Common input data'!$D$7,IF($F$1="GTP100 with fb",E132+E133*'Common input data'!$C$8+E134*'Common input data'!$D$8,E132+E133*'Common input data'!$C$9+E134*'Common input data'!$D$9))))</f>
        <v>6076906632.5635</v>
      </c>
      <c r="F131" s="155" t="n">
        <f aca="false">IF($F$1="GWP100 without fb",F132+F133*'Common input data'!$C$5+F134*'Common input data'!$D$5,IF($F$1="GWP100 with fb",F132+F133*'Common input data'!$C$6+F134*'Common input data'!$D$6,IF($F$1="GTP100 without fb",F132+F133*'Common input data'!$C$7+F134*'Common input data'!$D$7,IF($F$1="GTP100 with fb",F132+F133*'Common input data'!$C$8+F134*'Common input data'!$D$8,F132+F133*'Common input data'!$C$9+F134*'Common input data'!$D$9))))</f>
        <v>6973905534.40941</v>
      </c>
      <c r="G131" s="156"/>
      <c r="H131" s="179"/>
      <c r="I131" s="179"/>
      <c r="J131" s="179"/>
      <c r="K131" s="179"/>
      <c r="L131" s="179"/>
      <c r="M131" s="179"/>
      <c r="N131" s="179"/>
      <c r="O131" s="179"/>
      <c r="P131" s="179"/>
      <c r="Q131" s="179"/>
      <c r="R131" s="98"/>
      <c r="S131" s="98"/>
      <c r="T131" s="74"/>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c r="FQ131" s="30"/>
      <c r="FR131" s="30"/>
      <c r="FS131" s="30"/>
      <c r="FT131" s="30"/>
      <c r="FU131" s="30"/>
      <c r="FV131" s="30"/>
      <c r="FW131" s="30"/>
      <c r="FX131" s="30"/>
      <c r="FY131" s="30"/>
      <c r="FZ131" s="30"/>
      <c r="GA131" s="30"/>
      <c r="GB131" s="30"/>
      <c r="GC131" s="30"/>
      <c r="GD131" s="30"/>
      <c r="GE131" s="30"/>
      <c r="GF131" s="30"/>
      <c r="GG131" s="30"/>
      <c r="GH131" s="30"/>
      <c r="GI131" s="30"/>
      <c r="GJ131" s="30"/>
      <c r="GK131" s="30"/>
      <c r="GL131" s="30"/>
      <c r="GM131" s="30"/>
      <c r="GN131" s="30"/>
      <c r="GO131" s="30"/>
      <c r="GP131" s="30"/>
      <c r="GQ131" s="30"/>
      <c r="GR131" s="30"/>
      <c r="GS131" s="30"/>
      <c r="GT131" s="30"/>
      <c r="GU131" s="30"/>
      <c r="GV131" s="30"/>
      <c r="GW131" s="30"/>
      <c r="GX131" s="30"/>
      <c r="GY131" s="30"/>
      <c r="GZ131" s="30"/>
      <c r="HA131" s="30"/>
      <c r="HB131" s="30"/>
      <c r="HC131" s="30"/>
      <c r="HD131" s="30"/>
      <c r="HE131" s="30"/>
      <c r="HF131" s="30"/>
      <c r="HG131" s="30"/>
      <c r="HH131" s="30"/>
      <c r="HI131" s="30"/>
      <c r="HJ131" s="30"/>
      <c r="HK131" s="30"/>
      <c r="HL131" s="30"/>
      <c r="HM131" s="30"/>
      <c r="HN131" s="30"/>
      <c r="HO131" s="30"/>
      <c r="HP131" s="30"/>
      <c r="HQ131" s="30"/>
      <c r="HR131" s="30"/>
      <c r="HS131" s="30"/>
      <c r="HT131" s="30"/>
      <c r="HU131" s="30"/>
      <c r="HV131" s="30"/>
      <c r="HW131" s="30"/>
      <c r="HX131" s="30"/>
      <c r="HY131" s="30"/>
      <c r="HZ131" s="30"/>
      <c r="IA131" s="30"/>
      <c r="IB131" s="30"/>
      <c r="IC131" s="30"/>
      <c r="ID131" s="30"/>
      <c r="IE131" s="30"/>
      <c r="IF131" s="30"/>
      <c r="IG131" s="30"/>
      <c r="IH131" s="30"/>
      <c r="II131" s="30"/>
      <c r="IJ131" s="30"/>
      <c r="IK131" s="30"/>
      <c r="IL131" s="30"/>
      <c r="IM131" s="30"/>
      <c r="IN131" s="30"/>
      <c r="IO131" s="30"/>
      <c r="IP131" s="30"/>
      <c r="IQ131" s="30"/>
      <c r="IR131" s="30"/>
      <c r="IS131" s="30"/>
      <c r="IT131" s="30"/>
      <c r="IU131" s="30"/>
      <c r="IV131" s="30"/>
      <c r="IW131" s="30"/>
      <c r="IX131" s="30"/>
      <c r="IY131" s="30"/>
      <c r="IZ131" s="30"/>
      <c r="JA131" s="30"/>
      <c r="JB131" s="30"/>
      <c r="JC131" s="30"/>
      <c r="JD131" s="30"/>
      <c r="JE131" s="30"/>
      <c r="JF131" s="30"/>
      <c r="JG131" s="30"/>
      <c r="JH131" s="30"/>
      <c r="JI131" s="30"/>
      <c r="JJ131" s="30"/>
      <c r="JK131" s="30"/>
      <c r="JL131" s="30"/>
      <c r="JM131" s="30"/>
      <c r="JN131" s="30"/>
      <c r="JO131" s="30"/>
      <c r="JP131" s="30"/>
      <c r="JQ131" s="30"/>
      <c r="JR131" s="30"/>
      <c r="JS131" s="30"/>
      <c r="JT131" s="30"/>
      <c r="JU131" s="30"/>
      <c r="JV131" s="30"/>
      <c r="JW131" s="30"/>
      <c r="JX131" s="30"/>
      <c r="JY131" s="30"/>
      <c r="JZ131" s="30"/>
      <c r="KA131" s="30"/>
      <c r="KB131" s="30"/>
      <c r="KC131" s="30"/>
      <c r="KD131" s="30"/>
      <c r="KE131" s="30"/>
      <c r="KF131" s="30"/>
      <c r="KG131" s="30"/>
      <c r="KH131" s="30"/>
      <c r="KI131" s="30"/>
      <c r="KJ131" s="30"/>
      <c r="KK131" s="30"/>
      <c r="KL131" s="30"/>
      <c r="KM131" s="30"/>
      <c r="KN131" s="30"/>
      <c r="KO131" s="30"/>
      <c r="KP131" s="30"/>
      <c r="KQ131" s="30"/>
      <c r="KR131" s="30"/>
      <c r="KS131" s="30"/>
      <c r="KT131" s="30"/>
      <c r="KU131" s="30"/>
      <c r="KV131" s="30"/>
      <c r="KW131" s="30"/>
      <c r="KX131" s="30"/>
      <c r="KY131" s="30"/>
      <c r="KZ131" s="30"/>
      <c r="LA131" s="30"/>
      <c r="LB131" s="30"/>
      <c r="LC131" s="30"/>
      <c r="LD131" s="30"/>
      <c r="LE131" s="30"/>
      <c r="LF131" s="30"/>
      <c r="LG131" s="30"/>
      <c r="LH131" s="30"/>
      <c r="LI131" s="30"/>
      <c r="LJ131" s="30"/>
      <c r="LK131" s="30"/>
      <c r="LL131" s="30"/>
      <c r="LM131" s="30"/>
      <c r="LN131" s="30"/>
      <c r="LO131" s="30"/>
      <c r="LP131" s="30"/>
      <c r="LQ131" s="30"/>
      <c r="LR131" s="30"/>
      <c r="LS131" s="30"/>
      <c r="LT131" s="30"/>
      <c r="LU131" s="30"/>
      <c r="LV131" s="30"/>
      <c r="LW131" s="30"/>
      <c r="LX131" s="30"/>
      <c r="LY131" s="30"/>
      <c r="LZ131" s="30"/>
      <c r="MA131" s="30"/>
      <c r="MB131" s="30"/>
      <c r="MC131" s="30"/>
      <c r="MD131" s="30"/>
      <c r="ME131" s="30"/>
      <c r="MF131" s="30"/>
      <c r="MG131" s="30"/>
      <c r="MH131" s="30"/>
      <c r="MI131" s="30"/>
      <c r="MJ131" s="30"/>
      <c r="MK131" s="30"/>
      <c r="ML131" s="30"/>
      <c r="MM131" s="30"/>
      <c r="MN131" s="30"/>
      <c r="MO131" s="30"/>
      <c r="MP131" s="30"/>
      <c r="MQ131" s="30"/>
      <c r="MR131" s="30"/>
      <c r="MS131" s="30"/>
      <c r="MT131" s="30"/>
      <c r="MU131" s="30"/>
      <c r="MV131" s="30"/>
      <c r="MW131" s="30"/>
      <c r="MX131" s="30"/>
      <c r="MY131" s="30"/>
      <c r="MZ131" s="30"/>
      <c r="NA131" s="30"/>
      <c r="NB131" s="30"/>
      <c r="NC131" s="30"/>
      <c r="ND131" s="30"/>
      <c r="NE131" s="30"/>
      <c r="NF131" s="30"/>
      <c r="NG131" s="30"/>
      <c r="NH131" s="30"/>
      <c r="NI131" s="30"/>
      <c r="NJ131" s="30"/>
      <c r="NK131" s="30"/>
      <c r="NL131" s="30"/>
      <c r="NM131" s="30"/>
      <c r="NN131" s="30"/>
      <c r="NO131" s="30"/>
      <c r="NP131" s="30"/>
      <c r="NQ131" s="30"/>
      <c r="NR131" s="30"/>
      <c r="NS131" s="30"/>
      <c r="NT131" s="30"/>
      <c r="NU131" s="30"/>
      <c r="NV131" s="30"/>
      <c r="NW131" s="30"/>
      <c r="NX131" s="30"/>
      <c r="NY131" s="30"/>
      <c r="NZ131" s="30"/>
      <c r="OA131" s="30"/>
      <c r="OB131" s="30"/>
      <c r="OC131" s="30"/>
      <c r="OD131" s="30"/>
      <c r="OE131" s="30"/>
      <c r="OF131" s="30"/>
      <c r="OG131" s="30"/>
      <c r="OH131" s="30"/>
      <c r="OI131" s="30"/>
      <c r="OJ131" s="30"/>
      <c r="OK131" s="30"/>
      <c r="OL131" s="30"/>
    </row>
    <row r="132" s="182" customFormat="true" ht="14.4" hidden="false" customHeight="false" outlineLevel="0" collapsed="false">
      <c r="A132" s="100"/>
      <c r="B132" s="31"/>
      <c r="C132" s="30"/>
      <c r="D132" s="85" t="s">
        <v>134</v>
      </c>
      <c r="E132" s="157" t="n">
        <f aca="false">IF(AND($F$2="No",$F$3="No"),SUM(I132:L132),IF(AND($F$2="Yes", $F$3="No"), SUM(I132:L132)+N132, IF(AND($F$2="No", $F$3="Yes"),SUM(I132:L132)+M132, SUM(I132:L132)+N132+M132)))</f>
        <v>-392558658.236258</v>
      </c>
      <c r="F132" s="144" t="n">
        <f aca="false">IF(AND($F$2="No",$F$3="No"),SUM(H132:L132,O132),IF(AND($F$2="Yes", $F$3="No"), SUM(H132:L132,O132)+N132, IF(AND($F$2="No", $F$3="Yes"),SUM(H132:L132,O132)+M132, SUM(H132:L132,O132)+N132+M132)))</f>
        <v>268489915.986179</v>
      </c>
      <c r="G132" s="159"/>
      <c r="H132" s="144" t="n">
        <f aca="false">('Input data meat and eggs'!S410*'Input data meat and eggs'!B48+'Input data meat and eggs'!T410*'Input data meat and eggs'!B47+'Input data meat and eggs'!U412*'Input data meat and eggs'!B35+'Input data meat and eggs'!V410*SUMPRODUCT('Input data meat and eggs'!B37:B46,'Input data meat and eggs'!F65:F74))*'Input data meat and eggs'!$C$410</f>
        <v>567888924.587792</v>
      </c>
      <c r="I132" s="144" t="n">
        <v>0</v>
      </c>
      <c r="J132" s="144" t="n">
        <v>0</v>
      </c>
      <c r="K132" s="144" t="n">
        <v>0</v>
      </c>
      <c r="L132" s="144" t="n">
        <v>0</v>
      </c>
      <c r="M132" s="144" t="n">
        <f aca="false">(('Input data meat and eggs'!S410+'Input data meat and eggs'!T410)*'Common input data'!F13+ 'Input data meat and eggs'!U410*'Common input data'!B13+'Input data meat and eggs'!V410*('Input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eggs'!$C$410</f>
        <v>-419049642.528306</v>
      </c>
      <c r="N132" s="144" t="n">
        <f aca="false">('Input data meat and eggs'!V410*('Input data meat and eggs'!F67*'Common input data'!B21*'Common input data'!G30/'Common input data'!F30+'Input data meat and eggs'!F71*'Common input data'!C21*'Common input data'!J31/'Common input data'!I31))*'Input data meat and eggs'!$C$410</f>
        <v>26490984.2920476</v>
      </c>
      <c r="O132" s="144" t="n">
        <f aca="false">'Input data meat and eggs'!C82*'Common input data'!C63*'Input data meat and eggs'!$C$410</f>
        <v>93159649.6346446</v>
      </c>
      <c r="P132" s="144" t="n">
        <f aca="false">(('Input data meat and eggs'!B92*'Common input data'!C63+'Input data meat and eggs'!C92*3.6*'Common input data'!B49)*'Input data meat and eggs'!$F$410)*'Input data meat and eggs'!$E$410</f>
        <v>33588079.9712794</v>
      </c>
      <c r="Q132" s="144" t="n">
        <f aca="false">SUM(F132+P132)</f>
        <v>302077995.957458</v>
      </c>
      <c r="R132" s="89"/>
      <c r="S132" s="89"/>
      <c r="T132" s="74"/>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c r="FQ132" s="30"/>
      <c r="FR132" s="30"/>
      <c r="FS132" s="30"/>
      <c r="FT132" s="30"/>
      <c r="FU132" s="30"/>
      <c r="FV132" s="30"/>
      <c r="FW132" s="30"/>
      <c r="FX132" s="30"/>
      <c r="FY132" s="30"/>
      <c r="FZ132" s="30"/>
      <c r="GA132" s="30"/>
      <c r="GB132" s="30"/>
      <c r="GC132" s="30"/>
      <c r="GD132" s="30"/>
      <c r="GE132" s="30"/>
      <c r="GF132" s="30"/>
      <c r="GG132" s="30"/>
      <c r="GH132" s="30"/>
      <c r="GI132" s="30"/>
      <c r="GJ132" s="30"/>
      <c r="GK132" s="30"/>
      <c r="GL132" s="30"/>
      <c r="GM132" s="30"/>
      <c r="GN132" s="30"/>
      <c r="GO132" s="30"/>
      <c r="GP132" s="30"/>
      <c r="GQ132" s="30"/>
      <c r="GR132" s="30"/>
      <c r="GS132" s="30"/>
      <c r="GT132" s="30"/>
      <c r="GU132" s="30"/>
      <c r="GV132" s="30"/>
      <c r="GW132" s="30"/>
      <c r="GX132" s="30"/>
      <c r="GY132" s="30"/>
      <c r="GZ132" s="30"/>
      <c r="HA132" s="30"/>
      <c r="HB132" s="30"/>
      <c r="HC132" s="30"/>
      <c r="HD132" s="30"/>
      <c r="HE132" s="30"/>
      <c r="HF132" s="30"/>
      <c r="HG132" s="30"/>
      <c r="HH132" s="30"/>
      <c r="HI132" s="30"/>
      <c r="HJ132" s="30"/>
      <c r="HK132" s="30"/>
      <c r="HL132" s="30"/>
      <c r="HM132" s="30"/>
      <c r="HN132" s="30"/>
      <c r="HO132" s="30"/>
      <c r="HP132" s="30"/>
      <c r="HQ132" s="30"/>
      <c r="HR132" s="30"/>
      <c r="HS132" s="30"/>
      <c r="HT132" s="30"/>
      <c r="HU132" s="30"/>
      <c r="HV132" s="30"/>
      <c r="HW132" s="30"/>
      <c r="HX132" s="30"/>
      <c r="HY132" s="30"/>
      <c r="HZ132" s="30"/>
      <c r="IA132" s="30"/>
      <c r="IB132" s="30"/>
      <c r="IC132" s="30"/>
      <c r="ID132" s="30"/>
      <c r="IE132" s="30"/>
      <c r="IF132" s="30"/>
      <c r="IG132" s="30"/>
      <c r="IH132" s="30"/>
      <c r="II132" s="30"/>
      <c r="IJ132" s="30"/>
      <c r="IK132" s="30"/>
      <c r="IL132" s="30"/>
      <c r="IM132" s="30"/>
      <c r="IN132" s="30"/>
      <c r="IO132" s="30"/>
      <c r="IP132" s="30"/>
      <c r="IQ132" s="30"/>
      <c r="IR132" s="30"/>
      <c r="IS132" s="30"/>
      <c r="IT132" s="30"/>
      <c r="IU132" s="30"/>
      <c r="IV132" s="30"/>
      <c r="IW132" s="30"/>
      <c r="IX132" s="30"/>
      <c r="IY132" s="30"/>
      <c r="IZ132" s="30"/>
      <c r="JA132" s="30"/>
      <c r="JB132" s="30"/>
      <c r="JC132" s="30"/>
      <c r="JD132" s="30"/>
      <c r="JE132" s="30"/>
      <c r="JF132" s="30"/>
      <c r="JG132" s="30"/>
      <c r="JH132" s="30"/>
      <c r="JI132" s="30"/>
      <c r="JJ132" s="30"/>
      <c r="JK132" s="30"/>
      <c r="JL132" s="30"/>
      <c r="JM132" s="30"/>
      <c r="JN132" s="30"/>
      <c r="JO132" s="30"/>
      <c r="JP132" s="30"/>
      <c r="JQ132" s="30"/>
      <c r="JR132" s="30"/>
      <c r="JS132" s="30"/>
      <c r="JT132" s="30"/>
      <c r="JU132" s="30"/>
      <c r="JV132" s="30"/>
      <c r="JW132" s="30"/>
      <c r="JX132" s="30"/>
      <c r="JY132" s="30"/>
      <c r="JZ132" s="30"/>
      <c r="KA132" s="30"/>
      <c r="KB132" s="30"/>
      <c r="KC132" s="30"/>
      <c r="KD132" s="30"/>
      <c r="KE132" s="30"/>
      <c r="KF132" s="30"/>
      <c r="KG132" s="30"/>
      <c r="KH132" s="30"/>
      <c r="KI132" s="30"/>
      <c r="KJ132" s="30"/>
      <c r="KK132" s="30"/>
      <c r="KL132" s="30"/>
      <c r="KM132" s="30"/>
      <c r="KN132" s="30"/>
      <c r="KO132" s="30"/>
      <c r="KP132" s="30"/>
      <c r="KQ132" s="30"/>
      <c r="KR132" s="30"/>
      <c r="KS132" s="30"/>
      <c r="KT132" s="30"/>
      <c r="KU132" s="30"/>
      <c r="KV132" s="30"/>
      <c r="KW132" s="30"/>
      <c r="KX132" s="30"/>
      <c r="KY132" s="30"/>
      <c r="KZ132" s="30"/>
      <c r="LA132" s="30"/>
      <c r="LB132" s="30"/>
      <c r="LC132" s="30"/>
      <c r="LD132" s="30"/>
      <c r="LE132" s="30"/>
      <c r="LF132" s="30"/>
      <c r="LG132" s="30"/>
      <c r="LH132" s="30"/>
      <c r="LI132" s="30"/>
      <c r="LJ132" s="30"/>
      <c r="LK132" s="30"/>
      <c r="LL132" s="30"/>
      <c r="LM132" s="30"/>
      <c r="LN132" s="30"/>
      <c r="LO132" s="30"/>
      <c r="LP132" s="30"/>
      <c r="LQ132" s="30"/>
      <c r="LR132" s="30"/>
      <c r="LS132" s="30"/>
      <c r="LT132" s="30"/>
      <c r="LU132" s="30"/>
      <c r="LV132" s="30"/>
      <c r="LW132" s="30"/>
      <c r="LX132" s="30"/>
      <c r="LY132" s="30"/>
      <c r="LZ132" s="30"/>
      <c r="MA132" s="30"/>
      <c r="MB132" s="30"/>
      <c r="MC132" s="30"/>
      <c r="MD132" s="30"/>
      <c r="ME132" s="30"/>
      <c r="MF132" s="30"/>
      <c r="MG132" s="30"/>
      <c r="MH132" s="30"/>
      <c r="MI132" s="30"/>
      <c r="MJ132" s="30"/>
      <c r="MK132" s="30"/>
      <c r="ML132" s="30"/>
      <c r="MM132" s="30"/>
      <c r="MN132" s="30"/>
      <c r="MO132" s="30"/>
      <c r="MP132" s="30"/>
      <c r="MQ132" s="30"/>
      <c r="MR132" s="30"/>
      <c r="MS132" s="30"/>
      <c r="MT132" s="30"/>
      <c r="MU132" s="30"/>
      <c r="MV132" s="30"/>
      <c r="MW132" s="30"/>
      <c r="MX132" s="30"/>
      <c r="MY132" s="30"/>
      <c r="MZ132" s="30"/>
      <c r="NA132" s="30"/>
      <c r="NB132" s="30"/>
      <c r="NC132" s="30"/>
      <c r="ND132" s="30"/>
      <c r="NE132" s="30"/>
      <c r="NF132" s="30"/>
      <c r="NG132" s="30"/>
      <c r="NH132" s="30"/>
      <c r="NI132" s="30"/>
      <c r="NJ132" s="30"/>
      <c r="NK132" s="30"/>
      <c r="NL132" s="30"/>
      <c r="NM132" s="30"/>
      <c r="NN132" s="30"/>
      <c r="NO132" s="30"/>
      <c r="NP132" s="30"/>
      <c r="NQ132" s="30"/>
      <c r="NR132" s="30"/>
      <c r="NS132" s="30"/>
      <c r="NT132" s="30"/>
      <c r="NU132" s="30"/>
      <c r="NV132" s="30"/>
      <c r="NW132" s="30"/>
      <c r="NX132" s="30"/>
      <c r="NY132" s="30"/>
      <c r="NZ132" s="30"/>
      <c r="OA132" s="30"/>
      <c r="OB132" s="30"/>
      <c r="OC132" s="30"/>
      <c r="OD132" s="30"/>
      <c r="OE132" s="30"/>
      <c r="OF132" s="30"/>
      <c r="OG132" s="30"/>
      <c r="OH132" s="30"/>
      <c r="OI132" s="30"/>
      <c r="OJ132" s="30"/>
      <c r="OK132" s="30"/>
      <c r="OL132" s="30"/>
    </row>
    <row r="133" s="182" customFormat="true" ht="14.4" hidden="false" customHeight="false" outlineLevel="0" collapsed="false">
      <c r="A133" s="100"/>
      <c r="B133" s="31"/>
      <c r="C133" s="31"/>
      <c r="D133" s="85" t="s">
        <v>135</v>
      </c>
      <c r="E133" s="157" t="n">
        <f aca="false">SUM(I133:L133)</f>
        <v>145648879.618631</v>
      </c>
      <c r="F133" s="144" t="n">
        <f aca="false">SUM(H133:L133,O133)</f>
        <v>146144950.927342</v>
      </c>
      <c r="G133" s="159"/>
      <c r="H133" s="144" t="n">
        <f aca="false">('Input data meat and eggs'!S410*'Input data meat and eggs'!C48+'Input data meat and eggs'!T410*'Input data meat and eggs'!C47+'Input data meat and eggs'!U410*'Input data meat and eggs'!C35+'Input data meat and eggs'!V410*SUMPRODUCT('Input data meat and eggs'!C37:C46,'Input data meat and eggs'!F65:F74))*'Input data meat and eggs'!$C$410</f>
        <v>496071.308710946</v>
      </c>
      <c r="I133" s="144" t="n">
        <v>0</v>
      </c>
      <c r="J133" s="144" t="n">
        <f aca="false">'Input data meat and eggs'!N410*'Input data meat and eggs'!G410/12*'Input data meat and eggs'!C410</f>
        <v>12218208.5745731</v>
      </c>
      <c r="K133" s="144" t="n">
        <v>0</v>
      </c>
      <c r="L133" s="144" t="n">
        <f aca="false">('Input data meat and eggs'!L410*'Input data meat and eggs'!G410/12)*'Input data meat and eggs'!$C$410</f>
        <v>133430671.044058</v>
      </c>
      <c r="M133" s="144" t="n">
        <v>0</v>
      </c>
      <c r="N133" s="144" t="n">
        <v>0</v>
      </c>
      <c r="O133" s="144" t="n">
        <v>0</v>
      </c>
      <c r="P133" s="144" t="n">
        <f aca="false">(('Input data meat and eggs'!C92*3.6*'Common input data'!B50)*'Input data meat and eggs'!$F$410)*'Input data meat and eggs'!$E$410</f>
        <v>5745.29652933489</v>
      </c>
      <c r="Q133" s="144" t="n">
        <f aca="false">SUM(F133+P133)</f>
        <v>146150696.223871</v>
      </c>
      <c r="R133" s="89"/>
      <c r="S133" s="89"/>
      <c r="T133" s="74"/>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c r="GL133" s="30"/>
      <c r="GM133" s="30"/>
      <c r="GN133" s="30"/>
      <c r="GO133" s="30"/>
      <c r="GP133" s="30"/>
      <c r="GQ133" s="30"/>
      <c r="GR133" s="30"/>
      <c r="GS133" s="30"/>
      <c r="GT133" s="30"/>
      <c r="GU133" s="30"/>
      <c r="GV133" s="30"/>
      <c r="GW133" s="30"/>
      <c r="GX133" s="30"/>
      <c r="GY133" s="30"/>
      <c r="GZ133" s="30"/>
      <c r="HA133" s="30"/>
      <c r="HB133" s="30"/>
      <c r="HC133" s="30"/>
      <c r="HD133" s="30"/>
      <c r="HE133" s="30"/>
      <c r="HF133" s="30"/>
      <c r="HG133" s="30"/>
      <c r="HH133" s="30"/>
      <c r="HI133" s="30"/>
      <c r="HJ133" s="30"/>
      <c r="HK133" s="30"/>
      <c r="HL133" s="30"/>
      <c r="HM133" s="30"/>
      <c r="HN133" s="30"/>
      <c r="HO133" s="30"/>
      <c r="HP133" s="30"/>
      <c r="HQ133" s="30"/>
      <c r="HR133" s="30"/>
      <c r="HS133" s="30"/>
      <c r="HT133" s="30"/>
      <c r="HU133" s="30"/>
      <c r="HV133" s="30"/>
      <c r="HW133" s="30"/>
      <c r="HX133" s="30"/>
      <c r="HY133" s="30"/>
      <c r="HZ133" s="30"/>
      <c r="IA133" s="30"/>
      <c r="IB133" s="30"/>
      <c r="IC133" s="30"/>
      <c r="ID133" s="30"/>
      <c r="IE133" s="30"/>
      <c r="IF133" s="30"/>
      <c r="IG133" s="30"/>
      <c r="IH133" s="30"/>
      <c r="II133" s="30"/>
      <c r="IJ133" s="30"/>
      <c r="IK133" s="30"/>
      <c r="IL133" s="30"/>
      <c r="IM133" s="30"/>
      <c r="IN133" s="30"/>
      <c r="IO133" s="30"/>
      <c r="IP133" s="30"/>
      <c r="IQ133" s="30"/>
      <c r="IR133" s="30"/>
      <c r="IS133" s="30"/>
      <c r="IT133" s="30"/>
      <c r="IU133" s="30"/>
      <c r="IV133" s="30"/>
      <c r="IW133" s="30"/>
      <c r="IX133" s="30"/>
      <c r="IY133" s="30"/>
      <c r="IZ133" s="30"/>
      <c r="JA133" s="30"/>
      <c r="JB133" s="30"/>
      <c r="JC133" s="30"/>
      <c r="JD133" s="30"/>
      <c r="JE133" s="30"/>
      <c r="JF133" s="30"/>
      <c r="JG133" s="30"/>
      <c r="JH133" s="30"/>
      <c r="JI133" s="30"/>
      <c r="JJ133" s="30"/>
      <c r="JK133" s="30"/>
      <c r="JL133" s="30"/>
      <c r="JM133" s="30"/>
      <c r="JN133" s="30"/>
      <c r="JO133" s="30"/>
      <c r="JP133" s="30"/>
      <c r="JQ133" s="30"/>
      <c r="JR133" s="30"/>
      <c r="JS133" s="30"/>
      <c r="JT133" s="30"/>
      <c r="JU133" s="30"/>
      <c r="JV133" s="30"/>
      <c r="JW133" s="30"/>
      <c r="JX133" s="30"/>
      <c r="JY133" s="30"/>
      <c r="JZ133" s="30"/>
      <c r="KA133" s="30"/>
      <c r="KB133" s="30"/>
      <c r="KC133" s="30"/>
      <c r="KD133" s="30"/>
      <c r="KE133" s="30"/>
      <c r="KF133" s="30"/>
      <c r="KG133" s="30"/>
      <c r="KH133" s="30"/>
      <c r="KI133" s="30"/>
      <c r="KJ133" s="30"/>
      <c r="KK133" s="30"/>
      <c r="KL133" s="30"/>
      <c r="KM133" s="30"/>
      <c r="KN133" s="30"/>
      <c r="KO133" s="30"/>
      <c r="KP133" s="30"/>
      <c r="KQ133" s="30"/>
      <c r="KR133" s="30"/>
      <c r="KS133" s="30"/>
      <c r="KT133" s="30"/>
      <c r="KU133" s="30"/>
      <c r="KV133" s="30"/>
      <c r="KW133" s="30"/>
      <c r="KX133" s="30"/>
      <c r="KY133" s="30"/>
      <c r="KZ133" s="30"/>
      <c r="LA133" s="30"/>
      <c r="LB133" s="30"/>
      <c r="LC133" s="30"/>
      <c r="LD133" s="30"/>
      <c r="LE133" s="30"/>
      <c r="LF133" s="30"/>
      <c r="LG133" s="30"/>
      <c r="LH133" s="30"/>
      <c r="LI133" s="30"/>
      <c r="LJ133" s="30"/>
      <c r="LK133" s="30"/>
      <c r="LL133" s="30"/>
      <c r="LM133" s="30"/>
      <c r="LN133" s="30"/>
      <c r="LO133" s="30"/>
      <c r="LP133" s="30"/>
      <c r="LQ133" s="30"/>
      <c r="LR133" s="30"/>
      <c r="LS133" s="30"/>
      <c r="LT133" s="30"/>
      <c r="LU133" s="30"/>
      <c r="LV133" s="30"/>
      <c r="LW133" s="30"/>
      <c r="LX133" s="30"/>
      <c r="LY133" s="30"/>
      <c r="LZ133" s="30"/>
      <c r="MA133" s="30"/>
      <c r="MB133" s="30"/>
      <c r="MC133" s="30"/>
      <c r="MD133" s="30"/>
      <c r="ME133" s="30"/>
      <c r="MF133" s="30"/>
      <c r="MG133" s="30"/>
      <c r="MH133" s="30"/>
      <c r="MI133" s="30"/>
      <c r="MJ133" s="30"/>
      <c r="MK133" s="30"/>
      <c r="ML133" s="30"/>
      <c r="MM133" s="30"/>
      <c r="MN133" s="30"/>
      <c r="MO133" s="30"/>
      <c r="MP133" s="30"/>
      <c r="MQ133" s="30"/>
      <c r="MR133" s="30"/>
      <c r="MS133" s="30"/>
      <c r="MT133" s="30"/>
      <c r="MU133" s="30"/>
      <c r="MV133" s="30"/>
      <c r="MW133" s="30"/>
      <c r="MX133" s="30"/>
      <c r="MY133" s="30"/>
      <c r="MZ133" s="30"/>
      <c r="NA133" s="30"/>
      <c r="NB133" s="30"/>
      <c r="NC133" s="30"/>
      <c r="ND133" s="30"/>
      <c r="NE133" s="30"/>
      <c r="NF133" s="30"/>
      <c r="NG133" s="30"/>
      <c r="NH133" s="30"/>
      <c r="NI133" s="30"/>
      <c r="NJ133" s="30"/>
      <c r="NK133" s="30"/>
      <c r="NL133" s="30"/>
      <c r="NM133" s="30"/>
      <c r="NN133" s="30"/>
      <c r="NO133" s="30"/>
      <c r="NP133" s="30"/>
      <c r="NQ133" s="30"/>
      <c r="NR133" s="30"/>
      <c r="NS133" s="30"/>
      <c r="NT133" s="30"/>
      <c r="NU133" s="30"/>
      <c r="NV133" s="30"/>
      <c r="NW133" s="30"/>
      <c r="NX133" s="30"/>
      <c r="NY133" s="30"/>
      <c r="NZ133" s="30"/>
      <c r="OA133" s="30"/>
      <c r="OB133" s="30"/>
      <c r="OC133" s="30"/>
      <c r="OD133" s="30"/>
      <c r="OE133" s="30"/>
      <c r="OF133" s="30"/>
      <c r="OG133" s="30"/>
      <c r="OH133" s="30"/>
      <c r="OI133" s="30"/>
      <c r="OJ133" s="30"/>
      <c r="OK133" s="30"/>
      <c r="OL133" s="30"/>
    </row>
    <row r="134" s="182" customFormat="true" ht="14.4" hidden="false" customHeight="false" outlineLevel="0" collapsed="false">
      <c r="A134" s="100"/>
      <c r="B134" s="31"/>
      <c r="C134" s="87"/>
      <c r="D134" s="31" t="s">
        <v>136</v>
      </c>
      <c r="E134" s="157" t="n">
        <f aca="false">SUM(I134:L134)</f>
        <v>5091957.66364536</v>
      </c>
      <c r="F134" s="144" t="n">
        <f aca="false">SUM(H134:L134,O134)</f>
        <v>5827138.54662288</v>
      </c>
      <c r="G134" s="159"/>
      <c r="H134" s="144" t="n">
        <f aca="false">(('Input data meat and eggs'!S410*'Input data meat and eggs'!D48+'Input data meat and eggs'!T410*'Input data meat and eggs'!D47+'Input data meat and eggs'!U410*'Input data meat and eggs'!D35+'Input data meat and eggs'!V410*SUMPRODUCT('Input data meat and eggs'!D37:D46,'Input data meat and eggs'!F65:F74))*'Input data meat and eggs'!B58)*'Input data meat and eggs'!$C$410</f>
        <v>735180.882977518</v>
      </c>
      <c r="I134" s="144" t="n">
        <f aca="false">(('Input data meat and eggs'!S410*'Input data meat and eggs'!D48+'Input data meat and eggs'!T410*'Input data meat and eggs'!D47+'Input data meat and eggs'!U410*'Input data meat and eggs'!D35+'Input data meat and eggs'!V410*SUMPRODUCT('Input data meat and eggs'!D37:D46,'Input data meat and eggs'!F65:F74))*'Input data meat and eggs'!C58)*'Input data meat and eggs'!$C$410</f>
        <v>1858240.94654605</v>
      </c>
      <c r="J134" s="144" t="n">
        <f aca="false">('Input data meat and eggs'!K410*'Input data meat and eggs'!G410/12*('Input data meat and eggs'!$O$410*'Input data meat and eggs'!$B$445+'Input data meat and eggs'!$P$410*'Input data meat and eggs'!$C$445+'Input data meat and eggs'!$Q$410*'Input data meat and eggs'!$D$445+'Input data meat and eggs'!$R$410*'Input data meat and eggs'!$E$445)*44/28)*'Input data meat and eggs'!$C$410</f>
        <v>2939052.06556466</v>
      </c>
      <c r="K134" s="144" t="n">
        <f aca="false">('Input data meat and eggs'!$B$446*44/28*'Input data meat and eggs'!K410*'Input data meat and eggs'!G410/12*('Input data meat and eggs'!O410*'Input data meat and eggs'!B458+'Input data meat and eggs'!P412*'Input data meat and eggs'!C458+'Input data meat and eggs'!Q412*'Input data meat and eggs'!D458))*'Input data meat and eggs'!$C$410</f>
        <v>294664.651534648</v>
      </c>
      <c r="L134" s="144" t="n">
        <v>0</v>
      </c>
      <c r="M134" s="144" t="n">
        <v>0</v>
      </c>
      <c r="N134" s="144" t="n">
        <v>0</v>
      </c>
      <c r="O134" s="144" t="n">
        <v>0</v>
      </c>
      <c r="P134" s="144" t="n">
        <f aca="false">(('Input data meat and eggs'!C92*3.6*'Common input data'!B51)*'Input data meat and eggs'!$F$410)*'Input data meat and eggs'!$E$410</f>
        <v>535.589309790219</v>
      </c>
      <c r="Q134" s="144" t="n">
        <f aca="false">SUM(F134+P134)</f>
        <v>5827674.13593267</v>
      </c>
      <c r="R134" s="89"/>
      <c r="S134" s="89"/>
      <c r="T134" s="74"/>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c r="FQ134" s="30"/>
      <c r="FR134" s="30"/>
      <c r="FS134" s="30"/>
      <c r="FT134" s="30"/>
      <c r="FU134" s="30"/>
      <c r="FV134" s="30"/>
      <c r="FW134" s="30"/>
      <c r="FX134" s="30"/>
      <c r="FY134" s="30"/>
      <c r="FZ134" s="30"/>
      <c r="GA134" s="30"/>
      <c r="GB134" s="30"/>
      <c r="GC134" s="30"/>
      <c r="GD134" s="30"/>
      <c r="GE134" s="30"/>
      <c r="GF134" s="30"/>
      <c r="GG134" s="30"/>
      <c r="GH134" s="30"/>
      <c r="GI134" s="30"/>
      <c r="GJ134" s="30"/>
      <c r="GK134" s="30"/>
      <c r="GL134" s="30"/>
      <c r="GM134" s="30"/>
      <c r="GN134" s="30"/>
      <c r="GO134" s="30"/>
      <c r="GP134" s="30"/>
      <c r="GQ134" s="30"/>
      <c r="GR134" s="30"/>
      <c r="GS134" s="30"/>
      <c r="GT134" s="30"/>
      <c r="GU134" s="30"/>
      <c r="GV134" s="30"/>
      <c r="GW134" s="30"/>
      <c r="GX134" s="30"/>
      <c r="GY134" s="30"/>
      <c r="GZ134" s="30"/>
      <c r="HA134" s="30"/>
      <c r="HB134" s="30"/>
      <c r="HC134" s="30"/>
      <c r="HD134" s="30"/>
      <c r="HE134" s="30"/>
      <c r="HF134" s="30"/>
      <c r="HG134" s="30"/>
      <c r="HH134" s="30"/>
      <c r="HI134" s="30"/>
      <c r="HJ134" s="30"/>
      <c r="HK134" s="30"/>
      <c r="HL134" s="30"/>
      <c r="HM134" s="30"/>
      <c r="HN134" s="30"/>
      <c r="HO134" s="30"/>
      <c r="HP134" s="30"/>
      <c r="HQ134" s="30"/>
      <c r="HR134" s="30"/>
      <c r="HS134" s="30"/>
      <c r="HT134" s="30"/>
      <c r="HU134" s="30"/>
      <c r="HV134" s="30"/>
      <c r="HW134" s="30"/>
      <c r="HX134" s="30"/>
      <c r="HY134" s="30"/>
      <c r="HZ134" s="30"/>
      <c r="IA134" s="30"/>
      <c r="IB134" s="30"/>
      <c r="IC134" s="30"/>
      <c r="ID134" s="30"/>
      <c r="IE134" s="30"/>
      <c r="IF134" s="30"/>
      <c r="IG134" s="30"/>
      <c r="IH134" s="30"/>
      <c r="II134" s="30"/>
      <c r="IJ134" s="30"/>
      <c r="IK134" s="30"/>
      <c r="IL134" s="30"/>
      <c r="IM134" s="30"/>
      <c r="IN134" s="30"/>
      <c r="IO134" s="30"/>
      <c r="IP134" s="30"/>
      <c r="IQ134" s="30"/>
      <c r="IR134" s="30"/>
      <c r="IS134" s="30"/>
      <c r="IT134" s="30"/>
      <c r="IU134" s="30"/>
      <c r="IV134" s="30"/>
      <c r="IW134" s="30"/>
      <c r="IX134" s="30"/>
      <c r="IY134" s="30"/>
      <c r="IZ134" s="30"/>
      <c r="JA134" s="30"/>
      <c r="JB134" s="30"/>
      <c r="JC134" s="30"/>
      <c r="JD134" s="30"/>
      <c r="JE134" s="30"/>
      <c r="JF134" s="30"/>
      <c r="JG134" s="30"/>
      <c r="JH134" s="30"/>
      <c r="JI134" s="30"/>
      <c r="JJ134" s="30"/>
      <c r="JK134" s="30"/>
      <c r="JL134" s="30"/>
      <c r="JM134" s="30"/>
      <c r="JN134" s="30"/>
      <c r="JO134" s="30"/>
      <c r="JP134" s="30"/>
      <c r="JQ134" s="30"/>
      <c r="JR134" s="30"/>
      <c r="JS134" s="30"/>
      <c r="JT134" s="30"/>
      <c r="JU134" s="30"/>
      <c r="JV134" s="30"/>
      <c r="JW134" s="30"/>
      <c r="JX134" s="30"/>
      <c r="JY134" s="30"/>
      <c r="JZ134" s="30"/>
      <c r="KA134" s="30"/>
      <c r="KB134" s="30"/>
      <c r="KC134" s="30"/>
      <c r="KD134" s="30"/>
      <c r="KE134" s="30"/>
      <c r="KF134" s="30"/>
      <c r="KG134" s="30"/>
      <c r="KH134" s="30"/>
      <c r="KI134" s="30"/>
      <c r="KJ134" s="30"/>
      <c r="KK134" s="30"/>
      <c r="KL134" s="30"/>
      <c r="KM134" s="30"/>
      <c r="KN134" s="30"/>
      <c r="KO134" s="30"/>
      <c r="KP134" s="30"/>
      <c r="KQ134" s="30"/>
      <c r="KR134" s="30"/>
      <c r="KS134" s="30"/>
      <c r="KT134" s="30"/>
      <c r="KU134" s="30"/>
      <c r="KV134" s="30"/>
      <c r="KW134" s="30"/>
      <c r="KX134" s="30"/>
      <c r="KY134" s="30"/>
      <c r="KZ134" s="30"/>
      <c r="LA134" s="30"/>
      <c r="LB134" s="30"/>
      <c r="LC134" s="30"/>
      <c r="LD134" s="30"/>
      <c r="LE134" s="30"/>
      <c r="LF134" s="30"/>
      <c r="LG134" s="30"/>
      <c r="LH134" s="30"/>
      <c r="LI134" s="30"/>
      <c r="LJ134" s="30"/>
      <c r="LK134" s="30"/>
      <c r="LL134" s="30"/>
      <c r="LM134" s="30"/>
      <c r="LN134" s="30"/>
      <c r="LO134" s="30"/>
      <c r="LP134" s="30"/>
      <c r="LQ134" s="30"/>
      <c r="LR134" s="30"/>
      <c r="LS134" s="30"/>
      <c r="LT134" s="30"/>
      <c r="LU134" s="30"/>
      <c r="LV134" s="30"/>
      <c r="LW134" s="30"/>
      <c r="LX134" s="30"/>
      <c r="LY134" s="30"/>
      <c r="LZ134" s="30"/>
      <c r="MA134" s="30"/>
      <c r="MB134" s="30"/>
      <c r="MC134" s="30"/>
      <c r="MD134" s="30"/>
      <c r="ME134" s="30"/>
      <c r="MF134" s="30"/>
      <c r="MG134" s="30"/>
      <c r="MH134" s="30"/>
      <c r="MI134" s="30"/>
      <c r="MJ134" s="30"/>
      <c r="MK134" s="30"/>
      <c r="ML134" s="30"/>
      <c r="MM134" s="30"/>
      <c r="MN134" s="30"/>
      <c r="MO134" s="30"/>
      <c r="MP134" s="30"/>
      <c r="MQ134" s="30"/>
      <c r="MR134" s="30"/>
      <c r="MS134" s="30"/>
      <c r="MT134" s="30"/>
      <c r="MU134" s="30"/>
      <c r="MV134" s="30"/>
      <c r="MW134" s="30"/>
      <c r="MX134" s="30"/>
      <c r="MY134" s="30"/>
      <c r="MZ134" s="30"/>
      <c r="NA134" s="30"/>
      <c r="NB134" s="30"/>
      <c r="NC134" s="30"/>
      <c r="ND134" s="30"/>
      <c r="NE134" s="30"/>
      <c r="NF134" s="30"/>
      <c r="NG134" s="30"/>
      <c r="NH134" s="30"/>
      <c r="NI134" s="30"/>
      <c r="NJ134" s="30"/>
      <c r="NK134" s="30"/>
      <c r="NL134" s="30"/>
      <c r="NM134" s="30"/>
      <c r="NN134" s="30"/>
      <c r="NO134" s="30"/>
      <c r="NP134" s="30"/>
      <c r="NQ134" s="30"/>
      <c r="NR134" s="30"/>
      <c r="NS134" s="30"/>
      <c r="NT134" s="30"/>
      <c r="NU134" s="30"/>
      <c r="NV134" s="30"/>
      <c r="NW134" s="30"/>
      <c r="NX134" s="30"/>
      <c r="NY134" s="30"/>
      <c r="NZ134" s="30"/>
      <c r="OA134" s="30"/>
      <c r="OB134" s="30"/>
      <c r="OC134" s="30"/>
      <c r="OD134" s="30"/>
      <c r="OE134" s="30"/>
      <c r="OF134" s="30"/>
      <c r="OG134" s="30"/>
      <c r="OH134" s="30"/>
      <c r="OI134" s="30"/>
      <c r="OJ134" s="30"/>
      <c r="OK134" s="30"/>
      <c r="OL134" s="30"/>
    </row>
    <row r="135" s="83" customFormat="true" ht="14.4" hidden="false" customHeight="false" outlineLevel="0" collapsed="false">
      <c r="A135" s="75"/>
      <c r="B135" s="76" t="s">
        <v>154</v>
      </c>
      <c r="C135" s="153"/>
      <c r="D135" s="78" t="s">
        <v>133</v>
      </c>
      <c r="E135" s="154" t="n">
        <f aca="false">IF($F$1="GWP100 without fb",E136+E137*'Common input data'!$C$5+E138*'Common input data'!$D$5,IF($F$1="GWP100 with fb",E136+E137*'Common input data'!$C$6+E138*'Common input data'!$D$6,IF($F$1="GTP100 without fb",E136+E137*'Common input data'!$C$7+E138*'Common input data'!$D$7,IF($F$1="GTP100 with fb",E136+E137*'Common input data'!$C$8+E138*'Common input data'!$D$8,E136+E137*'Common input data'!$C$9+E138*'Common input data'!$D$9))))</f>
        <v>1100945194.28101</v>
      </c>
      <c r="F135" s="155" t="n">
        <f aca="false">IF($F$1="GWP100 without fb",F136+F137*'Common input data'!$C$5+F138*'Common input data'!$D$5,IF($F$1="GWP100 with fb",F136+F137*'Common input data'!$C$6+F138*'Common input data'!$D$6,IF($F$1="GTP100 without fb",F136+F137*'Common input data'!$C$7+F138*'Common input data'!$D$7,IF($F$1="GTP100 with fb",F136+F137*'Common input data'!$C$8+F138*'Common input data'!$D$8,F136+F137*'Common input data'!$C$9+F138*'Common input data'!$D$9))))</f>
        <v>1708455033.47959</v>
      </c>
      <c r="G135" s="156"/>
      <c r="H135" s="179"/>
      <c r="I135" s="179"/>
      <c r="J135" s="179"/>
      <c r="K135" s="179"/>
      <c r="L135" s="179"/>
      <c r="M135" s="179"/>
      <c r="N135" s="179"/>
      <c r="O135" s="179"/>
      <c r="P135" s="179"/>
      <c r="Q135" s="179"/>
      <c r="R135" s="98"/>
      <c r="S135" s="98"/>
      <c r="T135" s="74"/>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c r="FQ135" s="30"/>
      <c r="FR135" s="30"/>
      <c r="FS135" s="30"/>
      <c r="FT135" s="30"/>
      <c r="FU135" s="30"/>
      <c r="FV135" s="30"/>
      <c r="FW135" s="30"/>
      <c r="FX135" s="30"/>
      <c r="FY135" s="30"/>
      <c r="FZ135" s="30"/>
      <c r="GA135" s="30"/>
      <c r="GB135" s="30"/>
      <c r="GC135" s="30"/>
      <c r="GD135" s="30"/>
      <c r="GE135" s="30"/>
      <c r="GF135" s="30"/>
      <c r="GG135" s="30"/>
      <c r="GH135" s="30"/>
      <c r="GI135" s="30"/>
      <c r="GJ135" s="30"/>
      <c r="GK135" s="30"/>
      <c r="GL135" s="30"/>
      <c r="GM135" s="30"/>
      <c r="GN135" s="30"/>
      <c r="GO135" s="30"/>
      <c r="GP135" s="30"/>
      <c r="GQ135" s="30"/>
      <c r="GR135" s="30"/>
      <c r="GS135" s="30"/>
      <c r="GT135" s="30"/>
      <c r="GU135" s="30"/>
      <c r="GV135" s="30"/>
      <c r="GW135" s="30"/>
      <c r="GX135" s="30"/>
      <c r="GY135" s="30"/>
      <c r="GZ135" s="30"/>
      <c r="HA135" s="30"/>
      <c r="HB135" s="30"/>
      <c r="HC135" s="30"/>
      <c r="HD135" s="30"/>
      <c r="HE135" s="30"/>
      <c r="HF135" s="30"/>
      <c r="HG135" s="30"/>
      <c r="HH135" s="30"/>
      <c r="HI135" s="30"/>
      <c r="HJ135" s="30"/>
      <c r="HK135" s="30"/>
      <c r="HL135" s="30"/>
      <c r="HM135" s="30"/>
      <c r="HN135" s="30"/>
      <c r="HO135" s="30"/>
      <c r="HP135" s="30"/>
      <c r="HQ135" s="30"/>
      <c r="HR135" s="30"/>
      <c r="HS135" s="30"/>
      <c r="HT135" s="30"/>
      <c r="HU135" s="30"/>
      <c r="HV135" s="30"/>
      <c r="HW135" s="30"/>
      <c r="HX135" s="30"/>
      <c r="HY135" s="30"/>
      <c r="HZ135" s="30"/>
      <c r="IA135" s="30"/>
      <c r="IB135" s="30"/>
      <c r="IC135" s="30"/>
      <c r="ID135" s="30"/>
      <c r="IE135" s="30"/>
      <c r="IF135" s="30"/>
      <c r="IG135" s="30"/>
      <c r="IH135" s="30"/>
      <c r="II135" s="30"/>
      <c r="IJ135" s="30"/>
      <c r="IK135" s="30"/>
      <c r="IL135" s="30"/>
      <c r="IM135" s="30"/>
      <c r="IN135" s="30"/>
      <c r="IO135" s="30"/>
      <c r="IP135" s="30"/>
      <c r="IQ135" s="30"/>
      <c r="IR135" s="30"/>
      <c r="IS135" s="30"/>
      <c r="IT135" s="30"/>
      <c r="IU135" s="30"/>
      <c r="IV135" s="30"/>
      <c r="IW135" s="30"/>
      <c r="IX135" s="30"/>
      <c r="IY135" s="30"/>
      <c r="IZ135" s="30"/>
      <c r="JA135" s="30"/>
      <c r="JB135" s="30"/>
      <c r="JC135" s="30"/>
      <c r="JD135" s="30"/>
      <c r="JE135" s="30"/>
      <c r="JF135" s="30"/>
      <c r="JG135" s="30"/>
      <c r="JH135" s="30"/>
      <c r="JI135" s="30"/>
      <c r="JJ135" s="30"/>
      <c r="JK135" s="30"/>
      <c r="JL135" s="30"/>
      <c r="JM135" s="30"/>
      <c r="JN135" s="30"/>
      <c r="JO135" s="30"/>
      <c r="JP135" s="30"/>
      <c r="JQ135" s="30"/>
      <c r="JR135" s="30"/>
      <c r="JS135" s="30"/>
      <c r="JT135" s="30"/>
      <c r="JU135" s="30"/>
      <c r="JV135" s="30"/>
      <c r="JW135" s="30"/>
      <c r="JX135" s="30"/>
      <c r="JY135" s="30"/>
      <c r="JZ135" s="30"/>
      <c r="KA135" s="30"/>
      <c r="KB135" s="30"/>
      <c r="KC135" s="30"/>
      <c r="KD135" s="30"/>
      <c r="KE135" s="30"/>
      <c r="KF135" s="30"/>
      <c r="KG135" s="30"/>
      <c r="KH135" s="30"/>
      <c r="KI135" s="30"/>
      <c r="KJ135" s="30"/>
      <c r="KK135" s="30"/>
      <c r="KL135" s="30"/>
      <c r="KM135" s="30"/>
      <c r="KN135" s="30"/>
      <c r="KO135" s="30"/>
      <c r="KP135" s="30"/>
      <c r="KQ135" s="30"/>
      <c r="KR135" s="30"/>
      <c r="KS135" s="30"/>
      <c r="KT135" s="30"/>
      <c r="KU135" s="30"/>
      <c r="KV135" s="30"/>
      <c r="KW135" s="30"/>
      <c r="KX135" s="30"/>
      <c r="KY135" s="30"/>
      <c r="KZ135" s="30"/>
      <c r="LA135" s="30"/>
      <c r="LB135" s="30"/>
      <c r="LC135" s="30"/>
      <c r="LD135" s="30"/>
      <c r="LE135" s="30"/>
      <c r="LF135" s="30"/>
      <c r="LG135" s="30"/>
      <c r="LH135" s="30"/>
      <c r="LI135" s="30"/>
      <c r="LJ135" s="30"/>
      <c r="LK135" s="30"/>
      <c r="LL135" s="30"/>
      <c r="LM135" s="30"/>
      <c r="LN135" s="30"/>
      <c r="LO135" s="30"/>
      <c r="LP135" s="30"/>
      <c r="LQ135" s="30"/>
      <c r="LR135" s="30"/>
      <c r="LS135" s="30"/>
      <c r="LT135" s="30"/>
      <c r="LU135" s="30"/>
      <c r="LV135" s="30"/>
      <c r="LW135" s="30"/>
      <c r="LX135" s="30"/>
      <c r="LY135" s="30"/>
      <c r="LZ135" s="30"/>
      <c r="MA135" s="30"/>
      <c r="MB135" s="30"/>
      <c r="MC135" s="30"/>
      <c r="MD135" s="30"/>
      <c r="ME135" s="30"/>
      <c r="MF135" s="30"/>
      <c r="MG135" s="30"/>
      <c r="MH135" s="30"/>
      <c r="MI135" s="30"/>
      <c r="MJ135" s="30"/>
      <c r="MK135" s="30"/>
      <c r="ML135" s="30"/>
      <c r="MM135" s="30"/>
      <c r="MN135" s="30"/>
      <c r="MO135" s="30"/>
      <c r="MP135" s="30"/>
      <c r="MQ135" s="30"/>
      <c r="MR135" s="30"/>
      <c r="MS135" s="30"/>
      <c r="MT135" s="30"/>
      <c r="MU135" s="30"/>
      <c r="MV135" s="30"/>
      <c r="MW135" s="30"/>
      <c r="MX135" s="30"/>
      <c r="MY135" s="30"/>
      <c r="MZ135" s="30"/>
      <c r="NA135" s="30"/>
      <c r="NB135" s="30"/>
      <c r="NC135" s="30"/>
      <c r="ND135" s="30"/>
      <c r="NE135" s="30"/>
      <c r="NF135" s="30"/>
      <c r="NG135" s="30"/>
      <c r="NH135" s="30"/>
      <c r="NI135" s="30"/>
      <c r="NJ135" s="30"/>
      <c r="NK135" s="30"/>
      <c r="NL135" s="30"/>
      <c r="NM135" s="30"/>
      <c r="NN135" s="30"/>
      <c r="NO135" s="30"/>
      <c r="NP135" s="30"/>
      <c r="NQ135" s="30"/>
      <c r="NR135" s="30"/>
      <c r="NS135" s="30"/>
      <c r="NT135" s="30"/>
      <c r="NU135" s="30"/>
      <c r="NV135" s="30"/>
      <c r="NW135" s="30"/>
      <c r="NX135" s="30"/>
      <c r="NY135" s="30"/>
      <c r="NZ135" s="30"/>
      <c r="OA135" s="30"/>
      <c r="OB135" s="30"/>
      <c r="OC135" s="30"/>
      <c r="OD135" s="30"/>
      <c r="OE135" s="30"/>
      <c r="OF135" s="30"/>
      <c r="OG135" s="30"/>
      <c r="OH135" s="30"/>
      <c r="OI135" s="30"/>
      <c r="OJ135" s="30"/>
      <c r="OK135" s="30"/>
      <c r="OL135" s="30"/>
    </row>
    <row r="136" s="182" customFormat="true" ht="14.4" hidden="false" customHeight="false" outlineLevel="0" collapsed="false">
      <c r="A136" s="100"/>
      <c r="B136" s="31"/>
      <c r="C136" s="30"/>
      <c r="D136" s="85" t="s">
        <v>134</v>
      </c>
      <c r="E136" s="157" t="n">
        <f aca="false">IF(AND($F$2="No",$F$3="No"),SUM(I136:L136),IF(AND($F$2="Yes", $F$3="No"), SUM(I136:L136)+N136, IF(AND($F$2="No", $F$3="Yes"),SUM(I136:L136)+M136, SUM(I136:L136)+N136+M136)))</f>
        <v>-72342412.0272066</v>
      </c>
      <c r="F136" s="144" t="n">
        <f aca="false">IF(AND($F$2="No",$F$3="No"),SUM(H136:L136,O136),IF(AND($F$2="Yes", $F$3="No"), SUM(H136:L136,O136)+N136, IF(AND($F$2="No", $F$3="Yes"),SUM(H136:L136,O136)+M136, SUM(H136:L136,O136)+N136+M136)))</f>
        <v>456517614.053613</v>
      </c>
      <c r="G136" s="159"/>
      <c r="H136" s="144" t="n">
        <f aca="false">('Input data meat and eggs'!S411*'Input data meat and eggs'!B48+'Input data meat and eggs'!T411*'Input data meat and eggs'!B47+'Input data meat and eggs'!U411*'Input data meat and eggs'!B35+'Input data meat and eggs'!V411*SUMPRODUCT('Input data meat and eggs'!B37:B46,'Input data meat and eggs'!F65:F74))*'Input data meat and eggs'!$C$411</f>
        <v>233989707.860405</v>
      </c>
      <c r="I136" s="144" t="n">
        <v>0</v>
      </c>
      <c r="J136" s="144" t="n">
        <v>0</v>
      </c>
      <c r="K136" s="144" t="n">
        <v>0</v>
      </c>
      <c r="L136" s="144" t="n">
        <v>0</v>
      </c>
      <c r="M136" s="144" t="n">
        <f aca="false">(('Input data meat and eggs'!S411+'Input data meat and eggs'!T411)*'Common input data'!F13+ 'Input data meat and eggs'!U411*'Common input data'!B13+'Input data meat and eggs'!V411*('Input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eggs'!$C$411</f>
        <v>-84862469.4123295</v>
      </c>
      <c r="N136" s="144" t="n">
        <f aca="false">('Input data meat and eggs'!V411*('Input data meat and eggs'!F67*'Common input data'!B21*'Common input data'!G30/'Common input data'!F30+'Input data meat and eggs'!F71*'Common input data'!C21*'Common input data'!J31/'Common input data'!I31))*'Input data meat and eggs'!$C$411</f>
        <v>12520057.385123</v>
      </c>
      <c r="O136" s="144" t="n">
        <f aca="false">('Input data meat and eggs'!B83*'Common input data'!C63)*'Input data meat and eggs'!$F$411*'Input data meat and eggs'!$C$411</f>
        <v>294870318.220414</v>
      </c>
      <c r="P136" s="144" t="n">
        <v>0</v>
      </c>
      <c r="Q136" s="144" t="n">
        <f aca="false">SUM(F136+P136)</f>
        <v>456517614.053613</v>
      </c>
      <c r="R136" s="89"/>
      <c r="S136" s="89"/>
      <c r="T136" s="74"/>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c r="FQ136" s="30"/>
      <c r="FR136" s="30"/>
      <c r="FS136" s="30"/>
      <c r="FT136" s="30"/>
      <c r="FU136" s="30"/>
      <c r="FV136" s="30"/>
      <c r="FW136" s="30"/>
      <c r="FX136" s="30"/>
      <c r="FY136" s="30"/>
      <c r="FZ136" s="30"/>
      <c r="GA136" s="30"/>
      <c r="GB136" s="30"/>
      <c r="GC136" s="30"/>
      <c r="GD136" s="30"/>
      <c r="GE136" s="30"/>
      <c r="GF136" s="30"/>
      <c r="GG136" s="30"/>
      <c r="GH136" s="30"/>
      <c r="GI136" s="30"/>
      <c r="GJ136" s="30"/>
      <c r="GK136" s="30"/>
      <c r="GL136" s="30"/>
      <c r="GM136" s="30"/>
      <c r="GN136" s="30"/>
      <c r="GO136" s="30"/>
      <c r="GP136" s="30"/>
      <c r="GQ136" s="30"/>
      <c r="GR136" s="30"/>
      <c r="GS136" s="30"/>
      <c r="GT136" s="30"/>
      <c r="GU136" s="30"/>
      <c r="GV136" s="30"/>
      <c r="GW136" s="30"/>
      <c r="GX136" s="30"/>
      <c r="GY136" s="30"/>
      <c r="GZ136" s="30"/>
      <c r="HA136" s="30"/>
      <c r="HB136" s="30"/>
      <c r="HC136" s="30"/>
      <c r="HD136" s="30"/>
      <c r="HE136" s="30"/>
      <c r="HF136" s="30"/>
      <c r="HG136" s="30"/>
      <c r="HH136" s="30"/>
      <c r="HI136" s="30"/>
      <c r="HJ136" s="30"/>
      <c r="HK136" s="30"/>
      <c r="HL136" s="30"/>
      <c r="HM136" s="30"/>
      <c r="HN136" s="30"/>
      <c r="HO136" s="30"/>
      <c r="HP136" s="30"/>
      <c r="HQ136" s="30"/>
      <c r="HR136" s="30"/>
      <c r="HS136" s="30"/>
      <c r="HT136" s="30"/>
      <c r="HU136" s="30"/>
      <c r="HV136" s="30"/>
      <c r="HW136" s="30"/>
      <c r="HX136" s="30"/>
      <c r="HY136" s="30"/>
      <c r="HZ136" s="30"/>
      <c r="IA136" s="30"/>
      <c r="IB136" s="30"/>
      <c r="IC136" s="30"/>
      <c r="ID136" s="30"/>
      <c r="IE136" s="30"/>
      <c r="IF136" s="30"/>
      <c r="IG136" s="30"/>
      <c r="IH136" s="30"/>
      <c r="II136" s="30"/>
      <c r="IJ136" s="30"/>
      <c r="IK136" s="30"/>
      <c r="IL136" s="30"/>
      <c r="IM136" s="30"/>
      <c r="IN136" s="30"/>
      <c r="IO136" s="30"/>
      <c r="IP136" s="30"/>
      <c r="IQ136" s="30"/>
      <c r="IR136" s="30"/>
      <c r="IS136" s="30"/>
      <c r="IT136" s="30"/>
      <c r="IU136" s="30"/>
      <c r="IV136" s="30"/>
      <c r="IW136" s="30"/>
      <c r="IX136" s="30"/>
      <c r="IY136" s="30"/>
      <c r="IZ136" s="30"/>
      <c r="JA136" s="30"/>
      <c r="JB136" s="30"/>
      <c r="JC136" s="30"/>
      <c r="JD136" s="30"/>
      <c r="JE136" s="30"/>
      <c r="JF136" s="30"/>
      <c r="JG136" s="30"/>
      <c r="JH136" s="30"/>
      <c r="JI136" s="30"/>
      <c r="JJ136" s="30"/>
      <c r="JK136" s="30"/>
      <c r="JL136" s="30"/>
      <c r="JM136" s="30"/>
      <c r="JN136" s="30"/>
      <c r="JO136" s="30"/>
      <c r="JP136" s="30"/>
      <c r="JQ136" s="30"/>
      <c r="JR136" s="30"/>
      <c r="JS136" s="30"/>
      <c r="JT136" s="30"/>
      <c r="JU136" s="30"/>
      <c r="JV136" s="30"/>
      <c r="JW136" s="30"/>
      <c r="JX136" s="30"/>
      <c r="JY136" s="30"/>
      <c r="JZ136" s="30"/>
      <c r="KA136" s="30"/>
      <c r="KB136" s="30"/>
      <c r="KC136" s="30"/>
      <c r="KD136" s="30"/>
      <c r="KE136" s="30"/>
      <c r="KF136" s="30"/>
      <c r="KG136" s="30"/>
      <c r="KH136" s="30"/>
      <c r="KI136" s="30"/>
      <c r="KJ136" s="30"/>
      <c r="KK136" s="30"/>
      <c r="KL136" s="30"/>
      <c r="KM136" s="30"/>
      <c r="KN136" s="30"/>
      <c r="KO136" s="30"/>
      <c r="KP136" s="30"/>
      <c r="KQ136" s="30"/>
      <c r="KR136" s="30"/>
      <c r="KS136" s="30"/>
      <c r="KT136" s="30"/>
      <c r="KU136" s="30"/>
      <c r="KV136" s="30"/>
      <c r="KW136" s="30"/>
      <c r="KX136" s="30"/>
      <c r="KY136" s="30"/>
      <c r="KZ136" s="30"/>
      <c r="LA136" s="30"/>
      <c r="LB136" s="30"/>
      <c r="LC136" s="30"/>
      <c r="LD136" s="30"/>
      <c r="LE136" s="30"/>
      <c r="LF136" s="30"/>
      <c r="LG136" s="30"/>
      <c r="LH136" s="30"/>
      <c r="LI136" s="30"/>
      <c r="LJ136" s="30"/>
      <c r="LK136" s="30"/>
      <c r="LL136" s="30"/>
      <c r="LM136" s="30"/>
      <c r="LN136" s="30"/>
      <c r="LO136" s="30"/>
      <c r="LP136" s="30"/>
      <c r="LQ136" s="30"/>
      <c r="LR136" s="30"/>
      <c r="LS136" s="30"/>
      <c r="LT136" s="30"/>
      <c r="LU136" s="30"/>
      <c r="LV136" s="30"/>
      <c r="LW136" s="30"/>
      <c r="LX136" s="30"/>
      <c r="LY136" s="30"/>
      <c r="LZ136" s="30"/>
      <c r="MA136" s="30"/>
      <c r="MB136" s="30"/>
      <c r="MC136" s="30"/>
      <c r="MD136" s="30"/>
      <c r="ME136" s="30"/>
      <c r="MF136" s="30"/>
      <c r="MG136" s="30"/>
      <c r="MH136" s="30"/>
      <c r="MI136" s="30"/>
      <c r="MJ136" s="30"/>
      <c r="MK136" s="30"/>
      <c r="ML136" s="30"/>
      <c r="MM136" s="30"/>
      <c r="MN136" s="30"/>
      <c r="MO136" s="30"/>
      <c r="MP136" s="30"/>
      <c r="MQ136" s="30"/>
      <c r="MR136" s="30"/>
      <c r="MS136" s="30"/>
      <c r="MT136" s="30"/>
      <c r="MU136" s="30"/>
      <c r="MV136" s="30"/>
      <c r="MW136" s="30"/>
      <c r="MX136" s="30"/>
      <c r="MY136" s="30"/>
      <c r="MZ136" s="30"/>
      <c r="NA136" s="30"/>
      <c r="NB136" s="30"/>
      <c r="NC136" s="30"/>
      <c r="ND136" s="30"/>
      <c r="NE136" s="30"/>
      <c r="NF136" s="30"/>
      <c r="NG136" s="30"/>
      <c r="NH136" s="30"/>
      <c r="NI136" s="30"/>
      <c r="NJ136" s="30"/>
      <c r="NK136" s="30"/>
      <c r="NL136" s="30"/>
      <c r="NM136" s="30"/>
      <c r="NN136" s="30"/>
      <c r="NO136" s="30"/>
      <c r="NP136" s="30"/>
      <c r="NQ136" s="30"/>
      <c r="NR136" s="30"/>
      <c r="NS136" s="30"/>
      <c r="NT136" s="30"/>
      <c r="NU136" s="30"/>
      <c r="NV136" s="30"/>
      <c r="NW136" s="30"/>
      <c r="NX136" s="30"/>
      <c r="NY136" s="30"/>
      <c r="NZ136" s="30"/>
      <c r="OA136" s="30"/>
      <c r="OB136" s="30"/>
      <c r="OC136" s="30"/>
      <c r="OD136" s="30"/>
      <c r="OE136" s="30"/>
      <c r="OF136" s="30"/>
      <c r="OG136" s="30"/>
      <c r="OH136" s="30"/>
      <c r="OI136" s="30"/>
      <c r="OJ136" s="30"/>
      <c r="OK136" s="30"/>
      <c r="OL136" s="30"/>
    </row>
    <row r="137" s="182" customFormat="true" ht="14.4" hidden="false" customHeight="false" outlineLevel="0" collapsed="false">
      <c r="A137" s="100"/>
      <c r="B137" s="31"/>
      <c r="C137" s="31"/>
      <c r="D137" s="85" t="s">
        <v>135</v>
      </c>
      <c r="E137" s="157" t="n">
        <f aca="false">SUM(I137:L137)</f>
        <v>23087401.5265266</v>
      </c>
      <c r="F137" s="144" t="n">
        <f aca="false">SUM(H137:L137,O137)</f>
        <v>23267520.6795726</v>
      </c>
      <c r="G137" s="159"/>
      <c r="H137" s="144" t="n">
        <f aca="false">('Input data meat and eggs'!S411*'Input data meat and eggs'!C48+'Input data meat and eggs'!T411*'Input data meat and eggs'!C47+'Input data meat and eggs'!U411*'Input data meat and eggs'!C35+'Input data meat and eggs'!V411*SUMPRODUCT('Input data meat and eggs'!C37:C46,'Input data meat and eggs'!F65:F74))*'Input data meat and eggs'!$C$411</f>
        <v>180119.153046026</v>
      </c>
      <c r="I137" s="144" t="n">
        <v>0</v>
      </c>
      <c r="J137" s="144" t="n">
        <f aca="false">'Input data meat and eggs'!N411*'Input data meat and eggs'!G411/12*'Input data meat and eggs'!C411</f>
        <v>1624668.99631113</v>
      </c>
      <c r="K137" s="144" t="n">
        <v>0</v>
      </c>
      <c r="L137" s="144" t="n">
        <f aca="false">('Input data meat and eggs'!L411*'Input data meat and eggs'!G411/12)*'Input data meat and eggs'!$C$411</f>
        <v>21462732.5302155</v>
      </c>
      <c r="M137" s="144" t="n">
        <v>0</v>
      </c>
      <c r="N137" s="144" t="n">
        <v>0</v>
      </c>
      <c r="O137" s="144" t="n">
        <v>0</v>
      </c>
      <c r="P137" s="144" t="n">
        <v>0</v>
      </c>
      <c r="Q137" s="144" t="n">
        <f aca="false">SUM(F137+P137)</f>
        <v>23267520.6795726</v>
      </c>
      <c r="R137" s="89"/>
      <c r="S137" s="89"/>
      <c r="T137" s="74"/>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c r="FQ137" s="30"/>
      <c r="FR137" s="30"/>
      <c r="FS137" s="30"/>
      <c r="FT137" s="30"/>
      <c r="FU137" s="30"/>
      <c r="FV137" s="30"/>
      <c r="FW137" s="30"/>
      <c r="FX137" s="30"/>
      <c r="FY137" s="30"/>
      <c r="FZ137" s="30"/>
      <c r="GA137" s="30"/>
      <c r="GB137" s="30"/>
      <c r="GC137" s="30"/>
      <c r="GD137" s="30"/>
      <c r="GE137" s="30"/>
      <c r="GF137" s="30"/>
      <c r="GG137" s="30"/>
      <c r="GH137" s="30"/>
      <c r="GI137" s="30"/>
      <c r="GJ137" s="30"/>
      <c r="GK137" s="30"/>
      <c r="GL137" s="30"/>
      <c r="GM137" s="30"/>
      <c r="GN137" s="30"/>
      <c r="GO137" s="30"/>
      <c r="GP137" s="30"/>
      <c r="GQ137" s="30"/>
      <c r="GR137" s="30"/>
      <c r="GS137" s="30"/>
      <c r="GT137" s="30"/>
      <c r="GU137" s="30"/>
      <c r="GV137" s="30"/>
      <c r="GW137" s="30"/>
      <c r="GX137" s="30"/>
      <c r="GY137" s="30"/>
      <c r="GZ137" s="30"/>
      <c r="HA137" s="30"/>
      <c r="HB137" s="30"/>
      <c r="HC137" s="30"/>
      <c r="HD137" s="30"/>
      <c r="HE137" s="30"/>
      <c r="HF137" s="30"/>
      <c r="HG137" s="30"/>
      <c r="HH137" s="30"/>
      <c r="HI137" s="30"/>
      <c r="HJ137" s="30"/>
      <c r="HK137" s="30"/>
      <c r="HL137" s="30"/>
      <c r="HM137" s="30"/>
      <c r="HN137" s="30"/>
      <c r="HO137" s="30"/>
      <c r="HP137" s="30"/>
      <c r="HQ137" s="30"/>
      <c r="HR137" s="30"/>
      <c r="HS137" s="30"/>
      <c r="HT137" s="30"/>
      <c r="HU137" s="30"/>
      <c r="HV137" s="30"/>
      <c r="HW137" s="30"/>
      <c r="HX137" s="30"/>
      <c r="HY137" s="30"/>
      <c r="HZ137" s="30"/>
      <c r="IA137" s="30"/>
      <c r="IB137" s="30"/>
      <c r="IC137" s="30"/>
      <c r="ID137" s="30"/>
      <c r="IE137" s="30"/>
      <c r="IF137" s="30"/>
      <c r="IG137" s="30"/>
      <c r="IH137" s="30"/>
      <c r="II137" s="30"/>
      <c r="IJ137" s="30"/>
      <c r="IK137" s="30"/>
      <c r="IL137" s="30"/>
      <c r="IM137" s="30"/>
      <c r="IN137" s="30"/>
      <c r="IO137" s="30"/>
      <c r="IP137" s="30"/>
      <c r="IQ137" s="30"/>
      <c r="IR137" s="30"/>
      <c r="IS137" s="30"/>
      <c r="IT137" s="30"/>
      <c r="IU137" s="30"/>
      <c r="IV137" s="30"/>
      <c r="IW137" s="30"/>
      <c r="IX137" s="30"/>
      <c r="IY137" s="30"/>
      <c r="IZ137" s="30"/>
      <c r="JA137" s="30"/>
      <c r="JB137" s="30"/>
      <c r="JC137" s="30"/>
      <c r="JD137" s="30"/>
      <c r="JE137" s="30"/>
      <c r="JF137" s="30"/>
      <c r="JG137" s="30"/>
      <c r="JH137" s="30"/>
      <c r="JI137" s="30"/>
      <c r="JJ137" s="30"/>
      <c r="JK137" s="30"/>
      <c r="JL137" s="30"/>
      <c r="JM137" s="30"/>
      <c r="JN137" s="30"/>
      <c r="JO137" s="30"/>
      <c r="JP137" s="30"/>
      <c r="JQ137" s="30"/>
      <c r="JR137" s="30"/>
      <c r="JS137" s="30"/>
      <c r="JT137" s="30"/>
      <c r="JU137" s="30"/>
      <c r="JV137" s="30"/>
      <c r="JW137" s="30"/>
      <c r="JX137" s="30"/>
      <c r="JY137" s="30"/>
      <c r="JZ137" s="30"/>
      <c r="KA137" s="30"/>
      <c r="KB137" s="30"/>
      <c r="KC137" s="30"/>
      <c r="KD137" s="30"/>
      <c r="KE137" s="30"/>
      <c r="KF137" s="30"/>
      <c r="KG137" s="30"/>
      <c r="KH137" s="30"/>
      <c r="KI137" s="30"/>
      <c r="KJ137" s="30"/>
      <c r="KK137" s="30"/>
      <c r="KL137" s="30"/>
      <c r="KM137" s="30"/>
      <c r="KN137" s="30"/>
      <c r="KO137" s="30"/>
      <c r="KP137" s="30"/>
      <c r="KQ137" s="30"/>
      <c r="KR137" s="30"/>
      <c r="KS137" s="30"/>
      <c r="KT137" s="30"/>
      <c r="KU137" s="30"/>
      <c r="KV137" s="30"/>
      <c r="KW137" s="30"/>
      <c r="KX137" s="30"/>
      <c r="KY137" s="30"/>
      <c r="KZ137" s="30"/>
      <c r="LA137" s="30"/>
      <c r="LB137" s="30"/>
      <c r="LC137" s="30"/>
      <c r="LD137" s="30"/>
      <c r="LE137" s="30"/>
      <c r="LF137" s="30"/>
      <c r="LG137" s="30"/>
      <c r="LH137" s="30"/>
      <c r="LI137" s="30"/>
      <c r="LJ137" s="30"/>
      <c r="LK137" s="30"/>
      <c r="LL137" s="30"/>
      <c r="LM137" s="30"/>
      <c r="LN137" s="30"/>
      <c r="LO137" s="30"/>
      <c r="LP137" s="30"/>
      <c r="LQ137" s="30"/>
      <c r="LR137" s="30"/>
      <c r="LS137" s="30"/>
      <c r="LT137" s="30"/>
      <c r="LU137" s="30"/>
      <c r="LV137" s="30"/>
      <c r="LW137" s="30"/>
      <c r="LX137" s="30"/>
      <c r="LY137" s="30"/>
      <c r="LZ137" s="30"/>
      <c r="MA137" s="30"/>
      <c r="MB137" s="30"/>
      <c r="MC137" s="30"/>
      <c r="MD137" s="30"/>
      <c r="ME137" s="30"/>
      <c r="MF137" s="30"/>
      <c r="MG137" s="30"/>
      <c r="MH137" s="30"/>
      <c r="MI137" s="30"/>
      <c r="MJ137" s="30"/>
      <c r="MK137" s="30"/>
      <c r="ML137" s="30"/>
      <c r="MM137" s="30"/>
      <c r="MN137" s="30"/>
      <c r="MO137" s="30"/>
      <c r="MP137" s="30"/>
      <c r="MQ137" s="30"/>
      <c r="MR137" s="30"/>
      <c r="MS137" s="30"/>
      <c r="MT137" s="30"/>
      <c r="MU137" s="30"/>
      <c r="MV137" s="30"/>
      <c r="MW137" s="30"/>
      <c r="MX137" s="30"/>
      <c r="MY137" s="30"/>
      <c r="MZ137" s="30"/>
      <c r="NA137" s="30"/>
      <c r="NB137" s="30"/>
      <c r="NC137" s="30"/>
      <c r="ND137" s="30"/>
      <c r="NE137" s="30"/>
      <c r="NF137" s="30"/>
      <c r="NG137" s="30"/>
      <c r="NH137" s="30"/>
      <c r="NI137" s="30"/>
      <c r="NJ137" s="30"/>
      <c r="NK137" s="30"/>
      <c r="NL137" s="30"/>
      <c r="NM137" s="30"/>
      <c r="NN137" s="30"/>
      <c r="NO137" s="30"/>
      <c r="NP137" s="30"/>
      <c r="NQ137" s="30"/>
      <c r="NR137" s="30"/>
      <c r="NS137" s="30"/>
      <c r="NT137" s="30"/>
      <c r="NU137" s="30"/>
      <c r="NV137" s="30"/>
      <c r="NW137" s="30"/>
      <c r="NX137" s="30"/>
      <c r="NY137" s="30"/>
      <c r="NZ137" s="30"/>
      <c r="OA137" s="30"/>
      <c r="OB137" s="30"/>
      <c r="OC137" s="30"/>
      <c r="OD137" s="30"/>
      <c r="OE137" s="30"/>
      <c r="OF137" s="30"/>
      <c r="OG137" s="30"/>
      <c r="OH137" s="30"/>
      <c r="OI137" s="30"/>
      <c r="OJ137" s="30"/>
      <c r="OK137" s="30"/>
      <c r="OL137" s="30"/>
    </row>
    <row r="138" s="182" customFormat="true" ht="14.4" hidden="false" customHeight="false" outlineLevel="0" collapsed="false">
      <c r="A138" s="100"/>
      <c r="B138" s="31"/>
      <c r="C138" s="87"/>
      <c r="D138" s="31" t="s">
        <v>136</v>
      </c>
      <c r="E138" s="157" t="n">
        <f aca="false">SUM(I138:L138)</f>
        <v>1303073.67250441</v>
      </c>
      <c r="F138" s="144" t="n">
        <f aca="false">SUM(H138:L138,O138)</f>
        <v>1546448.71248494</v>
      </c>
      <c r="G138" s="159"/>
      <c r="H138" s="144" t="n">
        <f aca="false">(('Input data meat and eggs'!S411*'Input data meat and eggs'!D48+'Input data meat and eggs'!T411*'Input data meat and eggs'!D47+'Input data meat and eggs'!U411*'Input data meat and eggs'!D35+'Input data meat and eggs'!V411*SUMPRODUCT('Input data meat and eggs'!D37:D46,'Input data meat and eggs'!F65:F74))*'Input data meat and eggs'!B58)*'Input data meat and eggs'!$C$411</f>
        <v>243375.039980529</v>
      </c>
      <c r="I138" s="144" t="n">
        <f aca="false">(('Input data meat and eggs'!S411*'Input data meat and eggs'!D48+'Input data meat and eggs'!T411*'Input data meat and eggs'!D47+'Input data meat and eggs'!U411*'Input data meat and eggs'!D35+'Input data meat and eggs'!V411*SUMPRODUCT('Input data meat and eggs'!D37:D46,'Input data meat and eggs'!F65:F74))*'Input data meat and eggs'!C58)*'Input data meat and eggs'!$C$411</f>
        <v>615154.005130643</v>
      </c>
      <c r="J138" s="144" t="n">
        <f aca="false">('Input data meat and eggs'!K411*'Input data meat and eggs'!G411/12*('Input data meat and eggs'!$O$411*'Input data meat and eggs'!$B$445+'Input data meat and eggs'!$P$411*'Input data meat and eggs'!$C$445+'Input data meat and eggs'!$Q$411*'Input data meat and eggs'!$D$445+'Input data meat and eggs'!$R$411*'Input data meat and eggs'!$E$445)*44/28)*'Input data meat and eggs'!$C$411</f>
        <v>628285.764319696</v>
      </c>
      <c r="K138" s="144" t="n">
        <f aca="false">('Input data meat and eggs'!$B$446*44/28*'Input data meat and eggs'!K411*'Input data meat and eggs'!G411/12*('Input data meat and eggs'!O411*'Input data meat and eggs'!B458+'Input data meat and eggs'!P411*'Input data meat and eggs'!C458+'Input data meat and eggs'!Q411*'Input data meat and eggs'!D458))*'Input data meat and eggs'!$C$411</f>
        <v>59633.9030540728</v>
      </c>
      <c r="L138" s="144" t="n">
        <v>0</v>
      </c>
      <c r="M138" s="144" t="n">
        <v>0</v>
      </c>
      <c r="N138" s="144" t="n">
        <v>0</v>
      </c>
      <c r="O138" s="144" t="n">
        <v>0</v>
      </c>
      <c r="P138" s="144" t="n">
        <v>0</v>
      </c>
      <c r="Q138" s="144" t="n">
        <f aca="false">SUM(F138+P138)</f>
        <v>1546448.71248494</v>
      </c>
      <c r="R138" s="89"/>
      <c r="S138" s="89"/>
      <c r="T138" s="74"/>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c r="GL138" s="30"/>
      <c r="GM138" s="30"/>
      <c r="GN138" s="30"/>
      <c r="GO138" s="30"/>
      <c r="GP138" s="30"/>
      <c r="GQ138" s="30"/>
      <c r="GR138" s="30"/>
      <c r="GS138" s="30"/>
      <c r="GT138" s="30"/>
      <c r="GU138" s="30"/>
      <c r="GV138" s="30"/>
      <c r="GW138" s="30"/>
      <c r="GX138" s="30"/>
      <c r="GY138" s="30"/>
      <c r="GZ138" s="30"/>
      <c r="HA138" s="30"/>
      <c r="HB138" s="30"/>
      <c r="HC138" s="30"/>
      <c r="HD138" s="30"/>
      <c r="HE138" s="30"/>
      <c r="HF138" s="30"/>
      <c r="HG138" s="30"/>
      <c r="HH138" s="30"/>
      <c r="HI138" s="30"/>
      <c r="HJ138" s="30"/>
      <c r="HK138" s="30"/>
      <c r="HL138" s="30"/>
      <c r="HM138" s="30"/>
      <c r="HN138" s="30"/>
      <c r="HO138" s="30"/>
      <c r="HP138" s="30"/>
      <c r="HQ138" s="30"/>
      <c r="HR138" s="30"/>
      <c r="HS138" s="30"/>
      <c r="HT138" s="30"/>
      <c r="HU138" s="30"/>
      <c r="HV138" s="30"/>
      <c r="HW138" s="30"/>
      <c r="HX138" s="30"/>
      <c r="HY138" s="30"/>
      <c r="HZ138" s="30"/>
      <c r="IA138" s="30"/>
      <c r="IB138" s="30"/>
      <c r="IC138" s="30"/>
      <c r="ID138" s="30"/>
      <c r="IE138" s="30"/>
      <c r="IF138" s="30"/>
      <c r="IG138" s="30"/>
      <c r="IH138" s="30"/>
      <c r="II138" s="30"/>
      <c r="IJ138" s="30"/>
      <c r="IK138" s="30"/>
      <c r="IL138" s="30"/>
      <c r="IM138" s="30"/>
      <c r="IN138" s="30"/>
      <c r="IO138" s="30"/>
      <c r="IP138" s="30"/>
      <c r="IQ138" s="30"/>
      <c r="IR138" s="30"/>
      <c r="IS138" s="30"/>
      <c r="IT138" s="30"/>
      <c r="IU138" s="30"/>
      <c r="IV138" s="30"/>
      <c r="IW138" s="30"/>
      <c r="IX138" s="30"/>
      <c r="IY138" s="30"/>
      <c r="IZ138" s="30"/>
      <c r="JA138" s="30"/>
      <c r="JB138" s="30"/>
      <c r="JC138" s="30"/>
      <c r="JD138" s="30"/>
      <c r="JE138" s="30"/>
      <c r="JF138" s="30"/>
      <c r="JG138" s="30"/>
      <c r="JH138" s="30"/>
      <c r="JI138" s="30"/>
      <c r="JJ138" s="30"/>
      <c r="JK138" s="30"/>
      <c r="JL138" s="30"/>
      <c r="JM138" s="30"/>
      <c r="JN138" s="30"/>
      <c r="JO138" s="30"/>
      <c r="JP138" s="30"/>
      <c r="JQ138" s="30"/>
      <c r="JR138" s="30"/>
      <c r="JS138" s="30"/>
      <c r="JT138" s="30"/>
      <c r="JU138" s="30"/>
      <c r="JV138" s="30"/>
      <c r="JW138" s="30"/>
      <c r="JX138" s="30"/>
      <c r="JY138" s="30"/>
      <c r="JZ138" s="30"/>
      <c r="KA138" s="30"/>
      <c r="KB138" s="30"/>
      <c r="KC138" s="30"/>
      <c r="KD138" s="30"/>
      <c r="KE138" s="30"/>
      <c r="KF138" s="30"/>
      <c r="KG138" s="30"/>
      <c r="KH138" s="30"/>
      <c r="KI138" s="30"/>
      <c r="KJ138" s="30"/>
      <c r="KK138" s="30"/>
      <c r="KL138" s="30"/>
      <c r="KM138" s="30"/>
      <c r="KN138" s="30"/>
      <c r="KO138" s="30"/>
      <c r="KP138" s="30"/>
      <c r="KQ138" s="30"/>
      <c r="KR138" s="30"/>
      <c r="KS138" s="30"/>
      <c r="KT138" s="30"/>
      <c r="KU138" s="30"/>
      <c r="KV138" s="30"/>
      <c r="KW138" s="30"/>
      <c r="KX138" s="30"/>
      <c r="KY138" s="30"/>
      <c r="KZ138" s="30"/>
      <c r="LA138" s="30"/>
      <c r="LB138" s="30"/>
      <c r="LC138" s="30"/>
      <c r="LD138" s="30"/>
      <c r="LE138" s="30"/>
      <c r="LF138" s="30"/>
      <c r="LG138" s="30"/>
      <c r="LH138" s="30"/>
      <c r="LI138" s="30"/>
      <c r="LJ138" s="30"/>
      <c r="LK138" s="30"/>
      <c r="LL138" s="30"/>
      <c r="LM138" s="30"/>
      <c r="LN138" s="30"/>
      <c r="LO138" s="30"/>
      <c r="LP138" s="30"/>
      <c r="LQ138" s="30"/>
      <c r="LR138" s="30"/>
      <c r="LS138" s="30"/>
      <c r="LT138" s="30"/>
      <c r="LU138" s="30"/>
      <c r="LV138" s="30"/>
      <c r="LW138" s="30"/>
      <c r="LX138" s="30"/>
      <c r="LY138" s="30"/>
      <c r="LZ138" s="30"/>
      <c r="MA138" s="30"/>
      <c r="MB138" s="30"/>
      <c r="MC138" s="30"/>
      <c r="MD138" s="30"/>
      <c r="ME138" s="30"/>
      <c r="MF138" s="30"/>
      <c r="MG138" s="30"/>
      <c r="MH138" s="30"/>
      <c r="MI138" s="30"/>
      <c r="MJ138" s="30"/>
      <c r="MK138" s="30"/>
      <c r="ML138" s="30"/>
      <c r="MM138" s="30"/>
      <c r="MN138" s="30"/>
      <c r="MO138" s="30"/>
      <c r="MP138" s="30"/>
      <c r="MQ138" s="30"/>
      <c r="MR138" s="30"/>
      <c r="MS138" s="30"/>
      <c r="MT138" s="30"/>
      <c r="MU138" s="30"/>
      <c r="MV138" s="30"/>
      <c r="MW138" s="30"/>
      <c r="MX138" s="30"/>
      <c r="MY138" s="30"/>
      <c r="MZ138" s="30"/>
      <c r="NA138" s="30"/>
      <c r="NB138" s="30"/>
      <c r="NC138" s="30"/>
      <c r="ND138" s="30"/>
      <c r="NE138" s="30"/>
      <c r="NF138" s="30"/>
      <c r="NG138" s="30"/>
      <c r="NH138" s="30"/>
      <c r="NI138" s="30"/>
      <c r="NJ138" s="30"/>
      <c r="NK138" s="30"/>
      <c r="NL138" s="30"/>
      <c r="NM138" s="30"/>
      <c r="NN138" s="30"/>
      <c r="NO138" s="30"/>
      <c r="NP138" s="30"/>
      <c r="NQ138" s="30"/>
      <c r="NR138" s="30"/>
      <c r="NS138" s="30"/>
      <c r="NT138" s="30"/>
      <c r="NU138" s="30"/>
      <c r="NV138" s="30"/>
      <c r="NW138" s="30"/>
      <c r="NX138" s="30"/>
      <c r="NY138" s="30"/>
      <c r="NZ138" s="30"/>
      <c r="OA138" s="30"/>
      <c r="OB138" s="30"/>
      <c r="OC138" s="30"/>
      <c r="OD138" s="30"/>
      <c r="OE138" s="30"/>
      <c r="OF138" s="30"/>
      <c r="OG138" s="30"/>
      <c r="OH138" s="30"/>
      <c r="OI138" s="30"/>
      <c r="OJ138" s="30"/>
      <c r="OK138" s="30"/>
      <c r="OL138" s="30"/>
    </row>
    <row r="139" s="83" customFormat="true" ht="14.4" hidden="false" customHeight="false" outlineLevel="0" collapsed="false">
      <c r="A139" s="183"/>
      <c r="B139" s="84" t="s">
        <v>155</v>
      </c>
      <c r="C139" s="97"/>
      <c r="D139" s="78" t="s">
        <v>133</v>
      </c>
      <c r="E139" s="154" t="n">
        <f aca="false">IF($F$1="GWP100 without fb",E140+E141*'Common input data'!$C$5+E142*'Common input data'!$D$5,IF($F$1="GWP100 with fb",E140+E141*'Common input data'!$C$6+E142*'Common input data'!$D$6,IF($F$1="GTP100 without fb",E140+E141*'Common input data'!$C$7+E142*'Common input data'!$D$7,IF($F$1="GTP100 with fb",E140+E141*'Common input data'!$C$8+E142*'Common input data'!$D$8,E140+E141*'Common input data'!$C$9+E142*'Common input data'!$D$9))))</f>
        <v>7177851826.84452</v>
      </c>
      <c r="F139" s="155" t="n">
        <f aca="false">IF($F$1="GWP100 without fb",F140+F141*'Common input data'!$C$5+F142*'Common input data'!$D$5,IF($F$1="GWP100 with fb",F140+F141*'Common input data'!$C$6+F142*'Common input data'!$D$6,IF($F$1="GTP100 without fb",F140+F141*'Common input data'!$C$7+F142*'Common input data'!$D$7,IF($F$1="GTP100 with fb",F140+F141*'Common input data'!$C$8+F142*'Common input data'!$D$8,F140+F141*'Common input data'!$C$9+F142*'Common input data'!$D$9))))</f>
        <v>8682360567.88901</v>
      </c>
      <c r="G139" s="156"/>
      <c r="H139" s="179"/>
      <c r="I139" s="179"/>
      <c r="J139" s="179"/>
      <c r="K139" s="179"/>
      <c r="L139" s="179"/>
      <c r="M139" s="179"/>
      <c r="N139" s="179"/>
      <c r="O139" s="179"/>
      <c r="P139" s="179"/>
      <c r="Q139" s="179"/>
      <c r="R139" s="98"/>
      <c r="S139" s="98"/>
      <c r="T139" s="74"/>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c r="FR139" s="30"/>
      <c r="FS139" s="30"/>
      <c r="FT139" s="30"/>
      <c r="FU139" s="30"/>
      <c r="FV139" s="30"/>
      <c r="FW139" s="30"/>
      <c r="FX139" s="30"/>
      <c r="FY139" s="30"/>
      <c r="FZ139" s="30"/>
      <c r="GA139" s="30"/>
      <c r="GB139" s="30"/>
      <c r="GC139" s="30"/>
      <c r="GD139" s="30"/>
      <c r="GE139" s="30"/>
      <c r="GF139" s="30"/>
      <c r="GG139" s="30"/>
      <c r="GH139" s="30"/>
      <c r="GI139" s="30"/>
      <c r="GJ139" s="30"/>
      <c r="GK139" s="30"/>
      <c r="GL139" s="30"/>
      <c r="GM139" s="30"/>
      <c r="GN139" s="30"/>
      <c r="GO139" s="30"/>
      <c r="GP139" s="30"/>
      <c r="GQ139" s="30"/>
      <c r="GR139" s="30"/>
      <c r="GS139" s="30"/>
      <c r="GT139" s="30"/>
      <c r="GU139" s="30"/>
      <c r="GV139" s="30"/>
      <c r="GW139" s="30"/>
      <c r="GX139" s="30"/>
      <c r="GY139" s="30"/>
      <c r="GZ139" s="30"/>
      <c r="HA139" s="30"/>
      <c r="HB139" s="30"/>
      <c r="HC139" s="30"/>
      <c r="HD139" s="30"/>
      <c r="HE139" s="30"/>
      <c r="HF139" s="30"/>
      <c r="HG139" s="30"/>
      <c r="HH139" s="30"/>
      <c r="HI139" s="30"/>
      <c r="HJ139" s="30"/>
      <c r="HK139" s="30"/>
      <c r="HL139" s="30"/>
      <c r="HM139" s="30"/>
      <c r="HN139" s="30"/>
      <c r="HO139" s="30"/>
      <c r="HP139" s="30"/>
      <c r="HQ139" s="30"/>
      <c r="HR139" s="30"/>
      <c r="HS139" s="30"/>
      <c r="HT139" s="30"/>
      <c r="HU139" s="30"/>
      <c r="HV139" s="30"/>
      <c r="HW139" s="30"/>
      <c r="HX139" s="30"/>
      <c r="HY139" s="30"/>
      <c r="HZ139" s="30"/>
      <c r="IA139" s="30"/>
      <c r="IB139" s="30"/>
      <c r="IC139" s="30"/>
      <c r="ID139" s="30"/>
      <c r="IE139" s="30"/>
      <c r="IF139" s="30"/>
      <c r="IG139" s="30"/>
      <c r="IH139" s="30"/>
      <c r="II139" s="30"/>
      <c r="IJ139" s="30"/>
      <c r="IK139" s="30"/>
      <c r="IL139" s="30"/>
      <c r="IM139" s="30"/>
      <c r="IN139" s="30"/>
      <c r="IO139" s="30"/>
      <c r="IP139" s="30"/>
      <c r="IQ139" s="30"/>
      <c r="IR139" s="30"/>
      <c r="IS139" s="30"/>
      <c r="IT139" s="30"/>
      <c r="IU139" s="30"/>
      <c r="IV139" s="30"/>
      <c r="IW139" s="30"/>
      <c r="IX139" s="30"/>
      <c r="IY139" s="30"/>
      <c r="IZ139" s="30"/>
      <c r="JA139" s="30"/>
      <c r="JB139" s="30"/>
      <c r="JC139" s="30"/>
      <c r="JD139" s="30"/>
      <c r="JE139" s="30"/>
      <c r="JF139" s="30"/>
      <c r="JG139" s="30"/>
      <c r="JH139" s="30"/>
      <c r="JI139" s="30"/>
      <c r="JJ139" s="30"/>
      <c r="JK139" s="30"/>
      <c r="JL139" s="30"/>
      <c r="JM139" s="30"/>
      <c r="JN139" s="30"/>
      <c r="JO139" s="30"/>
      <c r="JP139" s="30"/>
      <c r="JQ139" s="30"/>
      <c r="JR139" s="30"/>
      <c r="JS139" s="30"/>
      <c r="JT139" s="30"/>
      <c r="JU139" s="30"/>
      <c r="JV139" s="30"/>
      <c r="JW139" s="30"/>
      <c r="JX139" s="30"/>
      <c r="JY139" s="30"/>
      <c r="JZ139" s="30"/>
      <c r="KA139" s="30"/>
      <c r="KB139" s="30"/>
      <c r="KC139" s="30"/>
      <c r="KD139" s="30"/>
      <c r="KE139" s="30"/>
      <c r="KF139" s="30"/>
      <c r="KG139" s="30"/>
      <c r="KH139" s="30"/>
      <c r="KI139" s="30"/>
      <c r="KJ139" s="30"/>
      <c r="KK139" s="30"/>
      <c r="KL139" s="30"/>
      <c r="KM139" s="30"/>
      <c r="KN139" s="30"/>
      <c r="KO139" s="30"/>
      <c r="KP139" s="30"/>
      <c r="KQ139" s="30"/>
      <c r="KR139" s="30"/>
      <c r="KS139" s="30"/>
      <c r="KT139" s="30"/>
      <c r="KU139" s="30"/>
      <c r="KV139" s="30"/>
      <c r="KW139" s="30"/>
      <c r="KX139" s="30"/>
      <c r="KY139" s="30"/>
      <c r="KZ139" s="30"/>
      <c r="LA139" s="30"/>
      <c r="LB139" s="30"/>
      <c r="LC139" s="30"/>
      <c r="LD139" s="30"/>
      <c r="LE139" s="30"/>
      <c r="LF139" s="30"/>
      <c r="LG139" s="30"/>
      <c r="LH139" s="30"/>
      <c r="LI139" s="30"/>
      <c r="LJ139" s="30"/>
      <c r="LK139" s="30"/>
      <c r="LL139" s="30"/>
      <c r="LM139" s="30"/>
      <c r="LN139" s="30"/>
      <c r="LO139" s="30"/>
      <c r="LP139" s="30"/>
      <c r="LQ139" s="30"/>
      <c r="LR139" s="30"/>
      <c r="LS139" s="30"/>
      <c r="LT139" s="30"/>
      <c r="LU139" s="30"/>
      <c r="LV139" s="30"/>
      <c r="LW139" s="30"/>
      <c r="LX139" s="30"/>
      <c r="LY139" s="30"/>
      <c r="LZ139" s="30"/>
      <c r="MA139" s="30"/>
      <c r="MB139" s="30"/>
      <c r="MC139" s="30"/>
      <c r="MD139" s="30"/>
      <c r="ME139" s="30"/>
      <c r="MF139" s="30"/>
      <c r="MG139" s="30"/>
      <c r="MH139" s="30"/>
      <c r="MI139" s="30"/>
      <c r="MJ139" s="30"/>
      <c r="MK139" s="30"/>
      <c r="ML139" s="30"/>
      <c r="MM139" s="30"/>
      <c r="MN139" s="30"/>
      <c r="MO139" s="30"/>
      <c r="MP139" s="30"/>
      <c r="MQ139" s="30"/>
      <c r="MR139" s="30"/>
      <c r="MS139" s="30"/>
      <c r="MT139" s="30"/>
      <c r="MU139" s="30"/>
      <c r="MV139" s="30"/>
      <c r="MW139" s="30"/>
      <c r="MX139" s="30"/>
      <c r="MY139" s="30"/>
      <c r="MZ139" s="30"/>
      <c r="NA139" s="30"/>
      <c r="NB139" s="30"/>
      <c r="NC139" s="30"/>
      <c r="ND139" s="30"/>
      <c r="NE139" s="30"/>
      <c r="NF139" s="30"/>
      <c r="NG139" s="30"/>
      <c r="NH139" s="30"/>
      <c r="NI139" s="30"/>
      <c r="NJ139" s="30"/>
      <c r="NK139" s="30"/>
      <c r="NL139" s="30"/>
      <c r="NM139" s="30"/>
      <c r="NN139" s="30"/>
      <c r="NO139" s="30"/>
      <c r="NP139" s="30"/>
      <c r="NQ139" s="30"/>
      <c r="NR139" s="30"/>
      <c r="NS139" s="30"/>
      <c r="NT139" s="30"/>
      <c r="NU139" s="30"/>
      <c r="NV139" s="30"/>
      <c r="NW139" s="30"/>
      <c r="NX139" s="30"/>
      <c r="NY139" s="30"/>
      <c r="NZ139" s="30"/>
      <c r="OA139" s="30"/>
      <c r="OB139" s="30"/>
      <c r="OC139" s="30"/>
      <c r="OD139" s="30"/>
      <c r="OE139" s="30"/>
      <c r="OF139" s="30"/>
      <c r="OG139" s="30"/>
      <c r="OH139" s="30"/>
      <c r="OI139" s="30"/>
      <c r="OJ139" s="30"/>
      <c r="OK139" s="30"/>
      <c r="OL139" s="30"/>
    </row>
    <row r="140" customFormat="false" ht="14.4" hidden="false" customHeight="false" outlineLevel="0" collapsed="false">
      <c r="A140" s="100"/>
      <c r="C140" s="87"/>
      <c r="D140" s="85" t="s">
        <v>134</v>
      </c>
      <c r="E140" s="157" t="n">
        <f aca="false">IF(AND($F$2="No",$F$3="No"),SUM(I140:L140),IF(AND($F$2="Yes", $F$3="No"), SUM(I140:L140)+N140, IF(AND($F$2="No", $F$3="Yes"),SUM(I140:L140)+M140, SUM(I140:L140)+N140+M140)))</f>
        <v>-464901070.263465</v>
      </c>
      <c r="F140" s="144" t="n">
        <f aca="false">IF(AND($F$2="No",$F$3="No"),SUM(H140:L140,O140),IF(AND($F$2="Yes", $F$3="No"), SUM(H140:L140,O140)+N140, IF(AND($F$2="No", $F$3="Yes"),SUM(H140:L140,O140)+M140, SUM(H140:L140,O140)+N140+M140)))</f>
        <v>725007530.039791</v>
      </c>
      <c r="G140" s="159"/>
      <c r="H140" s="144" t="n">
        <f aca="false">H132+H136</f>
        <v>801878632.448197</v>
      </c>
      <c r="I140" s="144" t="n">
        <f aca="false">I132+I136</f>
        <v>0</v>
      </c>
      <c r="J140" s="144" t="n">
        <f aca="false">J132+J136</f>
        <v>0</v>
      </c>
      <c r="K140" s="144" t="n">
        <f aca="false">K132+K136</f>
        <v>0</v>
      </c>
      <c r="L140" s="144" t="n">
        <f aca="false">L132+L136</f>
        <v>0</v>
      </c>
      <c r="M140" s="144" t="n">
        <f aca="false">M132+M136</f>
        <v>-503912111.940635</v>
      </c>
      <c r="N140" s="144" t="n">
        <f aca="false">N132+N136</f>
        <v>39011041.6771706</v>
      </c>
      <c r="O140" s="144" t="n">
        <f aca="false">O132+O136</f>
        <v>388029967.855059</v>
      </c>
      <c r="P140" s="144" t="n">
        <f aca="false">P132+P136</f>
        <v>33588079.9712794</v>
      </c>
      <c r="Q140" s="144" t="n">
        <f aca="false">Q132+Q136</f>
        <v>758595610.011071</v>
      </c>
      <c r="R140" s="89"/>
      <c r="S140" s="89"/>
      <c r="T140" s="74"/>
    </row>
    <row r="141" customFormat="false" ht="14.4" hidden="false" customHeight="false" outlineLevel="0" collapsed="false">
      <c r="A141" s="100"/>
      <c r="C141" s="87"/>
      <c r="D141" s="85" t="s">
        <v>135</v>
      </c>
      <c r="E141" s="157" t="n">
        <f aca="false">SUM(I141:L141)</f>
        <v>168736281.145157</v>
      </c>
      <c r="F141" s="144" t="n">
        <f aca="false">SUM(H141:L141,O141)</f>
        <v>169412471.606914</v>
      </c>
      <c r="G141" s="159"/>
      <c r="H141" s="144" t="n">
        <f aca="false">H133+H137</f>
        <v>676190.461756972</v>
      </c>
      <c r="I141" s="144" t="n">
        <f aca="false">I133+I137</f>
        <v>0</v>
      </c>
      <c r="J141" s="144" t="n">
        <f aca="false">J133+J137</f>
        <v>13842877.5708842</v>
      </c>
      <c r="K141" s="144" t="n">
        <f aca="false">K133+K137</f>
        <v>0</v>
      </c>
      <c r="L141" s="144" t="n">
        <f aca="false">L133+L137</f>
        <v>154893403.574273</v>
      </c>
      <c r="M141" s="144" t="n">
        <f aca="false">M133+M137</f>
        <v>0</v>
      </c>
      <c r="N141" s="144" t="n">
        <f aca="false">N133+N137</f>
        <v>0</v>
      </c>
      <c r="O141" s="144" t="n">
        <f aca="false">O133+O137</f>
        <v>0</v>
      </c>
      <c r="P141" s="144" t="n">
        <f aca="false">P133+P137</f>
        <v>5745.29652933489</v>
      </c>
      <c r="Q141" s="144" t="n">
        <f aca="false">Q133+Q137</f>
        <v>169418216.903444</v>
      </c>
      <c r="R141" s="89"/>
      <c r="S141" s="89"/>
      <c r="T141" s="74"/>
    </row>
    <row r="142" customFormat="false" ht="14.4" hidden="false" customHeight="false" outlineLevel="0" collapsed="false">
      <c r="A142" s="100"/>
      <c r="C142" s="87"/>
      <c r="D142" s="31" t="s">
        <v>136</v>
      </c>
      <c r="E142" s="157" t="n">
        <f aca="false">SUM(I142:L142)</f>
        <v>6395031.33614977</v>
      </c>
      <c r="F142" s="144" t="n">
        <f aca="false">SUM(H142:L142,O142)</f>
        <v>7373587.25910782</v>
      </c>
      <c r="G142" s="159"/>
      <c r="H142" s="144" t="n">
        <f aca="false">H134+H138</f>
        <v>978555.922958048</v>
      </c>
      <c r="I142" s="144" t="n">
        <f aca="false">I134+I138</f>
        <v>2473394.9516767</v>
      </c>
      <c r="J142" s="144" t="n">
        <f aca="false">J134+J138</f>
        <v>3567337.82988435</v>
      </c>
      <c r="K142" s="144" t="n">
        <f aca="false">K134+K138</f>
        <v>354298.554588721</v>
      </c>
      <c r="L142" s="144" t="n">
        <f aca="false">L134+L138</f>
        <v>0</v>
      </c>
      <c r="M142" s="144" t="n">
        <f aca="false">M134+M138</f>
        <v>0</v>
      </c>
      <c r="N142" s="144" t="n">
        <f aca="false">N134+N138</f>
        <v>0</v>
      </c>
      <c r="O142" s="144" t="n">
        <f aca="false">O134+O138</f>
        <v>0</v>
      </c>
      <c r="P142" s="144" t="n">
        <f aca="false">P134+P138</f>
        <v>535.589309790219</v>
      </c>
      <c r="Q142" s="144" t="n">
        <f aca="false">Q134+Q138</f>
        <v>7374122.84841761</v>
      </c>
      <c r="R142" s="89"/>
      <c r="S142" s="89"/>
      <c r="T142" s="74"/>
    </row>
    <row r="143" s="83" customFormat="true" ht="14.4" hidden="false" customHeight="false" outlineLevel="0" collapsed="false">
      <c r="A143" s="184"/>
      <c r="B143" s="76" t="s">
        <v>156</v>
      </c>
      <c r="C143" s="185" t="n">
        <f aca="false">'Input data meat and eggs'!D11*'Input data meat and eggs'!H410/SUM('Input data meat and eggs'!H410:H417)</f>
        <v>0.0131129393708988</v>
      </c>
      <c r="D143" s="78" t="s">
        <v>133</v>
      </c>
      <c r="E143" s="94" t="n">
        <f aca="false">IF($F$1="GWP100 without fb",E144+E145*'Common input data'!$C$5+E146*'Common input data'!$D$5,IF($F$1="GWP100 with fb",E144+E145*'Common input data'!$C$6+E146*'Common input data'!$D$6,IF($F$1="GTP100 without fb",E144+E145*'Common input data'!$C$7+E146*'Common input data'!$D$7,IF($F$1="GTP100 with fb",E144+E145*'Common input data'!$C$8+E146*'Common input data'!$D$8,E144+E145*'Common input data'!$C$9+E146*'Common input data'!$D$9))))</f>
        <v>9.36012885712893</v>
      </c>
      <c r="F143" s="95" t="n">
        <f aca="false">IF($F$1="GWP100 without fb",F144+F145*'Common input data'!$C$5+F146*'Common input data'!$D$5,IF($F$1="GWP100 with fb",F144+F145*'Common input data'!$C$6+F146*'Common input data'!$D$6,IF($F$1="GTP100 without fb",F144+F145*'Common input data'!$C$7+F146*'Common input data'!$D$7,IF($F$1="GTP100 with fb",F144+F145*'Common input data'!$C$8+F146*'Common input data'!$D$8,F144+F145*'Common input data'!$C$9+F146*'Common input data'!$D$9))))</f>
        <v>11.3220522880622</v>
      </c>
      <c r="G143" s="96" t="n">
        <f aca="false">IF($F$1="GWP100 without fb",G144+G145*'Common input data'!$C$5+G146*'Common input data'!$D$5,IF($F$1="GWP100 with fb",G144+G145*'Common input data'!$C$6+G146*'Common input data'!$D$6,IF($F$1="GTP100 without fb",G144+G145*'Common input data'!$C$7+G146*'Common input data'!$D$7,IF($F$1="GTP100 with fb",G144+G145*'Common input data'!$C$8+G146*'Common input data'!$D$8,G144+G145*'Common input data'!$C$9+G146*'Common input data'!$D$9))))</f>
        <v>12.7152576611258</v>
      </c>
      <c r="H143" s="180"/>
      <c r="I143" s="180"/>
      <c r="J143" s="180"/>
      <c r="K143" s="180"/>
      <c r="L143" s="180"/>
      <c r="M143" s="180"/>
      <c r="N143" s="180"/>
      <c r="O143" s="180"/>
      <c r="P143" s="180"/>
      <c r="Q143" s="180"/>
      <c r="R143" s="186"/>
      <c r="S143" s="186"/>
      <c r="T143" s="74"/>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c r="FR143" s="30"/>
      <c r="FS143" s="30"/>
      <c r="FT143" s="30"/>
      <c r="FU143" s="30"/>
      <c r="FV143" s="30"/>
      <c r="FW143" s="30"/>
      <c r="FX143" s="30"/>
      <c r="FY143" s="30"/>
      <c r="FZ143" s="30"/>
      <c r="GA143" s="30"/>
      <c r="GB143" s="30"/>
      <c r="GC143" s="30"/>
      <c r="GD143" s="30"/>
      <c r="GE143" s="30"/>
      <c r="GF143" s="30"/>
      <c r="GG143" s="30"/>
      <c r="GH143" s="30"/>
      <c r="GI143" s="30"/>
      <c r="GJ143" s="30"/>
      <c r="GK143" s="30"/>
      <c r="GL143" s="30"/>
      <c r="GM143" s="30"/>
      <c r="GN143" s="30"/>
      <c r="GO143" s="30"/>
      <c r="GP143" s="30"/>
      <c r="GQ143" s="30"/>
      <c r="GR143" s="30"/>
      <c r="GS143" s="30"/>
      <c r="GT143" s="30"/>
      <c r="GU143" s="30"/>
      <c r="GV143" s="30"/>
      <c r="GW143" s="30"/>
      <c r="GX143" s="30"/>
      <c r="GY143" s="30"/>
      <c r="GZ143" s="30"/>
      <c r="HA143" s="30"/>
      <c r="HB143" s="30"/>
      <c r="HC143" s="30"/>
      <c r="HD143" s="30"/>
      <c r="HE143" s="30"/>
      <c r="HF143" s="30"/>
      <c r="HG143" s="30"/>
      <c r="HH143" s="30"/>
      <c r="HI143" s="30"/>
      <c r="HJ143" s="30"/>
      <c r="HK143" s="30"/>
      <c r="HL143" s="30"/>
      <c r="HM143" s="30"/>
      <c r="HN143" s="30"/>
      <c r="HO143" s="30"/>
      <c r="HP143" s="30"/>
      <c r="HQ143" s="30"/>
      <c r="HR143" s="30"/>
      <c r="HS143" s="30"/>
      <c r="HT143" s="30"/>
      <c r="HU143" s="30"/>
      <c r="HV143" s="30"/>
      <c r="HW143" s="30"/>
      <c r="HX143" s="30"/>
      <c r="HY143" s="30"/>
      <c r="HZ143" s="30"/>
      <c r="IA143" s="30"/>
      <c r="IB143" s="30"/>
      <c r="IC143" s="30"/>
      <c r="ID143" s="30"/>
      <c r="IE143" s="30"/>
      <c r="IF143" s="30"/>
      <c r="IG143" s="30"/>
      <c r="IH143" s="30"/>
      <c r="II143" s="30"/>
      <c r="IJ143" s="30"/>
      <c r="IK143" s="30"/>
      <c r="IL143" s="30"/>
      <c r="IM143" s="30"/>
      <c r="IN143" s="30"/>
      <c r="IO143" s="30"/>
      <c r="IP143" s="30"/>
      <c r="IQ143" s="30"/>
      <c r="IR143" s="30"/>
      <c r="IS143" s="30"/>
      <c r="IT143" s="30"/>
      <c r="IU143" s="30"/>
      <c r="IV143" s="30"/>
      <c r="IW143" s="30"/>
      <c r="IX143" s="30"/>
      <c r="IY143" s="30"/>
      <c r="IZ143" s="30"/>
      <c r="JA143" s="30"/>
      <c r="JB143" s="30"/>
      <c r="JC143" s="30"/>
      <c r="JD143" s="30"/>
      <c r="JE143" s="30"/>
      <c r="JF143" s="30"/>
      <c r="JG143" s="30"/>
      <c r="JH143" s="30"/>
      <c r="JI143" s="30"/>
      <c r="JJ143" s="30"/>
      <c r="JK143" s="30"/>
      <c r="JL143" s="30"/>
      <c r="JM143" s="30"/>
      <c r="JN143" s="30"/>
      <c r="JO143" s="30"/>
      <c r="JP143" s="30"/>
      <c r="JQ143" s="30"/>
      <c r="JR143" s="30"/>
      <c r="JS143" s="30"/>
      <c r="JT143" s="30"/>
      <c r="JU143" s="30"/>
      <c r="JV143" s="30"/>
      <c r="JW143" s="30"/>
      <c r="JX143" s="30"/>
      <c r="JY143" s="30"/>
      <c r="JZ143" s="30"/>
      <c r="KA143" s="30"/>
      <c r="KB143" s="30"/>
      <c r="KC143" s="30"/>
      <c r="KD143" s="30"/>
      <c r="KE143" s="30"/>
      <c r="KF143" s="30"/>
      <c r="KG143" s="30"/>
      <c r="KH143" s="30"/>
      <c r="KI143" s="30"/>
      <c r="KJ143" s="30"/>
      <c r="KK143" s="30"/>
      <c r="KL143" s="30"/>
      <c r="KM143" s="30"/>
      <c r="KN143" s="30"/>
      <c r="KO143" s="30"/>
      <c r="KP143" s="30"/>
      <c r="KQ143" s="30"/>
      <c r="KR143" s="30"/>
      <c r="KS143" s="30"/>
      <c r="KT143" s="30"/>
      <c r="KU143" s="30"/>
      <c r="KV143" s="30"/>
      <c r="KW143" s="30"/>
      <c r="KX143" s="30"/>
      <c r="KY143" s="30"/>
      <c r="KZ143" s="30"/>
      <c r="LA143" s="30"/>
      <c r="LB143" s="30"/>
      <c r="LC143" s="30"/>
      <c r="LD143" s="30"/>
      <c r="LE143" s="30"/>
      <c r="LF143" s="30"/>
      <c r="LG143" s="30"/>
      <c r="LH143" s="30"/>
      <c r="LI143" s="30"/>
      <c r="LJ143" s="30"/>
      <c r="LK143" s="30"/>
      <c r="LL143" s="30"/>
      <c r="LM143" s="30"/>
      <c r="LN143" s="30"/>
      <c r="LO143" s="30"/>
      <c r="LP143" s="30"/>
      <c r="LQ143" s="30"/>
      <c r="LR143" s="30"/>
      <c r="LS143" s="30"/>
      <c r="LT143" s="30"/>
      <c r="LU143" s="30"/>
      <c r="LV143" s="30"/>
      <c r="LW143" s="30"/>
      <c r="LX143" s="30"/>
      <c r="LY143" s="30"/>
      <c r="LZ143" s="30"/>
      <c r="MA143" s="30"/>
      <c r="MB143" s="30"/>
      <c r="MC143" s="30"/>
      <c r="MD143" s="30"/>
      <c r="ME143" s="30"/>
      <c r="MF143" s="30"/>
      <c r="MG143" s="30"/>
      <c r="MH143" s="30"/>
      <c r="MI143" s="30"/>
      <c r="MJ143" s="30"/>
      <c r="MK143" s="30"/>
      <c r="ML143" s="30"/>
      <c r="MM143" s="30"/>
      <c r="MN143" s="30"/>
      <c r="MO143" s="30"/>
      <c r="MP143" s="30"/>
      <c r="MQ143" s="30"/>
      <c r="MR143" s="30"/>
      <c r="MS143" s="30"/>
      <c r="MT143" s="30"/>
      <c r="MU143" s="30"/>
      <c r="MV143" s="30"/>
      <c r="MW143" s="30"/>
      <c r="MX143" s="30"/>
      <c r="MY143" s="30"/>
      <c r="MZ143" s="30"/>
      <c r="NA143" s="30"/>
      <c r="NB143" s="30"/>
      <c r="NC143" s="30"/>
      <c r="ND143" s="30"/>
      <c r="NE143" s="30"/>
      <c r="NF143" s="30"/>
      <c r="NG143" s="30"/>
      <c r="NH143" s="30"/>
      <c r="NI143" s="30"/>
      <c r="NJ143" s="30"/>
      <c r="NK143" s="30"/>
      <c r="NL143" s="30"/>
      <c r="NM143" s="30"/>
      <c r="NN143" s="30"/>
      <c r="NO143" s="30"/>
      <c r="NP143" s="30"/>
      <c r="NQ143" s="30"/>
      <c r="NR143" s="30"/>
      <c r="NS143" s="30"/>
      <c r="NT143" s="30"/>
      <c r="NU143" s="30"/>
      <c r="NV143" s="30"/>
      <c r="NW143" s="30"/>
      <c r="NX143" s="30"/>
      <c r="NY143" s="30"/>
      <c r="NZ143" s="30"/>
      <c r="OA143" s="30"/>
      <c r="OB143" s="30"/>
      <c r="OC143" s="30"/>
      <c r="OD143" s="30"/>
      <c r="OE143" s="30"/>
      <c r="OF143" s="30"/>
      <c r="OG143" s="30"/>
      <c r="OH143" s="30"/>
      <c r="OI143" s="30"/>
      <c r="OJ143" s="30"/>
      <c r="OK143" s="30"/>
      <c r="OL143" s="30"/>
    </row>
    <row r="144" customFormat="false" ht="14.4" hidden="false" customHeight="false" outlineLevel="0" collapsed="false">
      <c r="A144" s="187"/>
      <c r="B144" s="167"/>
      <c r="C144" s="89"/>
      <c r="D144" s="85" t="s">
        <v>134</v>
      </c>
      <c r="E144" s="86" t="n">
        <f aca="false">IF(AND($F$2="No",$F$3="No"),SUM(I144:L144),IF(AND($F$2="Yes", $F$3="No"), SUM(I144:L144)+N144, IF(AND($F$2="No", $F$3="Yes"),SUM(I144:L144)+M144, SUM(I144:L144)+N144+M144)))</f>
        <v>-0.606244601930739</v>
      </c>
      <c r="F144" s="87" t="n">
        <f aca="false">IF(AND($F$2="No",$F$3="No"),SUM(H144:L144,O144),IF(AND($F$2="Yes", $F$3="No"), SUM(H144:L144,O144)+N144, IF(AND($F$2="No", $F$3="Yes"),SUM(H144:L144,O144)+M144, SUM(H144:L144,O144)+N144+M144)))</f>
        <v>0.945431038041436</v>
      </c>
      <c r="G144" s="88" t="n">
        <f aca="false">SUM(Q144:S144)/(1-'Common input data'!B$126)</f>
        <v>1.33687596200631</v>
      </c>
      <c r="H144" s="146" t="n">
        <f aca="false">H140*'Common input data'!$G$37/'Input data meat and eggs'!$H$410</f>
        <v>1.04567320537641</v>
      </c>
      <c r="I144" s="146" t="n">
        <f aca="false">I140*'Common input data'!$G$37/'Input data meat and eggs'!$H$410</f>
        <v>0</v>
      </c>
      <c r="J144" s="146" t="n">
        <f aca="false">J140*'Common input data'!$G$37/'Input data meat and eggs'!$H$410</f>
        <v>0</v>
      </c>
      <c r="K144" s="146" t="n">
        <f aca="false">K140*'Common input data'!$G$37/'Input data meat and eggs'!$H$410</f>
        <v>0</v>
      </c>
      <c r="L144" s="146" t="n">
        <f aca="false">L140*'Common input data'!$G$37/'Input data meat and eggs'!$H$410</f>
        <v>0</v>
      </c>
      <c r="M144" s="146" t="n">
        <f aca="false">M140*'Common input data'!$G$37/'Input data meat and eggs'!$H$410</f>
        <v>-0.657116142017917</v>
      </c>
      <c r="N144" s="146" t="n">
        <f aca="false">N140*'Common input data'!$G$37/'Input data meat and eggs'!$H$410</f>
        <v>0.0508715400871779</v>
      </c>
      <c r="O144" s="146" t="n">
        <f aca="false">O140*'Common input data'!$G$37/'Input data meat and eggs'!$H$410</f>
        <v>0.50600243459576</v>
      </c>
      <c r="P144" s="146" t="n">
        <f aca="false">P140*'Common input data'!$G$37/'Input data meat and eggs'!$H$410</f>
        <v>0.0437998393083208</v>
      </c>
      <c r="Q144" s="146" t="n">
        <f aca="false">Q140*'Common input data'!$G$37/'Input data meat and eggs'!$H$410</f>
        <v>0.989230877349756</v>
      </c>
      <c r="R144" s="181" t="n">
        <f aca="false">'Common input data'!B92</f>
        <v>0.1</v>
      </c>
      <c r="S144" s="181" t="n">
        <f aca="false">'Common input data'!B99+'Common input data'!C99</f>
        <v>0.13</v>
      </c>
      <c r="T144" s="74"/>
    </row>
    <row r="145" customFormat="false" ht="14.4" hidden="false" customHeight="false" outlineLevel="0" collapsed="false">
      <c r="A145" s="187"/>
      <c r="B145" s="167"/>
      <c r="C145" s="89"/>
      <c r="D145" s="85" t="s">
        <v>135</v>
      </c>
      <c r="E145" s="86" t="n">
        <f aca="false">SUM(I145:L145)</f>
        <v>0.220037049035286</v>
      </c>
      <c r="F145" s="87" t="n">
        <f aca="false">SUM(H145:L145,O145)</f>
        <v>0.220918821187553</v>
      </c>
      <c r="G145" s="88" t="n">
        <f aca="false">SUM(Q145:S145)/(1-'Common input data'!B$126)</f>
        <v>0.242243764498219</v>
      </c>
      <c r="H145" s="146" t="n">
        <f aca="false">H141*'Common input data'!$G$37/'Input data meat and eggs'!$H$410</f>
        <v>0.000881772152266507</v>
      </c>
      <c r="I145" s="146" t="n">
        <f aca="false">I141*'Common input data'!$G$37/'Input data meat and eggs'!$H$410</f>
        <v>0</v>
      </c>
      <c r="J145" s="146" t="n">
        <f aca="false">J141*'Common input data'!$G$37/'Input data meat and eggs'!$H$410</f>
        <v>0.018051517493347</v>
      </c>
      <c r="K145" s="146" t="n">
        <f aca="false">K141*'Common input data'!$G$37/'Input data meat and eggs'!$H$410</f>
        <v>0</v>
      </c>
      <c r="L145" s="146" t="n">
        <f aca="false">L141*'Common input data'!$G$37/'Input data meat and eggs'!$H$410</f>
        <v>0.201985531541939</v>
      </c>
      <c r="M145" s="146" t="n">
        <f aca="false">M141*'Common input data'!$G$37/'Input data meat and eggs'!$H$410</f>
        <v>0</v>
      </c>
      <c r="N145" s="146" t="n">
        <f aca="false">N141*'Common input data'!$G$37/'Input data meat and eggs'!$H$410</f>
        <v>0</v>
      </c>
      <c r="O145" s="146" t="n">
        <f aca="false">O141*'Common input data'!$G$37/'Input data meat and eggs'!$H$410</f>
        <v>0</v>
      </c>
      <c r="P145" s="146" t="n">
        <f aca="false">P141*'Common input data'!$G$37/'Input data meat and eggs'!$H$410</f>
        <v>7.49203482243394E-006</v>
      </c>
      <c r="Q145" s="146" t="n">
        <f aca="false">Q141*'Common input data'!$G$37/'Input data meat and eggs'!$H$410</f>
        <v>0.220926313222375</v>
      </c>
      <c r="R145" s="181" t="n">
        <v>0</v>
      </c>
      <c r="S145" s="181" t="n">
        <v>0</v>
      </c>
      <c r="T145" s="74"/>
    </row>
    <row r="146" customFormat="false" ht="14.4" hidden="false" customHeight="false" outlineLevel="0" collapsed="false">
      <c r="A146" s="187"/>
      <c r="B146" s="167"/>
      <c r="C146" s="89"/>
      <c r="D146" s="31" t="s">
        <v>136</v>
      </c>
      <c r="E146" s="86" t="n">
        <f aca="false">SUM(I146:L146)</f>
        <v>0.0083393080263756</v>
      </c>
      <c r="F146" s="87" t="n">
        <f aca="false">SUM(H146:L146,O146)</f>
        <v>0.0096153735894092</v>
      </c>
      <c r="G146" s="88" t="n">
        <f aca="false">SUM(Q146:S146)/(1-'Common input data'!B$126)</f>
        <v>0.0105439386113424</v>
      </c>
      <c r="H146" s="146" t="n">
        <f aca="false">H142*'Common input data'!$G$37/'Input data meat and eggs'!$H$410</f>
        <v>0.00127606556303359</v>
      </c>
      <c r="I146" s="146" t="n">
        <f aca="false">I142*'Common input data'!$G$37/'Input data meat and eggs'!$H$410</f>
        <v>0.00322537940608948</v>
      </c>
      <c r="J146" s="146" t="n">
        <f aca="false">J142*'Common input data'!$G$37/'Input data meat and eggs'!$H$410</f>
        <v>0.00465191293581039</v>
      </c>
      <c r="K146" s="146" t="n">
        <f aca="false">K142*'Common input data'!$G$37/'Input data meat and eggs'!$H$410</f>
        <v>0.000462015684475732</v>
      </c>
      <c r="L146" s="146" t="n">
        <f aca="false">L142*'Common input data'!$G$37/'Input data meat and eggs'!$H$410</f>
        <v>0</v>
      </c>
      <c r="M146" s="146" t="n">
        <f aca="false">M142*'Common input data'!$G$37/'Input data meat and eggs'!$H$410</f>
        <v>0</v>
      </c>
      <c r="N146" s="146" t="n">
        <f aca="false">N142*'Common input data'!$G$37/'Input data meat and eggs'!$H$410</f>
        <v>0</v>
      </c>
      <c r="O146" s="146" t="n">
        <f aca="false">O142*'Common input data'!$G$37/'Input data meat and eggs'!$H$410</f>
        <v>0</v>
      </c>
      <c r="P146" s="146" t="n">
        <f aca="false">P142*'Common input data'!$G$37/'Input data meat and eggs'!$H$410</f>
        <v>6.98424135113564E-007</v>
      </c>
      <c r="Q146" s="146" t="n">
        <f aca="false">Q142*'Common input data'!$G$37/'Input data meat and eggs'!$H$410</f>
        <v>0.00961607201354431</v>
      </c>
      <c r="R146" s="181" t="n">
        <v>0</v>
      </c>
      <c r="S146" s="181" t="n">
        <v>0</v>
      </c>
      <c r="T146" s="74"/>
    </row>
    <row r="147" s="83" customFormat="true" ht="14.4" hidden="false" customHeight="false" outlineLevel="0" collapsed="false">
      <c r="A147" s="75"/>
      <c r="B147" s="98" t="s">
        <v>163</v>
      </c>
      <c r="C147" s="188" t="n">
        <f aca="false">'Input data meat and eggs'!D11*'Input data meat and eggs'!H418/SUM('Input data meat and eggs'!H410:H417)</f>
        <v>0.119283974339896</v>
      </c>
      <c r="D147" s="78" t="s">
        <v>133</v>
      </c>
      <c r="E147" s="94" t="n">
        <f aca="false">IF($F$1="GWP100 without fb",E148+E149*'Common input data'!$C$5+E150*'Common input data'!$D$5,IF($F$1="GWP100 with fb",E148+E149*'Common input data'!$C$6+E150*'Common input data'!$D$6,IF($F$1="GTP100 without fb",E148+E149*'Common input data'!$C$7+E150*'Common input data'!$D$7,IF($F$1="GTP100 with fb",E148+E149*'Common input data'!$C$8+E150*'Common input data'!$D$8,E148+E149*'Common input data'!$C$9+E150*'Common input data'!$D$9))))</f>
        <v>20.7914695402143</v>
      </c>
      <c r="F147" s="95" t="n">
        <f aca="false">IF($F$1="GWP100 without fb",F148+F149*'Common input data'!$C$5+F150*'Common input data'!$D$5,IF($F$1="GWP100 with fb",F148+F149*'Common input data'!$C$6+F150*'Common input data'!$D$6,IF($F$1="GTP100 without fb",F148+F149*'Common input data'!$C$7+F150*'Common input data'!$D$7,IF($F$1="GTP100 with fb",F148+F149*'Common input data'!$C$8+F150*'Common input data'!$D$8,F148+F149*'Common input data'!$C$9+F150*'Common input data'!$D$9))))</f>
        <v>26.5267872664377</v>
      </c>
      <c r="G147" s="96" t="n">
        <f aca="false">IF($F$1="GWP100 without fb",G148+G149*'Common input data'!$C$5+G150*'Common input data'!$D$5,IF($F$1="GWP100 with fb",G148+G149*'Common input data'!$C$6+G150*'Common input data'!$D$6,IF($F$1="GTP100 without fb",G148+G149*'Common input data'!$C$7+G150*'Common input data'!$D$7,IF($F$1="GTP100 with fb",G148+G149*'Common input data'!$C$8+G150*'Common input data'!$D$8,G148+G149*'Common input data'!$C$9+G150*'Common input data'!$D$9))))</f>
        <v>26.8317294588133</v>
      </c>
      <c r="H147" s="186"/>
      <c r="I147" s="186"/>
      <c r="J147" s="186"/>
      <c r="K147" s="186"/>
      <c r="L147" s="186"/>
      <c r="M147" s="186"/>
      <c r="N147" s="186"/>
      <c r="O147" s="186"/>
      <c r="P147" s="186"/>
      <c r="Q147" s="186"/>
      <c r="R147" s="186"/>
      <c r="S147" s="186"/>
      <c r="T147" s="74"/>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c r="FR147" s="30"/>
      <c r="FS147" s="30"/>
      <c r="FT147" s="30"/>
      <c r="FU147" s="30"/>
      <c r="FV147" s="30"/>
      <c r="FW147" s="30"/>
      <c r="FX147" s="30"/>
      <c r="FY147" s="30"/>
      <c r="FZ147" s="30"/>
      <c r="GA147" s="30"/>
      <c r="GB147" s="30"/>
      <c r="GC147" s="30"/>
      <c r="GD147" s="30"/>
      <c r="GE147" s="30"/>
      <c r="GF147" s="30"/>
      <c r="GG147" s="30"/>
      <c r="GH147" s="30"/>
      <c r="GI147" s="30"/>
      <c r="GJ147" s="30"/>
      <c r="GK147" s="30"/>
      <c r="GL147" s="30"/>
      <c r="GM147" s="30"/>
      <c r="GN147" s="30"/>
      <c r="GO147" s="30"/>
      <c r="GP147" s="30"/>
      <c r="GQ147" s="30"/>
      <c r="GR147" s="30"/>
      <c r="GS147" s="30"/>
      <c r="GT147" s="30"/>
      <c r="GU147" s="30"/>
      <c r="GV147" s="30"/>
      <c r="GW147" s="30"/>
      <c r="GX147" s="30"/>
      <c r="GY147" s="30"/>
      <c r="GZ147" s="30"/>
      <c r="HA147" s="30"/>
      <c r="HB147" s="30"/>
      <c r="HC147" s="30"/>
      <c r="HD147" s="30"/>
      <c r="HE147" s="30"/>
      <c r="HF147" s="30"/>
      <c r="HG147" s="30"/>
      <c r="HH147" s="30"/>
      <c r="HI147" s="30"/>
      <c r="HJ147" s="30"/>
      <c r="HK147" s="30"/>
      <c r="HL147" s="30"/>
      <c r="HM147" s="30"/>
      <c r="HN147" s="30"/>
      <c r="HO147" s="30"/>
      <c r="HP147" s="30"/>
      <c r="HQ147" s="30"/>
      <c r="HR147" s="30"/>
      <c r="HS147" s="30"/>
      <c r="HT147" s="30"/>
      <c r="HU147" s="30"/>
      <c r="HV147" s="30"/>
      <c r="HW147" s="30"/>
      <c r="HX147" s="30"/>
      <c r="HY147" s="30"/>
      <c r="HZ147" s="30"/>
      <c r="IA147" s="30"/>
      <c r="IB147" s="30"/>
      <c r="IC147" s="30"/>
      <c r="ID147" s="30"/>
      <c r="IE147" s="30"/>
      <c r="IF147" s="30"/>
      <c r="IG147" s="30"/>
      <c r="IH147" s="30"/>
      <c r="II147" s="30"/>
      <c r="IJ147" s="30"/>
      <c r="IK147" s="30"/>
      <c r="IL147" s="30"/>
      <c r="IM147" s="30"/>
      <c r="IN147" s="30"/>
      <c r="IO147" s="30"/>
      <c r="IP147" s="30"/>
      <c r="IQ147" s="30"/>
      <c r="IR147" s="30"/>
      <c r="IS147" s="30"/>
      <c r="IT147" s="30"/>
      <c r="IU147" s="30"/>
      <c r="IV147" s="30"/>
      <c r="IW147" s="30"/>
      <c r="IX147" s="30"/>
      <c r="IY147" s="30"/>
      <c r="IZ147" s="30"/>
      <c r="JA147" s="30"/>
      <c r="JB147" s="30"/>
      <c r="JC147" s="30"/>
      <c r="JD147" s="30"/>
      <c r="JE147" s="30"/>
      <c r="JF147" s="30"/>
      <c r="JG147" s="30"/>
      <c r="JH147" s="30"/>
      <c r="JI147" s="30"/>
      <c r="JJ147" s="30"/>
      <c r="JK147" s="30"/>
      <c r="JL147" s="30"/>
      <c r="JM147" s="30"/>
      <c r="JN147" s="30"/>
      <c r="JO147" s="30"/>
      <c r="JP147" s="30"/>
      <c r="JQ147" s="30"/>
      <c r="JR147" s="30"/>
      <c r="JS147" s="30"/>
      <c r="JT147" s="30"/>
      <c r="JU147" s="30"/>
      <c r="JV147" s="30"/>
      <c r="JW147" s="30"/>
      <c r="JX147" s="30"/>
      <c r="JY147" s="30"/>
      <c r="JZ147" s="30"/>
      <c r="KA147" s="30"/>
      <c r="KB147" s="30"/>
      <c r="KC147" s="30"/>
      <c r="KD147" s="30"/>
      <c r="KE147" s="30"/>
      <c r="KF147" s="30"/>
      <c r="KG147" s="30"/>
      <c r="KH147" s="30"/>
      <c r="KI147" s="30"/>
      <c r="KJ147" s="30"/>
      <c r="KK147" s="30"/>
      <c r="KL147" s="30"/>
      <c r="KM147" s="30"/>
      <c r="KN147" s="30"/>
      <c r="KO147" s="30"/>
      <c r="KP147" s="30"/>
      <c r="KQ147" s="30"/>
      <c r="KR147" s="30"/>
      <c r="KS147" s="30"/>
      <c r="KT147" s="30"/>
      <c r="KU147" s="30"/>
      <c r="KV147" s="30"/>
      <c r="KW147" s="30"/>
      <c r="KX147" s="30"/>
      <c r="KY147" s="30"/>
      <c r="KZ147" s="30"/>
      <c r="LA147" s="30"/>
      <c r="LB147" s="30"/>
      <c r="LC147" s="30"/>
      <c r="LD147" s="30"/>
      <c r="LE147" s="30"/>
      <c r="LF147" s="30"/>
      <c r="LG147" s="30"/>
      <c r="LH147" s="30"/>
      <c r="LI147" s="30"/>
      <c r="LJ147" s="30"/>
      <c r="LK147" s="30"/>
      <c r="LL147" s="30"/>
      <c r="LM147" s="30"/>
      <c r="LN147" s="30"/>
      <c r="LO147" s="30"/>
      <c r="LP147" s="30"/>
      <c r="LQ147" s="30"/>
      <c r="LR147" s="30"/>
      <c r="LS147" s="30"/>
      <c r="LT147" s="30"/>
      <c r="LU147" s="30"/>
      <c r="LV147" s="30"/>
      <c r="LW147" s="30"/>
      <c r="LX147" s="30"/>
      <c r="LY147" s="30"/>
      <c r="LZ147" s="30"/>
      <c r="MA147" s="30"/>
      <c r="MB147" s="30"/>
      <c r="MC147" s="30"/>
      <c r="MD147" s="30"/>
      <c r="ME147" s="30"/>
      <c r="MF147" s="30"/>
      <c r="MG147" s="30"/>
      <c r="MH147" s="30"/>
      <c r="MI147" s="30"/>
      <c r="MJ147" s="30"/>
      <c r="MK147" s="30"/>
      <c r="ML147" s="30"/>
      <c r="MM147" s="30"/>
      <c r="MN147" s="30"/>
      <c r="MO147" s="30"/>
      <c r="MP147" s="30"/>
      <c r="MQ147" s="30"/>
      <c r="MR147" s="30"/>
      <c r="MS147" s="30"/>
      <c r="MT147" s="30"/>
      <c r="MU147" s="30"/>
      <c r="MV147" s="30"/>
      <c r="MW147" s="30"/>
      <c r="MX147" s="30"/>
      <c r="MY147" s="30"/>
      <c r="MZ147" s="30"/>
      <c r="NA147" s="30"/>
      <c r="NB147" s="30"/>
      <c r="NC147" s="30"/>
      <c r="ND147" s="30"/>
      <c r="NE147" s="30"/>
      <c r="NF147" s="30"/>
      <c r="NG147" s="30"/>
      <c r="NH147" s="30"/>
      <c r="NI147" s="30"/>
      <c r="NJ147" s="30"/>
      <c r="NK147" s="30"/>
      <c r="NL147" s="30"/>
      <c r="NM147" s="30"/>
      <c r="NN147" s="30"/>
      <c r="NO147" s="30"/>
      <c r="NP147" s="30"/>
      <c r="NQ147" s="30"/>
      <c r="NR147" s="30"/>
      <c r="NS147" s="30"/>
      <c r="NT147" s="30"/>
      <c r="NU147" s="30"/>
      <c r="NV147" s="30"/>
      <c r="NW147" s="30"/>
      <c r="NX147" s="30"/>
      <c r="NY147" s="30"/>
      <c r="NZ147" s="30"/>
      <c r="OA147" s="30"/>
      <c r="OB147" s="30"/>
      <c r="OC147" s="30"/>
      <c r="OD147" s="30"/>
      <c r="OE147" s="30"/>
      <c r="OF147" s="30"/>
      <c r="OG147" s="30"/>
      <c r="OH147" s="30"/>
      <c r="OI147" s="30"/>
      <c r="OJ147" s="30"/>
      <c r="OK147" s="30"/>
      <c r="OL147" s="30"/>
    </row>
    <row r="148" customFormat="false" ht="14.4" hidden="false" customHeight="false" outlineLevel="0" collapsed="false">
      <c r="A148" s="169"/>
      <c r="B148" s="167"/>
      <c r="C148" s="189"/>
      <c r="D148" s="85" t="s">
        <v>134</v>
      </c>
      <c r="E148" s="86" t="n">
        <f aca="false">IF(AND($F$2="No",$F$3="No"),SUM(I148:L148),IF(AND($F$2="Yes", $F$3="No"), SUM(I148:L148)+N148, IF(AND($F$2="No", $F$3="Yes"),SUM(I148:L148)+M148, SUM(I148:L148)+N148+M148)))</f>
        <v>-1.67793669421272</v>
      </c>
      <c r="F148" s="87" t="n">
        <f aca="false">IF(AND($F$2="No",$F$3="No"),SUM(H148:L148,O148),IF(AND($F$2="Yes", $F$3="No"), SUM(H148:L148,O148)+N148, IF(AND($F$2="No", $F$3="Yes"),SUM(H148:L148,O148)+M148, SUM(H148:L148,O148)+N148+M148)))</f>
        <v>3.22173135918697</v>
      </c>
      <c r="G148" s="88" t="n">
        <f aca="false">SUM(Q148:S148)/(1-'Common input data'!B$126)</f>
        <v>1.27794008682781</v>
      </c>
      <c r="H148" s="146" t="n">
        <f aca="false">SUM(H152,H156,H160,H164,H168,H172)/'Input data meat and eggs'!$H$418</f>
        <v>2.61341805339968</v>
      </c>
      <c r="I148" s="146" t="n">
        <f aca="false">SUM(I152,I156,I160,I164,I168,I172)/'Input data meat and eggs'!$H$418</f>
        <v>0</v>
      </c>
      <c r="J148" s="146" t="n">
        <f aca="false">SUM(J152,J156,J160,J164,J168,J172)/'Input data meat and eggs'!$H$418</f>
        <v>0</v>
      </c>
      <c r="K148" s="146" t="n">
        <f aca="false">SUM(K152,K156,K160,K164,K168,K172)/'Input data meat and eggs'!$H$418</f>
        <v>0</v>
      </c>
      <c r="L148" s="146" t="n">
        <f aca="false">SUM(L152,L156,L160,L164,L168,L172)/'Input data meat and eggs'!$H$418</f>
        <v>0</v>
      </c>
      <c r="M148" s="146" t="n">
        <f aca="false">SUM(M152,M156,M160,M164,M168,M172)/'Input data meat and eggs'!$H$418</f>
        <v>-1.75745023139433</v>
      </c>
      <c r="N148" s="146" t="n">
        <f aca="false">SUM(N152,N156,N160,N164,N168,N172)/'Input data meat and eggs'!$H$418</f>
        <v>0.0795135371816094</v>
      </c>
      <c r="O148" s="146" t="n">
        <f aca="false">'Input data meat and eggs'!B83*'Common input data'!C63</f>
        <v>2.28625</v>
      </c>
      <c r="P148" s="146" t="n">
        <f aca="false">'Input data meat and eggs'!B92*'Common input data'!C63+'Input data meat and eggs'!C92*3.6*'Common input data'!B49</f>
        <v>0.607562264150943</v>
      </c>
      <c r="Q148" s="146" t="n">
        <f aca="false">SUM(Q152,Q156,Q160,Q164,Q168,Q172)/'Input data meat and eggs'!$H$418</f>
        <v>0.935481359186966</v>
      </c>
      <c r="R148" s="146" t="n">
        <f aca="false">'Common input data'!B92</f>
        <v>0.1</v>
      </c>
      <c r="S148" s="146" t="n">
        <f aca="false">'Common input data'!B99+'Common input data'!C99</f>
        <v>0.13</v>
      </c>
      <c r="T148" s="74"/>
    </row>
    <row r="149" customFormat="false" ht="14.4" hidden="false" customHeight="false" outlineLevel="0" collapsed="false">
      <c r="A149" s="169"/>
      <c r="B149" s="167"/>
      <c r="C149" s="189"/>
      <c r="D149" s="85" t="s">
        <v>135</v>
      </c>
      <c r="E149" s="86" t="n">
        <f aca="false">SUM(I149:L149)</f>
        <v>0.484226892586093</v>
      </c>
      <c r="F149" s="87" t="n">
        <f aca="false">SUM(H149:L149,O149)</f>
        <v>0.486024030189371</v>
      </c>
      <c r="G149" s="88" t="n">
        <f aca="false">SUM(Q149:S149)/(1-'Common input data'!B$126)</f>
        <v>0.532921085733959</v>
      </c>
      <c r="H149" s="146" t="n">
        <f aca="false">SUM(H153,H157,H161,H165,H169,H173)/'Input data meat and eggs'!$H$418</f>
        <v>0.00179713760327754</v>
      </c>
      <c r="I149" s="146" t="n">
        <f aca="false">SUM(I153,I157,I161,I165,I169,I173)/'Input data meat and eggs'!$H$418</f>
        <v>0</v>
      </c>
      <c r="J149" s="146" t="n">
        <f aca="false">SUM(J153,J157,J161,J165,J169,J173)/'Input data meat and eggs'!$H$418</f>
        <v>0.0333279845934083</v>
      </c>
      <c r="K149" s="146" t="n">
        <f aca="false">SUM(K153,K157,K161,K165,K169,K173)/'Input data meat and eggs'!$H$418</f>
        <v>0</v>
      </c>
      <c r="L149" s="146" t="n">
        <f aca="false">SUM(L153,L157,L161,L165,L169,L173)/'Input data meat and eggs'!$H$418</f>
        <v>0.450898907992685</v>
      </c>
      <c r="M149" s="146" t="n">
        <f aca="false">SUM(M153,M157,M161,M165,M169,M173)/'Input data meat and eggs'!$H$418</f>
        <v>0</v>
      </c>
      <c r="N149" s="146" t="n">
        <f aca="false">SUM(N153,N157,N161,N165,N169,N173)/'Input data meat and eggs'!$H$418</f>
        <v>0</v>
      </c>
      <c r="O149" s="146" t="n">
        <v>0</v>
      </c>
      <c r="P149" s="146" t="n">
        <f aca="false">'Input data meat and eggs'!C92*3.6*'Common input data'!B50</f>
        <v>0.000103924528301887</v>
      </c>
      <c r="Q149" s="146" t="n">
        <f aca="false">SUM(Q153,Q157,Q161,Q165,Q169,Q173)/'Input data meat and eggs'!$H$418</f>
        <v>0.48602403018937</v>
      </c>
      <c r="R149" s="181" t="n">
        <v>0</v>
      </c>
      <c r="S149" s="181" t="n">
        <v>0</v>
      </c>
      <c r="T149" s="74"/>
    </row>
    <row r="150" customFormat="false" ht="14.4" hidden="false" customHeight="false" outlineLevel="0" collapsed="false">
      <c r="A150" s="187"/>
      <c r="B150" s="190"/>
      <c r="C150" s="89"/>
      <c r="D150" s="31" t="s">
        <v>136</v>
      </c>
      <c r="E150" s="86" t="n">
        <f aca="false">SUM(I150:L150)</f>
        <v>0.0201533284781876</v>
      </c>
      <c r="F150" s="87" t="n">
        <f aca="false">SUM(H150:L150,O150)</f>
        <v>0.0227524794658126</v>
      </c>
      <c r="G150" s="88" t="n">
        <f aca="false">SUM(Q150:S150)/(1-'Common input data'!B$126)</f>
        <v>0.0249478941511103</v>
      </c>
      <c r="H150" s="146" t="n">
        <f aca="false">SUM(H154,H158,H162,H166,H170,H174)/'Input data meat and eggs'!$H$418</f>
        <v>0.00259915098762502</v>
      </c>
      <c r="I150" s="146" t="n">
        <f aca="false">SUM(I154,I158,I162,I166,I170,I174)/'Input data meat and eggs'!$H$418</f>
        <v>0.00656960607014059</v>
      </c>
      <c r="J150" s="146" t="n">
        <f aca="false">SUM(J154,J158,J162,J166,J170,J174)/'Input data meat and eggs'!$H$418</f>
        <v>0.0125091769658354</v>
      </c>
      <c r="K150" s="146" t="n">
        <f aca="false">SUM(K154,K158,K162,K166,K170,K174)/'Input data meat and eggs'!$H$418</f>
        <v>0.00107454544221158</v>
      </c>
      <c r="L150" s="146" t="n">
        <f aca="false">SUM(L154,L158,L162,L166,L170,L174)/'Input data meat and eggs'!$H$418</f>
        <v>0</v>
      </c>
      <c r="M150" s="146" t="n">
        <f aca="false">SUM(M154,M158,M162,M166,M170,M174)/'Input data meat and eggs'!$H$418</f>
        <v>0</v>
      </c>
      <c r="N150" s="146" t="n">
        <f aca="false">SUM(N154,N158,N162,N166,N170,N174)/'Input data meat and eggs'!$H$418</f>
        <v>0</v>
      </c>
      <c r="O150" s="146" t="n">
        <v>0</v>
      </c>
      <c r="P150" s="146" t="n">
        <f aca="false">'Input data meat and eggs'!C92*3.6*'Common input data'!B51</f>
        <v>9.68807547169811E-006</v>
      </c>
      <c r="Q150" s="146" t="n">
        <f aca="false">SUM(Q154,Q158,Q162,Q166,Q170,Q174)/'Input data meat and eggs'!$H$418</f>
        <v>0.0227524794658126</v>
      </c>
      <c r="R150" s="181" t="n">
        <v>0</v>
      </c>
      <c r="S150" s="181" t="n">
        <v>0</v>
      </c>
      <c r="T150" s="74"/>
    </row>
    <row r="151" s="83" customFormat="true" ht="14.4" hidden="false" customHeight="false" outlineLevel="0" collapsed="false">
      <c r="A151" s="75"/>
      <c r="B151" s="76" t="s">
        <v>146</v>
      </c>
      <c r="C151" s="185"/>
      <c r="D151" s="78" t="s">
        <v>133</v>
      </c>
      <c r="E151" s="154" t="n">
        <f aca="false">IF($F$1="GWP100 without fb",E152+E153*'Common input data'!$C$5+E154*'Common input data'!$D$5,IF($F$1="GWP100 with fb",E152+E153*'Common input data'!$C$6+E154*'Common input data'!$D$6,IF($F$1="GTP100 without fb",E152+E153*'Common input data'!$C$7+E154*'Common input data'!$D$7,IF($F$1="GTP100 with fb",E152+E153*'Common input data'!$C$8+E154*'Common input data'!$D$8,E152+E153*'Common input data'!$C$9+E154*'Common input data'!$D$9))))</f>
        <v>3697393236.66046</v>
      </c>
      <c r="F151" s="155" t="n">
        <f aca="false">IF($F$1="GWP100 without fb",F152+F153*'Common input data'!$C$5+F154*'Common input data'!$D$5,IF($F$1="GWP100 with fb",F152+F153*'Common input data'!$C$6+F154*'Common input data'!$D$6,IF($F$1="GTP100 without fb",F152+F153*'Common input data'!$C$7+F154*'Common input data'!$D$7,IF($F$1="GTP100 with fb",F152+F153*'Common input data'!$C$8+F154*'Common input data'!$D$8,F152+F153*'Common input data'!$C$9+F154*'Common input data'!$D$9))))</f>
        <v>4106022719.08731</v>
      </c>
      <c r="G151" s="156"/>
      <c r="H151" s="179"/>
      <c r="I151" s="179"/>
      <c r="J151" s="179"/>
      <c r="K151" s="179"/>
      <c r="L151" s="179"/>
      <c r="M151" s="179"/>
      <c r="N151" s="179"/>
      <c r="O151" s="179"/>
      <c r="P151" s="179"/>
      <c r="Q151" s="179"/>
      <c r="R151" s="97"/>
      <c r="S151" s="97"/>
      <c r="T151" s="74"/>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c r="FQ151" s="30"/>
      <c r="FR151" s="30"/>
      <c r="FS151" s="30"/>
      <c r="FT151" s="30"/>
      <c r="FU151" s="30"/>
      <c r="FV151" s="30"/>
      <c r="FW151" s="30"/>
      <c r="FX151" s="30"/>
      <c r="FY151" s="30"/>
      <c r="FZ151" s="30"/>
      <c r="GA151" s="30"/>
      <c r="GB151" s="30"/>
      <c r="GC151" s="30"/>
      <c r="GD151" s="30"/>
      <c r="GE151" s="30"/>
      <c r="GF151" s="30"/>
      <c r="GG151" s="30"/>
      <c r="GH151" s="30"/>
      <c r="GI151" s="30"/>
      <c r="GJ151" s="30"/>
      <c r="GK151" s="30"/>
      <c r="GL151" s="30"/>
      <c r="GM151" s="30"/>
      <c r="GN151" s="30"/>
      <c r="GO151" s="30"/>
      <c r="GP151" s="30"/>
      <c r="GQ151" s="30"/>
      <c r="GR151" s="30"/>
      <c r="GS151" s="30"/>
      <c r="GT151" s="30"/>
      <c r="GU151" s="30"/>
      <c r="GV151" s="30"/>
      <c r="GW151" s="30"/>
      <c r="GX151" s="30"/>
      <c r="GY151" s="30"/>
      <c r="GZ151" s="30"/>
      <c r="HA151" s="30"/>
      <c r="HB151" s="30"/>
      <c r="HC151" s="30"/>
      <c r="HD151" s="30"/>
      <c r="HE151" s="30"/>
      <c r="HF151" s="30"/>
      <c r="HG151" s="30"/>
      <c r="HH151" s="30"/>
      <c r="HI151" s="30"/>
      <c r="HJ151" s="30"/>
      <c r="HK151" s="30"/>
      <c r="HL151" s="30"/>
      <c r="HM151" s="30"/>
      <c r="HN151" s="30"/>
      <c r="HO151" s="30"/>
      <c r="HP151" s="30"/>
      <c r="HQ151" s="30"/>
      <c r="HR151" s="30"/>
      <c r="HS151" s="30"/>
      <c r="HT151" s="30"/>
      <c r="HU151" s="30"/>
      <c r="HV151" s="30"/>
      <c r="HW151" s="30"/>
      <c r="HX151" s="30"/>
      <c r="HY151" s="30"/>
      <c r="HZ151" s="30"/>
      <c r="IA151" s="30"/>
      <c r="IB151" s="30"/>
      <c r="IC151" s="30"/>
      <c r="ID151" s="30"/>
      <c r="IE151" s="30"/>
      <c r="IF151" s="30"/>
      <c r="IG151" s="30"/>
      <c r="IH151" s="30"/>
      <c r="II151" s="30"/>
      <c r="IJ151" s="30"/>
      <c r="IK151" s="30"/>
      <c r="IL151" s="30"/>
      <c r="IM151" s="30"/>
      <c r="IN151" s="30"/>
      <c r="IO151" s="30"/>
      <c r="IP151" s="30"/>
      <c r="IQ151" s="30"/>
      <c r="IR151" s="30"/>
      <c r="IS151" s="30"/>
      <c r="IT151" s="30"/>
      <c r="IU151" s="30"/>
      <c r="IV151" s="30"/>
      <c r="IW151" s="30"/>
      <c r="IX151" s="30"/>
      <c r="IY151" s="30"/>
      <c r="IZ151" s="30"/>
      <c r="JA151" s="30"/>
      <c r="JB151" s="30"/>
      <c r="JC151" s="30"/>
      <c r="JD151" s="30"/>
      <c r="JE151" s="30"/>
      <c r="JF151" s="30"/>
      <c r="JG151" s="30"/>
      <c r="JH151" s="30"/>
      <c r="JI151" s="30"/>
      <c r="JJ151" s="30"/>
      <c r="JK151" s="30"/>
      <c r="JL151" s="30"/>
      <c r="JM151" s="30"/>
      <c r="JN151" s="30"/>
      <c r="JO151" s="30"/>
      <c r="JP151" s="30"/>
      <c r="JQ151" s="30"/>
      <c r="JR151" s="30"/>
      <c r="JS151" s="30"/>
      <c r="JT151" s="30"/>
      <c r="JU151" s="30"/>
      <c r="JV151" s="30"/>
      <c r="JW151" s="30"/>
      <c r="JX151" s="30"/>
      <c r="JY151" s="30"/>
      <c r="JZ151" s="30"/>
      <c r="KA151" s="30"/>
      <c r="KB151" s="30"/>
      <c r="KC151" s="30"/>
      <c r="KD151" s="30"/>
      <c r="KE151" s="30"/>
      <c r="KF151" s="30"/>
      <c r="KG151" s="30"/>
      <c r="KH151" s="30"/>
      <c r="KI151" s="30"/>
      <c r="KJ151" s="30"/>
      <c r="KK151" s="30"/>
      <c r="KL151" s="30"/>
      <c r="KM151" s="30"/>
      <c r="KN151" s="30"/>
      <c r="KO151" s="30"/>
      <c r="KP151" s="30"/>
      <c r="KQ151" s="30"/>
      <c r="KR151" s="30"/>
      <c r="KS151" s="30"/>
      <c r="KT151" s="30"/>
      <c r="KU151" s="30"/>
      <c r="KV151" s="30"/>
      <c r="KW151" s="30"/>
      <c r="KX151" s="30"/>
      <c r="KY151" s="30"/>
      <c r="KZ151" s="30"/>
      <c r="LA151" s="30"/>
      <c r="LB151" s="30"/>
      <c r="LC151" s="30"/>
      <c r="LD151" s="30"/>
      <c r="LE151" s="30"/>
      <c r="LF151" s="30"/>
      <c r="LG151" s="30"/>
      <c r="LH151" s="30"/>
      <c r="LI151" s="30"/>
      <c r="LJ151" s="30"/>
      <c r="LK151" s="30"/>
      <c r="LL151" s="30"/>
      <c r="LM151" s="30"/>
      <c r="LN151" s="30"/>
      <c r="LO151" s="30"/>
      <c r="LP151" s="30"/>
      <c r="LQ151" s="30"/>
      <c r="LR151" s="30"/>
      <c r="LS151" s="30"/>
      <c r="LT151" s="30"/>
      <c r="LU151" s="30"/>
      <c r="LV151" s="30"/>
      <c r="LW151" s="30"/>
      <c r="LX151" s="30"/>
      <c r="LY151" s="30"/>
      <c r="LZ151" s="30"/>
      <c r="MA151" s="30"/>
      <c r="MB151" s="30"/>
      <c r="MC151" s="30"/>
      <c r="MD151" s="30"/>
      <c r="ME151" s="30"/>
      <c r="MF151" s="30"/>
      <c r="MG151" s="30"/>
      <c r="MH151" s="30"/>
      <c r="MI151" s="30"/>
      <c r="MJ151" s="30"/>
      <c r="MK151" s="30"/>
      <c r="ML151" s="30"/>
      <c r="MM151" s="30"/>
      <c r="MN151" s="30"/>
      <c r="MO151" s="30"/>
      <c r="MP151" s="30"/>
      <c r="MQ151" s="30"/>
      <c r="MR151" s="30"/>
      <c r="MS151" s="30"/>
      <c r="MT151" s="30"/>
      <c r="MU151" s="30"/>
      <c r="MV151" s="30"/>
      <c r="MW151" s="30"/>
      <c r="MX151" s="30"/>
      <c r="MY151" s="30"/>
      <c r="MZ151" s="30"/>
      <c r="NA151" s="30"/>
      <c r="NB151" s="30"/>
      <c r="NC151" s="30"/>
      <c r="ND151" s="30"/>
      <c r="NE151" s="30"/>
      <c r="NF151" s="30"/>
      <c r="NG151" s="30"/>
      <c r="NH151" s="30"/>
      <c r="NI151" s="30"/>
      <c r="NJ151" s="30"/>
      <c r="NK151" s="30"/>
      <c r="NL151" s="30"/>
      <c r="NM151" s="30"/>
      <c r="NN151" s="30"/>
      <c r="NO151" s="30"/>
      <c r="NP151" s="30"/>
      <c r="NQ151" s="30"/>
      <c r="NR151" s="30"/>
      <c r="NS151" s="30"/>
      <c r="NT151" s="30"/>
      <c r="NU151" s="30"/>
      <c r="NV151" s="30"/>
      <c r="NW151" s="30"/>
      <c r="NX151" s="30"/>
      <c r="NY151" s="30"/>
      <c r="NZ151" s="30"/>
      <c r="OA151" s="30"/>
      <c r="OB151" s="30"/>
      <c r="OC151" s="30"/>
      <c r="OD151" s="30"/>
      <c r="OE151" s="30"/>
      <c r="OF151" s="30"/>
      <c r="OG151" s="30"/>
      <c r="OH151" s="30"/>
      <c r="OI151" s="30"/>
      <c r="OJ151" s="30"/>
      <c r="OK151" s="30"/>
      <c r="OL151" s="30"/>
    </row>
    <row r="152" customFormat="false" ht="14.4" hidden="false" customHeight="false" outlineLevel="0" collapsed="false">
      <c r="A152" s="169"/>
      <c r="B152" s="167"/>
      <c r="C152" s="189"/>
      <c r="D152" s="85" t="s">
        <v>134</v>
      </c>
      <c r="E152" s="157" t="n">
        <f aca="false">IF(AND($F$2="No",$F$3="No"),SUM(I152:L152),IF(AND($F$2="Yes", $F$3="No"), SUM(I152:L152)+N152, IF(AND($F$2="No", $F$3="Yes"),SUM(I152:L152)+M152, SUM(I152:L152)+N152+M152)))</f>
        <v>-343344526.92766</v>
      </c>
      <c r="F152" s="144" t="n">
        <f aca="false">IF(AND($F$2="No",$F$3="No"),SUM(H152:L152,O152),IF(AND($F$2="Yes", $F$3="No"), SUM(H152:L152,O152)+N152, IF(AND($F$2="No", $F$3="Yes"),SUM(H152:L152,O152)+M152, SUM(H152:L152,O152)+N152+M152)))</f>
        <v>-29057518.0865417</v>
      </c>
      <c r="G152" s="159"/>
      <c r="H152" s="144" t="n">
        <f aca="false">('Input data meat and eggs'!S412*'Input data meat and eggs'!B48+'Input data meat and eggs'!T412*'Input data meat and eggs'!B47+'Input data meat and eggs'!U412*'Input data meat and eggs'!B35+'Input data meat and eggs'!V412*SUMPRODUCT('Input data meat and eggs'!B37:B46,'Input data meat and eggs'!E65:E74))*'Input data meat and eggs'!$C$412</f>
        <v>314287008.841118</v>
      </c>
      <c r="I152" s="144" t="n">
        <v>0</v>
      </c>
      <c r="J152" s="144" t="n">
        <v>0</v>
      </c>
      <c r="K152" s="144" t="n">
        <v>0</v>
      </c>
      <c r="L152" s="144" t="n">
        <v>0</v>
      </c>
      <c r="M152" s="144" t="n">
        <f aca="false">(('Input data meat and eggs'!S412+'Input data meat and eggs'!T412)*'Common input data'!F13+ 'Input data meat and eggs'!U412*'Common input data'!B13+'Input data meat and eggs'!V412*('Input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eggs'!$C$412</f>
        <v>-343344526.92766</v>
      </c>
      <c r="N152" s="87" t="n">
        <f aca="false">('Input data meat and eggs'!V412*('Input data meat and eggs'!E67*'Common input data'!B21*'Common input data'!G30/'Common input data'!F30+'Input data meat and eggs'!E71*'Common input data'!C21*'Common input data'!J31/'Common input data'!I31))*'Input data meat and eggs'!$C$412</f>
        <v>0</v>
      </c>
      <c r="O152" s="144" t="n">
        <v>0</v>
      </c>
      <c r="P152" s="144" t="n">
        <v>0</v>
      </c>
      <c r="Q152" s="144" t="n">
        <f aca="false">SUM(F152+P152)</f>
        <v>-29057518.0865417</v>
      </c>
      <c r="R152" s="87"/>
      <c r="S152" s="87"/>
      <c r="T152" s="74"/>
    </row>
    <row r="153" customFormat="false" ht="14.4" hidden="false" customHeight="false" outlineLevel="0" collapsed="false">
      <c r="A153" s="169"/>
      <c r="B153" s="167"/>
      <c r="C153" s="167"/>
      <c r="D153" s="85" t="s">
        <v>135</v>
      </c>
      <c r="E153" s="157" t="n">
        <f aca="false">SUM(I153:L153)</f>
        <v>92521167.2626861</v>
      </c>
      <c r="F153" s="144" t="n">
        <f aca="false">SUM(H153:L153,O153)</f>
        <v>92682751.005107</v>
      </c>
      <c r="G153" s="159"/>
      <c r="H153" s="144" t="n">
        <f aca="false">('Input data meat and eggs'!S412*'Input data meat and eggs'!C48+'Input data meat and eggs'!T412*'Input data meat and eggs'!C47+'Input data meat and eggs'!U412*'Input data meat and eggs'!C35+'Input data meat and eggs'!V412*SUMPRODUCT('Input data meat and eggs'!C37:C46,'Input data meat and eggs'!E65:E74))*'Input data meat and eggs'!$C$412</f>
        <v>161583.742420935</v>
      </c>
      <c r="I153" s="144" t="n">
        <v>0</v>
      </c>
      <c r="J153" s="144" t="n">
        <f aca="false">'Input data meat and eggs'!N412*'Input data meat and eggs'!G412/12*'Input data meat and eggs'!C412</f>
        <v>7516199.77614198</v>
      </c>
      <c r="K153" s="144" t="n">
        <v>0</v>
      </c>
      <c r="L153" s="144" t="n">
        <f aca="false">('Input data meat and eggs'!L412*'Input data meat and eggs'!G412/12)*'Input data meat and eggs'!$C$412</f>
        <v>85004967.4865441</v>
      </c>
      <c r="M153" s="144" t="n">
        <v>0</v>
      </c>
      <c r="N153" s="144" t="n">
        <v>0</v>
      </c>
      <c r="O153" s="144" t="n">
        <v>0</v>
      </c>
      <c r="P153" s="144" t="n">
        <v>0</v>
      </c>
      <c r="Q153" s="144" t="n">
        <f aca="false">SUM(F153+P153)</f>
        <v>92682751.005107</v>
      </c>
      <c r="R153" s="87"/>
      <c r="S153" s="87"/>
      <c r="T153" s="74"/>
    </row>
    <row r="154" customFormat="false" ht="14.4" hidden="false" customHeight="false" outlineLevel="0" collapsed="false">
      <c r="A154" s="169"/>
      <c r="B154" s="167"/>
      <c r="C154" s="89"/>
      <c r="D154" s="31" t="s">
        <v>136</v>
      </c>
      <c r="E154" s="157" t="n">
        <f aca="false">SUM(I154:L154)</f>
        <v>3003416.36462013</v>
      </c>
      <c r="F154" s="144" t="n">
        <f aca="false">SUM(H154:L154,O154)</f>
        <v>3301566.11745037</v>
      </c>
      <c r="G154" s="159"/>
      <c r="H154" s="144" t="n">
        <f aca="false">(('Input data meat and eggs'!S412*'Input data meat and eggs'!D48+'Input data meat and eggs'!T412*'Input data meat and eggs'!D47+'Input data meat and eggs'!U412*'Input data meat and eggs'!D35+'Input data meat and eggs'!V412*SUMPRODUCT('Input data meat and eggs'!D37:D46,'Input data meat and eggs'!E65:E74))*'Input data meat and eggs'!B58)*'Input data meat and eggs'!$C$412</f>
        <v>298149.75283024</v>
      </c>
      <c r="I154" s="144" t="n">
        <f aca="false">(('Input data meat and eggs'!S412*'Input data meat and eggs'!D48+'Input data meat and eggs'!T412*'Input data meat and eggs'!D47+'Input data meat and eggs'!U412*'Input data meat and eggs'!D35+'Input data meat and eggs'!V412*SUMPRODUCT('Input data meat and eggs'!D37:D46,'Input data meat and eggs'!E65:E74))*'Input data meat and eggs'!C58)*'Input data meat and eggs'!$C$412</f>
        <v>753602.401449658</v>
      </c>
      <c r="J154" s="144" t="n">
        <f aca="false">('Input data meat and eggs'!K412*'Input data meat and eggs'!G412/12*('Input data meat and eggs'!$O$412*'Input data meat and eggs'!$B$445+'Input data meat and eggs'!$P$412*'Input data meat and eggs'!$C$445+'Input data meat and eggs'!$Q$412*'Input data meat and eggs'!$D$445+'Input data meat and eggs'!$R$412*'Input data meat and eggs'!$E$445)*44/28)*'Input data meat and eggs'!$C$412</f>
        <v>2047152.69320746</v>
      </c>
      <c r="K154" s="144" t="n">
        <f aca="false">('Input data meat and eggs'!$B$446*44/28*'Input data meat and eggs'!K412*'Input data meat and eggs'!G412/12*('Input data meat and eggs'!O412*'Input data meat and eggs'!B458+'Input data meat and eggs'!P412*'Input data meat and eggs'!C458+'Input data meat and eggs'!Q412*'Input data meat and eggs'!D458))*'Input data meat and eggs'!$C$412</f>
        <v>202661.269963012</v>
      </c>
      <c r="L154" s="144" t="n">
        <v>0</v>
      </c>
      <c r="M154" s="144" t="n">
        <v>0</v>
      </c>
      <c r="N154" s="144" t="n">
        <v>0</v>
      </c>
      <c r="O154" s="144" t="n">
        <v>0</v>
      </c>
      <c r="P154" s="144" t="n">
        <v>0</v>
      </c>
      <c r="Q154" s="144" t="n">
        <f aca="false">SUM(F154+P154)</f>
        <v>3301566.11745037</v>
      </c>
      <c r="R154" s="87"/>
      <c r="S154" s="87"/>
      <c r="T154" s="74"/>
    </row>
    <row r="155" s="83" customFormat="true" ht="14.4" hidden="false" customHeight="false" outlineLevel="0" collapsed="false">
      <c r="A155" s="75"/>
      <c r="B155" s="76" t="s">
        <v>147</v>
      </c>
      <c r="C155" s="185"/>
      <c r="D155" s="78" t="s">
        <v>133</v>
      </c>
      <c r="E155" s="154" t="n">
        <f aca="false">IF($F$1="GWP100 without fb",E156+E157*'Common input data'!$C$5+E158*'Common input data'!$D$5,IF($F$1="GWP100 with fb",E156+E157*'Common input data'!$C$6+E158*'Common input data'!$D$6,IF($F$1="GTP100 without fb",E156+E157*'Common input data'!$C$7+E158*'Common input data'!$D$7,IF($F$1="GTP100 with fb",E156+E157*'Common input data'!$C$8+E158*'Common input data'!$D$8,E156+E157*'Common input data'!$C$9+E158*'Common input data'!$D$9))))</f>
        <v>937920004.602391</v>
      </c>
      <c r="F155" s="155" t="n">
        <f aca="false">IF($F$1="GWP100 without fb",F156+F157*'Common input data'!$C$5+F158*'Common input data'!$D$5,IF($F$1="GWP100 with fb",F156+F157*'Common input data'!$C$6+F158*'Common input data'!$D$6,IF($F$1="GTP100 without fb",F156+F157*'Common input data'!$C$7+F158*'Common input data'!$D$7,IF($F$1="GTP100 with fb",F156+F157*'Common input data'!$C$8+F158*'Common input data'!$D$8,F156+F157*'Common input data'!$C$9+F158*'Common input data'!$D$9))))</f>
        <v>1066851238.22254</v>
      </c>
      <c r="G155" s="156"/>
      <c r="H155" s="179"/>
      <c r="I155" s="179"/>
      <c r="J155" s="179"/>
      <c r="K155" s="179"/>
      <c r="L155" s="179"/>
      <c r="M155" s="179"/>
      <c r="N155" s="179"/>
      <c r="O155" s="179"/>
      <c r="P155" s="179"/>
      <c r="Q155" s="179"/>
      <c r="T155" s="74"/>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c r="GL155" s="30"/>
      <c r="GM155" s="30"/>
      <c r="GN155" s="30"/>
      <c r="GO155" s="30"/>
      <c r="GP155" s="30"/>
      <c r="GQ155" s="30"/>
      <c r="GR155" s="30"/>
      <c r="GS155" s="30"/>
      <c r="GT155" s="30"/>
      <c r="GU155" s="30"/>
      <c r="GV155" s="30"/>
      <c r="GW155" s="30"/>
      <c r="GX155" s="30"/>
      <c r="GY155" s="30"/>
      <c r="GZ155" s="30"/>
      <c r="HA155" s="30"/>
      <c r="HB155" s="30"/>
      <c r="HC155" s="30"/>
      <c r="HD155" s="30"/>
      <c r="HE155" s="30"/>
      <c r="HF155" s="30"/>
      <c r="HG155" s="30"/>
      <c r="HH155" s="30"/>
      <c r="HI155" s="30"/>
      <c r="HJ155" s="30"/>
      <c r="HK155" s="30"/>
      <c r="HL155" s="30"/>
      <c r="HM155" s="30"/>
      <c r="HN155" s="30"/>
      <c r="HO155" s="30"/>
      <c r="HP155" s="30"/>
      <c r="HQ155" s="30"/>
      <c r="HR155" s="30"/>
      <c r="HS155" s="30"/>
      <c r="HT155" s="30"/>
      <c r="HU155" s="30"/>
      <c r="HV155" s="30"/>
      <c r="HW155" s="30"/>
      <c r="HX155" s="30"/>
      <c r="HY155" s="30"/>
      <c r="HZ155" s="30"/>
      <c r="IA155" s="30"/>
      <c r="IB155" s="30"/>
      <c r="IC155" s="30"/>
      <c r="ID155" s="30"/>
      <c r="IE155" s="30"/>
      <c r="IF155" s="30"/>
      <c r="IG155" s="30"/>
      <c r="IH155" s="30"/>
      <c r="II155" s="30"/>
      <c r="IJ155" s="30"/>
      <c r="IK155" s="30"/>
      <c r="IL155" s="30"/>
      <c r="IM155" s="30"/>
      <c r="IN155" s="30"/>
      <c r="IO155" s="30"/>
      <c r="IP155" s="30"/>
      <c r="IQ155" s="30"/>
      <c r="IR155" s="30"/>
      <c r="IS155" s="30"/>
      <c r="IT155" s="30"/>
      <c r="IU155" s="30"/>
      <c r="IV155" s="30"/>
      <c r="IW155" s="30"/>
      <c r="IX155" s="30"/>
      <c r="IY155" s="30"/>
      <c r="IZ155" s="30"/>
      <c r="JA155" s="30"/>
      <c r="JB155" s="30"/>
      <c r="JC155" s="30"/>
      <c r="JD155" s="30"/>
      <c r="JE155" s="30"/>
      <c r="JF155" s="30"/>
      <c r="JG155" s="30"/>
      <c r="JH155" s="30"/>
      <c r="JI155" s="30"/>
      <c r="JJ155" s="30"/>
      <c r="JK155" s="30"/>
      <c r="JL155" s="30"/>
      <c r="JM155" s="30"/>
      <c r="JN155" s="30"/>
      <c r="JO155" s="30"/>
      <c r="JP155" s="30"/>
      <c r="JQ155" s="30"/>
      <c r="JR155" s="30"/>
      <c r="JS155" s="30"/>
      <c r="JT155" s="30"/>
      <c r="JU155" s="30"/>
      <c r="JV155" s="30"/>
      <c r="JW155" s="30"/>
      <c r="JX155" s="30"/>
      <c r="JY155" s="30"/>
      <c r="JZ155" s="30"/>
      <c r="KA155" s="30"/>
      <c r="KB155" s="30"/>
      <c r="KC155" s="30"/>
      <c r="KD155" s="30"/>
      <c r="KE155" s="30"/>
      <c r="KF155" s="30"/>
      <c r="KG155" s="30"/>
      <c r="KH155" s="30"/>
      <c r="KI155" s="30"/>
      <c r="KJ155" s="30"/>
      <c r="KK155" s="30"/>
      <c r="KL155" s="30"/>
      <c r="KM155" s="30"/>
      <c r="KN155" s="30"/>
      <c r="KO155" s="30"/>
      <c r="KP155" s="30"/>
      <c r="KQ155" s="30"/>
      <c r="KR155" s="30"/>
      <c r="KS155" s="30"/>
      <c r="KT155" s="30"/>
      <c r="KU155" s="30"/>
      <c r="KV155" s="30"/>
      <c r="KW155" s="30"/>
      <c r="KX155" s="30"/>
      <c r="KY155" s="30"/>
      <c r="KZ155" s="30"/>
      <c r="LA155" s="30"/>
      <c r="LB155" s="30"/>
      <c r="LC155" s="30"/>
      <c r="LD155" s="30"/>
      <c r="LE155" s="30"/>
      <c r="LF155" s="30"/>
      <c r="LG155" s="30"/>
      <c r="LH155" s="30"/>
      <c r="LI155" s="30"/>
      <c r="LJ155" s="30"/>
      <c r="LK155" s="30"/>
      <c r="LL155" s="30"/>
      <c r="LM155" s="30"/>
      <c r="LN155" s="30"/>
      <c r="LO155" s="30"/>
      <c r="LP155" s="30"/>
      <c r="LQ155" s="30"/>
      <c r="LR155" s="30"/>
      <c r="LS155" s="30"/>
      <c r="LT155" s="30"/>
      <c r="LU155" s="30"/>
      <c r="LV155" s="30"/>
      <c r="LW155" s="30"/>
      <c r="LX155" s="30"/>
      <c r="LY155" s="30"/>
      <c r="LZ155" s="30"/>
      <c r="MA155" s="30"/>
      <c r="MB155" s="30"/>
      <c r="MC155" s="30"/>
      <c r="MD155" s="30"/>
      <c r="ME155" s="30"/>
      <c r="MF155" s="30"/>
      <c r="MG155" s="30"/>
      <c r="MH155" s="30"/>
      <c r="MI155" s="30"/>
      <c r="MJ155" s="30"/>
      <c r="MK155" s="30"/>
      <c r="ML155" s="30"/>
      <c r="MM155" s="30"/>
      <c r="MN155" s="30"/>
      <c r="MO155" s="30"/>
      <c r="MP155" s="30"/>
      <c r="MQ155" s="30"/>
      <c r="MR155" s="30"/>
      <c r="MS155" s="30"/>
      <c r="MT155" s="30"/>
      <c r="MU155" s="30"/>
      <c r="MV155" s="30"/>
      <c r="MW155" s="30"/>
      <c r="MX155" s="30"/>
      <c r="MY155" s="30"/>
      <c r="MZ155" s="30"/>
      <c r="NA155" s="30"/>
      <c r="NB155" s="30"/>
      <c r="NC155" s="30"/>
      <c r="ND155" s="30"/>
      <c r="NE155" s="30"/>
      <c r="NF155" s="30"/>
      <c r="NG155" s="30"/>
      <c r="NH155" s="30"/>
      <c r="NI155" s="30"/>
      <c r="NJ155" s="30"/>
      <c r="NK155" s="30"/>
      <c r="NL155" s="30"/>
      <c r="NM155" s="30"/>
      <c r="NN155" s="30"/>
      <c r="NO155" s="30"/>
      <c r="NP155" s="30"/>
      <c r="NQ155" s="30"/>
      <c r="NR155" s="30"/>
      <c r="NS155" s="30"/>
      <c r="NT155" s="30"/>
      <c r="NU155" s="30"/>
      <c r="NV155" s="30"/>
      <c r="NW155" s="30"/>
      <c r="NX155" s="30"/>
      <c r="NY155" s="30"/>
      <c r="NZ155" s="30"/>
      <c r="OA155" s="30"/>
      <c r="OB155" s="30"/>
      <c r="OC155" s="30"/>
      <c r="OD155" s="30"/>
      <c r="OE155" s="30"/>
      <c r="OF155" s="30"/>
      <c r="OG155" s="30"/>
      <c r="OH155" s="30"/>
      <c r="OI155" s="30"/>
      <c r="OJ155" s="30"/>
      <c r="OK155" s="30"/>
      <c r="OL155" s="30"/>
    </row>
    <row r="156" customFormat="false" ht="14.4" hidden="false" customHeight="false" outlineLevel="0" collapsed="false">
      <c r="A156" s="169"/>
      <c r="B156" s="167"/>
      <c r="C156" s="189"/>
      <c r="D156" s="85" t="s">
        <v>134</v>
      </c>
      <c r="E156" s="157" t="n">
        <f aca="false">IF(AND($F$2="No",$F$3="No"),SUM(I156:L156),IF(AND($F$2="Yes", $F$3="No"), SUM(I156:L156)+N156, IF(AND($F$2="No", $F$3="Yes"),SUM(I156:L156)+M156, SUM(I156:L156)+N156+M156)))</f>
        <v>-30538742.223783</v>
      </c>
      <c r="F156" s="144" t="n">
        <f aca="false">IF(AND($F$2="No",$F$3="No"),SUM(H156:L156,O156),IF(AND($F$2="Yes", $F$3="No"), SUM(H156:L156,O156)+N156, IF(AND($F$2="No", $F$3="Yes"),SUM(H156:L156,O156)+M156, SUM(H156:L156,O156)+N156+M156)))</f>
        <v>65844871.3473746</v>
      </c>
      <c r="G156" s="159"/>
      <c r="H156" s="144" t="n">
        <f aca="false">('Input data meat and eggs'!S413*'Input data meat and eggs'!B48+'Input data meat and eggs'!T413*'Input data meat and eggs'!B47+'Input data meat and eggs'!U413*'Input data meat and eggs'!B35+'Input data meat and eggs'!V413*SUMPRODUCT('Input data meat and eggs'!B37:B46,'Input data meat and eggs'!E65:E74))*'Input data meat and eggs'!$C$413</f>
        <v>96383613.5711576</v>
      </c>
      <c r="I156" s="144" t="n">
        <v>0</v>
      </c>
      <c r="J156" s="144" t="n">
        <v>0</v>
      </c>
      <c r="K156" s="144" t="n">
        <v>0</v>
      </c>
      <c r="L156" s="144" t="n">
        <v>0</v>
      </c>
      <c r="M156" s="144" t="n">
        <f aca="false">(('Input data meat and eggs'!S413+'Input data meat and eggs'!T413)*'Common input data'!F13+ 'Input data meat and eggs'!U413*'Common input data'!B13+'Input data meat and eggs'!V413*('Input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eggs'!$C$413</f>
        <v>-35234318.9570749</v>
      </c>
      <c r="N156" s="144" t="n">
        <f aca="false">('Input data meat and eggs'!V413*('Input data meat and eggs'!E67*'Common input data'!B21*'Common input data'!G30/'Common input data'!F30+'Input data meat and eggs'!E71*'Common input data'!C21*'Common input data'!J31/'Common input data'!I31))*'Input data meat and eggs'!$C$413</f>
        <v>4695576.73329192</v>
      </c>
      <c r="O156" s="144" t="n">
        <v>0</v>
      </c>
      <c r="P156" s="144" t="n">
        <v>0</v>
      </c>
      <c r="Q156" s="144" t="n">
        <f aca="false">SUM(F156+P156)</f>
        <v>65844871.3473746</v>
      </c>
      <c r="T156" s="74"/>
    </row>
    <row r="157" customFormat="false" ht="14.4" hidden="false" customHeight="false" outlineLevel="0" collapsed="false">
      <c r="A157" s="169"/>
      <c r="B157" s="167"/>
      <c r="C157" s="167"/>
      <c r="D157" s="85" t="s">
        <v>135</v>
      </c>
      <c r="E157" s="157" t="n">
        <f aca="false">SUM(I157:L157)</f>
        <v>20527034.4034938</v>
      </c>
      <c r="F157" s="144" t="n">
        <f aca="false">SUM(H157:L157,O157)</f>
        <v>20602217.0376949</v>
      </c>
      <c r="G157" s="159"/>
      <c r="H157" s="144" t="n">
        <f aca="false">('Input data meat and eggs'!S413*'Input data meat and eggs'!C48+'Input data meat and eggs'!T413*'Input data meat and eggs'!C47+'Input data meat and eggs'!U413*'Input data meat and eggs'!C35+'Input data meat and eggs'!V413*SUMPRODUCT('Input data meat and eggs'!C37:C46,'Input data meat and eggs'!E65:E74))*'Input data meat and eggs'!$C$413</f>
        <v>75182.6342010645</v>
      </c>
      <c r="I157" s="144" t="n">
        <v>0</v>
      </c>
      <c r="J157" s="144" t="n">
        <f aca="false">'Input data meat and eggs'!N413*'Input data meat and eggs'!G413/12*'Input data meat and eggs'!C413</f>
        <v>1554543.05293241</v>
      </c>
      <c r="K157" s="144" t="n">
        <v>0</v>
      </c>
      <c r="L157" s="144" t="n">
        <f aca="false">('Input data meat and eggs'!L413*'Input data meat and eggs'!G413/12)*'Input data meat and eggs'!$C$413</f>
        <v>18972491.3505614</v>
      </c>
      <c r="M157" s="144" t="n">
        <v>0</v>
      </c>
      <c r="N157" s="144" t="n">
        <v>0</v>
      </c>
      <c r="O157" s="144" t="n">
        <v>0</v>
      </c>
      <c r="P157" s="144" t="n">
        <v>0</v>
      </c>
      <c r="Q157" s="144" t="n">
        <f aca="false">SUM(F157+P157)</f>
        <v>20602217.0376949</v>
      </c>
      <c r="T157" s="74"/>
    </row>
    <row r="158" customFormat="false" ht="14.4" hidden="false" customHeight="false" outlineLevel="0" collapsed="false">
      <c r="A158" s="169"/>
      <c r="B158" s="167"/>
      <c r="C158" s="89"/>
      <c r="D158" s="31" t="s">
        <v>136</v>
      </c>
      <c r="E158" s="157" t="n">
        <f aca="false">SUM(I158:L158)</f>
        <v>907850.929890551</v>
      </c>
      <c r="F158" s="144" t="n">
        <f aca="false">SUM(H158:L158,O158)</f>
        <v>1008493.24695819</v>
      </c>
      <c r="G158" s="159"/>
      <c r="H158" s="144" t="n">
        <f aca="false">(('Input data meat and eggs'!S413*'Input data meat and eggs'!D48+'Input data meat and eggs'!T413*'Input data meat and eggs'!D47+'Input data meat and eggs'!U413*'Input data meat and eggs'!D35+'Input data meat and eggs'!V413*SUMPRODUCT('Input data meat and eggs'!D37:D46,'Input data meat and eggs'!E65:E74))*'Input data meat and eggs'!B58)*'Input data meat and eggs'!$C$413</f>
        <v>100642.317067641</v>
      </c>
      <c r="I158" s="144" t="n">
        <f aca="false">(('Input data meat and eggs'!S413*'Input data meat and eggs'!D48+'Input data meat and eggs'!T413*'Input data meat and eggs'!D47+'Input data meat and eggs'!U413*'Input data meat and eggs'!D35+'Input data meat and eggs'!V413*SUMPRODUCT('Input data meat and eggs'!D37:D46,'Input data meat and eggs'!E65:E74))*'Input data meat and eggs'!C58)*'Input data meat and eggs'!$C$413</f>
        <v>254383.212159884</v>
      </c>
      <c r="J158" s="144" t="n">
        <f aca="false">('Input data meat and eggs'!K413*'Input data meat and eggs'!G413/12*('Input data meat and eggs'!$O$413*'Input data meat and eggs'!$B$445+'Input data meat and eggs'!$P$413*'Input data meat and eggs'!$C$445+'Input data meat and eggs'!$Q$413*'Input data meat and eggs'!$D$445+'Input data meat and eggs'!$R$413*'Input data meat and eggs'!$E$445)*44/28)*'Input data meat and eggs'!$C$413</f>
        <v>590681.944598517</v>
      </c>
      <c r="K158" s="144" t="n">
        <f aca="false">('Input data meat and eggs'!$B$446*44/28*'Input data meat and eggs'!K413*'Input data meat and eggs'!G413/12*('Input data meat and eggs'!O413*'Input data meat and eggs'!B458+'Input data meat and eggs'!P413*'Input data meat and eggs'!C458+'Input data meat and eggs'!Q413*'Input data meat and eggs'!D458))*'Input data meat and eggs'!$C$413</f>
        <v>62785.77313215</v>
      </c>
      <c r="L158" s="144" t="n">
        <v>0</v>
      </c>
      <c r="M158" s="144" t="n">
        <v>0</v>
      </c>
      <c r="N158" s="144" t="n">
        <v>0</v>
      </c>
      <c r="O158" s="144" t="n">
        <v>0</v>
      </c>
      <c r="P158" s="144" t="n">
        <v>0</v>
      </c>
      <c r="Q158" s="144" t="n">
        <f aca="false">SUM(F158+P158)</f>
        <v>1008493.24695819</v>
      </c>
      <c r="T158" s="74"/>
    </row>
    <row r="159" s="83" customFormat="true" ht="14.4" hidden="false" customHeight="false" outlineLevel="0" collapsed="false">
      <c r="A159" s="75"/>
      <c r="B159" s="76" t="s">
        <v>148</v>
      </c>
      <c r="C159" s="191"/>
      <c r="D159" s="78" t="s">
        <v>133</v>
      </c>
      <c r="E159" s="154" t="n">
        <f aca="false">IF($F$1="GWP100 without fb",E160+E161*'Common input data'!$C$5+E162*'Common input data'!$D$5,IF($F$1="GWP100 with fb",E160+E161*'Common input data'!$C$6+E162*'Common input data'!$D$6,IF($F$1="GTP100 without fb",E160+E161*'Common input data'!$C$7+E162*'Common input data'!$D$7,IF($F$1="GTP100 with fb",E160+E161*'Common input data'!$C$8+E162*'Common input data'!$D$8,E160+E161*'Common input data'!$C$9+E162*'Common input data'!$D$9))))</f>
        <v>2219571985.8925</v>
      </c>
      <c r="F159" s="155" t="n">
        <f aca="false">IF($F$1="GWP100 without fb",F160+F161*'Common input data'!$C$5+F162*'Common input data'!$D$5,IF($F$1="GWP100 with fb",F160+F161*'Common input data'!$C$6+F162*'Common input data'!$D$6,IF($F$1="GTP100 without fb",F160+F161*'Common input data'!$C$7+F162*'Common input data'!$D$7,IF($F$1="GTP100 with fb",F160+F161*'Common input data'!$C$8+F162*'Common input data'!$D$8,F160+F161*'Common input data'!$C$9+F162*'Common input data'!$D$9))))</f>
        <v>2583834362.94044</v>
      </c>
      <c r="G159" s="156"/>
      <c r="H159" s="179"/>
      <c r="I159" s="179"/>
      <c r="J159" s="179"/>
      <c r="K159" s="179"/>
      <c r="L159" s="179"/>
      <c r="M159" s="179"/>
      <c r="N159" s="179"/>
      <c r="O159" s="179"/>
      <c r="P159" s="179"/>
      <c r="Q159" s="179"/>
      <c r="R159" s="97"/>
      <c r="S159" s="97"/>
      <c r="T159" s="74"/>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c r="FQ159" s="30"/>
      <c r="FR159" s="30"/>
      <c r="FS159" s="30"/>
      <c r="FT159" s="30"/>
      <c r="FU159" s="30"/>
      <c r="FV159" s="30"/>
      <c r="FW159" s="30"/>
      <c r="FX159" s="30"/>
      <c r="FY159" s="30"/>
      <c r="FZ159" s="30"/>
      <c r="GA159" s="30"/>
      <c r="GB159" s="30"/>
      <c r="GC159" s="30"/>
      <c r="GD159" s="30"/>
      <c r="GE159" s="30"/>
      <c r="GF159" s="30"/>
      <c r="GG159" s="30"/>
      <c r="GH159" s="30"/>
      <c r="GI159" s="30"/>
      <c r="GJ159" s="30"/>
      <c r="GK159" s="30"/>
      <c r="GL159" s="30"/>
      <c r="GM159" s="30"/>
      <c r="GN159" s="30"/>
      <c r="GO159" s="30"/>
      <c r="GP159" s="30"/>
      <c r="GQ159" s="30"/>
      <c r="GR159" s="30"/>
      <c r="GS159" s="30"/>
      <c r="GT159" s="30"/>
      <c r="GU159" s="30"/>
      <c r="GV159" s="30"/>
      <c r="GW159" s="30"/>
      <c r="GX159" s="30"/>
      <c r="GY159" s="30"/>
      <c r="GZ159" s="30"/>
      <c r="HA159" s="30"/>
      <c r="HB159" s="30"/>
      <c r="HC159" s="30"/>
      <c r="HD159" s="30"/>
      <c r="HE159" s="30"/>
      <c r="HF159" s="30"/>
      <c r="HG159" s="30"/>
      <c r="HH159" s="30"/>
      <c r="HI159" s="30"/>
      <c r="HJ159" s="30"/>
      <c r="HK159" s="30"/>
      <c r="HL159" s="30"/>
      <c r="HM159" s="30"/>
      <c r="HN159" s="30"/>
      <c r="HO159" s="30"/>
      <c r="HP159" s="30"/>
      <c r="HQ159" s="30"/>
      <c r="HR159" s="30"/>
      <c r="HS159" s="30"/>
      <c r="HT159" s="30"/>
      <c r="HU159" s="30"/>
      <c r="HV159" s="30"/>
      <c r="HW159" s="30"/>
      <c r="HX159" s="30"/>
      <c r="HY159" s="30"/>
      <c r="HZ159" s="30"/>
      <c r="IA159" s="30"/>
      <c r="IB159" s="30"/>
      <c r="IC159" s="30"/>
      <c r="ID159" s="30"/>
      <c r="IE159" s="30"/>
      <c r="IF159" s="30"/>
      <c r="IG159" s="30"/>
      <c r="IH159" s="30"/>
      <c r="II159" s="30"/>
      <c r="IJ159" s="30"/>
      <c r="IK159" s="30"/>
      <c r="IL159" s="30"/>
      <c r="IM159" s="30"/>
      <c r="IN159" s="30"/>
      <c r="IO159" s="30"/>
      <c r="IP159" s="30"/>
      <c r="IQ159" s="30"/>
      <c r="IR159" s="30"/>
      <c r="IS159" s="30"/>
      <c r="IT159" s="30"/>
      <c r="IU159" s="30"/>
      <c r="IV159" s="30"/>
      <c r="IW159" s="30"/>
      <c r="IX159" s="30"/>
      <c r="IY159" s="30"/>
      <c r="IZ159" s="30"/>
      <c r="JA159" s="30"/>
      <c r="JB159" s="30"/>
      <c r="JC159" s="30"/>
      <c r="JD159" s="30"/>
      <c r="JE159" s="30"/>
      <c r="JF159" s="30"/>
      <c r="JG159" s="30"/>
      <c r="JH159" s="30"/>
      <c r="JI159" s="30"/>
      <c r="JJ159" s="30"/>
      <c r="JK159" s="30"/>
      <c r="JL159" s="30"/>
      <c r="JM159" s="30"/>
      <c r="JN159" s="30"/>
      <c r="JO159" s="30"/>
      <c r="JP159" s="30"/>
      <c r="JQ159" s="30"/>
      <c r="JR159" s="30"/>
      <c r="JS159" s="30"/>
      <c r="JT159" s="30"/>
      <c r="JU159" s="30"/>
      <c r="JV159" s="30"/>
      <c r="JW159" s="30"/>
      <c r="JX159" s="30"/>
      <c r="JY159" s="30"/>
      <c r="JZ159" s="30"/>
      <c r="KA159" s="30"/>
      <c r="KB159" s="30"/>
      <c r="KC159" s="30"/>
      <c r="KD159" s="30"/>
      <c r="KE159" s="30"/>
      <c r="KF159" s="30"/>
      <c r="KG159" s="30"/>
      <c r="KH159" s="30"/>
      <c r="KI159" s="30"/>
      <c r="KJ159" s="30"/>
      <c r="KK159" s="30"/>
      <c r="KL159" s="30"/>
      <c r="KM159" s="30"/>
      <c r="KN159" s="30"/>
      <c r="KO159" s="30"/>
      <c r="KP159" s="30"/>
      <c r="KQ159" s="30"/>
      <c r="KR159" s="30"/>
      <c r="KS159" s="30"/>
      <c r="KT159" s="30"/>
      <c r="KU159" s="30"/>
      <c r="KV159" s="30"/>
      <c r="KW159" s="30"/>
      <c r="KX159" s="30"/>
      <c r="KY159" s="30"/>
      <c r="KZ159" s="30"/>
      <c r="LA159" s="30"/>
      <c r="LB159" s="30"/>
      <c r="LC159" s="30"/>
      <c r="LD159" s="30"/>
      <c r="LE159" s="30"/>
      <c r="LF159" s="30"/>
      <c r="LG159" s="30"/>
      <c r="LH159" s="30"/>
      <c r="LI159" s="30"/>
      <c r="LJ159" s="30"/>
      <c r="LK159" s="30"/>
      <c r="LL159" s="30"/>
      <c r="LM159" s="30"/>
      <c r="LN159" s="30"/>
      <c r="LO159" s="30"/>
      <c r="LP159" s="30"/>
      <c r="LQ159" s="30"/>
      <c r="LR159" s="30"/>
      <c r="LS159" s="30"/>
      <c r="LT159" s="30"/>
      <c r="LU159" s="30"/>
      <c r="LV159" s="30"/>
      <c r="LW159" s="30"/>
      <c r="LX159" s="30"/>
      <c r="LY159" s="30"/>
      <c r="LZ159" s="30"/>
      <c r="MA159" s="30"/>
      <c r="MB159" s="30"/>
      <c r="MC159" s="30"/>
      <c r="MD159" s="30"/>
      <c r="ME159" s="30"/>
      <c r="MF159" s="30"/>
      <c r="MG159" s="30"/>
      <c r="MH159" s="30"/>
      <c r="MI159" s="30"/>
      <c r="MJ159" s="30"/>
      <c r="MK159" s="30"/>
      <c r="ML159" s="30"/>
      <c r="MM159" s="30"/>
      <c r="MN159" s="30"/>
      <c r="MO159" s="30"/>
      <c r="MP159" s="30"/>
      <c r="MQ159" s="30"/>
      <c r="MR159" s="30"/>
      <c r="MS159" s="30"/>
      <c r="MT159" s="30"/>
      <c r="MU159" s="30"/>
      <c r="MV159" s="30"/>
      <c r="MW159" s="30"/>
      <c r="MX159" s="30"/>
      <c r="MY159" s="30"/>
      <c r="MZ159" s="30"/>
      <c r="NA159" s="30"/>
      <c r="NB159" s="30"/>
      <c r="NC159" s="30"/>
      <c r="ND159" s="30"/>
      <c r="NE159" s="30"/>
      <c r="NF159" s="30"/>
      <c r="NG159" s="30"/>
      <c r="NH159" s="30"/>
      <c r="NI159" s="30"/>
      <c r="NJ159" s="30"/>
      <c r="NK159" s="30"/>
      <c r="NL159" s="30"/>
      <c r="NM159" s="30"/>
      <c r="NN159" s="30"/>
      <c r="NO159" s="30"/>
      <c r="NP159" s="30"/>
      <c r="NQ159" s="30"/>
      <c r="NR159" s="30"/>
      <c r="NS159" s="30"/>
      <c r="NT159" s="30"/>
      <c r="NU159" s="30"/>
      <c r="NV159" s="30"/>
      <c r="NW159" s="30"/>
      <c r="NX159" s="30"/>
      <c r="NY159" s="30"/>
      <c r="NZ159" s="30"/>
      <c r="OA159" s="30"/>
      <c r="OB159" s="30"/>
      <c r="OC159" s="30"/>
      <c r="OD159" s="30"/>
      <c r="OE159" s="30"/>
      <c r="OF159" s="30"/>
      <c r="OG159" s="30"/>
      <c r="OH159" s="30"/>
      <c r="OI159" s="30"/>
      <c r="OJ159" s="30"/>
      <c r="OK159" s="30"/>
      <c r="OL159" s="30"/>
    </row>
    <row r="160" customFormat="false" ht="14.4" hidden="false" customHeight="false" outlineLevel="0" collapsed="false">
      <c r="A160" s="169"/>
      <c r="B160" s="167"/>
      <c r="C160" s="189"/>
      <c r="D160" s="85" t="s">
        <v>134</v>
      </c>
      <c r="E160" s="157" t="n">
        <f aca="false">IF(AND($F$2="No",$F$3="No"),SUM(I160:L160),IF(AND($F$2="Yes", $F$3="No"), SUM(I160:L160)+N160, IF(AND($F$2="No", $F$3="Yes"),SUM(I160:L160)+M160, SUM(I160:L160)+N160+M160)))</f>
        <v>-86279441.5452723</v>
      </c>
      <c r="F160" s="144" t="n">
        <f aca="false">IF(AND($F$2="No",$F$3="No"),SUM(H160:L160,O160),IF(AND($F$2="Yes", $F$3="No"), SUM(H160:L160,O160)+N160, IF(AND($F$2="No", $F$3="Yes"),SUM(H160:L160,O160)+M160, SUM(H160:L160,O160)+N160+M160)))</f>
        <v>186027921.086006</v>
      </c>
      <c r="G160" s="159"/>
      <c r="H160" s="144" t="n">
        <f aca="false">('Input data meat and eggs'!S414*'Input data meat and eggs'!B48+'Input data meat and eggs'!T414*'Input data meat and eggs'!B47+'Input data meat and eggs'!U414*'Input data meat and eggs'!B35+'Input data meat and eggs'!V414*SUMPRODUCT('Input data meat and eggs'!B37:B46,'Input data meat and eggs'!E65:E74))*'Input data meat and eggs'!$E$414</f>
        <v>272307362.631278</v>
      </c>
      <c r="I160" s="144" t="n">
        <v>0</v>
      </c>
      <c r="J160" s="144" t="n">
        <v>0</v>
      </c>
      <c r="K160" s="144" t="n">
        <v>0</v>
      </c>
      <c r="L160" s="144" t="n">
        <v>0</v>
      </c>
      <c r="M160" s="144" t="n">
        <f aca="false">(('Input data meat and eggs'!S414+'Input data meat and eggs'!T414)*'Common input data'!F13+ 'Input data meat and eggs'!U414*'Common input data'!B13+'Input data meat and eggs'!V414*('Input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eggs'!$E$414</f>
        <v>-99545598.1968024</v>
      </c>
      <c r="N160" s="144" t="n">
        <f aca="false">('Input data meat and eggs'!V414*('Input data meat and eggs'!E67*'Common input data'!B21*'Common input data'!G30/'Common input data'!F30+'Input data meat and eggs'!E71*'Common input data'!C21*'Common input data'!J31/'Common input data'!I31))*'Input data meat and eggs'!$E$414</f>
        <v>13266156.6515301</v>
      </c>
      <c r="O160" s="144" t="n">
        <v>0</v>
      </c>
      <c r="P160" s="144" t="n">
        <v>0</v>
      </c>
      <c r="Q160" s="144" t="n">
        <f aca="false">SUM(F160+P160)</f>
        <v>186027921.086006</v>
      </c>
      <c r="R160" s="87"/>
      <c r="S160" s="87"/>
      <c r="T160" s="74"/>
    </row>
    <row r="161" customFormat="false" ht="14.4" hidden="false" customHeight="false" outlineLevel="0" collapsed="false">
      <c r="A161" s="169"/>
      <c r="B161" s="167"/>
      <c r="C161" s="189"/>
      <c r="D161" s="85" t="s">
        <v>135</v>
      </c>
      <c r="E161" s="157" t="n">
        <f aca="false">SUM(I161:L161)</f>
        <v>48035460.5388736</v>
      </c>
      <c r="F161" s="144" t="n">
        <f aca="false">SUM(H161:L161,O161)</f>
        <v>48247869.9316782</v>
      </c>
      <c r="G161" s="159"/>
      <c r="H161" s="144" t="n">
        <f aca="false">('Input data meat and eggs'!S414*'Input data meat and eggs'!C48+'Input data meat and eggs'!T414*'Input data meat and eggs'!C47+'Input data meat and eggs'!U414*'Input data meat and eggs'!C35+'Input data meat and eggs'!V414*SUMPRODUCT('Input data meat and eggs'!C37:C46,'Input data meat and eggs'!E65:E74))*'Input data meat and eggs'!$E$414</f>
        <v>212409.392804613</v>
      </c>
      <c r="I161" s="144" t="n">
        <v>0</v>
      </c>
      <c r="J161" s="144" t="n">
        <f aca="false">'Input data meat and eggs'!N414*'Input data meat and eggs'!G414/12*'Input data meat and eggs'!E414</f>
        <v>3367173.65556141</v>
      </c>
      <c r="K161" s="144" t="n">
        <v>0</v>
      </c>
      <c r="L161" s="144" t="n">
        <f aca="false">('Input data meat and eggs'!L414*'Input data meat and eggs'!G414/12)*'Input data meat and eggs'!$E$414</f>
        <v>44668286.8833122</v>
      </c>
      <c r="M161" s="144" t="n">
        <v>0</v>
      </c>
      <c r="N161" s="144" t="n">
        <v>0</v>
      </c>
      <c r="O161" s="144" t="n">
        <v>0</v>
      </c>
      <c r="P161" s="144" t="n">
        <v>0</v>
      </c>
      <c r="Q161" s="144" t="n">
        <f aca="false">SUM(F161+P161)</f>
        <v>48247869.9316782</v>
      </c>
      <c r="R161" s="87"/>
      <c r="S161" s="87"/>
      <c r="T161" s="74"/>
    </row>
    <row r="162" customFormat="false" ht="14.4" hidden="false" customHeight="false" outlineLevel="0" collapsed="false">
      <c r="A162" s="169"/>
      <c r="B162" s="167"/>
      <c r="C162" s="189"/>
      <c r="D162" s="31" t="s">
        <v>136</v>
      </c>
      <c r="E162" s="157" t="n">
        <f aca="false">SUM(I162:L162)</f>
        <v>2257200.56750358</v>
      </c>
      <c r="F162" s="144" t="n">
        <f aca="false">SUM(H162:L162,O162)</f>
        <v>2541539.81267576</v>
      </c>
      <c r="G162" s="159"/>
      <c r="H162" s="144" t="n">
        <f aca="false">(('Input data meat and eggs'!S414*'Input data meat and eggs'!D48+'Input data meat and eggs'!T414*'Input data meat and eggs'!D47+'Input data meat and eggs'!U414*'Input data meat and eggs'!D35+'Input data meat and eggs'!V414*SUMPRODUCT('Input data meat and eggs'!D37:D46,'Input data meat and eggs'!E65:E74))*'Input data meat and eggs'!B58)*'Input data meat and eggs'!$E$414</f>
        <v>284339.245172181</v>
      </c>
      <c r="I162" s="144" t="n">
        <f aca="false">(('Input data meat and eggs'!S414*'Input data meat and eggs'!D48+'Input data meat and eggs'!T414*'Input data meat and eggs'!D47+'Input data meat and eggs'!U414*'Input data meat and eggs'!D35+'Input data meat and eggs'!V414*SUMPRODUCT('Input data meat and eggs'!D37:D46,'Input data meat and eggs'!E65:E74))*'Input data meat and eggs'!C58)*'Input data meat and eggs'!$E$414</f>
        <v>718695.004621199</v>
      </c>
      <c r="J162" s="144" t="n">
        <f aca="false">('Input data meat and eggs'!K414*'Input data meat and eggs'!G414/12*('Input data meat and eggs'!$O$414*'Input data meat and eggs'!$B$445+'Input data meat and eggs'!$P$414*'Input data meat and eggs'!$C$445+'Input data meat and eggs'!$Q$414*'Input data meat and eggs'!$D$445+'Input data meat and eggs'!$R$414*'Input data meat and eggs'!$E$445)*44/28)*'Input data meat and eggs'!$E$414</f>
        <v>1390684.54799103</v>
      </c>
      <c r="K162" s="144" t="n">
        <f aca="false">('Input data meat and eggs'!$B$446*44/28*'Input data meat and eggs'!K414*'Input data meat and eggs'!G414/12*('Input data meat and eggs'!O414*'Input data meat and eggs'!B458+'Input data meat and eggs'!P414*'Input data meat and eggs'!C458+'Input data meat and eggs'!Q414*'Input data meat and eggs'!D458))*'Input data meat and eggs'!$E$414</f>
        <v>147821.014891354</v>
      </c>
      <c r="L162" s="144" t="n">
        <v>0</v>
      </c>
      <c r="M162" s="144" t="n">
        <v>0</v>
      </c>
      <c r="N162" s="144" t="n">
        <v>0</v>
      </c>
      <c r="O162" s="144" t="n">
        <v>0</v>
      </c>
      <c r="P162" s="144" t="n">
        <v>0</v>
      </c>
      <c r="Q162" s="144" t="n">
        <f aca="false">SUM(F162+P162)</f>
        <v>2541539.81267576</v>
      </c>
      <c r="R162" s="87"/>
      <c r="S162" s="87"/>
      <c r="T162" s="74"/>
    </row>
    <row r="163" s="83" customFormat="true" ht="14.4" hidden="false" customHeight="false" outlineLevel="0" collapsed="false">
      <c r="A163" s="75"/>
      <c r="B163" s="76" t="s">
        <v>150</v>
      </c>
      <c r="C163" s="191"/>
      <c r="D163" s="78" t="s">
        <v>133</v>
      </c>
      <c r="E163" s="154" t="n">
        <f aca="false">IF($F$1="GWP100 without fb",E164+E165*'Common input data'!$C$5+E166*'Common input data'!$D$5,IF($F$1="GWP100 with fb",E164+E165*'Common input data'!$C$6+E166*'Common input data'!$D$6,IF($F$1="GTP100 without fb",E164+E165*'Common input data'!$C$7+E166*'Common input data'!$D$7,IF($F$1="GTP100 with fb",E164+E165*'Common input data'!$C$8+E166*'Common input data'!$D$8,E164+E165*'Common input data'!$C$9+E166*'Common input data'!$D$9))))</f>
        <v>1315017524.07896</v>
      </c>
      <c r="F163" s="155" t="n">
        <f aca="false">IF($F$1="GWP100 without fb",F164+F165*'Common input data'!$C$5+F166*'Common input data'!$D$5,IF($F$1="GWP100 with fb",F164+F165*'Common input data'!$C$6+F166*'Common input data'!$D$6,IF($F$1="GTP100 without fb",F164+F165*'Common input data'!$C$7+F166*'Common input data'!$D$7,IF($F$1="GTP100 with fb",F164+F165*'Common input data'!$C$8+F166*'Common input data'!$D$8,F164+F165*'Common input data'!$C$9+F166*'Common input data'!$D$9))))</f>
        <v>1540505505.10226</v>
      </c>
      <c r="G163" s="156"/>
      <c r="H163" s="179"/>
      <c r="I163" s="179"/>
      <c r="J163" s="179"/>
      <c r="K163" s="179"/>
      <c r="L163" s="179"/>
      <c r="M163" s="179"/>
      <c r="N163" s="179"/>
      <c r="O163" s="179"/>
      <c r="P163" s="179"/>
      <c r="Q163" s="179"/>
      <c r="R163" s="97"/>
      <c r="S163" s="97"/>
      <c r="T163" s="74"/>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c r="FQ163" s="30"/>
      <c r="FR163" s="30"/>
      <c r="FS163" s="30"/>
      <c r="FT163" s="30"/>
      <c r="FU163" s="30"/>
      <c r="FV163" s="30"/>
      <c r="FW163" s="30"/>
      <c r="FX163" s="30"/>
      <c r="FY163" s="30"/>
      <c r="FZ163" s="30"/>
      <c r="GA163" s="30"/>
      <c r="GB163" s="30"/>
      <c r="GC163" s="30"/>
      <c r="GD163" s="30"/>
      <c r="GE163" s="30"/>
      <c r="GF163" s="30"/>
      <c r="GG163" s="30"/>
      <c r="GH163" s="30"/>
      <c r="GI163" s="30"/>
      <c r="GJ163" s="30"/>
      <c r="GK163" s="30"/>
      <c r="GL163" s="30"/>
      <c r="GM163" s="30"/>
      <c r="GN163" s="30"/>
      <c r="GO163" s="30"/>
      <c r="GP163" s="30"/>
      <c r="GQ163" s="30"/>
      <c r="GR163" s="30"/>
      <c r="GS163" s="30"/>
      <c r="GT163" s="30"/>
      <c r="GU163" s="30"/>
      <c r="GV163" s="30"/>
      <c r="GW163" s="30"/>
      <c r="GX163" s="30"/>
      <c r="GY163" s="30"/>
      <c r="GZ163" s="30"/>
      <c r="HA163" s="30"/>
      <c r="HB163" s="30"/>
      <c r="HC163" s="30"/>
      <c r="HD163" s="30"/>
      <c r="HE163" s="30"/>
      <c r="HF163" s="30"/>
      <c r="HG163" s="30"/>
      <c r="HH163" s="30"/>
      <c r="HI163" s="30"/>
      <c r="HJ163" s="30"/>
      <c r="HK163" s="30"/>
      <c r="HL163" s="30"/>
      <c r="HM163" s="30"/>
      <c r="HN163" s="30"/>
      <c r="HO163" s="30"/>
      <c r="HP163" s="30"/>
      <c r="HQ163" s="30"/>
      <c r="HR163" s="30"/>
      <c r="HS163" s="30"/>
      <c r="HT163" s="30"/>
      <c r="HU163" s="30"/>
      <c r="HV163" s="30"/>
      <c r="HW163" s="30"/>
      <c r="HX163" s="30"/>
      <c r="HY163" s="30"/>
      <c r="HZ163" s="30"/>
      <c r="IA163" s="30"/>
      <c r="IB163" s="30"/>
      <c r="IC163" s="30"/>
      <c r="ID163" s="30"/>
      <c r="IE163" s="30"/>
      <c r="IF163" s="30"/>
      <c r="IG163" s="30"/>
      <c r="IH163" s="30"/>
      <c r="II163" s="30"/>
      <c r="IJ163" s="30"/>
      <c r="IK163" s="30"/>
      <c r="IL163" s="30"/>
      <c r="IM163" s="30"/>
      <c r="IN163" s="30"/>
      <c r="IO163" s="30"/>
      <c r="IP163" s="30"/>
      <c r="IQ163" s="30"/>
      <c r="IR163" s="30"/>
      <c r="IS163" s="30"/>
      <c r="IT163" s="30"/>
      <c r="IU163" s="30"/>
      <c r="IV163" s="30"/>
      <c r="IW163" s="30"/>
      <c r="IX163" s="30"/>
      <c r="IY163" s="30"/>
      <c r="IZ163" s="30"/>
      <c r="JA163" s="30"/>
      <c r="JB163" s="30"/>
      <c r="JC163" s="30"/>
      <c r="JD163" s="30"/>
      <c r="JE163" s="30"/>
      <c r="JF163" s="30"/>
      <c r="JG163" s="30"/>
      <c r="JH163" s="30"/>
      <c r="JI163" s="30"/>
      <c r="JJ163" s="30"/>
      <c r="JK163" s="30"/>
      <c r="JL163" s="30"/>
      <c r="JM163" s="30"/>
      <c r="JN163" s="30"/>
      <c r="JO163" s="30"/>
      <c r="JP163" s="30"/>
      <c r="JQ163" s="30"/>
      <c r="JR163" s="30"/>
      <c r="JS163" s="30"/>
      <c r="JT163" s="30"/>
      <c r="JU163" s="30"/>
      <c r="JV163" s="30"/>
      <c r="JW163" s="30"/>
      <c r="JX163" s="30"/>
      <c r="JY163" s="30"/>
      <c r="JZ163" s="30"/>
      <c r="KA163" s="30"/>
      <c r="KB163" s="30"/>
      <c r="KC163" s="30"/>
      <c r="KD163" s="30"/>
      <c r="KE163" s="30"/>
      <c r="KF163" s="30"/>
      <c r="KG163" s="30"/>
      <c r="KH163" s="30"/>
      <c r="KI163" s="30"/>
      <c r="KJ163" s="30"/>
      <c r="KK163" s="30"/>
      <c r="KL163" s="30"/>
      <c r="KM163" s="30"/>
      <c r="KN163" s="30"/>
      <c r="KO163" s="30"/>
      <c r="KP163" s="30"/>
      <c r="KQ163" s="30"/>
      <c r="KR163" s="30"/>
      <c r="KS163" s="30"/>
      <c r="KT163" s="30"/>
      <c r="KU163" s="30"/>
      <c r="KV163" s="30"/>
      <c r="KW163" s="30"/>
      <c r="KX163" s="30"/>
      <c r="KY163" s="30"/>
      <c r="KZ163" s="30"/>
      <c r="LA163" s="30"/>
      <c r="LB163" s="30"/>
      <c r="LC163" s="30"/>
      <c r="LD163" s="30"/>
      <c r="LE163" s="30"/>
      <c r="LF163" s="30"/>
      <c r="LG163" s="30"/>
      <c r="LH163" s="30"/>
      <c r="LI163" s="30"/>
      <c r="LJ163" s="30"/>
      <c r="LK163" s="30"/>
      <c r="LL163" s="30"/>
      <c r="LM163" s="30"/>
      <c r="LN163" s="30"/>
      <c r="LO163" s="30"/>
      <c r="LP163" s="30"/>
      <c r="LQ163" s="30"/>
      <c r="LR163" s="30"/>
      <c r="LS163" s="30"/>
      <c r="LT163" s="30"/>
      <c r="LU163" s="30"/>
      <c r="LV163" s="30"/>
      <c r="LW163" s="30"/>
      <c r="LX163" s="30"/>
      <c r="LY163" s="30"/>
      <c r="LZ163" s="30"/>
      <c r="MA163" s="30"/>
      <c r="MB163" s="30"/>
      <c r="MC163" s="30"/>
      <c r="MD163" s="30"/>
      <c r="ME163" s="30"/>
      <c r="MF163" s="30"/>
      <c r="MG163" s="30"/>
      <c r="MH163" s="30"/>
      <c r="MI163" s="30"/>
      <c r="MJ163" s="30"/>
      <c r="MK163" s="30"/>
      <c r="ML163" s="30"/>
      <c r="MM163" s="30"/>
      <c r="MN163" s="30"/>
      <c r="MO163" s="30"/>
      <c r="MP163" s="30"/>
      <c r="MQ163" s="30"/>
      <c r="MR163" s="30"/>
      <c r="MS163" s="30"/>
      <c r="MT163" s="30"/>
      <c r="MU163" s="30"/>
      <c r="MV163" s="30"/>
      <c r="MW163" s="30"/>
      <c r="MX163" s="30"/>
      <c r="MY163" s="30"/>
      <c r="MZ163" s="30"/>
      <c r="NA163" s="30"/>
      <c r="NB163" s="30"/>
      <c r="NC163" s="30"/>
      <c r="ND163" s="30"/>
      <c r="NE163" s="30"/>
      <c r="NF163" s="30"/>
      <c r="NG163" s="30"/>
      <c r="NH163" s="30"/>
      <c r="NI163" s="30"/>
      <c r="NJ163" s="30"/>
      <c r="NK163" s="30"/>
      <c r="NL163" s="30"/>
      <c r="NM163" s="30"/>
      <c r="NN163" s="30"/>
      <c r="NO163" s="30"/>
      <c r="NP163" s="30"/>
      <c r="NQ163" s="30"/>
      <c r="NR163" s="30"/>
      <c r="NS163" s="30"/>
      <c r="NT163" s="30"/>
      <c r="NU163" s="30"/>
      <c r="NV163" s="30"/>
      <c r="NW163" s="30"/>
      <c r="NX163" s="30"/>
      <c r="NY163" s="30"/>
      <c r="NZ163" s="30"/>
      <c r="OA163" s="30"/>
      <c r="OB163" s="30"/>
      <c r="OC163" s="30"/>
      <c r="OD163" s="30"/>
      <c r="OE163" s="30"/>
      <c r="OF163" s="30"/>
      <c r="OG163" s="30"/>
      <c r="OH163" s="30"/>
      <c r="OI163" s="30"/>
      <c r="OJ163" s="30"/>
      <c r="OK163" s="30"/>
      <c r="OL163" s="30"/>
    </row>
    <row r="164" customFormat="false" ht="14.4" hidden="false" customHeight="false" outlineLevel="0" collapsed="false">
      <c r="A164" s="192"/>
      <c r="B164" s="167"/>
      <c r="C164" s="189"/>
      <c r="D164" s="85" t="s">
        <v>134</v>
      </c>
      <c r="E164" s="157" t="n">
        <f aca="false">IF(AND($F$2="No",$F$3="No"),SUM(I164:L164),IF(AND($F$2="Yes", $F$3="No"), SUM(I164:L164)+N164, IF(AND($F$2="No", $F$3="Yes"),SUM(I164:L164)+M164, SUM(I164:L164)+N164+M164)))</f>
        <v>-63808036.7895063</v>
      </c>
      <c r="F164" s="144" t="n">
        <f aca="false">IF(AND($F$2="No",$F$3="No"),SUM(H164:L164,O164),IF(AND($F$2="Yes", $F$3="No"), SUM(H164:L164,O164)+N164, IF(AND($F$2="No", $F$3="Yes"),SUM(H164:L164,O164)+M164, SUM(H164:L164,O164)+N164+M164)))</f>
        <v>104554432.168891</v>
      </c>
      <c r="G164" s="159"/>
      <c r="H164" s="144" t="n">
        <f aca="false">('Input data meat and eggs'!S415*'Input data meat and eggs'!B48+'Input data meat and eggs'!T415*'Input data meat and eggs'!B47+'Input data meat and eggs'!U415*'Input data meat and eggs'!B35+'Input data meat and eggs'!V415*SUMPRODUCT('Input data meat and eggs'!B37:B46,'Input data meat and eggs'!E65:E74))*'Input data meat and eggs'!$E$415</f>
        <v>168362468.958397</v>
      </c>
      <c r="I164" s="144" t="n">
        <v>0</v>
      </c>
      <c r="J164" s="144" t="n">
        <v>0</v>
      </c>
      <c r="K164" s="144" t="n">
        <v>0</v>
      </c>
      <c r="L164" s="144" t="n">
        <v>0</v>
      </c>
      <c r="M164" s="144" t="n">
        <f aca="false">(('Input data meat and eggs'!S415+'Input data meat and eggs'!T415)*'Common input data'!F13+ 'Input data meat and eggs'!U415*'Common input data'!B13+'Input data meat and eggs'!V415*('Input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eggs'!$E$415</f>
        <v>-70011635.6211512</v>
      </c>
      <c r="N164" s="144" t="n">
        <f aca="false">('Input data meat and eggs'!V415*('Input data meat and eggs'!E67*'Common input data'!B21*'Common input data'!G30/'Common input data'!F30+'Input data meat and eggs'!E71*'Common input data'!C21*'Common input data'!J31/'Common input data'!I31))*'Input data meat and eggs'!$E$415</f>
        <v>6203598.83164485</v>
      </c>
      <c r="O164" s="144" t="n">
        <v>0</v>
      </c>
      <c r="P164" s="144" t="n">
        <v>0</v>
      </c>
      <c r="Q164" s="144" t="n">
        <f aca="false">SUM(F164+P164)</f>
        <v>104554432.168891</v>
      </c>
      <c r="R164" s="87"/>
      <c r="S164" s="87"/>
      <c r="T164" s="74"/>
    </row>
    <row r="165" customFormat="false" ht="14.4" hidden="false" customHeight="false" outlineLevel="0" collapsed="false">
      <c r="A165" s="192"/>
      <c r="B165" s="167"/>
      <c r="C165" s="189"/>
      <c r="D165" s="85" t="s">
        <v>135</v>
      </c>
      <c r="E165" s="157" t="n">
        <f aca="false">SUM(I165:L165)</f>
        <v>29462651.6887563</v>
      </c>
      <c r="F165" s="144" t="n">
        <f aca="false">SUM(H165:L165,O165)</f>
        <v>29577980.3762969</v>
      </c>
      <c r="G165" s="159"/>
      <c r="H165" s="144" t="n">
        <f aca="false">('Input data meat and eggs'!S415*'Input data meat and eggs'!C48+'Input data meat and eggs'!T415*'Input data meat and eggs'!C47+'Input data meat and eggs'!U415*'Input data meat and eggs'!C35+'Input data meat and eggs'!V415*SUMPRODUCT('Input data meat and eggs'!C37:C46,'Input data meat and eggs'!E65:E74))*'Input data meat and eggs'!$E$415</f>
        <v>115328.687540585</v>
      </c>
      <c r="I165" s="144" t="n">
        <v>0</v>
      </c>
      <c r="J165" s="144" t="n">
        <f aca="false">'Input data meat and eggs'!N415*'Input data meat and eggs'!G415/12*'Input data meat and eggs'!E415</f>
        <v>2619524.73506496</v>
      </c>
      <c r="K165" s="144" t="n">
        <v>0</v>
      </c>
      <c r="L165" s="144" t="n">
        <f aca="false">('Input data meat and eggs'!L415*'Input data meat and eggs'!G415/12)*'Input data meat and eggs'!$E$415</f>
        <v>26843126.9536913</v>
      </c>
      <c r="M165" s="144" t="n">
        <v>0</v>
      </c>
      <c r="N165" s="144" t="n">
        <v>0</v>
      </c>
      <c r="O165" s="144" t="n">
        <v>0</v>
      </c>
      <c r="P165" s="144" t="n">
        <v>0</v>
      </c>
      <c r="Q165" s="144" t="n">
        <f aca="false">SUM(F165+P165)</f>
        <v>29577980.3762969</v>
      </c>
      <c r="R165" s="87"/>
      <c r="S165" s="87"/>
      <c r="T165" s="74"/>
    </row>
    <row r="166" customFormat="false" ht="14.4" hidden="false" customHeight="false" outlineLevel="0" collapsed="false">
      <c r="A166" s="192"/>
      <c r="B166" s="167"/>
      <c r="C166" s="189"/>
      <c r="D166" s="31" t="s">
        <v>136</v>
      </c>
      <c r="E166" s="157" t="n">
        <f aca="false">SUM(I166:L166)</f>
        <v>1265420.81694883</v>
      </c>
      <c r="F166" s="144" t="n">
        <f aca="false">SUM(H166:L166,O166)</f>
        <v>1443958.85952778</v>
      </c>
      <c r="G166" s="159"/>
      <c r="H166" s="144" t="n">
        <f aca="false">(('Input data meat and eggs'!S415*'Input data meat and eggs'!D48+'Input data meat and eggs'!T415*'Input data meat and eggs'!D47+'Input data meat and eggs'!U415*'Input data meat and eggs'!D35+'Input data meat and eggs'!V415*SUMPRODUCT('Input data meat and eggs'!D37:D46,'Input data meat and eggs'!E65:E74))*'Input data meat and eggs'!B58)*'Input data meat and eggs'!$E$415</f>
        <v>178538.042578948</v>
      </c>
      <c r="I166" s="144" t="n">
        <f aca="false">(('Input data meat and eggs'!S415*'Input data meat and eggs'!D48+'Input data meat and eggs'!T415*'Input data meat and eggs'!D47+'Input data meat and eggs'!U415*'Input data meat and eggs'!D35+'Input data meat and eggs'!V415*SUMPRODUCT('Input data meat and eggs'!D37:D46,'Input data meat and eggs'!E65:E74))*'Input data meat and eggs'!C58)*'Input data meat and eggs'!$E$415</f>
        <v>451272.209218381</v>
      </c>
      <c r="J166" s="144" t="n">
        <f aca="false">('Input data meat and eggs'!K415*'Input data meat and eggs'!G415/12*('Input data meat and eggs'!$O$415*'Input data meat and eggs'!$B$445+'Input data meat and eggs'!$P$415*'Input data meat and eggs'!$C$445+'Input data meat and eggs'!$Q$415*'Input data meat and eggs'!$D$445+'Input data meat and eggs'!$R$415*'Input data meat and eggs'!$E$445)*44/28)*'Input data meat and eggs'!$E$415</f>
        <v>703718.876362757</v>
      </c>
      <c r="K166" s="144" t="n">
        <f aca="false">('Input data meat and eggs'!$B$446*44/28*'Input data meat and eggs'!K415*'Input data meat and eggs'!G415/12*('Input data meat and eggs'!O415*'Input data meat and eggs'!B458+'Input data meat and eggs'!P415*'Input data meat and eggs'!C458+'Input data meat and eggs'!Q415*'Input data meat and eggs'!D458))*'Input data meat and eggs'!$E$415</f>
        <v>110429.731367694</v>
      </c>
      <c r="L166" s="144" t="n">
        <v>0</v>
      </c>
      <c r="M166" s="144" t="n">
        <v>0</v>
      </c>
      <c r="N166" s="144" t="n">
        <v>0</v>
      </c>
      <c r="O166" s="144" t="n">
        <v>0</v>
      </c>
      <c r="P166" s="144" t="n">
        <v>0</v>
      </c>
      <c r="Q166" s="144" t="n">
        <f aca="false">SUM(F166+P166)</f>
        <v>1443958.85952778</v>
      </c>
      <c r="R166" s="87"/>
      <c r="S166" s="87"/>
      <c r="T166" s="74"/>
    </row>
    <row r="167" s="83" customFormat="true" ht="14.4" hidden="false" customHeight="false" outlineLevel="0" collapsed="false">
      <c r="A167" s="193"/>
      <c r="B167" s="76" t="s">
        <v>164</v>
      </c>
      <c r="C167" s="191"/>
      <c r="D167" s="78" t="s">
        <v>133</v>
      </c>
      <c r="E167" s="154" t="n">
        <f aca="false">IF($F$1="GWP100 without fb",E168+E169*'Common input data'!$C$5+E170*'Common input data'!$D$5,IF($F$1="GWP100 with fb",E168+E169*'Common input data'!$C$6+E170*'Common input data'!$D$6,IF($F$1="GTP100 without fb",E168+E169*'Common input data'!$C$7+E170*'Common input data'!$D$7,IF($F$1="GTP100 with fb",E168+E169*'Common input data'!$C$8+E170*'Common input data'!$D$8,E168+E169*'Common input data'!$C$9+E170*'Common input data'!$D$9))))</f>
        <v>2277087065.71105</v>
      </c>
      <c r="F167" s="155" t="n">
        <f aca="false">IF($F$1="GWP100 without fb",F168+F169*'Common input data'!$C$5+F170*'Common input data'!$D$5,IF($F$1="GWP100 with fb",F168+F169*'Common input data'!$C$6+F170*'Common input data'!$D$6,IF($F$1="GTP100 without fb",F168+F169*'Common input data'!$C$7+F170*'Common input data'!$D$7,IF($F$1="GTP100 with fb",F168+F169*'Common input data'!$C$8+F170*'Common input data'!$D$8,F168+F169*'Common input data'!$C$9+F170*'Common input data'!$D$9))))</f>
        <v>2882191131.88369</v>
      </c>
      <c r="G167" s="156"/>
      <c r="H167" s="179"/>
      <c r="I167" s="179"/>
      <c r="J167" s="179"/>
      <c r="K167" s="179"/>
      <c r="L167" s="179"/>
      <c r="M167" s="179"/>
      <c r="N167" s="179"/>
      <c r="O167" s="179"/>
      <c r="P167" s="179"/>
      <c r="Q167" s="179"/>
      <c r="R167" s="97"/>
      <c r="S167" s="97"/>
      <c r="T167" s="74"/>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c r="FQ167" s="30"/>
      <c r="FR167" s="30"/>
      <c r="FS167" s="30"/>
      <c r="FT167" s="30"/>
      <c r="FU167" s="30"/>
      <c r="FV167" s="30"/>
      <c r="FW167" s="30"/>
      <c r="FX167" s="30"/>
      <c r="FY167" s="30"/>
      <c r="FZ167" s="30"/>
      <c r="GA167" s="30"/>
      <c r="GB167" s="30"/>
      <c r="GC167" s="30"/>
      <c r="GD167" s="30"/>
      <c r="GE167" s="30"/>
      <c r="GF167" s="30"/>
      <c r="GG167" s="30"/>
      <c r="GH167" s="30"/>
      <c r="GI167" s="30"/>
      <c r="GJ167" s="30"/>
      <c r="GK167" s="30"/>
      <c r="GL167" s="30"/>
      <c r="GM167" s="30"/>
      <c r="GN167" s="30"/>
      <c r="GO167" s="30"/>
      <c r="GP167" s="30"/>
      <c r="GQ167" s="30"/>
      <c r="GR167" s="30"/>
      <c r="GS167" s="30"/>
      <c r="GT167" s="30"/>
      <c r="GU167" s="30"/>
      <c r="GV167" s="30"/>
      <c r="GW167" s="30"/>
      <c r="GX167" s="30"/>
      <c r="GY167" s="30"/>
      <c r="GZ167" s="30"/>
      <c r="HA167" s="30"/>
      <c r="HB167" s="30"/>
      <c r="HC167" s="30"/>
      <c r="HD167" s="30"/>
      <c r="HE167" s="30"/>
      <c r="HF167" s="30"/>
      <c r="HG167" s="30"/>
      <c r="HH167" s="30"/>
      <c r="HI167" s="30"/>
      <c r="HJ167" s="30"/>
      <c r="HK167" s="30"/>
      <c r="HL167" s="30"/>
      <c r="HM167" s="30"/>
      <c r="HN167" s="30"/>
      <c r="HO167" s="30"/>
      <c r="HP167" s="30"/>
      <c r="HQ167" s="30"/>
      <c r="HR167" s="30"/>
      <c r="HS167" s="30"/>
      <c r="HT167" s="30"/>
      <c r="HU167" s="30"/>
      <c r="HV167" s="30"/>
      <c r="HW167" s="30"/>
      <c r="HX167" s="30"/>
      <c r="HY167" s="30"/>
      <c r="HZ167" s="30"/>
      <c r="IA167" s="30"/>
      <c r="IB167" s="30"/>
      <c r="IC167" s="30"/>
      <c r="ID167" s="30"/>
      <c r="IE167" s="30"/>
      <c r="IF167" s="30"/>
      <c r="IG167" s="30"/>
      <c r="IH167" s="30"/>
      <c r="II167" s="30"/>
      <c r="IJ167" s="30"/>
      <c r="IK167" s="30"/>
      <c r="IL167" s="30"/>
      <c r="IM167" s="30"/>
      <c r="IN167" s="30"/>
      <c r="IO167" s="30"/>
      <c r="IP167" s="30"/>
      <c r="IQ167" s="30"/>
      <c r="IR167" s="30"/>
      <c r="IS167" s="30"/>
      <c r="IT167" s="30"/>
      <c r="IU167" s="30"/>
      <c r="IV167" s="30"/>
      <c r="IW167" s="30"/>
      <c r="IX167" s="30"/>
      <c r="IY167" s="30"/>
      <c r="IZ167" s="30"/>
      <c r="JA167" s="30"/>
      <c r="JB167" s="30"/>
      <c r="JC167" s="30"/>
      <c r="JD167" s="30"/>
      <c r="JE167" s="30"/>
      <c r="JF167" s="30"/>
      <c r="JG167" s="30"/>
      <c r="JH167" s="30"/>
      <c r="JI167" s="30"/>
      <c r="JJ167" s="30"/>
      <c r="JK167" s="30"/>
      <c r="JL167" s="30"/>
      <c r="JM167" s="30"/>
      <c r="JN167" s="30"/>
      <c r="JO167" s="30"/>
      <c r="JP167" s="30"/>
      <c r="JQ167" s="30"/>
      <c r="JR167" s="30"/>
      <c r="JS167" s="30"/>
      <c r="JT167" s="30"/>
      <c r="JU167" s="30"/>
      <c r="JV167" s="30"/>
      <c r="JW167" s="30"/>
      <c r="JX167" s="30"/>
      <c r="JY167" s="30"/>
      <c r="JZ167" s="30"/>
      <c r="KA167" s="30"/>
      <c r="KB167" s="30"/>
      <c r="KC167" s="30"/>
      <c r="KD167" s="30"/>
      <c r="KE167" s="30"/>
      <c r="KF167" s="30"/>
      <c r="KG167" s="30"/>
      <c r="KH167" s="30"/>
      <c r="KI167" s="30"/>
      <c r="KJ167" s="30"/>
      <c r="KK167" s="30"/>
      <c r="KL167" s="30"/>
      <c r="KM167" s="30"/>
      <c r="KN167" s="30"/>
      <c r="KO167" s="30"/>
      <c r="KP167" s="30"/>
      <c r="KQ167" s="30"/>
      <c r="KR167" s="30"/>
      <c r="KS167" s="30"/>
      <c r="KT167" s="30"/>
      <c r="KU167" s="30"/>
      <c r="KV167" s="30"/>
      <c r="KW167" s="30"/>
      <c r="KX167" s="30"/>
      <c r="KY167" s="30"/>
      <c r="KZ167" s="30"/>
      <c r="LA167" s="30"/>
      <c r="LB167" s="30"/>
      <c r="LC167" s="30"/>
      <c r="LD167" s="30"/>
      <c r="LE167" s="30"/>
      <c r="LF167" s="30"/>
      <c r="LG167" s="30"/>
      <c r="LH167" s="30"/>
      <c r="LI167" s="30"/>
      <c r="LJ167" s="30"/>
      <c r="LK167" s="30"/>
      <c r="LL167" s="30"/>
      <c r="LM167" s="30"/>
      <c r="LN167" s="30"/>
      <c r="LO167" s="30"/>
      <c r="LP167" s="30"/>
      <c r="LQ167" s="30"/>
      <c r="LR167" s="30"/>
      <c r="LS167" s="30"/>
      <c r="LT167" s="30"/>
      <c r="LU167" s="30"/>
      <c r="LV167" s="30"/>
      <c r="LW167" s="30"/>
      <c r="LX167" s="30"/>
      <c r="LY167" s="30"/>
      <c r="LZ167" s="30"/>
      <c r="MA167" s="30"/>
      <c r="MB167" s="30"/>
      <c r="MC167" s="30"/>
      <c r="MD167" s="30"/>
      <c r="ME167" s="30"/>
      <c r="MF167" s="30"/>
      <c r="MG167" s="30"/>
      <c r="MH167" s="30"/>
      <c r="MI167" s="30"/>
      <c r="MJ167" s="30"/>
      <c r="MK167" s="30"/>
      <c r="ML167" s="30"/>
      <c r="MM167" s="30"/>
      <c r="MN167" s="30"/>
      <c r="MO167" s="30"/>
      <c r="MP167" s="30"/>
      <c r="MQ167" s="30"/>
      <c r="MR167" s="30"/>
      <c r="MS167" s="30"/>
      <c r="MT167" s="30"/>
      <c r="MU167" s="30"/>
      <c r="MV167" s="30"/>
      <c r="MW167" s="30"/>
      <c r="MX167" s="30"/>
      <c r="MY167" s="30"/>
      <c r="MZ167" s="30"/>
      <c r="NA167" s="30"/>
      <c r="NB167" s="30"/>
      <c r="NC167" s="30"/>
      <c r="ND167" s="30"/>
      <c r="NE167" s="30"/>
      <c r="NF167" s="30"/>
      <c r="NG167" s="30"/>
      <c r="NH167" s="30"/>
      <c r="NI167" s="30"/>
      <c r="NJ167" s="30"/>
      <c r="NK167" s="30"/>
      <c r="NL167" s="30"/>
      <c r="NM167" s="30"/>
      <c r="NN167" s="30"/>
      <c r="NO167" s="30"/>
      <c r="NP167" s="30"/>
      <c r="NQ167" s="30"/>
      <c r="NR167" s="30"/>
      <c r="NS167" s="30"/>
      <c r="NT167" s="30"/>
      <c r="NU167" s="30"/>
      <c r="NV167" s="30"/>
      <c r="NW167" s="30"/>
      <c r="NX167" s="30"/>
      <c r="NY167" s="30"/>
      <c r="NZ167" s="30"/>
      <c r="OA167" s="30"/>
      <c r="OB167" s="30"/>
      <c r="OC167" s="30"/>
      <c r="OD167" s="30"/>
      <c r="OE167" s="30"/>
      <c r="OF167" s="30"/>
      <c r="OG167" s="30"/>
      <c r="OH167" s="30"/>
      <c r="OI167" s="30"/>
      <c r="OJ167" s="30"/>
      <c r="OK167" s="30"/>
      <c r="OL167" s="30"/>
    </row>
    <row r="168" customFormat="false" ht="14.4" hidden="false" customHeight="false" outlineLevel="0" collapsed="false">
      <c r="A168" s="192"/>
      <c r="B168" s="167"/>
      <c r="C168" s="189"/>
      <c r="D168" s="85" t="s">
        <v>134</v>
      </c>
      <c r="E168" s="157" t="n">
        <f aca="false">IF(AND($F$2="No",$F$3="No"),SUM(I168:L168),IF(AND($F$2="Yes", $F$3="No"), SUM(I168:L168)+N168, IF(AND($F$2="No", $F$3="Yes"),SUM(I168:L168)+M168, SUM(I168:L168)+N168+M168)))</f>
        <v>-319787309.655644</v>
      </c>
      <c r="F168" s="144" t="n">
        <f aca="false">IF(AND($F$2="No",$F$3="No"),SUM(H168:L168,O168),IF(AND($F$2="Yes", $F$3="No"), SUM(H168:L168,O168)+N168, IF(AND($F$2="No", $F$3="Yes"),SUM(H168:L168,O168)+M168, SUM(H168:L168,O168)+N168+M168)))</f>
        <v>141587485.634828</v>
      </c>
      <c r="G168" s="159"/>
      <c r="H168" s="144" t="n">
        <f aca="false">('Input data meat and eggs'!S416*'Input data meat and eggs'!B48+'Input data meat and eggs'!T416*'Input data meat and eggs'!B47+'Input data meat and eggs'!U416*'Input data meat and eggs'!B35+'Input data meat and eggs'!V416*SUMPRODUCT('Input data meat and eggs'!B37:B46,'Input data meat and eggs'!E65:E74))*'Input data meat and eggs'!$E$416</f>
        <v>461374795.290472</v>
      </c>
      <c r="I168" s="144" t="n">
        <v>0</v>
      </c>
      <c r="J168" s="144" t="n">
        <v>0</v>
      </c>
      <c r="K168" s="144" t="n">
        <v>0</v>
      </c>
      <c r="L168" s="144" t="n">
        <v>0</v>
      </c>
      <c r="M168" s="144" t="n">
        <f aca="false">(('Input data meat and eggs'!S416+'Input data meat and eggs'!T416)*'Common input data'!F13+ 'Input data meat and eggs'!U416*'Common input data'!B13+'Input data meat and eggs'!V416*('Input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eggs'!$E$416</f>
        <v>-335453877.393691</v>
      </c>
      <c r="N168" s="144" t="n">
        <f aca="false">('Input data meat and eggs'!V416*('Input data meat and eggs'!E67*'Common input data'!B21*'Common input data'!G30/'Common input data'!F30+'Input data meat and eggs'!E71*'Common input data'!C21*'Common input data'!J31/'Common input data'!I31))*'Input data meat and eggs'!$E$416</f>
        <v>15666567.7380471</v>
      </c>
      <c r="O168" s="144" t="n">
        <v>0</v>
      </c>
      <c r="P168" s="144" t="n">
        <v>0</v>
      </c>
      <c r="Q168" s="144" t="n">
        <f aca="false">SUM(F168+P168)</f>
        <v>141587485.634828</v>
      </c>
      <c r="R168" s="87"/>
      <c r="S168" s="87"/>
      <c r="T168" s="74"/>
    </row>
    <row r="169" customFormat="false" ht="14.4" hidden="false" customHeight="false" outlineLevel="0" collapsed="false">
      <c r="A169" s="192"/>
      <c r="B169" s="167"/>
      <c r="C169" s="189"/>
      <c r="D169" s="85" t="s">
        <v>135</v>
      </c>
      <c r="E169" s="157" t="n">
        <f aca="false">SUM(I169:L169)</f>
        <v>52771109.1143335</v>
      </c>
      <c r="F169" s="144" t="n">
        <f aca="false">SUM(H169:L169,O169)</f>
        <v>53108511.6947565</v>
      </c>
      <c r="G169" s="159"/>
      <c r="H169" s="144" t="n">
        <f aca="false">('Input data meat and eggs'!S416*'Input data meat and eggs'!C48+'Input data meat and eggs'!T416*'Input data meat and eggs'!C47+'Input data meat and eggs'!U416*'Input data meat and eggs'!C35+'Input data meat and eggs'!V416*SUMPRODUCT('Input data meat and eggs'!C37:C46,'Input data meat and eggs'!E65:E74))*'Input data meat and eggs'!$E$416</f>
        <v>337402.580422943</v>
      </c>
      <c r="I169" s="144" t="n">
        <v>0</v>
      </c>
      <c r="J169" s="144" t="n">
        <f aca="false">'Input data meat and eggs'!N416*'Input data meat and eggs'!G416/12*'Input data meat and eggs'!E416</f>
        <v>1677805.51233939</v>
      </c>
      <c r="K169" s="144" t="n">
        <v>0</v>
      </c>
      <c r="L169" s="144" t="n">
        <f aca="false">('Input data meat and eggs'!L416*'Input data meat and eggs'!G416/12)*'Input data meat and eggs'!$E$416</f>
        <v>51093303.6019941</v>
      </c>
      <c r="M169" s="144" t="n">
        <v>0</v>
      </c>
      <c r="N169" s="144" t="n">
        <v>0</v>
      </c>
      <c r="O169" s="144" t="n">
        <v>0</v>
      </c>
      <c r="P169" s="144" t="n">
        <v>0</v>
      </c>
      <c r="Q169" s="144" t="n">
        <f aca="false">SUM(F169+P169)</f>
        <v>53108511.6947565</v>
      </c>
      <c r="R169" s="87"/>
      <c r="S169" s="87"/>
      <c r="T169" s="74"/>
    </row>
    <row r="170" customFormat="false" ht="14.4" hidden="false" customHeight="false" outlineLevel="0" collapsed="false">
      <c r="A170" s="192"/>
      <c r="B170" s="167"/>
      <c r="C170" s="189"/>
      <c r="D170" s="31" t="s">
        <v>136</v>
      </c>
      <c r="E170" s="157" t="n">
        <f aca="false">SUM(I170:L170)</f>
        <v>2693478.74321931</v>
      </c>
      <c r="F170" s="144" t="n">
        <f aca="false">SUM(H170:L170,O170)</f>
        <v>3137296.13633269</v>
      </c>
      <c r="G170" s="159"/>
      <c r="H170" s="144" t="n">
        <f aca="false">(('Input data meat and eggs'!S416*'Input data meat and eggs'!D48+'Input data meat and eggs'!T416*'Input data meat and eggs'!D47+'Input data meat and eggs'!U416*'Input data meat and eggs'!D35+'Input data meat and eggs'!V416*SUMPRODUCT('Input data meat and eggs'!D37:D46,'Input data meat and eggs'!E65:E74))*'Input data meat and eggs'!B58)*'Input data meat and eggs'!$E$416</f>
        <v>443817.393113386</v>
      </c>
      <c r="I170" s="144" t="n">
        <f aca="false">(('Input data meat and eggs'!S416*'Input data meat and eggs'!D48+'Input data meat and eggs'!T416*'Input data meat and eggs'!D47+'Input data meat and eggs'!U416*'Input data meat and eggs'!D35+'Input data meat and eggs'!V416*SUMPRODUCT('Input data meat and eggs'!D37:D46,'Input data meat and eggs'!E65:E74))*'Input data meat and eggs'!C58)*'Input data meat and eggs'!$E$416</f>
        <v>1121791.4825702</v>
      </c>
      <c r="J170" s="144" t="n">
        <f aca="false">('Input data meat and eggs'!K416*'Input data meat and eggs'!G416/12*('Input data meat and eggs'!$O$416*'Input data meat and eggs'!$B$445+'Input data meat and eggs'!$P$416*'Input data meat and eggs'!$C$445+'Input data meat and eggs'!$Q$416*'Input data meat and eggs'!$D$445+'Input data meat and eggs'!$R$416*'Input data meat and eggs'!$E$445)*44/28)*'Input data meat and eggs'!$E$416</f>
        <v>1555608.61859643</v>
      </c>
      <c r="K170" s="144" t="n">
        <f aca="false">('Input data meat and eggs'!$B$446*44/28*'Input data meat and eggs'!K416*'Input data meat and eggs'!G416/12*('Input data meat and eggs'!O416*'Input data meat and eggs'!B458+'Input data meat and eggs'!P416*'Input data meat and eggs'!C458+'Input data meat and eggs'!Q416*'Input data meat and eggs'!D458))*'Input data meat and eggs'!$E$416</f>
        <v>16078.6420526763</v>
      </c>
      <c r="L170" s="144" t="n">
        <v>0</v>
      </c>
      <c r="M170" s="144" t="n">
        <v>0</v>
      </c>
      <c r="N170" s="144" t="n">
        <v>0</v>
      </c>
      <c r="O170" s="144" t="n">
        <v>0</v>
      </c>
      <c r="P170" s="144" t="n">
        <v>0</v>
      </c>
      <c r="Q170" s="144" t="n">
        <f aca="false">SUM(F170+P170)</f>
        <v>3137296.13633269</v>
      </c>
      <c r="R170" s="87"/>
      <c r="S170" s="87"/>
      <c r="T170" s="74"/>
    </row>
    <row r="171" s="83" customFormat="true" ht="14.4" hidden="false" customHeight="false" outlineLevel="0" collapsed="false">
      <c r="A171" s="193"/>
      <c r="B171" s="76" t="s">
        <v>152</v>
      </c>
      <c r="C171" s="191"/>
      <c r="D171" s="78" t="s">
        <v>133</v>
      </c>
      <c r="E171" s="154" t="n">
        <f aca="false">IF($F$1="GWP100 without fb",E172+E173*'Common input data'!$C$5+E174*'Common input data'!$D$5,IF($F$1="GWP100 with fb",E172+E173*'Common input data'!$C$6+E174*'Common input data'!$D$6,IF($F$1="GTP100 without fb",E172+E173*'Common input data'!$C$7+E174*'Common input data'!$D$7,IF($F$1="GTP100 with fb",E172+E173*'Common input data'!$C$8+E174*'Common input data'!$D$8,E172+E173*'Common input data'!$C$9+E174*'Common input data'!$D$9))))</f>
        <v>8914984.16872607</v>
      </c>
      <c r="F171" s="155" t="n">
        <f aca="false">IF($F$1="GWP100 without fb",F172+F173*'Common input data'!$C$5+F174*'Common input data'!$D$5,IF($F$1="GWP100 with fb",F172+F173*'Common input data'!$C$6+F174*'Common input data'!$D$6,IF($F$1="GTP100 without fb",F172+F173*'Common input data'!$C$7+F174*'Common input data'!$D$7,IF($F$1="GTP100 with fb",F172+F173*'Common input data'!$C$8+F174*'Common input data'!$D$8,F172+F173*'Common input data'!$C$9+F174*'Common input data'!$D$9))))</f>
        <v>11015229.057052</v>
      </c>
      <c r="G171" s="156"/>
      <c r="H171" s="179"/>
      <c r="I171" s="179"/>
      <c r="J171" s="179"/>
      <c r="K171" s="179"/>
      <c r="L171" s="179"/>
      <c r="M171" s="179"/>
      <c r="N171" s="179"/>
      <c r="O171" s="179"/>
      <c r="P171" s="179"/>
      <c r="Q171" s="179"/>
      <c r="R171" s="97"/>
      <c r="S171" s="97"/>
      <c r="T171" s="74"/>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c r="FQ171" s="30"/>
      <c r="FR171" s="30"/>
      <c r="FS171" s="30"/>
      <c r="FT171" s="30"/>
      <c r="FU171" s="30"/>
      <c r="FV171" s="30"/>
      <c r="FW171" s="30"/>
      <c r="FX171" s="30"/>
      <c r="FY171" s="30"/>
      <c r="FZ171" s="30"/>
      <c r="GA171" s="30"/>
      <c r="GB171" s="30"/>
      <c r="GC171" s="30"/>
      <c r="GD171" s="30"/>
      <c r="GE171" s="30"/>
      <c r="GF171" s="30"/>
      <c r="GG171" s="30"/>
      <c r="GH171" s="30"/>
      <c r="GI171" s="30"/>
      <c r="GJ171" s="30"/>
      <c r="GK171" s="30"/>
      <c r="GL171" s="30"/>
      <c r="GM171" s="30"/>
      <c r="GN171" s="30"/>
      <c r="GO171" s="30"/>
      <c r="GP171" s="30"/>
      <c r="GQ171" s="30"/>
      <c r="GR171" s="30"/>
      <c r="GS171" s="30"/>
      <c r="GT171" s="30"/>
      <c r="GU171" s="30"/>
      <c r="GV171" s="30"/>
      <c r="GW171" s="30"/>
      <c r="GX171" s="30"/>
      <c r="GY171" s="30"/>
      <c r="GZ171" s="30"/>
      <c r="HA171" s="30"/>
      <c r="HB171" s="30"/>
      <c r="HC171" s="30"/>
      <c r="HD171" s="30"/>
      <c r="HE171" s="30"/>
      <c r="HF171" s="30"/>
      <c r="HG171" s="30"/>
      <c r="HH171" s="30"/>
      <c r="HI171" s="30"/>
      <c r="HJ171" s="30"/>
      <c r="HK171" s="30"/>
      <c r="HL171" s="30"/>
      <c r="HM171" s="30"/>
      <c r="HN171" s="30"/>
      <c r="HO171" s="30"/>
      <c r="HP171" s="30"/>
      <c r="HQ171" s="30"/>
      <c r="HR171" s="30"/>
      <c r="HS171" s="30"/>
      <c r="HT171" s="30"/>
      <c r="HU171" s="30"/>
      <c r="HV171" s="30"/>
      <c r="HW171" s="30"/>
      <c r="HX171" s="30"/>
      <c r="HY171" s="30"/>
      <c r="HZ171" s="30"/>
      <c r="IA171" s="30"/>
      <c r="IB171" s="30"/>
      <c r="IC171" s="30"/>
      <c r="ID171" s="30"/>
      <c r="IE171" s="30"/>
      <c r="IF171" s="30"/>
      <c r="IG171" s="30"/>
      <c r="IH171" s="30"/>
      <c r="II171" s="30"/>
      <c r="IJ171" s="30"/>
      <c r="IK171" s="30"/>
      <c r="IL171" s="30"/>
      <c r="IM171" s="30"/>
      <c r="IN171" s="30"/>
      <c r="IO171" s="30"/>
      <c r="IP171" s="30"/>
      <c r="IQ171" s="30"/>
      <c r="IR171" s="30"/>
      <c r="IS171" s="30"/>
      <c r="IT171" s="30"/>
      <c r="IU171" s="30"/>
      <c r="IV171" s="30"/>
      <c r="IW171" s="30"/>
      <c r="IX171" s="30"/>
      <c r="IY171" s="30"/>
      <c r="IZ171" s="30"/>
      <c r="JA171" s="30"/>
      <c r="JB171" s="30"/>
      <c r="JC171" s="30"/>
      <c r="JD171" s="30"/>
      <c r="JE171" s="30"/>
      <c r="JF171" s="30"/>
      <c r="JG171" s="30"/>
      <c r="JH171" s="30"/>
      <c r="JI171" s="30"/>
      <c r="JJ171" s="30"/>
      <c r="JK171" s="30"/>
      <c r="JL171" s="30"/>
      <c r="JM171" s="30"/>
      <c r="JN171" s="30"/>
      <c r="JO171" s="30"/>
      <c r="JP171" s="30"/>
      <c r="JQ171" s="30"/>
      <c r="JR171" s="30"/>
      <c r="JS171" s="30"/>
      <c r="JT171" s="30"/>
      <c r="JU171" s="30"/>
      <c r="JV171" s="30"/>
      <c r="JW171" s="30"/>
      <c r="JX171" s="30"/>
      <c r="JY171" s="30"/>
      <c r="JZ171" s="30"/>
      <c r="KA171" s="30"/>
      <c r="KB171" s="30"/>
      <c r="KC171" s="30"/>
      <c r="KD171" s="30"/>
      <c r="KE171" s="30"/>
      <c r="KF171" s="30"/>
      <c r="KG171" s="30"/>
      <c r="KH171" s="30"/>
      <c r="KI171" s="30"/>
      <c r="KJ171" s="30"/>
      <c r="KK171" s="30"/>
      <c r="KL171" s="30"/>
      <c r="KM171" s="30"/>
      <c r="KN171" s="30"/>
      <c r="KO171" s="30"/>
      <c r="KP171" s="30"/>
      <c r="KQ171" s="30"/>
      <c r="KR171" s="30"/>
      <c r="KS171" s="30"/>
      <c r="KT171" s="30"/>
      <c r="KU171" s="30"/>
      <c r="KV171" s="30"/>
      <c r="KW171" s="30"/>
      <c r="KX171" s="30"/>
      <c r="KY171" s="30"/>
      <c r="KZ171" s="30"/>
      <c r="LA171" s="30"/>
      <c r="LB171" s="30"/>
      <c r="LC171" s="30"/>
      <c r="LD171" s="30"/>
      <c r="LE171" s="30"/>
      <c r="LF171" s="30"/>
      <c r="LG171" s="30"/>
      <c r="LH171" s="30"/>
      <c r="LI171" s="30"/>
      <c r="LJ171" s="30"/>
      <c r="LK171" s="30"/>
      <c r="LL171" s="30"/>
      <c r="LM171" s="30"/>
      <c r="LN171" s="30"/>
      <c r="LO171" s="30"/>
      <c r="LP171" s="30"/>
      <c r="LQ171" s="30"/>
      <c r="LR171" s="30"/>
      <c r="LS171" s="30"/>
      <c r="LT171" s="30"/>
      <c r="LU171" s="30"/>
      <c r="LV171" s="30"/>
      <c r="LW171" s="30"/>
      <c r="LX171" s="30"/>
      <c r="LY171" s="30"/>
      <c r="LZ171" s="30"/>
      <c r="MA171" s="30"/>
      <c r="MB171" s="30"/>
      <c r="MC171" s="30"/>
      <c r="MD171" s="30"/>
      <c r="ME171" s="30"/>
      <c r="MF171" s="30"/>
      <c r="MG171" s="30"/>
      <c r="MH171" s="30"/>
      <c r="MI171" s="30"/>
      <c r="MJ171" s="30"/>
      <c r="MK171" s="30"/>
      <c r="ML171" s="30"/>
      <c r="MM171" s="30"/>
      <c r="MN171" s="30"/>
      <c r="MO171" s="30"/>
      <c r="MP171" s="30"/>
      <c r="MQ171" s="30"/>
      <c r="MR171" s="30"/>
      <c r="MS171" s="30"/>
      <c r="MT171" s="30"/>
      <c r="MU171" s="30"/>
      <c r="MV171" s="30"/>
      <c r="MW171" s="30"/>
      <c r="MX171" s="30"/>
      <c r="MY171" s="30"/>
      <c r="MZ171" s="30"/>
      <c r="NA171" s="30"/>
      <c r="NB171" s="30"/>
      <c r="NC171" s="30"/>
      <c r="ND171" s="30"/>
      <c r="NE171" s="30"/>
      <c r="NF171" s="30"/>
      <c r="NG171" s="30"/>
      <c r="NH171" s="30"/>
      <c r="NI171" s="30"/>
      <c r="NJ171" s="30"/>
      <c r="NK171" s="30"/>
      <c r="NL171" s="30"/>
      <c r="NM171" s="30"/>
      <c r="NN171" s="30"/>
      <c r="NO171" s="30"/>
      <c r="NP171" s="30"/>
      <c r="NQ171" s="30"/>
      <c r="NR171" s="30"/>
      <c r="NS171" s="30"/>
      <c r="NT171" s="30"/>
      <c r="NU171" s="30"/>
      <c r="NV171" s="30"/>
      <c r="NW171" s="30"/>
      <c r="NX171" s="30"/>
      <c r="NY171" s="30"/>
      <c r="NZ171" s="30"/>
      <c r="OA171" s="30"/>
      <c r="OB171" s="30"/>
      <c r="OC171" s="30"/>
      <c r="OD171" s="30"/>
      <c r="OE171" s="30"/>
      <c r="OF171" s="30"/>
      <c r="OG171" s="30"/>
      <c r="OH171" s="30"/>
      <c r="OI171" s="30"/>
      <c r="OJ171" s="30"/>
      <c r="OK171" s="30"/>
      <c r="OL171" s="30"/>
    </row>
    <row r="172" customFormat="false" ht="14.4" hidden="false" customHeight="false" outlineLevel="0" collapsed="false">
      <c r="A172" s="192"/>
      <c r="B172" s="167"/>
      <c r="C172" s="189"/>
      <c r="D172" s="85" t="s">
        <v>134</v>
      </c>
      <c r="E172" s="157" t="n">
        <f aca="false">IF(AND($F$2="No",$F$3="No"),SUM(I172:L172),IF(AND($F$2="Yes", $F$3="No"), SUM(I172:L172)+N172, IF(AND($F$2="No", $F$3="Yes"),SUM(I172:L172)+M172, SUM(I172:L172)+N172+M172)))</f>
        <v>-66199.8713493633</v>
      </c>
      <c r="F172" s="144" t="n">
        <f aca="false">IF(AND($F$2="No",$F$3="No"),SUM(H172:L172,O172),IF(AND($F$2="Yes", $F$3="No"), SUM(H172:L172,O172)+N172, IF(AND($F$2="No", $F$3="Yes"),SUM(H172:L172,O172)+M172, SUM(H172:L172,O172)+N172+M172)))</f>
        <v>1490748.81662551</v>
      </c>
      <c r="G172" s="159"/>
      <c r="H172" s="144" t="n">
        <f aca="false">('Input data meat and eggs'!S417*'Input data meat and eggs'!B48+'Input data meat and eggs'!T417*'Input data meat and eggs'!B47+'Input data meat and eggs'!U417*'Input data meat and eggs'!B35+'Input data meat and eggs'!V417*SUMPRODUCT('Input data meat and eggs'!B37:B46,'Input data meat and eggs'!E65:E74))*'Input data meat and eggs'!$E$417</f>
        <v>1556948.68797488</v>
      </c>
      <c r="I172" s="144" t="n">
        <v>0</v>
      </c>
      <c r="J172" s="144" t="n">
        <v>0</v>
      </c>
      <c r="K172" s="144" t="n">
        <v>0</v>
      </c>
      <c r="L172" s="144" t="n">
        <v>0</v>
      </c>
      <c r="M172" s="144" t="n">
        <f aca="false">(('Input data meat and eggs'!S417+'Input data meat and eggs'!T417)*'Common input data'!F13+ 'Input data meat and eggs'!U417*'Common input data'!B13+'Input data meat and eggs'!V417*('Input data meat and eggs'!E65*'Common input data'!B13*'Common input data'!G28/'Common input data'!F28+'Input data meat and eggs'!E67*'Common input data'!F13*'Common input data'!J31/'Common input data'!I31+'Common input data'!D13*('Input data meat and eggs'!E68+'Input data meat and eggs'!E69*'Common input data'!G26/'Common input data'!F26)+'Common input data'!C13*('Input data meat and eggs'!E71*'Common input data'!G30/'Common input data'!F30+'Input data meat and eggs'!E72)+'Input data meat and eggs'!E73*'Common input data'!E13*'Common input data'!G29/'Common input data'!F29))*'Input data meat and eggs'!$E$417</f>
        <v>-221178.84151692</v>
      </c>
      <c r="N172" s="144" t="n">
        <f aca="false">('Input data meat and eggs'!V417*('Input data meat and eggs'!E67*'Common input data'!B21*'Common input data'!G30/'Common input data'!F30+'Input data meat and eggs'!E71*'Common input data'!C21*'Common input data'!J31/'Common input data'!I31))*'Input data meat and eggs'!$E$417</f>
        <v>154978.970167557</v>
      </c>
      <c r="O172" s="144" t="n">
        <v>0</v>
      </c>
      <c r="P172" s="144" t="n">
        <v>0</v>
      </c>
      <c r="Q172" s="144" t="n">
        <f aca="false">SUM(F172+P172)</f>
        <v>1490748.81662551</v>
      </c>
      <c r="R172" s="87"/>
      <c r="S172" s="87"/>
      <c r="T172" s="74"/>
    </row>
    <row r="173" customFormat="false" ht="14.4" hidden="false" customHeight="false" outlineLevel="0" collapsed="false">
      <c r="A173" s="192"/>
      <c r="B173" s="167"/>
      <c r="C173" s="189"/>
      <c r="D173" s="85" t="s">
        <v>135</v>
      </c>
      <c r="E173" s="157" t="n">
        <f aca="false">SUM(I173:L173)</f>
        <v>197364.6900855</v>
      </c>
      <c r="F173" s="144" t="n">
        <f aca="false">SUM(H173:L173,O173)</f>
        <v>199227.328909341</v>
      </c>
      <c r="G173" s="159"/>
      <c r="H173" s="144" t="n">
        <f aca="false">('Input data meat and eggs'!S417*'Input data meat and eggs'!C48+'Input data meat and eggs'!T417*'Input data meat and eggs'!C47+'Input data meat and eggs'!U417*'Input data meat and eggs'!C35+'Input data meat and eggs'!V417*SUMPRODUCT('Input data meat and eggs'!C37:C46,'Input data meat and eggs'!E65:E74))*'Input data meat and eggs'!$E$417</f>
        <v>1862.63882384008</v>
      </c>
      <c r="I173" s="144" t="n">
        <v>0</v>
      </c>
      <c r="J173" s="144" t="n">
        <f aca="false">'Input data meat and eggs'!N417*'Input data meat and eggs'!G417/12*'Input data meat and eggs'!E417</f>
        <v>25195.9797010446</v>
      </c>
      <c r="K173" s="144" t="n">
        <v>0</v>
      </c>
      <c r="L173" s="144" t="n">
        <f aca="false">('Input data meat and eggs'!L417*'Input data meat and eggs'!G417/12)*'Input data meat and eggs'!$E$417</f>
        <v>172168.710384456</v>
      </c>
      <c r="M173" s="144" t="n">
        <v>0</v>
      </c>
      <c r="N173" s="144" t="n">
        <v>0</v>
      </c>
      <c r="O173" s="144" t="n">
        <v>0</v>
      </c>
      <c r="P173" s="144" t="n">
        <v>0</v>
      </c>
      <c r="Q173" s="144" t="n">
        <f aca="false">SUM(F173+P173)</f>
        <v>199227.328909341</v>
      </c>
      <c r="R173" s="87"/>
      <c r="S173" s="87"/>
      <c r="T173" s="74"/>
    </row>
    <row r="174" customFormat="false" ht="14.4" hidden="false" customHeight="false" outlineLevel="0" collapsed="false">
      <c r="A174" s="169"/>
      <c r="B174" s="167"/>
      <c r="C174" s="189"/>
      <c r="D174" s="31" t="s">
        <v>136</v>
      </c>
      <c r="E174" s="157" t="n">
        <f aca="false">SUM(I174:L174)</f>
        <v>7620.08247371953</v>
      </c>
      <c r="F174" s="144" t="n">
        <f aca="false">SUM(H174:L174,O174)</f>
        <v>9230.70824667427</v>
      </c>
      <c r="G174" s="159"/>
      <c r="H174" s="144" t="n">
        <f aca="false">(('Input data meat and eggs'!S417*'Input data meat and eggs'!D48+'Input data meat and eggs'!T417*'Input data meat and eggs'!D47+'Input data meat and eggs'!U417*'Input data meat and eggs'!D35+'Input data meat and eggs'!V417*SUMPRODUCT('Input data meat and eggs'!D37:D46,'Input data meat and eggs'!E65:E74))*'Input data meat and eggs'!B58)*'Input data meat and eggs'!$E$417</f>
        <v>1610.62577295474</v>
      </c>
      <c r="I174" s="144" t="n">
        <f aca="false">(('Input data meat and eggs'!S417*'Input data meat and eggs'!D48+'Input data meat and eggs'!T417*'Input data meat and eggs'!D47+'Input data meat and eggs'!U417*'Input data meat and eggs'!D35+'Input data meat and eggs'!V417*SUMPRODUCT('Input data meat and eggs'!D37:D46,'Input data meat and eggs'!E65:E74))*'Input data meat and eggs'!C58)*'Input data meat and eggs'!$E$417</f>
        <v>4071.0127672871</v>
      </c>
      <c r="J174" s="144" t="n">
        <f aca="false">('Input data meat and eggs'!K417*'Input data meat and eggs'!G417/12*('Input data meat and eggs'!$O$417*'Input data meat and eggs'!$B$445+'Input data meat and eggs'!$P$417*'Input data meat and eggs'!$C$445+'Input data meat and eggs'!$Q$417*'Input data meat and eggs'!$D$445+'Input data meat and eggs'!$R$417*'Input data meat and eggs'!$E$445)*44/28)*'Input data meat and eggs'!$E$417</f>
        <v>2943.07040036558</v>
      </c>
      <c r="K174" s="144" t="n">
        <f aca="false">('Input data meat and eggs'!$B$446*44/28*'Input data meat and eggs'!K417*'Input data meat and eggs'!G417/12*('Input data meat and eggs'!O417*'Input data meat and eggs'!B458+'Input data meat and eggs'!P417*'Input data meat and eggs'!C458+'Input data meat and eggs'!Q417*'Input data meat and eggs'!D458))*'Input data meat and eggs'!$E$417</f>
        <v>605.999306066838</v>
      </c>
      <c r="L174" s="144" t="n">
        <v>0</v>
      </c>
      <c r="M174" s="144" t="n">
        <v>0</v>
      </c>
      <c r="N174" s="144" t="n">
        <v>0</v>
      </c>
      <c r="O174" s="144" t="n">
        <v>0</v>
      </c>
      <c r="P174" s="144" t="n">
        <v>0</v>
      </c>
      <c r="Q174" s="144" t="n">
        <f aca="false">SUM(F174+P174)</f>
        <v>9230.70824667427</v>
      </c>
      <c r="R174" s="87"/>
      <c r="S174" s="87"/>
      <c r="T174" s="74"/>
    </row>
    <row r="175" s="83" customFormat="true" ht="14.4" hidden="false" customHeight="false" outlineLevel="0" collapsed="false">
      <c r="A175" s="75" t="s">
        <v>165</v>
      </c>
      <c r="B175" s="76" t="s">
        <v>153</v>
      </c>
      <c r="C175" s="191"/>
      <c r="D175" s="78" t="s">
        <v>133</v>
      </c>
      <c r="E175" s="154" t="n">
        <f aca="false">IF($F$1="GWP100 without fb",E176+E177*'Common input data'!$C$5+E178*'Common input data'!$D$5,IF($F$1="GWP100 with fb",E176+E177*'Common input data'!$C$6+E178*'Common input data'!$D$6,IF($F$1="GTP100 without fb",E176+E177*'Common input data'!$C$7+E178*'Common input data'!$D$7,IF($F$1="GTP100 with fb",E176+E177*'Common input data'!$C$8+E178*'Common input data'!$D$8,E176+E177*'Common input data'!$C$9+E178*'Common input data'!$D$9))))</f>
        <v>6596.25690246828</v>
      </c>
      <c r="F175" s="155" t="n">
        <f aca="false">IF($F$1="GWP100 without fb",F176+F177*'Common input data'!$C$5+F178*'Common input data'!$D$5,IF($F$1="GWP100 with fb",F176+F177*'Common input data'!$C$6+F178*'Common input data'!$D$6,IF($F$1="GTP100 without fb",F176+F177*'Common input data'!$C$7+F178*'Common input data'!$D$7,IF($F$1="GTP100 with fb",F176+F177*'Common input data'!$C$8+F178*'Common input data'!$D$8,F176+F177*'Common input data'!$C$9+F178*'Common input data'!$D$9))))</f>
        <v>8854.18665726305</v>
      </c>
      <c r="G175" s="156"/>
      <c r="H175" s="179"/>
      <c r="I175" s="179"/>
      <c r="J175" s="179"/>
      <c r="K175" s="179"/>
      <c r="L175" s="179"/>
      <c r="M175" s="179"/>
      <c r="N175" s="179"/>
      <c r="O175" s="179"/>
      <c r="P175" s="179"/>
      <c r="Q175" s="179"/>
      <c r="R175" s="98"/>
      <c r="S175" s="98"/>
      <c r="T175" s="74"/>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c r="FQ175" s="30"/>
      <c r="FR175" s="30"/>
      <c r="FS175" s="30"/>
      <c r="FT175" s="30"/>
      <c r="FU175" s="30"/>
      <c r="FV175" s="30"/>
      <c r="FW175" s="30"/>
      <c r="FX175" s="30"/>
      <c r="FY175" s="30"/>
      <c r="FZ175" s="30"/>
      <c r="GA175" s="30"/>
      <c r="GB175" s="30"/>
      <c r="GC175" s="30"/>
      <c r="GD175" s="30"/>
      <c r="GE175" s="30"/>
      <c r="GF175" s="30"/>
      <c r="GG175" s="30"/>
      <c r="GH175" s="30"/>
      <c r="GI175" s="30"/>
      <c r="GJ175" s="30"/>
      <c r="GK175" s="30"/>
      <c r="GL175" s="30"/>
      <c r="GM175" s="30"/>
      <c r="GN175" s="30"/>
      <c r="GO175" s="30"/>
      <c r="GP175" s="30"/>
      <c r="GQ175" s="30"/>
      <c r="GR175" s="30"/>
      <c r="GS175" s="30"/>
      <c r="GT175" s="30"/>
      <c r="GU175" s="30"/>
      <c r="GV175" s="30"/>
      <c r="GW175" s="30"/>
      <c r="GX175" s="30"/>
      <c r="GY175" s="30"/>
      <c r="GZ175" s="30"/>
      <c r="HA175" s="30"/>
      <c r="HB175" s="30"/>
      <c r="HC175" s="30"/>
      <c r="HD175" s="30"/>
      <c r="HE175" s="30"/>
      <c r="HF175" s="30"/>
      <c r="HG175" s="30"/>
      <c r="HH175" s="30"/>
      <c r="HI175" s="30"/>
      <c r="HJ175" s="30"/>
      <c r="HK175" s="30"/>
      <c r="HL175" s="30"/>
      <c r="HM175" s="30"/>
      <c r="HN175" s="30"/>
      <c r="HO175" s="30"/>
      <c r="HP175" s="30"/>
      <c r="HQ175" s="30"/>
      <c r="HR175" s="30"/>
      <c r="HS175" s="30"/>
      <c r="HT175" s="30"/>
      <c r="HU175" s="30"/>
      <c r="HV175" s="30"/>
      <c r="HW175" s="30"/>
      <c r="HX175" s="30"/>
      <c r="HY175" s="30"/>
      <c r="HZ175" s="30"/>
      <c r="IA175" s="30"/>
      <c r="IB175" s="30"/>
      <c r="IC175" s="30"/>
      <c r="ID175" s="30"/>
      <c r="IE175" s="30"/>
      <c r="IF175" s="30"/>
      <c r="IG175" s="30"/>
      <c r="IH175" s="30"/>
      <c r="II175" s="30"/>
      <c r="IJ175" s="30"/>
      <c r="IK175" s="30"/>
      <c r="IL175" s="30"/>
      <c r="IM175" s="30"/>
      <c r="IN175" s="30"/>
      <c r="IO175" s="30"/>
      <c r="IP175" s="30"/>
      <c r="IQ175" s="30"/>
      <c r="IR175" s="30"/>
      <c r="IS175" s="30"/>
      <c r="IT175" s="30"/>
      <c r="IU175" s="30"/>
      <c r="IV175" s="30"/>
      <c r="IW175" s="30"/>
      <c r="IX175" s="30"/>
      <c r="IY175" s="30"/>
      <c r="IZ175" s="30"/>
      <c r="JA175" s="30"/>
      <c r="JB175" s="30"/>
      <c r="JC175" s="30"/>
      <c r="JD175" s="30"/>
      <c r="JE175" s="30"/>
      <c r="JF175" s="30"/>
      <c r="JG175" s="30"/>
      <c r="JH175" s="30"/>
      <c r="JI175" s="30"/>
      <c r="JJ175" s="30"/>
      <c r="JK175" s="30"/>
      <c r="JL175" s="30"/>
      <c r="JM175" s="30"/>
      <c r="JN175" s="30"/>
      <c r="JO175" s="30"/>
      <c r="JP175" s="30"/>
      <c r="JQ175" s="30"/>
      <c r="JR175" s="30"/>
      <c r="JS175" s="30"/>
      <c r="JT175" s="30"/>
      <c r="JU175" s="30"/>
      <c r="JV175" s="30"/>
      <c r="JW175" s="30"/>
      <c r="JX175" s="30"/>
      <c r="JY175" s="30"/>
      <c r="JZ175" s="30"/>
      <c r="KA175" s="30"/>
      <c r="KB175" s="30"/>
      <c r="KC175" s="30"/>
      <c r="KD175" s="30"/>
      <c r="KE175" s="30"/>
      <c r="KF175" s="30"/>
      <c r="KG175" s="30"/>
      <c r="KH175" s="30"/>
      <c r="KI175" s="30"/>
      <c r="KJ175" s="30"/>
      <c r="KK175" s="30"/>
      <c r="KL175" s="30"/>
      <c r="KM175" s="30"/>
      <c r="KN175" s="30"/>
      <c r="KO175" s="30"/>
      <c r="KP175" s="30"/>
      <c r="KQ175" s="30"/>
      <c r="KR175" s="30"/>
      <c r="KS175" s="30"/>
      <c r="KT175" s="30"/>
      <c r="KU175" s="30"/>
      <c r="KV175" s="30"/>
      <c r="KW175" s="30"/>
      <c r="KX175" s="30"/>
      <c r="KY175" s="30"/>
      <c r="KZ175" s="30"/>
      <c r="LA175" s="30"/>
      <c r="LB175" s="30"/>
      <c r="LC175" s="30"/>
      <c r="LD175" s="30"/>
      <c r="LE175" s="30"/>
      <c r="LF175" s="30"/>
      <c r="LG175" s="30"/>
      <c r="LH175" s="30"/>
      <c r="LI175" s="30"/>
      <c r="LJ175" s="30"/>
      <c r="LK175" s="30"/>
      <c r="LL175" s="30"/>
      <c r="LM175" s="30"/>
      <c r="LN175" s="30"/>
      <c r="LO175" s="30"/>
      <c r="LP175" s="30"/>
      <c r="LQ175" s="30"/>
      <c r="LR175" s="30"/>
      <c r="LS175" s="30"/>
      <c r="LT175" s="30"/>
      <c r="LU175" s="30"/>
      <c r="LV175" s="30"/>
      <c r="LW175" s="30"/>
      <c r="LX175" s="30"/>
      <c r="LY175" s="30"/>
      <c r="LZ175" s="30"/>
      <c r="MA175" s="30"/>
      <c r="MB175" s="30"/>
      <c r="MC175" s="30"/>
      <c r="MD175" s="30"/>
      <c r="ME175" s="30"/>
      <c r="MF175" s="30"/>
      <c r="MG175" s="30"/>
      <c r="MH175" s="30"/>
      <c r="MI175" s="30"/>
      <c r="MJ175" s="30"/>
      <c r="MK175" s="30"/>
      <c r="ML175" s="30"/>
      <c r="MM175" s="30"/>
      <c r="MN175" s="30"/>
      <c r="MO175" s="30"/>
      <c r="MP175" s="30"/>
      <c r="MQ175" s="30"/>
      <c r="MR175" s="30"/>
      <c r="MS175" s="30"/>
      <c r="MT175" s="30"/>
      <c r="MU175" s="30"/>
      <c r="MV175" s="30"/>
      <c r="MW175" s="30"/>
      <c r="MX175" s="30"/>
      <c r="MY175" s="30"/>
      <c r="MZ175" s="30"/>
      <c r="NA175" s="30"/>
      <c r="NB175" s="30"/>
      <c r="NC175" s="30"/>
      <c r="ND175" s="30"/>
      <c r="NE175" s="30"/>
      <c r="NF175" s="30"/>
      <c r="NG175" s="30"/>
      <c r="NH175" s="30"/>
      <c r="NI175" s="30"/>
      <c r="NJ175" s="30"/>
      <c r="NK175" s="30"/>
      <c r="NL175" s="30"/>
      <c r="NM175" s="30"/>
      <c r="NN175" s="30"/>
      <c r="NO175" s="30"/>
      <c r="NP175" s="30"/>
      <c r="NQ175" s="30"/>
      <c r="NR175" s="30"/>
      <c r="NS175" s="30"/>
      <c r="NT175" s="30"/>
      <c r="NU175" s="30"/>
      <c r="NV175" s="30"/>
      <c r="NW175" s="30"/>
      <c r="NX175" s="30"/>
      <c r="NY175" s="30"/>
      <c r="NZ175" s="30"/>
      <c r="OA175" s="30"/>
      <c r="OB175" s="30"/>
      <c r="OC175" s="30"/>
      <c r="OD175" s="30"/>
      <c r="OE175" s="30"/>
      <c r="OF175" s="30"/>
      <c r="OG175" s="30"/>
      <c r="OH175" s="30"/>
      <c r="OI175" s="30"/>
      <c r="OJ175" s="30"/>
      <c r="OK175" s="30"/>
      <c r="OL175" s="30"/>
    </row>
    <row r="176" customFormat="false" ht="14.4" hidden="false" customHeight="false" outlineLevel="0" collapsed="false">
      <c r="A176" s="169"/>
      <c r="B176" s="167"/>
      <c r="C176" s="189"/>
      <c r="D176" s="85" t="s">
        <v>134</v>
      </c>
      <c r="E176" s="157" t="n">
        <f aca="false">IF(AND($F$2="No",$F$3="No"),SUM(I176:L176),IF(AND($F$2="Yes", $F$3="No"), SUM(I176:L176)+N176, IF(AND($F$2="No", $F$3="Yes"),SUM(I176:L176)+M176, SUM(I176:L176)+N176+M176)))</f>
        <v>43.8433621398917</v>
      </c>
      <c r="F176" s="144" t="n">
        <f aca="false">IF(AND($F$2="No",$F$3="No"),SUM(H176:L176,O176),IF(AND($F$2="Yes", $F$3="No"), SUM(H176:L176,O176)+N176, IF(AND($F$2="No", $F$3="Yes"),SUM(H176:L176,O176)+M176, SUM(H176:L176,O176)+N176+M176)))</f>
        <v>1793.30770265472</v>
      </c>
      <c r="G176" s="159"/>
      <c r="H176" s="144" t="n">
        <f aca="false">'Input data meat and eggs'!S421*'Input data meat and eggs'!B48+'Input data meat and eggs'!T421*'Input data meat and eggs'!B47+'Input data meat and eggs'!U421*'Input data meat and eggs'!B35+'Input data meat and eggs'!V421*SUMPRODUCT('Input data meat and eggs'!B37:B46,'Input data meat and eggs'!F65:F74)</f>
        <v>1472.87234051483</v>
      </c>
      <c r="I176" s="144" t="n">
        <v>0</v>
      </c>
      <c r="J176" s="144" t="n">
        <v>0</v>
      </c>
      <c r="K176" s="144" t="n">
        <v>0</v>
      </c>
      <c r="L176" s="144" t="n">
        <v>0</v>
      </c>
      <c r="M176" s="144" t="n">
        <f aca="false">('Input data meat and eggs'!S421+'Input data meat and eggs'!T421)*'Common input data'!F13+ 'Input data meat and eggs'!U421*'Common input data'!B13+'Input data meat and eggs'!V421*('Input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f>
        <v>-123.872016685183</v>
      </c>
      <c r="N176" s="144" t="n">
        <f aca="false">'Input data meat and eggs'!V421*('Input data meat and eggs'!F67*'Common input data'!B21*'Common input data'!G30/'Common input data'!F30+'Input data meat and eggs'!F71*'Common input data'!C21*'Common input data'!J31/'Common input data'!I31)</f>
        <v>167.715378825075</v>
      </c>
      <c r="O176" s="144" t="n">
        <f aca="false">'Input data meat and eggs'!B82*'Common input data'!C63</f>
        <v>276.592</v>
      </c>
      <c r="P176" s="144" t="n">
        <f aca="false">('Input data meat and eggs'!B92*'Common input data'!C63+'Input data meat and eggs'!C92*3.6*'Common input data'!B49)*'Input data meat and eggs'!$F$421</f>
        <v>182.876241509434</v>
      </c>
      <c r="Q176" s="144"/>
      <c r="R176" s="89"/>
      <c r="S176" s="89"/>
      <c r="T176" s="74"/>
    </row>
    <row r="177" customFormat="false" ht="14.4" hidden="false" customHeight="false" outlineLevel="0" collapsed="false">
      <c r="A177" s="192"/>
      <c r="B177" s="167"/>
      <c r="C177" s="167"/>
      <c r="D177" s="85" t="s">
        <v>135</v>
      </c>
      <c r="E177" s="157" t="n">
        <f aca="false">SUM(I177:L177)</f>
        <v>142.068784869056</v>
      </c>
      <c r="F177" s="144" t="n">
        <f aca="false">SUM(H177:L177,O177)</f>
        <v>143.832773065232</v>
      </c>
      <c r="G177" s="159"/>
      <c r="H177" s="144" t="n">
        <f aca="false">'Input data meat and eggs'!S421*'Input data meat and eggs'!C48+'Input data meat and eggs'!T421*'Input data meat and eggs'!C47+'Input data meat and eggs'!U421*'Input data meat and eggs'!C35+'Input data meat and eggs'!V421*SUMPRODUCT('Input data meat and eggs'!C37:C46,'Input data meat and eggs'!F65:F74)</f>
        <v>1.76398819617632</v>
      </c>
      <c r="I177" s="144" t="n">
        <v>0</v>
      </c>
      <c r="J177" s="144" t="n">
        <f aca="false">'Input data meat and eggs'!M421*'Input data meat and eggs'!G421/12*'Input data meat and eggs'!$C$450*'Input data meat and eggs'!$C$452*'Input data meat and eggs'!$C$453* ('Input data meat and eggs'!$O$421*'Input data meat and eggs'!$B$443 +'Input data meat and eggs'!$P$421*'Input data meat and eggs'!$C$443+ 'Input data meat and eggs'!$Q$421*'Input data meat and eggs'!$D$443+ 'Input data meat and eggs'!$R$421*'Input data meat and eggs'!$E$443)</f>
        <v>6.56878486905594</v>
      </c>
      <c r="K177" s="144" t="n">
        <v>0</v>
      </c>
      <c r="L177" s="144" t="n">
        <f aca="false">'Input data meat and eggs'!L421*'Input data meat and eggs'!G421/12</f>
        <v>135.5</v>
      </c>
      <c r="M177" s="144" t="n">
        <v>0</v>
      </c>
      <c r="N177" s="144" t="n">
        <v>0</v>
      </c>
      <c r="O177" s="144" t="n">
        <v>0</v>
      </c>
      <c r="P177" s="144" t="n">
        <f aca="false">('Input data meat and eggs'!C92*3.6*'Common input data'!B50)*'Input data meat and eggs'!$F$401</f>
        <v>0.0300679641509434</v>
      </c>
      <c r="Q177" s="144"/>
      <c r="R177" s="89"/>
      <c r="S177" s="89"/>
      <c r="T177" s="74"/>
    </row>
    <row r="178" customFormat="false" ht="14.4" hidden="false" customHeight="false" outlineLevel="0" collapsed="false">
      <c r="A178" s="192"/>
      <c r="B178" s="167"/>
      <c r="C178" s="89"/>
      <c r="D178" s="31" t="s">
        <v>136</v>
      </c>
      <c r="E178" s="157" t="n">
        <f aca="false">SUM(I178:L178)</f>
        <v>5.77877468047143</v>
      </c>
      <c r="F178" s="144" t="n">
        <f aca="false">SUM(H178:L178,O178)</f>
        <v>7.28377406171285</v>
      </c>
      <c r="G178" s="159"/>
      <c r="H178" s="144" t="n">
        <f aca="false">('Input data meat and eggs'!S421*'Input data meat and eggs'!D48+'Input data meat and eggs'!T421*'Input data meat and eggs'!D47+'Input data meat and eggs'!U421*'Input data meat and eggs'!D35+'Input data meat and eggs'!V421*SUMPRODUCT('Input data meat and eggs'!D37:D46,'Input data meat and eggs'!F65:F74))*'Input data meat and eggs'!B58</f>
        <v>1.50499938124142</v>
      </c>
      <c r="I178" s="144" t="n">
        <f aca="false">('Input data meat and eggs'!S421*'Input data meat and eggs'!D48+'Input data meat and eggs'!T421*'Input data meat and eggs'!D47+'Input data meat and eggs'!U421*'Input data meat and eggs'!D35+'Input data meat and eggs'!V421*SUMPRODUCT('Input data meat and eggs'!D37:D46,'Input data meat and eggs'!F65:F74))*'Input data meat and eggs'!C58</f>
        <v>3.80403182332857</v>
      </c>
      <c r="J178" s="144" t="n">
        <f aca="false">'Input data meat and eggs'!K421*'Input data meat and eggs'!G421/12*('Input data meat and eggs'!$O$421*'Input data meat and eggs'!$B$445+'Input data meat and eggs'!$P$421*'Input data meat and eggs'!$C$445+'Input data meat and eggs'!$Q$421*'Input data meat and eggs'!$D$445+'Input data meat and eggs'!$R$421*'Input data meat and eggs'!$E$445)*44/28</f>
        <v>1.29134065934066</v>
      </c>
      <c r="K178" s="144" t="n">
        <f aca="false">'Input data meat and eggs'!$B$446*44/28*'Input data meat and eggs'!K421*'Input data meat and eggs'!G421/12*('Input data meat and eggs'!O421*'Input data meat and eggs'!B458+'Input data meat and eggs'!P421*'Input data meat and eggs'!C458+'Input data meat and eggs'!Q421*'Input data meat and eggs'!D458)</f>
        <v>0.683402197802198</v>
      </c>
      <c r="L178" s="144" t="n">
        <v>0</v>
      </c>
      <c r="M178" s="144" t="n">
        <v>0</v>
      </c>
      <c r="N178" s="144" t="n">
        <v>0</v>
      </c>
      <c r="O178" s="144" t="n">
        <v>0</v>
      </c>
      <c r="P178" s="144" t="n">
        <f aca="false">('Input data meat and eggs'!C92*3.6*'Common input data'!B51)*'Input data meat and eggs'!$F$401</f>
        <v>0.00280300243584906</v>
      </c>
      <c r="Q178" s="144"/>
      <c r="R178" s="89"/>
      <c r="S178" s="89"/>
      <c r="T178" s="74"/>
    </row>
    <row r="179" s="83" customFormat="true" ht="14.4" hidden="false" customHeight="false" outlineLevel="0" collapsed="false">
      <c r="A179" s="193"/>
      <c r="B179" s="76" t="s">
        <v>154</v>
      </c>
      <c r="C179" s="185"/>
      <c r="D179" s="78" t="s">
        <v>133</v>
      </c>
      <c r="E179" s="154" t="n">
        <f aca="false">IF($F$1="GWP100 without fb",E180+E181*'Common input data'!$C$5+E182*'Common input data'!$D$5,IF($F$1="GWP100 with fb",E180+E181*'Common input data'!$C$6+E182*'Common input data'!$D$6,IF($F$1="GTP100 without fb",E180+E181*'Common input data'!$C$7+E182*'Common input data'!$D$7,IF($F$1="GTP100 with fb",E180+E181*'Common input data'!$C$8+E182*'Common input data'!$D$8,E180+E181*'Common input data'!$C$9+E182*'Common input data'!$D$9))))</f>
        <v>1824.72013723099</v>
      </c>
      <c r="F179" s="155" t="n">
        <f aca="false">IF($F$1="GWP100 without fb",F180+F181*'Common input data'!$C$5+F182*'Common input data'!$D$5,IF($F$1="GWP100 with fb",F180+F181*'Common input data'!$C$6+F182*'Common input data'!$D$6,IF($F$1="GTP100 without fb",F180+F181*'Common input data'!$C$7+F182*'Common input data'!$D$7,IF($F$1="GTP100 with fb",F180+F181*'Common input data'!$C$8+F182*'Common input data'!$D$8,F180+F181*'Common input data'!$C$9+F182*'Common input data'!$D$9))))</f>
        <v>3254.71583202213</v>
      </c>
      <c r="G179" s="156"/>
      <c r="H179" s="179"/>
      <c r="I179" s="179"/>
      <c r="J179" s="179"/>
      <c r="K179" s="179"/>
      <c r="L179" s="179"/>
      <c r="M179" s="179"/>
      <c r="N179" s="179"/>
      <c r="O179" s="179"/>
      <c r="P179" s="179"/>
      <c r="Q179" s="179"/>
      <c r="R179" s="98"/>
      <c r="S179" s="98"/>
      <c r="T179" s="74"/>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c r="FQ179" s="30"/>
      <c r="FR179" s="30"/>
      <c r="FS179" s="30"/>
      <c r="FT179" s="30"/>
      <c r="FU179" s="30"/>
      <c r="FV179" s="30"/>
      <c r="FW179" s="30"/>
      <c r="FX179" s="30"/>
      <c r="FY179" s="30"/>
      <c r="FZ179" s="30"/>
      <c r="GA179" s="30"/>
      <c r="GB179" s="30"/>
      <c r="GC179" s="30"/>
      <c r="GD179" s="30"/>
      <c r="GE179" s="30"/>
      <c r="GF179" s="30"/>
      <c r="GG179" s="30"/>
      <c r="GH179" s="30"/>
      <c r="GI179" s="30"/>
      <c r="GJ179" s="30"/>
      <c r="GK179" s="30"/>
      <c r="GL179" s="30"/>
      <c r="GM179" s="30"/>
      <c r="GN179" s="30"/>
      <c r="GO179" s="30"/>
      <c r="GP179" s="30"/>
      <c r="GQ179" s="30"/>
      <c r="GR179" s="30"/>
      <c r="GS179" s="30"/>
      <c r="GT179" s="30"/>
      <c r="GU179" s="30"/>
      <c r="GV179" s="30"/>
      <c r="GW179" s="30"/>
      <c r="GX179" s="30"/>
      <c r="GY179" s="30"/>
      <c r="GZ179" s="30"/>
      <c r="HA179" s="30"/>
      <c r="HB179" s="30"/>
      <c r="HC179" s="30"/>
      <c r="HD179" s="30"/>
      <c r="HE179" s="30"/>
      <c r="HF179" s="30"/>
      <c r="HG179" s="30"/>
      <c r="HH179" s="30"/>
      <c r="HI179" s="30"/>
      <c r="HJ179" s="30"/>
      <c r="HK179" s="30"/>
      <c r="HL179" s="30"/>
      <c r="HM179" s="30"/>
      <c r="HN179" s="30"/>
      <c r="HO179" s="30"/>
      <c r="HP179" s="30"/>
      <c r="HQ179" s="30"/>
      <c r="HR179" s="30"/>
      <c r="HS179" s="30"/>
      <c r="HT179" s="30"/>
      <c r="HU179" s="30"/>
      <c r="HV179" s="30"/>
      <c r="HW179" s="30"/>
      <c r="HX179" s="30"/>
      <c r="HY179" s="30"/>
      <c r="HZ179" s="30"/>
      <c r="IA179" s="30"/>
      <c r="IB179" s="30"/>
      <c r="IC179" s="30"/>
      <c r="ID179" s="30"/>
      <c r="IE179" s="30"/>
      <c r="IF179" s="30"/>
      <c r="IG179" s="30"/>
      <c r="IH179" s="30"/>
      <c r="II179" s="30"/>
      <c r="IJ179" s="30"/>
      <c r="IK179" s="30"/>
      <c r="IL179" s="30"/>
      <c r="IM179" s="30"/>
      <c r="IN179" s="30"/>
      <c r="IO179" s="30"/>
      <c r="IP179" s="30"/>
      <c r="IQ179" s="30"/>
      <c r="IR179" s="30"/>
      <c r="IS179" s="30"/>
      <c r="IT179" s="30"/>
      <c r="IU179" s="30"/>
      <c r="IV179" s="30"/>
      <c r="IW179" s="30"/>
      <c r="IX179" s="30"/>
      <c r="IY179" s="30"/>
      <c r="IZ179" s="30"/>
      <c r="JA179" s="30"/>
      <c r="JB179" s="30"/>
      <c r="JC179" s="30"/>
      <c r="JD179" s="30"/>
      <c r="JE179" s="30"/>
      <c r="JF179" s="30"/>
      <c r="JG179" s="30"/>
      <c r="JH179" s="30"/>
      <c r="JI179" s="30"/>
      <c r="JJ179" s="30"/>
      <c r="JK179" s="30"/>
      <c r="JL179" s="30"/>
      <c r="JM179" s="30"/>
      <c r="JN179" s="30"/>
      <c r="JO179" s="30"/>
      <c r="JP179" s="30"/>
      <c r="JQ179" s="30"/>
      <c r="JR179" s="30"/>
      <c r="JS179" s="30"/>
      <c r="JT179" s="30"/>
      <c r="JU179" s="30"/>
      <c r="JV179" s="30"/>
      <c r="JW179" s="30"/>
      <c r="JX179" s="30"/>
      <c r="JY179" s="30"/>
      <c r="JZ179" s="30"/>
      <c r="KA179" s="30"/>
      <c r="KB179" s="30"/>
      <c r="KC179" s="30"/>
      <c r="KD179" s="30"/>
      <c r="KE179" s="30"/>
      <c r="KF179" s="30"/>
      <c r="KG179" s="30"/>
      <c r="KH179" s="30"/>
      <c r="KI179" s="30"/>
      <c r="KJ179" s="30"/>
      <c r="KK179" s="30"/>
      <c r="KL179" s="30"/>
      <c r="KM179" s="30"/>
      <c r="KN179" s="30"/>
      <c r="KO179" s="30"/>
      <c r="KP179" s="30"/>
      <c r="KQ179" s="30"/>
      <c r="KR179" s="30"/>
      <c r="KS179" s="30"/>
      <c r="KT179" s="30"/>
      <c r="KU179" s="30"/>
      <c r="KV179" s="30"/>
      <c r="KW179" s="30"/>
      <c r="KX179" s="30"/>
      <c r="KY179" s="30"/>
      <c r="KZ179" s="30"/>
      <c r="LA179" s="30"/>
      <c r="LB179" s="30"/>
      <c r="LC179" s="30"/>
      <c r="LD179" s="30"/>
      <c r="LE179" s="30"/>
      <c r="LF179" s="30"/>
      <c r="LG179" s="30"/>
      <c r="LH179" s="30"/>
      <c r="LI179" s="30"/>
      <c r="LJ179" s="30"/>
      <c r="LK179" s="30"/>
      <c r="LL179" s="30"/>
      <c r="LM179" s="30"/>
      <c r="LN179" s="30"/>
      <c r="LO179" s="30"/>
      <c r="LP179" s="30"/>
      <c r="LQ179" s="30"/>
      <c r="LR179" s="30"/>
      <c r="LS179" s="30"/>
      <c r="LT179" s="30"/>
      <c r="LU179" s="30"/>
      <c r="LV179" s="30"/>
      <c r="LW179" s="30"/>
      <c r="LX179" s="30"/>
      <c r="LY179" s="30"/>
      <c r="LZ179" s="30"/>
      <c r="MA179" s="30"/>
      <c r="MB179" s="30"/>
      <c r="MC179" s="30"/>
      <c r="MD179" s="30"/>
      <c r="ME179" s="30"/>
      <c r="MF179" s="30"/>
      <c r="MG179" s="30"/>
      <c r="MH179" s="30"/>
      <c r="MI179" s="30"/>
      <c r="MJ179" s="30"/>
      <c r="MK179" s="30"/>
      <c r="ML179" s="30"/>
      <c r="MM179" s="30"/>
      <c r="MN179" s="30"/>
      <c r="MO179" s="30"/>
      <c r="MP179" s="30"/>
      <c r="MQ179" s="30"/>
      <c r="MR179" s="30"/>
      <c r="MS179" s="30"/>
      <c r="MT179" s="30"/>
      <c r="MU179" s="30"/>
      <c r="MV179" s="30"/>
      <c r="MW179" s="30"/>
      <c r="MX179" s="30"/>
      <c r="MY179" s="30"/>
      <c r="MZ179" s="30"/>
      <c r="NA179" s="30"/>
      <c r="NB179" s="30"/>
      <c r="NC179" s="30"/>
      <c r="ND179" s="30"/>
      <c r="NE179" s="30"/>
      <c r="NF179" s="30"/>
      <c r="NG179" s="30"/>
      <c r="NH179" s="30"/>
      <c r="NI179" s="30"/>
      <c r="NJ179" s="30"/>
      <c r="NK179" s="30"/>
      <c r="NL179" s="30"/>
      <c r="NM179" s="30"/>
      <c r="NN179" s="30"/>
      <c r="NO179" s="30"/>
      <c r="NP179" s="30"/>
      <c r="NQ179" s="30"/>
      <c r="NR179" s="30"/>
      <c r="NS179" s="30"/>
      <c r="NT179" s="30"/>
      <c r="NU179" s="30"/>
      <c r="NV179" s="30"/>
      <c r="NW179" s="30"/>
      <c r="NX179" s="30"/>
      <c r="NY179" s="30"/>
      <c r="NZ179" s="30"/>
      <c r="OA179" s="30"/>
      <c r="OB179" s="30"/>
      <c r="OC179" s="30"/>
      <c r="OD179" s="30"/>
      <c r="OE179" s="30"/>
      <c r="OF179" s="30"/>
      <c r="OG179" s="30"/>
      <c r="OH179" s="30"/>
      <c r="OI179" s="30"/>
      <c r="OJ179" s="30"/>
      <c r="OK179" s="30"/>
      <c r="OL179" s="30"/>
    </row>
    <row r="180" customFormat="false" ht="14.4" hidden="false" customHeight="false" outlineLevel="0" collapsed="false">
      <c r="A180" s="192"/>
      <c r="B180" s="167"/>
      <c r="C180" s="189"/>
      <c r="D180" s="85" t="s">
        <v>134</v>
      </c>
      <c r="E180" s="157" t="n">
        <f aca="false">IF(AND($F$2="No",$F$3="No"),SUM(I180:L180),IF(AND($F$2="Yes", $F$3="No"), SUM(I180:L180)+N180, IF(AND($F$2="No", $F$3="Yes"),SUM(I180:L180)+M180, SUM(I180:L180)+N180+M180)))</f>
        <v>-414.399775989177</v>
      </c>
      <c r="F180" s="144" t="n">
        <f aca="false">IF(AND($F$2="No",$F$3="No"),SUM(H180:L180,O180),IF(AND($F$2="Yes", $F$3="No"), SUM(H180:L180,O180)+N180, IF(AND($F$2="No", $F$3="Yes"),SUM(H180:L180,O180)+M180, SUM(H180:L180,O180)+N180+M180)))</f>
        <v>816.21036041595</v>
      </c>
      <c r="G180" s="159"/>
      <c r="H180" s="144" t="n">
        <f aca="false">'Input data meat and eggs'!S422*'Input data meat and eggs'!B48+'Input data meat and eggs'!T422*'Input data meat and eggs'!B47+'Input data meat and eggs'!U422*'Input data meat and eggs'!B35+'Input data meat and eggs'!V422*SUMPRODUCT('Input data meat and eggs'!B37:B46,'Input data meat and eggs'!F65:F74)</f>
        <v>553.880136405127</v>
      </c>
      <c r="I180" s="144" t="n">
        <v>0</v>
      </c>
      <c r="J180" s="144" t="n">
        <v>0</v>
      </c>
      <c r="K180" s="144" t="n">
        <v>0</v>
      </c>
      <c r="L180" s="144" t="n">
        <v>0</v>
      </c>
      <c r="M180" s="144" t="n">
        <f aca="false">('Input data meat and eggs'!S422+'Input data meat and eggs'!T422)*'Common input data'!F13+ 'Input data meat and eggs'!U422*'Common input data'!B13+'Input data meat and eggs'!V422*('Input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f>
        <v>-418.836690772909</v>
      </c>
      <c r="N180" s="144" t="n">
        <f aca="false">'Input data meat and eggs'!V422*('Input data meat and eggs'!F67*'Common input data'!B21*'Common input data'!G30/'Common input data'!F30+'Input data meat and eggs'!F71*'Common input data'!C21*'Common input data'!J31/'Common input data'!I31)</f>
        <v>4.43691478373215</v>
      </c>
      <c r="O180" s="144" t="n">
        <f aca="false">('Input data meat and eggs'!B83*'Common input data'!C63)*'Input data meat and eggs'!F422</f>
        <v>676.73</v>
      </c>
      <c r="P180" s="144" t="n">
        <v>0</v>
      </c>
      <c r="Q180" s="144"/>
      <c r="R180" s="89"/>
      <c r="S180" s="89"/>
      <c r="T180" s="74"/>
    </row>
    <row r="181" customFormat="false" ht="14.4" hidden="false" customHeight="false" outlineLevel="0" collapsed="false">
      <c r="A181" s="192"/>
      <c r="B181" s="167"/>
      <c r="C181" s="89"/>
      <c r="D181" s="85" t="s">
        <v>135</v>
      </c>
      <c r="E181" s="157" t="n">
        <f aca="false">SUM(I181:L181)</f>
        <v>45.5275334828234</v>
      </c>
      <c r="F181" s="144" t="n">
        <f aca="false">SUM(H181:L181,O181)</f>
        <v>45.8162510175607</v>
      </c>
      <c r="G181" s="159"/>
      <c r="H181" s="144" t="n">
        <f aca="false">'Input data meat and eggs'!S422*'Input data meat and eggs'!C48+'Input data meat and eggs'!T422*'Input data meat and eggs'!C47+'Input data meat and eggs'!U422*'Input data meat and eggs'!C35+'Input data meat and eggs'!V422*SUMPRODUCT('Input data meat and eggs'!C37:C46,'Input data meat and eggs'!F65:F74)</f>
        <v>0.288717534737266</v>
      </c>
      <c r="I181" s="144" t="n">
        <v>0</v>
      </c>
      <c r="J181" s="144" t="n">
        <f aca="false">'Input data meat and eggs'!M422*'Input data meat and eggs'!G422/12*'Input data meat and eggs'!$C$450*'Input data meat and eggs'!$C$452*'Input data meat and eggs'!$C$453* ('Input data meat and eggs'!$O$422*'Input data meat and eggs'!$B$443 +'Input data meat and eggs'!$P$422*'Input data meat and eggs'!$C$443+ 'Input data meat and eggs'!$Q$422*'Input data meat and eggs'!$D$443+ 'Input data meat and eggs'!$R$422*'Input data meat and eggs'!$E$443)</f>
        <v>2.22753348282343</v>
      </c>
      <c r="K181" s="144" t="n">
        <v>0</v>
      </c>
      <c r="L181" s="144" t="n">
        <f aca="false">'Input data meat and eggs'!L422*'Input data meat and eggs'!G422/12</f>
        <v>43.3</v>
      </c>
      <c r="M181" s="144" t="n">
        <v>0</v>
      </c>
      <c r="N181" s="144" t="n">
        <v>0</v>
      </c>
      <c r="O181" s="144" t="n">
        <v>0</v>
      </c>
      <c r="P181" s="144" t="n">
        <v>0</v>
      </c>
      <c r="Q181" s="144"/>
      <c r="R181" s="89"/>
      <c r="S181" s="89"/>
      <c r="T181" s="74"/>
    </row>
    <row r="182" customFormat="false" ht="14.4" hidden="false" customHeight="false" outlineLevel="0" collapsed="false">
      <c r="A182" s="192"/>
      <c r="B182" s="167"/>
      <c r="C182" s="89"/>
      <c r="D182" s="31" t="s">
        <v>136</v>
      </c>
      <c r="E182" s="157" t="n">
        <f aca="false">SUM(I182:L182)</f>
        <v>2.31940864028244</v>
      </c>
      <c r="F182" s="144" t="n">
        <f aca="false">SUM(H182:L182,O182)</f>
        <v>2.95554676848696</v>
      </c>
      <c r="G182" s="159"/>
      <c r="H182" s="144" t="n">
        <f aca="false">('Input data meat and eggs'!S422*'Input data meat and eggs'!D48+'Input data meat and eggs'!T422*'Input data meat and eggs'!D47+'Input data meat and eggs'!U422*'Input data meat and eggs'!D35+'Input data meat and eggs'!V422*SUMPRODUCT('Input data meat and eggs'!D37:D46,'Input data meat and eggs'!F65:F74))*'Input data meat and eggs'!B58</f>
        <v>0.63613812820452</v>
      </c>
      <c r="I182" s="144" t="n">
        <f aca="false">('Input data meat and eggs'!S422*'Input data meat and eggs'!D48+'Input data meat and eggs'!T422*'Input data meat and eggs'!D47+'Input data meat and eggs'!U422*'Input data meat and eggs'!D35+'Input data meat and eggs'!V422*SUMPRODUCT('Input data meat and eggs'!D37:D46,'Input data meat and eggs'!F65:F74))*'Input data meat and eggs'!C58</f>
        <v>1.60790078313958</v>
      </c>
      <c r="J182" s="144" t="n">
        <f aca="false">'Input data meat and eggs'!K422*'Input data meat and eggs'!G422/12*('Input data meat and eggs'!$O$422*'Input data meat and eggs'!$B$445+'Input data meat and eggs'!$P$422*'Input data meat and eggs'!$C$445+'Input data meat and eggs'!$Q$422*'Input data meat and eggs'!$D$445+'Input data meat and eggs'!$R$422*'Input data meat and eggs'!$E$445)*44/28</f>
        <v>0.465275274725275</v>
      </c>
      <c r="K182" s="144" t="n">
        <f aca="false">'Input data meat and eggs'!$B$446*44/28*'Input data meat and eggs'!K422*'Input data meat and eggs'!G422/12*('Input data meat and eggs'!O422*'Input data meat and eggs'!B458+'Input data meat and eggs'!P422*'Input data meat and eggs'!C458+'Input data meat and eggs'!Q422*'Input data meat and eggs'!D458)</f>
        <v>0.246232582417582</v>
      </c>
      <c r="L182" s="144" t="n">
        <v>0</v>
      </c>
      <c r="M182" s="144" t="n">
        <v>0</v>
      </c>
      <c r="N182" s="144" t="n">
        <v>0</v>
      </c>
      <c r="O182" s="144" t="n">
        <v>0</v>
      </c>
      <c r="P182" s="144" t="n">
        <v>0</v>
      </c>
      <c r="Q182" s="144"/>
      <c r="R182" s="89"/>
      <c r="S182" s="89"/>
      <c r="T182" s="74"/>
    </row>
    <row r="183" s="83" customFormat="true" ht="14.4" hidden="false" customHeight="false" outlineLevel="0" collapsed="false">
      <c r="A183" s="193"/>
      <c r="B183" s="76" t="s">
        <v>166</v>
      </c>
      <c r="C183" s="98"/>
      <c r="D183" s="78" t="s">
        <v>133</v>
      </c>
      <c r="E183" s="154" t="n">
        <f aca="false">IF($F$1="GWP100 without fb",E184+E185*'Common input data'!$C$5+E186*'Common input data'!$D$5,IF($F$1="GWP100 with fb",E184+E185*'Common input data'!$C$6+E186*'Common input data'!$D$6,IF($F$1="GTP100 without fb",E184+E185*'Common input data'!$C$7+E186*'Common input data'!$D$7,IF($F$1="GTP100 with fb",E184+E185*'Common input data'!$C$8+E186*'Common input data'!$D$8,E184+E185*'Common input data'!$C$9+E186*'Common input data'!$D$9))))</f>
        <v>34653548108.0941</v>
      </c>
      <c r="F183" s="155" t="n">
        <f aca="false">IF($F$1="GWP100 without fb",F184+F185*'Common input data'!$C$5+F186*'Common input data'!$D$5,IF($F$1="GWP100 with fb",F184+F185*'Common input data'!$C$6+F186*'Common input data'!$D$6,IF($F$1="GTP100 without fb",F184+F185*'Common input data'!$C$7+F186*'Common input data'!$D$7,IF($F$1="GTP100 with fb",F184+F185*'Common input data'!$C$8+F186*'Common input data'!$D$8,F184+F185*'Common input data'!$C$9+F186*'Common input data'!$D$9))))</f>
        <v>48964413090.8882</v>
      </c>
      <c r="G183" s="156"/>
      <c r="H183" s="179"/>
      <c r="I183" s="179"/>
      <c r="J183" s="179"/>
      <c r="K183" s="179"/>
      <c r="L183" s="179"/>
      <c r="M183" s="179"/>
      <c r="N183" s="179"/>
      <c r="O183" s="179"/>
      <c r="P183" s="179"/>
      <c r="Q183" s="179"/>
      <c r="R183" s="98"/>
      <c r="S183" s="98"/>
      <c r="T183" s="74"/>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c r="EU183" s="30"/>
      <c r="EV183" s="30"/>
      <c r="EW183" s="30"/>
      <c r="EX183" s="30"/>
      <c r="EY183" s="30"/>
      <c r="EZ183" s="30"/>
      <c r="FA183" s="30"/>
      <c r="FB183" s="30"/>
      <c r="FC183" s="30"/>
      <c r="FD183" s="30"/>
      <c r="FE183" s="30"/>
      <c r="FF183" s="30"/>
      <c r="FG183" s="30"/>
      <c r="FH183" s="30"/>
      <c r="FI183" s="30"/>
      <c r="FJ183" s="30"/>
      <c r="FK183" s="30"/>
      <c r="FL183" s="30"/>
      <c r="FM183" s="30"/>
      <c r="FN183" s="30"/>
      <c r="FO183" s="30"/>
      <c r="FP183" s="30"/>
      <c r="FQ183" s="30"/>
      <c r="FR183" s="30"/>
      <c r="FS183" s="30"/>
      <c r="FT183" s="30"/>
      <c r="FU183" s="30"/>
      <c r="FV183" s="30"/>
      <c r="FW183" s="30"/>
      <c r="FX183" s="30"/>
      <c r="FY183" s="30"/>
      <c r="FZ183" s="30"/>
      <c r="GA183" s="30"/>
      <c r="GB183" s="30"/>
      <c r="GC183" s="30"/>
      <c r="GD183" s="30"/>
      <c r="GE183" s="30"/>
      <c r="GF183" s="30"/>
      <c r="GG183" s="30"/>
      <c r="GH183" s="30"/>
      <c r="GI183" s="30"/>
      <c r="GJ183" s="30"/>
      <c r="GK183" s="30"/>
      <c r="GL183" s="30"/>
      <c r="GM183" s="30"/>
      <c r="GN183" s="30"/>
      <c r="GO183" s="30"/>
      <c r="GP183" s="30"/>
      <c r="GQ183" s="30"/>
      <c r="GR183" s="30"/>
      <c r="GS183" s="30"/>
      <c r="GT183" s="30"/>
      <c r="GU183" s="30"/>
      <c r="GV183" s="30"/>
      <c r="GW183" s="30"/>
      <c r="GX183" s="30"/>
      <c r="GY183" s="30"/>
      <c r="GZ183" s="30"/>
      <c r="HA183" s="30"/>
      <c r="HB183" s="30"/>
      <c r="HC183" s="30"/>
      <c r="HD183" s="30"/>
      <c r="HE183" s="30"/>
      <c r="HF183" s="30"/>
      <c r="HG183" s="30"/>
      <c r="HH183" s="30"/>
      <c r="HI183" s="30"/>
      <c r="HJ183" s="30"/>
      <c r="HK183" s="30"/>
      <c r="HL183" s="30"/>
      <c r="HM183" s="30"/>
      <c r="HN183" s="30"/>
      <c r="HO183" s="30"/>
      <c r="HP183" s="30"/>
      <c r="HQ183" s="30"/>
      <c r="HR183" s="30"/>
      <c r="HS183" s="30"/>
      <c r="HT183" s="30"/>
      <c r="HU183" s="30"/>
      <c r="HV183" s="30"/>
      <c r="HW183" s="30"/>
      <c r="HX183" s="30"/>
      <c r="HY183" s="30"/>
      <c r="HZ183" s="30"/>
      <c r="IA183" s="30"/>
      <c r="IB183" s="30"/>
      <c r="IC183" s="30"/>
      <c r="ID183" s="30"/>
      <c r="IE183" s="30"/>
      <c r="IF183" s="30"/>
      <c r="IG183" s="30"/>
      <c r="IH183" s="30"/>
      <c r="II183" s="30"/>
      <c r="IJ183" s="30"/>
      <c r="IK183" s="30"/>
      <c r="IL183" s="30"/>
      <c r="IM183" s="30"/>
      <c r="IN183" s="30"/>
      <c r="IO183" s="30"/>
      <c r="IP183" s="30"/>
      <c r="IQ183" s="30"/>
      <c r="IR183" s="30"/>
      <c r="IS183" s="30"/>
      <c r="IT183" s="30"/>
      <c r="IU183" s="30"/>
      <c r="IV183" s="30"/>
      <c r="IW183" s="30"/>
      <c r="IX183" s="30"/>
      <c r="IY183" s="30"/>
      <c r="IZ183" s="30"/>
      <c r="JA183" s="30"/>
      <c r="JB183" s="30"/>
      <c r="JC183" s="30"/>
      <c r="JD183" s="30"/>
      <c r="JE183" s="30"/>
      <c r="JF183" s="30"/>
      <c r="JG183" s="30"/>
      <c r="JH183" s="30"/>
      <c r="JI183" s="30"/>
      <c r="JJ183" s="30"/>
      <c r="JK183" s="30"/>
      <c r="JL183" s="30"/>
      <c r="JM183" s="30"/>
      <c r="JN183" s="30"/>
      <c r="JO183" s="30"/>
      <c r="JP183" s="30"/>
      <c r="JQ183" s="30"/>
      <c r="JR183" s="30"/>
      <c r="JS183" s="30"/>
      <c r="JT183" s="30"/>
      <c r="JU183" s="30"/>
      <c r="JV183" s="30"/>
      <c r="JW183" s="30"/>
      <c r="JX183" s="30"/>
      <c r="JY183" s="30"/>
      <c r="JZ183" s="30"/>
      <c r="KA183" s="30"/>
      <c r="KB183" s="30"/>
      <c r="KC183" s="30"/>
      <c r="KD183" s="30"/>
      <c r="KE183" s="30"/>
      <c r="KF183" s="30"/>
      <c r="KG183" s="30"/>
      <c r="KH183" s="30"/>
      <c r="KI183" s="30"/>
      <c r="KJ183" s="30"/>
      <c r="KK183" s="30"/>
      <c r="KL183" s="30"/>
      <c r="KM183" s="30"/>
      <c r="KN183" s="30"/>
      <c r="KO183" s="30"/>
      <c r="KP183" s="30"/>
      <c r="KQ183" s="30"/>
      <c r="KR183" s="30"/>
      <c r="KS183" s="30"/>
      <c r="KT183" s="30"/>
      <c r="KU183" s="30"/>
      <c r="KV183" s="30"/>
      <c r="KW183" s="30"/>
      <c r="KX183" s="30"/>
      <c r="KY183" s="30"/>
      <c r="KZ183" s="30"/>
      <c r="LA183" s="30"/>
      <c r="LB183" s="30"/>
      <c r="LC183" s="30"/>
      <c r="LD183" s="30"/>
      <c r="LE183" s="30"/>
      <c r="LF183" s="30"/>
      <c r="LG183" s="30"/>
      <c r="LH183" s="30"/>
      <c r="LI183" s="30"/>
      <c r="LJ183" s="30"/>
      <c r="LK183" s="30"/>
      <c r="LL183" s="30"/>
      <c r="LM183" s="30"/>
      <c r="LN183" s="30"/>
      <c r="LO183" s="30"/>
      <c r="LP183" s="30"/>
      <c r="LQ183" s="30"/>
      <c r="LR183" s="30"/>
      <c r="LS183" s="30"/>
      <c r="LT183" s="30"/>
      <c r="LU183" s="30"/>
      <c r="LV183" s="30"/>
      <c r="LW183" s="30"/>
      <c r="LX183" s="30"/>
      <c r="LY183" s="30"/>
      <c r="LZ183" s="30"/>
      <c r="MA183" s="30"/>
      <c r="MB183" s="30"/>
      <c r="MC183" s="30"/>
      <c r="MD183" s="30"/>
      <c r="ME183" s="30"/>
      <c r="MF183" s="30"/>
      <c r="MG183" s="30"/>
      <c r="MH183" s="30"/>
      <c r="MI183" s="30"/>
      <c r="MJ183" s="30"/>
      <c r="MK183" s="30"/>
      <c r="ML183" s="30"/>
      <c r="MM183" s="30"/>
      <c r="MN183" s="30"/>
      <c r="MO183" s="30"/>
      <c r="MP183" s="30"/>
      <c r="MQ183" s="30"/>
      <c r="MR183" s="30"/>
      <c r="MS183" s="30"/>
      <c r="MT183" s="30"/>
      <c r="MU183" s="30"/>
      <c r="MV183" s="30"/>
      <c r="MW183" s="30"/>
      <c r="MX183" s="30"/>
      <c r="MY183" s="30"/>
      <c r="MZ183" s="30"/>
      <c r="NA183" s="30"/>
      <c r="NB183" s="30"/>
      <c r="NC183" s="30"/>
      <c r="ND183" s="30"/>
      <c r="NE183" s="30"/>
      <c r="NF183" s="30"/>
      <c r="NG183" s="30"/>
      <c r="NH183" s="30"/>
      <c r="NI183" s="30"/>
      <c r="NJ183" s="30"/>
      <c r="NK183" s="30"/>
      <c r="NL183" s="30"/>
      <c r="NM183" s="30"/>
      <c r="NN183" s="30"/>
      <c r="NO183" s="30"/>
      <c r="NP183" s="30"/>
      <c r="NQ183" s="30"/>
      <c r="NR183" s="30"/>
      <c r="NS183" s="30"/>
      <c r="NT183" s="30"/>
      <c r="NU183" s="30"/>
      <c r="NV183" s="30"/>
      <c r="NW183" s="30"/>
      <c r="NX183" s="30"/>
      <c r="NY183" s="30"/>
      <c r="NZ183" s="30"/>
      <c r="OA183" s="30"/>
      <c r="OB183" s="30"/>
      <c r="OC183" s="30"/>
      <c r="OD183" s="30"/>
      <c r="OE183" s="30"/>
      <c r="OF183" s="30"/>
      <c r="OG183" s="30"/>
      <c r="OH183" s="30"/>
      <c r="OI183" s="30"/>
      <c r="OJ183" s="30"/>
      <c r="OK183" s="30"/>
      <c r="OL183" s="30"/>
    </row>
    <row r="184" customFormat="false" ht="14.4" hidden="false" customHeight="false" outlineLevel="0" collapsed="false">
      <c r="A184" s="192"/>
      <c r="B184" s="167"/>
      <c r="C184" s="89"/>
      <c r="D184" s="85" t="s">
        <v>134</v>
      </c>
      <c r="E184" s="157" t="n">
        <f aca="false">IF(AND($F$2="No",$F$3="No"),SUM(I184:L184),IF(AND($F$2="Yes", $F$3="No"), SUM(I184:L184)+N184, IF(AND($F$2="No", $F$3="Yes"),SUM(I184:L184)+M184, SUM(I184:L184)+N184+M184)))</f>
        <v>-1066536611.40224</v>
      </c>
      <c r="F184" s="144" t="n">
        <f aca="false">IF(AND($F$2="No",$F$3="No"),SUM(H184:L184,O184),IF(AND($F$2="Yes", $F$3="No"), SUM(H184:L184,O184)+N184, IF(AND($F$2="No", $F$3="Yes"),SUM(H184:L184,O184)+M184, SUM(H184:L184,O184)+N184+M184)))</f>
        <v>10394529930.1147</v>
      </c>
      <c r="G184" s="159"/>
      <c r="H184" s="144" t="n">
        <f aca="false">H176*'Input data meat and eggs'!$C$421+H180*'Input data meat and eggs'!$C$422</f>
        <v>8183014075.39651</v>
      </c>
      <c r="I184" s="144" t="n">
        <f aca="false">I176*'Input data meat and eggs'!$C$421+I180*'Input data meat and eggs'!$C$422</f>
        <v>0</v>
      </c>
      <c r="J184" s="144" t="n">
        <f aca="false">J176*'Input data meat and eggs'!$C$421+J180*'Input data meat and eggs'!$C$422</f>
        <v>0</v>
      </c>
      <c r="K184" s="144" t="n">
        <f aca="false">K176*'Input data meat and eggs'!$C$421+K180*'Input data meat and eggs'!$C$422</f>
        <v>0</v>
      </c>
      <c r="L184" s="144" t="n">
        <f aca="false">L176*'Input data meat and eggs'!$C$421+L180*'Input data meat and eggs'!$C$422</f>
        <v>0</v>
      </c>
      <c r="M184" s="144" t="n">
        <f aca="false">M176*'Input data meat and eggs'!$C$421+M180*'Input data meat and eggs'!$C$422</f>
        <v>-1820057575.1758</v>
      </c>
      <c r="N184" s="144" t="n">
        <f aca="false">N176*'Input data meat and eggs'!$C$421+N180*'Input data meat and eggs'!$C$422</f>
        <v>753520963.773558</v>
      </c>
      <c r="O184" s="144" t="n">
        <f aca="false">O176*'Input data meat and eggs'!$C$421+O180*'Input data meat and eggs'!$C$422</f>
        <v>3278052466.12043</v>
      </c>
      <c r="P184" s="144" t="n">
        <f aca="false">P176*'Input data meat and eggs'!$E$421+P180*'Input data meat and eggs'!$E$422</f>
        <v>230533790.046792</v>
      </c>
      <c r="Q184" s="144" t="n">
        <f aca="false">(F184+P184)</f>
        <v>10625063720.1615</v>
      </c>
      <c r="R184" s="89"/>
      <c r="S184" s="89"/>
      <c r="T184" s="74"/>
    </row>
    <row r="185" customFormat="false" ht="14.4" hidden="false" customHeight="false" outlineLevel="0" collapsed="false">
      <c r="A185" s="192"/>
      <c r="B185" s="167"/>
      <c r="C185" s="89"/>
      <c r="D185" s="85" t="s">
        <v>135</v>
      </c>
      <c r="E185" s="157" t="n">
        <f aca="false">SUM(I185:L185)</f>
        <v>765294413.912051</v>
      </c>
      <c r="F185" s="144" t="n">
        <f aca="false">SUM(H185:L185,O185)</f>
        <v>773955720.073323</v>
      </c>
      <c r="G185" s="159"/>
      <c r="H185" s="144" t="n">
        <f aca="false">H177*'Input data meat and eggs'!$C$421+H181*'Input data meat and eggs'!$C$422</f>
        <v>8661306.16127252</v>
      </c>
      <c r="I185" s="144" t="n">
        <f aca="false">I177*'Input data meat and eggs'!$C$421+I181*'Input data meat and eggs'!$C$422</f>
        <v>0</v>
      </c>
      <c r="J185" s="144" t="n">
        <f aca="false">J177*'Input data meat and eggs'!$C$421+J181*'Input data meat and eggs'!$C$422</f>
        <v>35757093.0686233</v>
      </c>
      <c r="K185" s="144" t="n">
        <f aca="false">K177*'Input data meat and eggs'!$C$421+K181*'Input data meat and eggs'!$C$422</f>
        <v>0</v>
      </c>
      <c r="L185" s="144" t="n">
        <f aca="false">L177*'Input data meat and eggs'!$C$421+L181*'Input data meat and eggs'!$C$422</f>
        <v>729537320.843427</v>
      </c>
      <c r="M185" s="144" t="n">
        <f aca="false">M177*'Input data meat and eggs'!$C$421+M181*'Input data meat and eggs'!$C$422</f>
        <v>0</v>
      </c>
      <c r="N185" s="144" t="n">
        <f aca="false">N177*'Input data meat and eggs'!$C$421+N181*'Input data meat and eggs'!$C$422</f>
        <v>0</v>
      </c>
      <c r="O185" s="144" t="n">
        <f aca="false">O177*'Input data meat and eggs'!$C$421+O181*'Input data meat and eggs'!$C$422</f>
        <v>0</v>
      </c>
      <c r="P185" s="144" t="n">
        <f aca="false">P177*'Input data meat and eggs'!$E$421+P181*'Input data meat and eggs'!$E$422</f>
        <v>37903.6756086793</v>
      </c>
      <c r="Q185" s="144" t="n">
        <f aca="false">(F185+P185)</f>
        <v>773993623.748932</v>
      </c>
      <c r="R185" s="89"/>
      <c r="S185" s="89"/>
      <c r="T185" s="74"/>
    </row>
    <row r="186" customFormat="false" ht="14.4" hidden="false" customHeight="false" outlineLevel="0" collapsed="false">
      <c r="A186" s="192"/>
      <c r="B186" s="167"/>
      <c r="C186" s="89"/>
      <c r="D186" s="31" t="s">
        <v>136</v>
      </c>
      <c r="E186" s="157" t="n">
        <f aca="false">SUM(I186:L186)</f>
        <v>32550586.0620357</v>
      </c>
      <c r="F186" s="144" t="n">
        <f aca="false">SUM(H186:L186,O186)</f>
        <v>41125465.3633573</v>
      </c>
      <c r="G186" s="159"/>
      <c r="H186" s="144" t="n">
        <f aca="false">H178*'Input data meat and eggs'!$C$421+H182*'Input data meat and eggs'!$C$422</f>
        <v>8574879.30132165</v>
      </c>
      <c r="I186" s="144" t="n">
        <f aca="false">I178*'Input data meat and eggs'!$C$421+I182*'Input data meat and eggs'!$C$422</f>
        <v>21673838.6407327</v>
      </c>
      <c r="J186" s="144" t="n">
        <f aca="false">J178*'Input data meat and eggs'!$C$421+J182*'Input data meat and eggs'!$C$422</f>
        <v>7112615.26314825</v>
      </c>
      <c r="K186" s="144" t="n">
        <f aca="false">K178*'Input data meat and eggs'!$C$421+K182*'Input data meat and eggs'!$C$422</f>
        <v>3764132.15815478</v>
      </c>
      <c r="L186" s="144" t="n">
        <f aca="false">L178*'Input data meat and eggs'!$C$421+L182*'Input data meat and eggs'!$C$422</f>
        <v>0</v>
      </c>
      <c r="M186" s="144" t="n">
        <f aca="false">M178*'Input data meat and eggs'!$C$421+M182*'Input data meat and eggs'!$C$422</f>
        <v>0</v>
      </c>
      <c r="N186" s="144" t="n">
        <f aca="false">N178*'Input data meat and eggs'!$C$421+N182*'Input data meat and eggs'!$C$422</f>
        <v>0</v>
      </c>
      <c r="O186" s="144" t="n">
        <f aca="false">O178*'Input data meat and eggs'!$C$421+O182*'Input data meat and eggs'!$C$422</f>
        <v>0</v>
      </c>
      <c r="P186" s="144" t="n">
        <f aca="false">P178*'Input data meat and eggs'!$E$421+P182*'Input data meat and eggs'!$E$422</f>
        <v>3533.46487063132</v>
      </c>
      <c r="Q186" s="144" t="n">
        <f aca="false">(F186+P186)</f>
        <v>41128998.828228</v>
      </c>
      <c r="R186" s="89"/>
      <c r="S186" s="89"/>
      <c r="T186" s="74"/>
    </row>
    <row r="187" s="83" customFormat="true" ht="14.4" hidden="false" customHeight="false" outlineLevel="0" collapsed="false">
      <c r="A187" s="194"/>
      <c r="B187" s="76" t="s">
        <v>167</v>
      </c>
      <c r="C187" s="185" t="n">
        <v>0.047430552938419</v>
      </c>
      <c r="D187" s="78" t="s">
        <v>133</v>
      </c>
      <c r="E187" s="94" t="n">
        <f aca="false">IF($F$1="GWP100 without fb",E188+E189*'Common input data'!$C$5+E190*'Common input data'!$D$5,IF($F$1="GWP100 with fb",E188+E189*'Common input data'!$C$6+E190*'Common input data'!$D$6,IF($F$1="GTP100 without fb",E188+E189*'Common input data'!$C$7+E190*'Common input data'!$D$7,IF($F$1="GTP100 with fb",E188+E189*'Common input data'!$C$8+E190*'Common input data'!$D$8,E188+E189*'Common input data'!$C$9+E190*'Common input data'!$D$9))))</f>
        <v>6.58393651659311</v>
      </c>
      <c r="F187" s="95" t="n">
        <f aca="false">IF($F$1="GWP100 without fb",F188+F189*'Common input data'!$C$5+F190*'Common input data'!$D$5,IF($F$1="GWP100 with fb",F188+F189*'Common input data'!$C$6+F190*'Common input data'!$D$6,IF($F$1="GTP100 without fb",F188+F189*'Common input data'!$C$7+F190*'Common input data'!$D$7,IF($F$1="GTP100 with fb",F188+F189*'Common input data'!$C$8+F190*'Common input data'!$D$8,F188+F189*'Common input data'!$C$9+F190*'Common input data'!$D$9))))</f>
        <v>9.30290273183742</v>
      </c>
      <c r="G187" s="96" t="n">
        <f aca="false">IF($F$1="GWP100 without fb",G188+G189*'Common input data'!$C$5+G190*'Common input data'!$D$5,IF($F$1="GWP100 with fb",G188+G189*'Common input data'!$C$6+G190*'Common input data'!$D$6,IF($F$1="GTP100 without fb",G188+G189*'Common input data'!$C$7+G190*'Common input data'!$D$7,IF($F$1="GTP100 with fb",G188+G189*'Common input data'!$C$8+G190*'Common input data'!$D$8,G188+G189*'Common input data'!$C$9+G190*'Common input data'!$D$9))))</f>
        <v>10.501258199138</v>
      </c>
      <c r="H187" s="180"/>
      <c r="I187" s="180"/>
      <c r="J187" s="180"/>
      <c r="K187" s="180"/>
      <c r="L187" s="180"/>
      <c r="M187" s="180"/>
      <c r="N187" s="180"/>
      <c r="O187" s="180"/>
      <c r="P187" s="180"/>
      <c r="Q187" s="180"/>
      <c r="R187" s="186"/>
      <c r="S187" s="186"/>
      <c r="T187" s="74"/>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c r="EU187" s="30"/>
      <c r="EV187" s="30"/>
      <c r="EW187" s="30"/>
      <c r="EX187" s="30"/>
      <c r="EY187" s="30"/>
      <c r="EZ187" s="30"/>
      <c r="FA187" s="30"/>
      <c r="FB187" s="30"/>
      <c r="FC187" s="30"/>
      <c r="FD187" s="30"/>
      <c r="FE187" s="30"/>
      <c r="FF187" s="30"/>
      <c r="FG187" s="30"/>
      <c r="FH187" s="30"/>
      <c r="FI187" s="30"/>
      <c r="FJ187" s="30"/>
      <c r="FK187" s="30"/>
      <c r="FL187" s="30"/>
      <c r="FM187" s="30"/>
      <c r="FN187" s="30"/>
      <c r="FO187" s="30"/>
      <c r="FP187" s="30"/>
      <c r="FQ187" s="30"/>
      <c r="FR187" s="30"/>
      <c r="FS187" s="30"/>
      <c r="FT187" s="30"/>
      <c r="FU187" s="30"/>
      <c r="FV187" s="30"/>
      <c r="FW187" s="30"/>
      <c r="FX187" s="30"/>
      <c r="FY187" s="30"/>
      <c r="FZ187" s="30"/>
      <c r="GA187" s="30"/>
      <c r="GB187" s="30"/>
      <c r="GC187" s="30"/>
      <c r="GD187" s="30"/>
      <c r="GE187" s="30"/>
      <c r="GF187" s="30"/>
      <c r="GG187" s="30"/>
      <c r="GH187" s="30"/>
      <c r="GI187" s="30"/>
      <c r="GJ187" s="30"/>
      <c r="GK187" s="30"/>
      <c r="GL187" s="30"/>
      <c r="GM187" s="30"/>
      <c r="GN187" s="30"/>
      <c r="GO187" s="30"/>
      <c r="GP187" s="30"/>
      <c r="GQ187" s="30"/>
      <c r="GR187" s="30"/>
      <c r="GS187" s="30"/>
      <c r="GT187" s="30"/>
      <c r="GU187" s="30"/>
      <c r="GV187" s="30"/>
      <c r="GW187" s="30"/>
      <c r="GX187" s="30"/>
      <c r="GY187" s="30"/>
      <c r="GZ187" s="30"/>
      <c r="HA187" s="30"/>
      <c r="HB187" s="30"/>
      <c r="HC187" s="30"/>
      <c r="HD187" s="30"/>
      <c r="HE187" s="30"/>
      <c r="HF187" s="30"/>
      <c r="HG187" s="30"/>
      <c r="HH187" s="30"/>
      <c r="HI187" s="30"/>
      <c r="HJ187" s="30"/>
      <c r="HK187" s="30"/>
      <c r="HL187" s="30"/>
      <c r="HM187" s="30"/>
      <c r="HN187" s="30"/>
      <c r="HO187" s="30"/>
      <c r="HP187" s="30"/>
      <c r="HQ187" s="30"/>
      <c r="HR187" s="30"/>
      <c r="HS187" s="30"/>
      <c r="HT187" s="30"/>
      <c r="HU187" s="30"/>
      <c r="HV187" s="30"/>
      <c r="HW187" s="30"/>
      <c r="HX187" s="30"/>
      <c r="HY187" s="30"/>
      <c r="HZ187" s="30"/>
      <c r="IA187" s="30"/>
      <c r="IB187" s="30"/>
      <c r="IC187" s="30"/>
      <c r="ID187" s="30"/>
      <c r="IE187" s="30"/>
      <c r="IF187" s="30"/>
      <c r="IG187" s="30"/>
      <c r="IH187" s="30"/>
      <c r="II187" s="30"/>
      <c r="IJ187" s="30"/>
      <c r="IK187" s="30"/>
      <c r="IL187" s="30"/>
      <c r="IM187" s="30"/>
      <c r="IN187" s="30"/>
      <c r="IO187" s="30"/>
      <c r="IP187" s="30"/>
      <c r="IQ187" s="30"/>
      <c r="IR187" s="30"/>
      <c r="IS187" s="30"/>
      <c r="IT187" s="30"/>
      <c r="IU187" s="30"/>
      <c r="IV187" s="30"/>
      <c r="IW187" s="30"/>
      <c r="IX187" s="30"/>
      <c r="IY187" s="30"/>
      <c r="IZ187" s="30"/>
      <c r="JA187" s="30"/>
      <c r="JB187" s="30"/>
      <c r="JC187" s="30"/>
      <c r="JD187" s="30"/>
      <c r="JE187" s="30"/>
      <c r="JF187" s="30"/>
      <c r="JG187" s="30"/>
      <c r="JH187" s="30"/>
      <c r="JI187" s="30"/>
      <c r="JJ187" s="30"/>
      <c r="JK187" s="30"/>
      <c r="JL187" s="30"/>
      <c r="JM187" s="30"/>
      <c r="JN187" s="30"/>
      <c r="JO187" s="30"/>
      <c r="JP187" s="30"/>
      <c r="JQ187" s="30"/>
      <c r="JR187" s="30"/>
      <c r="JS187" s="30"/>
      <c r="JT187" s="30"/>
      <c r="JU187" s="30"/>
      <c r="JV187" s="30"/>
      <c r="JW187" s="30"/>
      <c r="JX187" s="30"/>
      <c r="JY187" s="30"/>
      <c r="JZ187" s="30"/>
      <c r="KA187" s="30"/>
      <c r="KB187" s="30"/>
      <c r="KC187" s="30"/>
      <c r="KD187" s="30"/>
      <c r="KE187" s="30"/>
      <c r="KF187" s="30"/>
      <c r="KG187" s="30"/>
      <c r="KH187" s="30"/>
      <c r="KI187" s="30"/>
      <c r="KJ187" s="30"/>
      <c r="KK187" s="30"/>
      <c r="KL187" s="30"/>
      <c r="KM187" s="30"/>
      <c r="KN187" s="30"/>
      <c r="KO187" s="30"/>
      <c r="KP187" s="30"/>
      <c r="KQ187" s="30"/>
      <c r="KR187" s="30"/>
      <c r="KS187" s="30"/>
      <c r="KT187" s="30"/>
      <c r="KU187" s="30"/>
      <c r="KV187" s="30"/>
      <c r="KW187" s="30"/>
      <c r="KX187" s="30"/>
      <c r="KY187" s="30"/>
      <c r="KZ187" s="30"/>
      <c r="LA187" s="30"/>
      <c r="LB187" s="30"/>
      <c r="LC187" s="30"/>
      <c r="LD187" s="30"/>
      <c r="LE187" s="30"/>
      <c r="LF187" s="30"/>
      <c r="LG187" s="30"/>
      <c r="LH187" s="30"/>
      <c r="LI187" s="30"/>
      <c r="LJ187" s="30"/>
      <c r="LK187" s="30"/>
      <c r="LL187" s="30"/>
      <c r="LM187" s="30"/>
      <c r="LN187" s="30"/>
      <c r="LO187" s="30"/>
      <c r="LP187" s="30"/>
      <c r="LQ187" s="30"/>
      <c r="LR187" s="30"/>
      <c r="LS187" s="30"/>
      <c r="LT187" s="30"/>
      <c r="LU187" s="30"/>
      <c r="LV187" s="30"/>
      <c r="LW187" s="30"/>
      <c r="LX187" s="30"/>
      <c r="LY187" s="30"/>
      <c r="LZ187" s="30"/>
      <c r="MA187" s="30"/>
      <c r="MB187" s="30"/>
      <c r="MC187" s="30"/>
      <c r="MD187" s="30"/>
      <c r="ME187" s="30"/>
      <c r="MF187" s="30"/>
      <c r="MG187" s="30"/>
      <c r="MH187" s="30"/>
      <c r="MI187" s="30"/>
      <c r="MJ187" s="30"/>
      <c r="MK187" s="30"/>
      <c r="ML187" s="30"/>
      <c r="MM187" s="30"/>
      <c r="MN187" s="30"/>
      <c r="MO187" s="30"/>
      <c r="MP187" s="30"/>
      <c r="MQ187" s="30"/>
      <c r="MR187" s="30"/>
      <c r="MS187" s="30"/>
      <c r="MT187" s="30"/>
      <c r="MU187" s="30"/>
      <c r="MV187" s="30"/>
      <c r="MW187" s="30"/>
      <c r="MX187" s="30"/>
      <c r="MY187" s="30"/>
      <c r="MZ187" s="30"/>
      <c r="NA187" s="30"/>
      <c r="NB187" s="30"/>
      <c r="NC187" s="30"/>
      <c r="ND187" s="30"/>
      <c r="NE187" s="30"/>
      <c r="NF187" s="30"/>
      <c r="NG187" s="30"/>
      <c r="NH187" s="30"/>
      <c r="NI187" s="30"/>
      <c r="NJ187" s="30"/>
      <c r="NK187" s="30"/>
      <c r="NL187" s="30"/>
      <c r="NM187" s="30"/>
      <c r="NN187" s="30"/>
      <c r="NO187" s="30"/>
      <c r="NP187" s="30"/>
      <c r="NQ187" s="30"/>
      <c r="NR187" s="30"/>
      <c r="NS187" s="30"/>
      <c r="NT187" s="30"/>
      <c r="NU187" s="30"/>
      <c r="NV187" s="30"/>
      <c r="NW187" s="30"/>
      <c r="NX187" s="30"/>
      <c r="NY187" s="30"/>
      <c r="NZ187" s="30"/>
      <c r="OA187" s="30"/>
      <c r="OB187" s="30"/>
      <c r="OC187" s="30"/>
      <c r="OD187" s="30"/>
      <c r="OE187" s="30"/>
      <c r="OF187" s="30"/>
      <c r="OG187" s="30"/>
      <c r="OH187" s="30"/>
      <c r="OI187" s="30"/>
      <c r="OJ187" s="30"/>
      <c r="OK187" s="30"/>
      <c r="OL187" s="30"/>
    </row>
    <row r="188" customFormat="false" ht="14.4" hidden="false" customHeight="false" outlineLevel="0" collapsed="false">
      <c r="A188" s="192"/>
      <c r="B188" s="167"/>
      <c r="C188" s="89"/>
      <c r="D188" s="85" t="s">
        <v>134</v>
      </c>
      <c r="E188" s="86" t="n">
        <f aca="false">IF(AND($F$2="No",$F$3="No"),SUM(I188:L188),IF(AND($F$2="Yes", $F$3="No"), SUM(I188:L188)+N188, IF(AND($F$2="No", $F$3="Yes"),SUM(I188:L188)+M188, SUM(I188:L188)+N188+M188)))</f>
        <v>-0.202634642784371</v>
      </c>
      <c r="F188" s="87" t="n">
        <f aca="false">IF(AND($F$2="No",$F$3="No"),SUM(H188:L188,O188),IF(AND($F$2="Yes", $F$3="No"), SUM(H188:L188,O188)+N188, IF(AND($F$2="No", $F$3="Yes"),SUM(H188:L188,O188)+M188, SUM(H188:L188,O188)+N188+M188)))</f>
        <v>1.97488941006064</v>
      </c>
      <c r="G188" s="88" t="n">
        <f aca="false">SUM(Q188:S188)/(1-'Common input data'!B$126)</f>
        <v>2.46566803658878</v>
      </c>
      <c r="H188" s="146" t="n">
        <f aca="false">H184*'Common input data'!$G$37/'Input data meat and eggs'!$H$421</f>
        <v>1.55471656231976</v>
      </c>
      <c r="I188" s="146" t="n">
        <f aca="false">I184*'Common input data'!$G$37/'Input data meat and eggs'!$H$421</f>
        <v>0</v>
      </c>
      <c r="J188" s="146" t="n">
        <f aca="false">J184*'Common input data'!$G$37/'Input data meat and eggs'!$H$421</f>
        <v>0</v>
      </c>
      <c r="K188" s="146" t="n">
        <f aca="false">K184*'Common input data'!$G$37/'Input data meat and eggs'!$H$421</f>
        <v>0</v>
      </c>
      <c r="L188" s="146" t="n">
        <f aca="false">L184*'Common input data'!$G$37/'Input data meat and eggs'!$H$421</f>
        <v>0</v>
      </c>
      <c r="M188" s="146" t="n">
        <f aca="false">M184*'Common input data'!$G$37/'Input data meat and eggs'!$H$421</f>
        <v>-0.345798458908827</v>
      </c>
      <c r="N188" s="146" t="n">
        <f aca="false">N184*'Common input data'!$G$37/'Input data meat and eggs'!$H$421</f>
        <v>0.143163816124456</v>
      </c>
      <c r="O188" s="146" t="n">
        <f aca="false">O184*'Common input data'!$G$37/'Input data meat and eggs'!$H$421</f>
        <v>0.622807490525258</v>
      </c>
      <c r="P188" s="146" t="n">
        <f aca="false">P184*'Common input data'!$G$37/'Input data meat and eggs'!$H$421</f>
        <v>0.0437998393083208</v>
      </c>
      <c r="Q188" s="146" t="n">
        <f aca="false">Q184*'Common input data'!$G$37/'Input data meat and eggs'!$H$421</f>
        <v>2.01868924936897</v>
      </c>
      <c r="R188" s="181" t="n">
        <f aca="false">'Common input data'!B92</f>
        <v>0.1</v>
      </c>
      <c r="S188" s="181" t="n">
        <f aca="false">'Common input data'!B99+'Common input data'!C99</f>
        <v>0.13</v>
      </c>
      <c r="T188" s="74"/>
    </row>
    <row r="189" customFormat="false" ht="14.4" hidden="false" customHeight="false" outlineLevel="0" collapsed="false">
      <c r="A189" s="192"/>
      <c r="B189" s="167"/>
      <c r="C189" s="89"/>
      <c r="D189" s="85" t="s">
        <v>135</v>
      </c>
      <c r="E189" s="86" t="n">
        <f aca="false">SUM(I189:L189)</f>
        <v>0.145400690918671</v>
      </c>
      <c r="F189" s="87" t="n">
        <f aca="false">SUM(H189:L189,O189)</f>
        <v>0.147046279697595</v>
      </c>
      <c r="G189" s="88" t="n">
        <f aca="false">SUM(Q189:S189)/(1-'Common input data'!B$126)</f>
        <v>0.161242852122862</v>
      </c>
      <c r="H189" s="146" t="n">
        <f aca="false">H185*'Common input data'!$G$37/'Input data meat and eggs'!$H$421</f>
        <v>0.00164558877892436</v>
      </c>
      <c r="I189" s="146" t="n">
        <f aca="false">I185*'Common input data'!$G$37/'Input data meat and eggs'!$H$421</f>
        <v>0</v>
      </c>
      <c r="J189" s="146" t="n">
        <f aca="false">J185*'Common input data'!$G$37/'Input data meat and eggs'!$H$421</f>
        <v>0.00679360249194048</v>
      </c>
      <c r="K189" s="146" t="n">
        <f aca="false">K185*'Common input data'!$G$37/'Input data meat and eggs'!$H$421</f>
        <v>0</v>
      </c>
      <c r="L189" s="146" t="n">
        <f aca="false">L185*'Common input data'!$G$37/'Input data meat and eggs'!$H$421</f>
        <v>0.13860708842673</v>
      </c>
      <c r="M189" s="146" t="n">
        <f aca="false">M185*'Common input data'!$G$37/'Input data meat and eggs'!$H$421</f>
        <v>0</v>
      </c>
      <c r="N189" s="146" t="n">
        <f aca="false">N185*'Common input data'!$G$37/'Input data meat and eggs'!$H$421</f>
        <v>0</v>
      </c>
      <c r="O189" s="146" t="n">
        <f aca="false">O185*'Common input data'!$G$37/'Input data meat and eggs'!$H$421</f>
        <v>0</v>
      </c>
      <c r="P189" s="146" t="n">
        <f aca="false">P185*'Common input data'!$G$37/'Input data meat and eggs'!$H$421</f>
        <v>7.20143845515183E-006</v>
      </c>
      <c r="Q189" s="146" t="n">
        <f aca="false">Q185*'Common input data'!$G$37/'Input data meat and eggs'!$H$421</f>
        <v>0.14705348113605</v>
      </c>
      <c r="R189" s="181" t="n">
        <v>0</v>
      </c>
      <c r="S189" s="181" t="n">
        <v>0</v>
      </c>
      <c r="T189" s="74"/>
    </row>
    <row r="190" customFormat="false" ht="14.4" hidden="false" customHeight="false" outlineLevel="0" collapsed="false">
      <c r="A190" s="192"/>
      <c r="B190" s="167"/>
      <c r="C190" s="89"/>
      <c r="D190" s="31" t="s">
        <v>136</v>
      </c>
      <c r="E190" s="86" t="n">
        <f aca="false">SUM(I190:L190)</f>
        <v>0.00618438814812981</v>
      </c>
      <c r="F190" s="87" t="n">
        <f aca="false">SUM(H190:L190,O190)</f>
        <v>0.00781355641630387</v>
      </c>
      <c r="G190" s="88" t="n">
        <f aca="false">SUM(Q190:S190)/(1-'Common input data'!B$126)</f>
        <v>0.00856823218245598</v>
      </c>
      <c r="H190" s="146" t="n">
        <f aca="false">H186*'Common input data'!$G$37/'Input data meat and eggs'!$H$421</f>
        <v>0.00162916826817406</v>
      </c>
      <c r="I190" s="146" t="n">
        <f aca="false">I186*'Common input data'!$G$37/'Input data meat and eggs'!$H$421</f>
        <v>0.00411788072137225</v>
      </c>
      <c r="J190" s="146" t="n">
        <f aca="false">J186*'Common input data'!$G$37/'Input data meat and eggs'!$H$421</f>
        <v>0.00135134812785826</v>
      </c>
      <c r="K190" s="146" t="n">
        <f aca="false">K186*'Common input data'!$G$37/'Input data meat and eggs'!$H$421</f>
        <v>0.000715159298899298</v>
      </c>
      <c r="L190" s="146" t="n">
        <f aca="false">L186*'Common input data'!$G$37/'Input data meat and eggs'!$H$421</f>
        <v>0</v>
      </c>
      <c r="M190" s="146" t="n">
        <f aca="false">M186*'Common input data'!$G$37/'Input data meat and eggs'!$H$421</f>
        <v>0</v>
      </c>
      <c r="N190" s="146" t="n">
        <f aca="false">N186*'Common input data'!$G$37/'Input data meat and eggs'!$H$421</f>
        <v>0</v>
      </c>
      <c r="O190" s="146" t="n">
        <f aca="false">O186*'Common input data'!$G$37/'Input data meat and eggs'!$H$421</f>
        <v>0</v>
      </c>
      <c r="P190" s="146" t="n">
        <f aca="false">P186*'Common input data'!$G$37/'Input data meat and eggs'!$H$421</f>
        <v>6.7133409598582E-007</v>
      </c>
      <c r="Q190" s="146" t="n">
        <f aca="false">Q186*'Common input data'!$G$37/'Input data meat and eggs'!$H$421</f>
        <v>0.00781422775039985</v>
      </c>
      <c r="R190" s="181" t="n">
        <v>0</v>
      </c>
      <c r="S190" s="181" t="n">
        <v>0</v>
      </c>
      <c r="T190" s="74"/>
    </row>
    <row r="191" s="83" customFormat="true" ht="14.4" hidden="false" customHeight="false" outlineLevel="0" collapsed="false">
      <c r="A191" s="75"/>
      <c r="B191" s="76" t="s">
        <v>168</v>
      </c>
      <c r="C191" s="98" t="n">
        <v>0.0180857822430825</v>
      </c>
      <c r="D191" s="78" t="s">
        <v>133</v>
      </c>
      <c r="E191" s="94" t="n">
        <f aca="false">IF($F$1="GWP100 without fb",E192+E193*'Common input data'!$C$5+E194*'Common input data'!$D$5,IF($F$1="GWP100 with fb",E192+E193*'Common input data'!$C$6+E194*'Common input data'!$D$6,IF($F$1="GTP100 without fb",E192+E193*'Common input data'!$C$7+E194*'Common input data'!$D$7,IF($F$1="GTP100 with fb",E192+E193*'Common input data'!$C$8+E194*'Common input data'!$D$8,E192+E193*'Common input data'!$C$9+E194*'Common input data'!$D$9))))</f>
        <v>14.5878532669283</v>
      </c>
      <c r="F191" s="95" t="n">
        <f aca="false">IF($F$1="GWP100 without fb",F192+F193*'Common input data'!$C$5+F194*'Common input data'!$D$5,IF($F$1="GWP100 with fb",F192+F193*'Common input data'!$C$6+F194*'Common input data'!$D$6,IF($F$1="GTP100 without fb",F192+F193*'Common input data'!$C$7+F194*'Common input data'!$D$7,IF($F$1="GTP100 with fb",F192+F193*'Common input data'!$C$8+F194*'Common input data'!$D$8,F192+F193*'Common input data'!$C$9+F194*'Common input data'!$D$9))))</f>
        <v>19.4189198033849</v>
      </c>
      <c r="G191" s="96" t="n">
        <f aca="false">IF($F$1="GWP100 without fb",G192+G193*'Common input data'!$C$5+G194*'Common input data'!$D$5,IF($F$1="GWP100 with fb",G192+G193*'Common input data'!$C$6+G194*'Common input data'!$D$6,IF($F$1="GTP100 without fb",G192+G193*'Common input data'!$C$7+G194*'Common input data'!$D$7,IF($F$1="GTP100 with fb",G192+G193*'Common input data'!$C$8+G194*'Common input data'!$D$8,G192+G193*'Common input data'!$C$9+G194*'Common input data'!$D$9))))</f>
        <v>22.2180948991104</v>
      </c>
      <c r="H191" s="149"/>
      <c r="I191" s="149"/>
      <c r="J191" s="149"/>
      <c r="K191" s="149"/>
      <c r="L191" s="149"/>
      <c r="M191" s="149"/>
      <c r="N191" s="149"/>
      <c r="O191" s="149"/>
      <c r="P191" s="149"/>
      <c r="Q191" s="149"/>
      <c r="R191" s="180"/>
      <c r="S191" s="180"/>
      <c r="T191" s="74"/>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c r="FQ191" s="30"/>
      <c r="FR191" s="30"/>
      <c r="FS191" s="30"/>
      <c r="FT191" s="30"/>
      <c r="FU191" s="30"/>
      <c r="FV191" s="30"/>
      <c r="FW191" s="30"/>
      <c r="FX191" s="30"/>
      <c r="FY191" s="30"/>
      <c r="FZ191" s="30"/>
      <c r="GA191" s="30"/>
      <c r="GB191" s="30"/>
      <c r="GC191" s="30"/>
      <c r="GD191" s="30"/>
      <c r="GE191" s="30"/>
      <c r="GF191" s="30"/>
      <c r="GG191" s="30"/>
      <c r="GH191" s="30"/>
      <c r="GI191" s="30"/>
      <c r="GJ191" s="30"/>
      <c r="GK191" s="30"/>
      <c r="GL191" s="30"/>
      <c r="GM191" s="30"/>
      <c r="GN191" s="30"/>
      <c r="GO191" s="30"/>
      <c r="GP191" s="30"/>
      <c r="GQ191" s="30"/>
      <c r="GR191" s="30"/>
      <c r="GS191" s="30"/>
      <c r="GT191" s="30"/>
      <c r="GU191" s="30"/>
      <c r="GV191" s="30"/>
      <c r="GW191" s="30"/>
      <c r="GX191" s="30"/>
      <c r="GY191" s="30"/>
      <c r="GZ191" s="30"/>
      <c r="HA191" s="30"/>
      <c r="HB191" s="30"/>
      <c r="HC191" s="30"/>
      <c r="HD191" s="30"/>
      <c r="HE191" s="30"/>
      <c r="HF191" s="30"/>
      <c r="HG191" s="30"/>
      <c r="HH191" s="30"/>
      <c r="HI191" s="30"/>
      <c r="HJ191" s="30"/>
      <c r="HK191" s="30"/>
      <c r="HL191" s="30"/>
      <c r="HM191" s="30"/>
      <c r="HN191" s="30"/>
      <c r="HO191" s="30"/>
      <c r="HP191" s="30"/>
      <c r="HQ191" s="30"/>
      <c r="HR191" s="30"/>
      <c r="HS191" s="30"/>
      <c r="HT191" s="30"/>
      <c r="HU191" s="30"/>
      <c r="HV191" s="30"/>
      <c r="HW191" s="30"/>
      <c r="HX191" s="30"/>
      <c r="HY191" s="30"/>
      <c r="HZ191" s="30"/>
      <c r="IA191" s="30"/>
      <c r="IB191" s="30"/>
      <c r="IC191" s="30"/>
      <c r="ID191" s="30"/>
      <c r="IE191" s="30"/>
      <c r="IF191" s="30"/>
      <c r="IG191" s="30"/>
      <c r="IH191" s="30"/>
      <c r="II191" s="30"/>
      <c r="IJ191" s="30"/>
      <c r="IK191" s="30"/>
      <c r="IL191" s="30"/>
      <c r="IM191" s="30"/>
      <c r="IN191" s="30"/>
      <c r="IO191" s="30"/>
      <c r="IP191" s="30"/>
      <c r="IQ191" s="30"/>
      <c r="IR191" s="30"/>
      <c r="IS191" s="30"/>
      <c r="IT191" s="30"/>
      <c r="IU191" s="30"/>
      <c r="IV191" s="30"/>
      <c r="IW191" s="30"/>
      <c r="IX191" s="30"/>
      <c r="IY191" s="30"/>
      <c r="IZ191" s="30"/>
      <c r="JA191" s="30"/>
      <c r="JB191" s="30"/>
      <c r="JC191" s="30"/>
      <c r="JD191" s="30"/>
      <c r="JE191" s="30"/>
      <c r="JF191" s="30"/>
      <c r="JG191" s="30"/>
      <c r="JH191" s="30"/>
      <c r="JI191" s="30"/>
      <c r="JJ191" s="30"/>
      <c r="JK191" s="30"/>
      <c r="JL191" s="30"/>
      <c r="JM191" s="30"/>
      <c r="JN191" s="30"/>
      <c r="JO191" s="30"/>
      <c r="JP191" s="30"/>
      <c r="JQ191" s="30"/>
      <c r="JR191" s="30"/>
      <c r="JS191" s="30"/>
      <c r="JT191" s="30"/>
      <c r="JU191" s="30"/>
      <c r="JV191" s="30"/>
      <c r="JW191" s="30"/>
      <c r="JX191" s="30"/>
      <c r="JY191" s="30"/>
      <c r="JZ191" s="30"/>
      <c r="KA191" s="30"/>
      <c r="KB191" s="30"/>
      <c r="KC191" s="30"/>
      <c r="KD191" s="30"/>
      <c r="KE191" s="30"/>
      <c r="KF191" s="30"/>
      <c r="KG191" s="30"/>
      <c r="KH191" s="30"/>
      <c r="KI191" s="30"/>
      <c r="KJ191" s="30"/>
      <c r="KK191" s="30"/>
      <c r="KL191" s="30"/>
      <c r="KM191" s="30"/>
      <c r="KN191" s="30"/>
      <c r="KO191" s="30"/>
      <c r="KP191" s="30"/>
      <c r="KQ191" s="30"/>
      <c r="KR191" s="30"/>
      <c r="KS191" s="30"/>
      <c r="KT191" s="30"/>
      <c r="KU191" s="30"/>
      <c r="KV191" s="30"/>
      <c r="KW191" s="30"/>
      <c r="KX191" s="30"/>
      <c r="KY191" s="30"/>
      <c r="KZ191" s="30"/>
      <c r="LA191" s="30"/>
      <c r="LB191" s="30"/>
      <c r="LC191" s="30"/>
      <c r="LD191" s="30"/>
      <c r="LE191" s="30"/>
      <c r="LF191" s="30"/>
      <c r="LG191" s="30"/>
      <c r="LH191" s="30"/>
      <c r="LI191" s="30"/>
      <c r="LJ191" s="30"/>
      <c r="LK191" s="30"/>
      <c r="LL191" s="30"/>
      <c r="LM191" s="30"/>
      <c r="LN191" s="30"/>
      <c r="LO191" s="30"/>
      <c r="LP191" s="30"/>
      <c r="LQ191" s="30"/>
      <c r="LR191" s="30"/>
      <c r="LS191" s="30"/>
      <c r="LT191" s="30"/>
      <c r="LU191" s="30"/>
      <c r="LV191" s="30"/>
      <c r="LW191" s="30"/>
      <c r="LX191" s="30"/>
      <c r="LY191" s="30"/>
      <c r="LZ191" s="30"/>
      <c r="MA191" s="30"/>
      <c r="MB191" s="30"/>
      <c r="MC191" s="30"/>
      <c r="MD191" s="30"/>
      <c r="ME191" s="30"/>
      <c r="MF191" s="30"/>
      <c r="MG191" s="30"/>
      <c r="MH191" s="30"/>
      <c r="MI191" s="30"/>
      <c r="MJ191" s="30"/>
      <c r="MK191" s="30"/>
      <c r="ML191" s="30"/>
      <c r="MM191" s="30"/>
      <c r="MN191" s="30"/>
      <c r="MO191" s="30"/>
      <c r="MP191" s="30"/>
      <c r="MQ191" s="30"/>
      <c r="MR191" s="30"/>
      <c r="MS191" s="30"/>
      <c r="MT191" s="30"/>
      <c r="MU191" s="30"/>
      <c r="MV191" s="30"/>
      <c r="MW191" s="30"/>
      <c r="MX191" s="30"/>
      <c r="MY191" s="30"/>
      <c r="MZ191" s="30"/>
      <c r="NA191" s="30"/>
      <c r="NB191" s="30"/>
      <c r="NC191" s="30"/>
      <c r="ND191" s="30"/>
      <c r="NE191" s="30"/>
      <c r="NF191" s="30"/>
      <c r="NG191" s="30"/>
      <c r="NH191" s="30"/>
      <c r="NI191" s="30"/>
      <c r="NJ191" s="30"/>
      <c r="NK191" s="30"/>
      <c r="NL191" s="30"/>
      <c r="NM191" s="30"/>
      <c r="NN191" s="30"/>
      <c r="NO191" s="30"/>
      <c r="NP191" s="30"/>
      <c r="NQ191" s="30"/>
      <c r="NR191" s="30"/>
      <c r="NS191" s="30"/>
      <c r="NT191" s="30"/>
      <c r="NU191" s="30"/>
      <c r="NV191" s="30"/>
      <c r="NW191" s="30"/>
      <c r="NX191" s="30"/>
      <c r="NY191" s="30"/>
      <c r="NZ191" s="30"/>
      <c r="OA191" s="30"/>
      <c r="OB191" s="30"/>
      <c r="OC191" s="30"/>
      <c r="OD191" s="30"/>
      <c r="OE191" s="30"/>
      <c r="OF191" s="30"/>
      <c r="OG191" s="30"/>
      <c r="OH191" s="30"/>
      <c r="OI191" s="30"/>
      <c r="OJ191" s="30"/>
      <c r="OK191" s="30"/>
      <c r="OL191" s="30"/>
    </row>
    <row r="192" customFormat="false" ht="14.4" hidden="false" customHeight="false" outlineLevel="0" collapsed="false">
      <c r="A192" s="192"/>
      <c r="B192" s="167"/>
      <c r="C192" s="89"/>
      <c r="D192" s="85" t="s">
        <v>134</v>
      </c>
      <c r="E192" s="86" t="n">
        <f aca="false">IF(AND($F$2="No",$F$3="No"),SUM(I192:L192),IF(AND($F$2="Yes", $F$3="No"), SUM(I192:L192)+N192, IF(AND($F$2="No", $F$3="Yes"),SUM(I192:L192)+M192, SUM(I192:L192)+N192+M192)))</f>
        <v>-1.39999924320668</v>
      </c>
      <c r="F192" s="87" t="n">
        <f aca="false">IF(AND($F$2="No",$F$3="No"),SUM(H192:L192,O192),IF(AND($F$2="Yes", $F$3="No"), SUM(H192:L192,O192)+N192, IF(AND($F$2="No", $F$3="Yes"),SUM(H192:L192,O192)+M192, SUM(H192:L192,O192)+N192+M192)))</f>
        <v>2.75746743383767</v>
      </c>
      <c r="G192" s="88" t="n">
        <f aca="false">SUM(Q192:S192)/(1-'Common input data'!B$126)</f>
        <v>3.94191852849629</v>
      </c>
      <c r="H192" s="146" t="n">
        <f aca="false">('Input data meat and eggs'!S423*'Input data meat and eggs'!B48+'Input data meat and eggs'!T423*'Input data meat and eggs'!B47+'Input data meat and eggs'!U423*'Input data meat and eggs'!B35+'Input data meat and eggs'!V423*SUMPRODUCT('Input data meat and eggs'!B37:B46,'Input data meat and eggs'!F65:F74))*'Input data meat and eggs'!$E$423/'Input data meat and eggs'!$H$423</f>
        <v>1.87121667704435</v>
      </c>
      <c r="I192" s="146" t="n">
        <v>0</v>
      </c>
      <c r="J192" s="146" t="n">
        <v>0</v>
      </c>
      <c r="K192" s="146" t="n">
        <v>0</v>
      </c>
      <c r="L192" s="146" t="n">
        <v>0</v>
      </c>
      <c r="M192" s="146" t="n">
        <f aca="false">(('Input data meat and eggs'!S423+'Input data meat and eggs'!T423)*'Common input data'!F13+ 'Input data meat and eggs'!U423*'Common input data'!B13+'Input data meat and eggs'!V423*('Input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eggs'!$E$423/'Input data meat and eggs'!$H$423</f>
        <v>-1.41498882017875</v>
      </c>
      <c r="N192" s="146" t="n">
        <f aca="false">('Input data meat and eggs'!V423*('Input data meat and eggs'!F67*'Common input data'!B21*'Common input data'!G30/'Common input data'!F30+'Input data meat and eggs'!F71*'Common input data'!C21*'Common input data'!J31/'Common input data'!I31))*'Input data meat and eggs'!$E$423/'Input data meat and eggs'!$H$423</f>
        <v>0.0149895769720681</v>
      </c>
      <c r="O192" s="146" t="n">
        <f aca="false">'Input data meat and eggs'!B83*'Common input data'!C63</f>
        <v>2.28625</v>
      </c>
      <c r="P192" s="146" t="n">
        <f aca="false">'Input data meat and eggs'!B92*'Common input data'!C63+'Input data meat and eggs'!C92*3.6*'Common input data'!B49</f>
        <v>0.607562264150943</v>
      </c>
      <c r="Q192" s="146" t="n">
        <f aca="false">(F192+P192)</f>
        <v>3.36502969798861</v>
      </c>
      <c r="R192" s="146" t="n">
        <f aca="false">'Common input data'!B92</f>
        <v>0.1</v>
      </c>
      <c r="S192" s="146" t="n">
        <f aca="false">'Common input data'!B99+'Common input data'!C99</f>
        <v>0.13</v>
      </c>
      <c r="T192" s="74"/>
    </row>
    <row r="193" customFormat="false" ht="14.4" hidden="false" customHeight="false" outlineLevel="0" collapsed="false">
      <c r="A193" s="192"/>
      <c r="B193" s="167"/>
      <c r="C193" s="89"/>
      <c r="D193" s="85" t="s">
        <v>135</v>
      </c>
      <c r="E193" s="86" t="n">
        <f aca="false">SUM(I193:L193)</f>
        <v>0.371705650619898</v>
      </c>
      <c r="F193" s="87" t="n">
        <f aca="false">SUM(H193:L193,O193)</f>
        <v>0.372681047696714</v>
      </c>
      <c r="G193" s="88" t="n">
        <f aca="false">SUM(Q193:S193)/(1-'Common input data'!B$126)</f>
        <v>0.408755452001113</v>
      </c>
      <c r="H193" s="146" t="n">
        <f aca="false">('Input data meat and eggs'!S423*'Input data meat and eggs'!C48+'Input data meat and eggs'!T423*'Input data meat and eggs'!C47+'Input data meat and eggs'!U423*'Input data meat and eggs'!C35+'Input data meat and eggs'!V423*SUMPRODUCT('Input data meat and eggs'!C37:C46,'Input data meat and eggs'!F65:F74))*'Input data meat and eggs'!$E$423/'Input data meat and eggs'!$H$423</f>
        <v>0.000975397076815088</v>
      </c>
      <c r="I193" s="146" t="n">
        <v>0</v>
      </c>
      <c r="J193" s="146" t="n">
        <f aca="false">('Input data meat and eggs'!M423*'Input data meat and eggs'!G423/12*'Input data meat and eggs'!$C$450*'Input data meat and eggs'!$C$452*'Input data meat and eggs'!$C$453* ('Input data meat and eggs'!$O$423*'Input data meat and eggs'!$B$443 +'Input data meat and eggs'!$P$423*'Input data meat and eggs'!$C$443+ 'Input data meat and eggs'!$Q$423*'Input data meat and eggs'!$D$443+ 'Input data meat and eggs'!$R$423*'Input data meat and eggs'!$E$443))*'Input data meat and eggs'!$E$423/'Input data meat and eggs'!$H$423</f>
        <v>0.0181865064757543</v>
      </c>
      <c r="K193" s="146" t="n">
        <v>0</v>
      </c>
      <c r="L193" s="146" t="n">
        <f aca="false">('Input data meat and eggs'!L423*'Input data meat and eggs'!G423/12)*'Input data meat and eggs'!$E$423/'Input data meat and eggs'!$H$423</f>
        <v>0.353519144144144</v>
      </c>
      <c r="M193" s="146" t="n">
        <v>0</v>
      </c>
      <c r="N193" s="146" t="n">
        <v>0</v>
      </c>
      <c r="O193" s="146" t="n">
        <v>0</v>
      </c>
      <c r="P193" s="146" t="n">
        <f aca="false">'Input data meat and eggs'!C92*3.6*'Common input data'!B50</f>
        <v>0.000103924528301887</v>
      </c>
      <c r="Q193" s="146" t="n">
        <f aca="false">(F193+P193)</f>
        <v>0.372784972225015</v>
      </c>
      <c r="R193" s="146" t="n">
        <v>0</v>
      </c>
      <c r="S193" s="146" t="n">
        <v>0</v>
      </c>
      <c r="T193" s="74"/>
    </row>
    <row r="194" customFormat="false" ht="14.4" hidden="false" customHeight="false" outlineLevel="0" collapsed="false">
      <c r="A194" s="192"/>
      <c r="B194" s="167"/>
      <c r="C194" s="89"/>
      <c r="D194" s="31" t="s">
        <v>136</v>
      </c>
      <c r="E194" s="86" t="n">
        <f aca="false">SUM(I194:L194)</f>
        <v>0.0112411422451627</v>
      </c>
      <c r="F194" s="87" t="n">
        <f aca="false">SUM(H194:L194,O194)</f>
        <v>0.0133902575431509</v>
      </c>
      <c r="G194" s="88" t="n">
        <f aca="false">SUM(Q194:S194)/(1-'Common input data'!B$126)</f>
        <v>0.0146929228274371</v>
      </c>
      <c r="H194" s="146" t="n">
        <f aca="false">(('Input data meat and eggs'!S423*'Input data meat and eggs'!D48+'Input data meat and eggs'!T423*'Input data meat and eggs'!D47+'Input data meat and eggs'!U423*'Input data meat and eggs'!D35+'Input data meat and eggs'!V423*SUMPRODUCT('Input data meat and eggs'!D37:D46,'Input data meat and eggs'!F65:F74))*'Input data meat and eggs'!B58)*'Input data meat and eggs'!$E$423/'Input data meat and eggs'!$H$423</f>
        <v>0.00214911529798824</v>
      </c>
      <c r="I194" s="146" t="n">
        <f aca="false">(('Input data meat and eggs'!S423*'Input data meat and eggs'!D48+'Input data meat and eggs'!T423*'Input data meat and eggs'!D47+'Input data meat and eggs'!U423*'Input data meat and eggs'!D35+'Input data meat and eggs'!V423*SUMPRODUCT('Input data meat and eggs'!D37:D46,'Input data meat and eggs'!F65:F74))*'Input data meat and eggs'!C58)*'Input data meat and eggs'!$E$423/'Input data meat and eggs'!$H$423</f>
        <v>0.00543209724033643</v>
      </c>
      <c r="J194" s="146" t="n">
        <f aca="false">('Input data meat and eggs'!K423*'Input data meat and eggs'!G423/12*('Input data meat and eggs'!$O$423*'Input data meat and eggs'!$B$445+'Input data meat and eggs'!$P$423*'Input data meat and eggs'!$C$445+'Input data meat and eggs'!$Q$423*'Input data meat and eggs'!$D$445+'Input data meat and eggs'!$R$423*'Input data meat and eggs'!$E$445)*44/28)*'Input data meat and eggs'!$E$423/'Input data meat and eggs'!$H$423</f>
        <v>0.00379870015963766</v>
      </c>
      <c r="K194" s="146" t="n">
        <f aca="false">('Input data meat and eggs'!$B$446*44/28*'Input data meat and eggs'!K423*'Input data meat and eggs'!G423/12*('Input data meat and eggs'!O423*'Input data meat and eggs'!B458+'Input data meat and eggs'!P423*'Input data meat and eggs'!C458+'Input data meat and eggs'!Q423*'Input data meat and eggs'!D458))*'Input data meat and eggs'!$E$423/'Input data meat and eggs'!$H$423</f>
        <v>0.0020103448451886</v>
      </c>
      <c r="L194" s="146" t="n">
        <v>0</v>
      </c>
      <c r="M194" s="146" t="n">
        <v>0</v>
      </c>
      <c r="N194" s="146" t="n">
        <v>0</v>
      </c>
      <c r="O194" s="146" t="n">
        <v>0</v>
      </c>
      <c r="P194" s="146" t="n">
        <f aca="false">'Input data meat and eggs'!C92*3.6*'Common input data'!B51</f>
        <v>9.68807547169811E-006</v>
      </c>
      <c r="Q194" s="146" t="n">
        <f aca="false">(F194+P194)</f>
        <v>0.0133999456186226</v>
      </c>
      <c r="R194" s="146" t="n">
        <v>0</v>
      </c>
      <c r="S194" s="146" t="n">
        <v>0</v>
      </c>
      <c r="T194" s="74"/>
    </row>
    <row r="195" s="83" customFormat="true" ht="14.4" hidden="false" customHeight="false" outlineLevel="0" collapsed="false">
      <c r="A195" s="193"/>
      <c r="B195" s="76" t="s">
        <v>169</v>
      </c>
      <c r="C195" s="98" t="n">
        <v>0.0679393845975864</v>
      </c>
      <c r="D195" s="78" t="s">
        <v>133</v>
      </c>
      <c r="E195" s="94" t="n">
        <f aca="false">IF($F$1="GWP100 without fb",E196+E197*'Common input data'!$C$5+E198*'Common input data'!$D$5,IF($F$1="GWP100 with fb",E196+E197*'Common input data'!$C$6+E198*'Common input data'!$D$6,IF($F$1="GTP100 without fb",E196+E197*'Common input data'!$C$7+E198*'Common input data'!$D$7,IF($F$1="GTP100 with fb",E196+E197*'Common input data'!$C$8+E198*'Common input data'!$D$8,E196+E197*'Common input data'!$C$9+E198*'Common input data'!$D$9))))</f>
        <v>9.92687788597164</v>
      </c>
      <c r="F195" s="95" t="n">
        <f aca="false">IF($F$1="GWP100 without fb",F196+F197*'Common input data'!$C$5+F198*'Common input data'!$D$5,IF($F$1="GWP100 with fb",F196+F197*'Common input data'!$C$6+F198*'Common input data'!$D$6,IF($F$1="GTP100 without fb",F196+F197*'Common input data'!$C$7+F198*'Common input data'!$D$7,IF($F$1="GTP100 with fb",F196+F197*'Common input data'!$C$8+F198*'Common input data'!$D$8,F196+F197*'Common input data'!$C$9+F198*'Common input data'!$D$9))))</f>
        <v>15.001812431202</v>
      </c>
      <c r="G195" s="96" t="n">
        <f aca="false">IF($F$1="GWP100 without fb",G196+G197*'Common input data'!$C$5+G198*'Common input data'!$D$5,IF($F$1="GWP100 with fb",G196+G197*'Common input data'!$C$6+G198*'Common input data'!$D$6,IF($F$1="GTP100 without fb",G196+G197*'Common input data'!$C$7+G198*'Common input data'!$D$7,IF($F$1="GTP100 with fb",G196+G197*'Common input data'!$C$8+G198*'Common input data'!$D$8,G196+G197*'Common input data'!$C$9+G198*'Common input data'!$D$9))))</f>
        <v>17.3747754120677</v>
      </c>
      <c r="H195" s="180"/>
      <c r="I195" s="180"/>
      <c r="J195" s="180"/>
      <c r="K195" s="180"/>
      <c r="L195" s="180"/>
      <c r="M195" s="180"/>
      <c r="N195" s="180"/>
      <c r="O195" s="180"/>
      <c r="P195" s="180"/>
      <c r="Q195" s="180"/>
      <c r="R195" s="180"/>
      <c r="S195" s="180"/>
      <c r="T195" s="74"/>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c r="FQ195" s="30"/>
      <c r="FR195" s="30"/>
      <c r="FS195" s="30"/>
      <c r="FT195" s="30"/>
      <c r="FU195" s="30"/>
      <c r="FV195" s="30"/>
      <c r="FW195" s="30"/>
      <c r="FX195" s="30"/>
      <c r="FY195" s="30"/>
      <c r="FZ195" s="30"/>
      <c r="GA195" s="30"/>
      <c r="GB195" s="30"/>
      <c r="GC195" s="30"/>
      <c r="GD195" s="30"/>
      <c r="GE195" s="30"/>
      <c r="GF195" s="30"/>
      <c r="GG195" s="30"/>
      <c r="GH195" s="30"/>
      <c r="GI195" s="30"/>
      <c r="GJ195" s="30"/>
      <c r="GK195" s="30"/>
      <c r="GL195" s="30"/>
      <c r="GM195" s="30"/>
      <c r="GN195" s="30"/>
      <c r="GO195" s="30"/>
      <c r="GP195" s="30"/>
      <c r="GQ195" s="30"/>
      <c r="GR195" s="30"/>
      <c r="GS195" s="30"/>
      <c r="GT195" s="30"/>
      <c r="GU195" s="30"/>
      <c r="GV195" s="30"/>
      <c r="GW195" s="30"/>
      <c r="GX195" s="30"/>
      <c r="GY195" s="30"/>
      <c r="GZ195" s="30"/>
      <c r="HA195" s="30"/>
      <c r="HB195" s="30"/>
      <c r="HC195" s="30"/>
      <c r="HD195" s="30"/>
      <c r="HE195" s="30"/>
      <c r="HF195" s="30"/>
      <c r="HG195" s="30"/>
      <c r="HH195" s="30"/>
      <c r="HI195" s="30"/>
      <c r="HJ195" s="30"/>
      <c r="HK195" s="30"/>
      <c r="HL195" s="30"/>
      <c r="HM195" s="30"/>
      <c r="HN195" s="30"/>
      <c r="HO195" s="30"/>
      <c r="HP195" s="30"/>
      <c r="HQ195" s="30"/>
      <c r="HR195" s="30"/>
      <c r="HS195" s="30"/>
      <c r="HT195" s="30"/>
      <c r="HU195" s="30"/>
      <c r="HV195" s="30"/>
      <c r="HW195" s="30"/>
      <c r="HX195" s="30"/>
      <c r="HY195" s="30"/>
      <c r="HZ195" s="30"/>
      <c r="IA195" s="30"/>
      <c r="IB195" s="30"/>
      <c r="IC195" s="30"/>
      <c r="ID195" s="30"/>
      <c r="IE195" s="30"/>
      <c r="IF195" s="30"/>
      <c r="IG195" s="30"/>
      <c r="IH195" s="30"/>
      <c r="II195" s="30"/>
      <c r="IJ195" s="30"/>
      <c r="IK195" s="30"/>
      <c r="IL195" s="30"/>
      <c r="IM195" s="30"/>
      <c r="IN195" s="30"/>
      <c r="IO195" s="30"/>
      <c r="IP195" s="30"/>
      <c r="IQ195" s="30"/>
      <c r="IR195" s="30"/>
      <c r="IS195" s="30"/>
      <c r="IT195" s="30"/>
      <c r="IU195" s="30"/>
      <c r="IV195" s="30"/>
      <c r="IW195" s="30"/>
      <c r="IX195" s="30"/>
      <c r="IY195" s="30"/>
      <c r="IZ195" s="30"/>
      <c r="JA195" s="30"/>
      <c r="JB195" s="30"/>
      <c r="JC195" s="30"/>
      <c r="JD195" s="30"/>
      <c r="JE195" s="30"/>
      <c r="JF195" s="30"/>
      <c r="JG195" s="30"/>
      <c r="JH195" s="30"/>
      <c r="JI195" s="30"/>
      <c r="JJ195" s="30"/>
      <c r="JK195" s="30"/>
      <c r="JL195" s="30"/>
      <c r="JM195" s="30"/>
      <c r="JN195" s="30"/>
      <c r="JO195" s="30"/>
      <c r="JP195" s="30"/>
      <c r="JQ195" s="30"/>
      <c r="JR195" s="30"/>
      <c r="JS195" s="30"/>
      <c r="JT195" s="30"/>
      <c r="JU195" s="30"/>
      <c r="JV195" s="30"/>
      <c r="JW195" s="30"/>
      <c r="JX195" s="30"/>
      <c r="JY195" s="30"/>
      <c r="JZ195" s="30"/>
      <c r="KA195" s="30"/>
      <c r="KB195" s="30"/>
      <c r="KC195" s="30"/>
      <c r="KD195" s="30"/>
      <c r="KE195" s="30"/>
      <c r="KF195" s="30"/>
      <c r="KG195" s="30"/>
      <c r="KH195" s="30"/>
      <c r="KI195" s="30"/>
      <c r="KJ195" s="30"/>
      <c r="KK195" s="30"/>
      <c r="KL195" s="30"/>
      <c r="KM195" s="30"/>
      <c r="KN195" s="30"/>
      <c r="KO195" s="30"/>
      <c r="KP195" s="30"/>
      <c r="KQ195" s="30"/>
      <c r="KR195" s="30"/>
      <c r="KS195" s="30"/>
      <c r="KT195" s="30"/>
      <c r="KU195" s="30"/>
      <c r="KV195" s="30"/>
      <c r="KW195" s="30"/>
      <c r="KX195" s="30"/>
      <c r="KY195" s="30"/>
      <c r="KZ195" s="30"/>
      <c r="LA195" s="30"/>
      <c r="LB195" s="30"/>
      <c r="LC195" s="30"/>
      <c r="LD195" s="30"/>
      <c r="LE195" s="30"/>
      <c r="LF195" s="30"/>
      <c r="LG195" s="30"/>
      <c r="LH195" s="30"/>
      <c r="LI195" s="30"/>
      <c r="LJ195" s="30"/>
      <c r="LK195" s="30"/>
      <c r="LL195" s="30"/>
      <c r="LM195" s="30"/>
      <c r="LN195" s="30"/>
      <c r="LO195" s="30"/>
      <c r="LP195" s="30"/>
      <c r="LQ195" s="30"/>
      <c r="LR195" s="30"/>
      <c r="LS195" s="30"/>
      <c r="LT195" s="30"/>
      <c r="LU195" s="30"/>
      <c r="LV195" s="30"/>
      <c r="LW195" s="30"/>
      <c r="LX195" s="30"/>
      <c r="LY195" s="30"/>
      <c r="LZ195" s="30"/>
      <c r="MA195" s="30"/>
      <c r="MB195" s="30"/>
      <c r="MC195" s="30"/>
      <c r="MD195" s="30"/>
      <c r="ME195" s="30"/>
      <c r="MF195" s="30"/>
      <c r="MG195" s="30"/>
      <c r="MH195" s="30"/>
      <c r="MI195" s="30"/>
      <c r="MJ195" s="30"/>
      <c r="MK195" s="30"/>
      <c r="ML195" s="30"/>
      <c r="MM195" s="30"/>
      <c r="MN195" s="30"/>
      <c r="MO195" s="30"/>
      <c r="MP195" s="30"/>
      <c r="MQ195" s="30"/>
      <c r="MR195" s="30"/>
      <c r="MS195" s="30"/>
      <c r="MT195" s="30"/>
      <c r="MU195" s="30"/>
      <c r="MV195" s="30"/>
      <c r="MW195" s="30"/>
      <c r="MX195" s="30"/>
      <c r="MY195" s="30"/>
      <c r="MZ195" s="30"/>
      <c r="NA195" s="30"/>
      <c r="NB195" s="30"/>
      <c r="NC195" s="30"/>
      <c r="ND195" s="30"/>
      <c r="NE195" s="30"/>
      <c r="NF195" s="30"/>
      <c r="NG195" s="30"/>
      <c r="NH195" s="30"/>
      <c r="NI195" s="30"/>
      <c r="NJ195" s="30"/>
      <c r="NK195" s="30"/>
      <c r="NL195" s="30"/>
      <c r="NM195" s="30"/>
      <c r="NN195" s="30"/>
      <c r="NO195" s="30"/>
      <c r="NP195" s="30"/>
      <c r="NQ195" s="30"/>
      <c r="NR195" s="30"/>
      <c r="NS195" s="30"/>
      <c r="NT195" s="30"/>
      <c r="NU195" s="30"/>
      <c r="NV195" s="30"/>
      <c r="NW195" s="30"/>
      <c r="NX195" s="30"/>
      <c r="NY195" s="30"/>
      <c r="NZ195" s="30"/>
      <c r="OA195" s="30"/>
      <c r="OB195" s="30"/>
      <c r="OC195" s="30"/>
      <c r="OD195" s="30"/>
      <c r="OE195" s="30"/>
      <c r="OF195" s="30"/>
      <c r="OG195" s="30"/>
      <c r="OH195" s="30"/>
      <c r="OI195" s="30"/>
      <c r="OJ195" s="30"/>
      <c r="OK195" s="30"/>
      <c r="OL195" s="30"/>
    </row>
    <row r="196" customFormat="false" ht="14.4" hidden="false" customHeight="false" outlineLevel="0" collapsed="false">
      <c r="A196" s="192"/>
      <c r="B196" s="167"/>
      <c r="C196" s="89"/>
      <c r="D196" s="85" t="s">
        <v>134</v>
      </c>
      <c r="E196" s="86" t="n">
        <f aca="false">IF(AND($F$2="No",$F$3="No"),SUM(I196:L196),IF(AND($F$2="Yes", $F$3="No"), SUM(I196:L196)+N196, IF(AND($F$2="No", $F$3="Yes"),SUM(I196:L196)+M196, SUM(I196:L196)+N196+M196)))</f>
        <v>-0.0368248752077167</v>
      </c>
      <c r="F196" s="87" t="n">
        <f aca="false">IF(AND($F$2="No",$F$3="No"),SUM(H196:L196,O196),IF(AND($F$2="Yes", $F$3="No"), SUM(H196:L196,O196)+N196, IF(AND($F$2="No", $F$3="Yes"),SUM(H196:L196,O196)+M196, SUM(H196:L196,O196)+N196+M196)))</f>
        <v>4.25506386176652</v>
      </c>
      <c r="G196" s="88" t="n">
        <f aca="false">SUM(Q196:S196)/(1-'Common input data'!B$126)</f>
        <v>5.5840198749095</v>
      </c>
      <c r="H196" s="146" t="n">
        <f aca="false">('Input data meat and eggs'!S424*'Input data meat and eggs'!B48+'Input data meat and eggs'!T424*'Input data meat and eggs'!B47+'Input data meat and eggs'!U424*'Input data meat and eggs'!B35+'Input data meat and eggs'!V424*SUMPRODUCT('Input data meat and eggs'!B37:B46,'Input data meat and eggs'!F65:F74))*'Input data meat and eggs'!$E$424/'Input data meat and eggs'!$H$424</f>
        <v>2.00563873697424</v>
      </c>
      <c r="I196" s="146" t="n">
        <v>0</v>
      </c>
      <c r="J196" s="146" t="n">
        <v>0</v>
      </c>
      <c r="K196" s="146" t="n">
        <v>0</v>
      </c>
      <c r="L196" s="146" t="n">
        <v>0</v>
      </c>
      <c r="M196" s="146" t="n">
        <f aca="false">(('Input data meat and eggs'!S424+'Input data meat and eggs'!T424)*'Common input data'!F13+ 'Input data meat and eggs'!U424*'Common input data'!B13+'Input data meat and eggs'!V424*('Input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eggs'!$E$424/'Input data meat and eggs'!$H$424</f>
        <v>-0.083284715875069</v>
      </c>
      <c r="N196" s="146" t="n">
        <f aca="false">('Input data meat and eggs'!V424*('Input data meat and eggs'!F67*'Common input data'!B21*'Common input data'!G30/'Common input data'!F30+'Input data meat and eggs'!F71*'Common input data'!C21*'Common input data'!J31/'Common input data'!I31))*'Input data meat and eggs'!$E$424/'Input data meat and eggs'!$H$424</f>
        <v>0.0464598406673523</v>
      </c>
      <c r="O196" s="146" t="n">
        <f aca="false">'Input data meat and eggs'!B83*'Common input data'!C63</f>
        <v>2.28625</v>
      </c>
      <c r="P196" s="146" t="n">
        <f aca="false">'Input data meat and eggs'!B92*'Common input data'!C63+'Input data meat and eggs'!C92*3.6*'Common input data'!B49</f>
        <v>0.607562264150943</v>
      </c>
      <c r="Q196" s="146" t="n">
        <f aca="false">(F196+P196)</f>
        <v>4.86262612591747</v>
      </c>
      <c r="R196" s="146" t="n">
        <f aca="false">'Common input data'!B92</f>
        <v>0.1</v>
      </c>
      <c r="S196" s="146" t="n">
        <f aca="false">'Common input data'!B99+'Common input data'!C99</f>
        <v>0.13</v>
      </c>
      <c r="T196" s="74"/>
    </row>
    <row r="197" customFormat="false" ht="14.4" hidden="false" customHeight="false" outlineLevel="0" collapsed="false">
      <c r="A197" s="192"/>
      <c r="B197" s="167"/>
      <c r="C197" s="89"/>
      <c r="D197" s="85" t="s">
        <v>135</v>
      </c>
      <c r="E197" s="86" t="n">
        <f aca="false">SUM(I197:L197)</f>
        <v>0.210275977965203</v>
      </c>
      <c r="F197" s="87" t="n">
        <f aca="false">SUM(H197:L197,O197)</f>
        <v>0.211193897039544</v>
      </c>
      <c r="G197" s="88" t="n">
        <f aca="false">SUM(Q197:S197)/(1-'Common input data'!B$126)</f>
        <v>0.231686207859481</v>
      </c>
      <c r="H197" s="146" t="n">
        <f aca="false">('Input data meat and eggs'!S424*'Input data meat and eggs'!C48+'Input data meat and eggs'!T424*'Input data meat and eggs'!C47+'Input data meat and eggs'!U424*'Input data meat and eggs'!C35+'Input data meat and eggs'!V424*SUMPRODUCT('Input data meat and eggs'!C37:C46,'Input data meat and eggs'!F65:F74))*'Input data meat and eggs'!$E$424/'Input data meat and eggs'!$H$424</f>
        <v>0.000917919074341584</v>
      </c>
      <c r="I197" s="146" t="n">
        <v>0</v>
      </c>
      <c r="J197" s="146" t="n">
        <f aca="false">('Input data meat and eggs'!M424*'Input data meat and eggs'!G424/12*'Input data meat and eggs'!$C$450*'Input data meat and eggs'!$C$452*'Input data meat and eggs'!$C$453* ('Input data meat and eggs'!$O$424*'Input data meat and eggs'!$B$443 +'Input data meat and eggs'!$P$424*'Input data meat and eggs'!$C$443+ 'Input data meat and eggs'!$Q$424*'Input data meat and eggs'!$D$443+ 'Input data meat and eggs'!$R$424*'Input data meat and eggs'!$E$443))*'Input data meat and eggs'!$E$424/'Input data meat and eggs'!$H$424</f>
        <v>0.0213580023980126</v>
      </c>
      <c r="K197" s="146" t="n">
        <v>0</v>
      </c>
      <c r="L197" s="146" t="n">
        <f aca="false">('Input data meat and eggs'!L424*'Input data meat and eggs'!G424/12)*'Input data meat and eggs'!$E$424/'Input data meat and eggs'!$H$424</f>
        <v>0.18891797556719</v>
      </c>
      <c r="M197" s="146" t="n">
        <v>0</v>
      </c>
      <c r="N197" s="146" t="n">
        <v>0</v>
      </c>
      <c r="O197" s="146" t="n">
        <v>0</v>
      </c>
      <c r="P197" s="146" t="n">
        <f aca="false">'Input data meat and eggs'!C92*3.6*'Common input data'!B50</f>
        <v>0.000103924528301887</v>
      </c>
      <c r="Q197" s="146" t="n">
        <f aca="false">(F197+P197)</f>
        <v>0.211297821567846</v>
      </c>
      <c r="R197" s="146" t="n">
        <v>0</v>
      </c>
      <c r="S197" s="146" t="n">
        <v>0</v>
      </c>
      <c r="T197" s="74"/>
    </row>
    <row r="198" customFormat="false" ht="14.4" hidden="false" customHeight="false" outlineLevel="0" collapsed="false">
      <c r="A198" s="192"/>
      <c r="B198" s="167"/>
      <c r="C198" s="89"/>
      <c r="D198" s="31" t="s">
        <v>136</v>
      </c>
      <c r="E198" s="86" t="n">
        <f aca="false">SUM(I198:L198)</f>
        <v>0.00944402520255858</v>
      </c>
      <c r="F198" s="87" t="n">
        <f aca="false">SUM(H198:L198,O198)</f>
        <v>0.0119669666781574</v>
      </c>
      <c r="G198" s="88" t="n">
        <f aca="false">SUM(Q198:S198)/(1-'Common input data'!B$126)</f>
        <v>0.0131322968789793</v>
      </c>
      <c r="H198" s="146" t="n">
        <f aca="false">(('Input data meat and eggs'!S424*'Input data meat and eggs'!D48+'Input data meat and eggs'!T424*'Input data meat and eggs'!D47+'Input data meat and eggs'!U424*'Input data meat and eggs'!D35+'Input data meat and eggs'!V424*SUMPRODUCT('Input data meat and eggs'!D37:D46,'Input data meat and eggs'!F65:F74))*'Input data meat and eggs'!B58)*'Input data meat and eggs'!$E$424/'Input data meat and eggs'!$H$424</f>
        <v>0.00252294147559886</v>
      </c>
      <c r="I198" s="146" t="n">
        <f aca="false">(('Input data meat and eggs'!S424*'Input data meat and eggs'!D48+'Input data meat and eggs'!T424*'Input data meat and eggs'!D47+'Input data meat and eggs'!U424*'Input data meat and eggs'!D35+'Input data meat and eggs'!V424*SUMPRODUCT('Input data meat and eggs'!D37:D46,'Input data meat and eggs'!F65:F74))*'Input data meat and eggs'!C58)*'Input data meat and eggs'!$E$424/'Input data meat and eggs'!$H$424</f>
        <v>0.00637697914111906</v>
      </c>
      <c r="J198" s="146" t="n">
        <f aca="false">('Input data meat and eggs'!K424*'Input data meat and eggs'!G424/12*('Input data meat and eggs'!$O$424*'Input data meat and eggs'!$B$445+'Input data meat and eggs'!$P$424*'Input data meat and eggs'!$C$445+'Input data meat and eggs'!$Q$424*'Input data meat and eggs'!$D$445+'Input data meat and eggs'!$R$424*'Input data meat and eggs'!$E$445)*44/28)*'Input data meat and eggs'!$E$424/'Input data meat and eggs'!$H$424</f>
        <v>0.00181632456155863</v>
      </c>
      <c r="K198" s="146" t="n">
        <f aca="false">('Input data meat and eggs'!$B$446*44/28*'Input data meat and eggs'!K424*'Input data meat and eggs'!G424/12*('Input data meat and eggs'!O424*'Input data meat and eggs'!B458+'Input data meat and eggs'!P424*'Input data meat and eggs'!C458+'Input data meat and eggs'!Q424*'Input data meat and eggs'!D458))*'Input data meat and eggs'!$E$424/'Input data meat and eggs'!$H$424</f>
        <v>0.00125072149988089</v>
      </c>
      <c r="L198" s="146" t="n">
        <v>0</v>
      </c>
      <c r="M198" s="146" t="n">
        <v>0</v>
      </c>
      <c r="N198" s="146" t="n">
        <v>0</v>
      </c>
      <c r="O198" s="146" t="n">
        <v>0</v>
      </c>
      <c r="P198" s="146" t="n">
        <f aca="false">'Input data meat and eggs'!C92*3.6*'Common input data'!B51</f>
        <v>9.68807547169811E-006</v>
      </c>
      <c r="Q198" s="146" t="n">
        <f aca="false">(F198+P198)</f>
        <v>0.0119766547536291</v>
      </c>
      <c r="R198" s="146" t="n">
        <v>0</v>
      </c>
      <c r="S198" s="146" t="n">
        <v>0</v>
      </c>
      <c r="T198" s="74"/>
    </row>
    <row r="199" s="83" customFormat="true" ht="14.4" hidden="false" customHeight="false" outlineLevel="0" collapsed="false">
      <c r="A199" s="193"/>
      <c r="B199" s="76" t="s">
        <v>170</v>
      </c>
      <c r="C199" s="98" t="n">
        <v>0.00582730871942333</v>
      </c>
      <c r="D199" s="78" t="s">
        <v>133</v>
      </c>
      <c r="E199" s="94" t="n">
        <f aca="false">IF($F$1="GWP100 without fb",E200+E201*'Common input data'!$C$5+E202*'Common input data'!$D$5,IF($F$1="GWP100 with fb",E200+E201*'Common input data'!$C$6+E202*'Common input data'!$D$6,IF($F$1="GTP100 without fb",E200+E201*'Common input data'!$C$7+E202*'Common input data'!$D$7,IF($F$1="GTP100 with fb",E200+E201*'Common input data'!$C$8+E202*'Common input data'!$D$8,E200+E201*'Common input data'!$C$9+E202*'Common input data'!$D$9))))</f>
        <v>10.2041398282051</v>
      </c>
      <c r="F199" s="95" t="n">
        <f aca="false">IF($F$1="GWP100 without fb",F200+F201*'Common input data'!$C$5+F202*'Common input data'!$D$5,IF($F$1="GWP100 with fb",F200+F201*'Common input data'!$C$6+F202*'Common input data'!$D$6,IF($F$1="GTP100 without fb",F200+F201*'Common input data'!$C$7+F202*'Common input data'!$D$7,IF($F$1="GTP100 with fb",F200+F201*'Common input data'!$C$8+F202*'Common input data'!$D$8,F200+F201*'Common input data'!$C$9+F202*'Common input data'!$D$9))))</f>
        <v>14.5934247294156</v>
      </c>
      <c r="G199" s="96" t="n">
        <f aca="false">IF($F$1="GWP100 without fb",G200+G201*'Common input data'!$C$5+G202*'Common input data'!$D$5,IF($F$1="GWP100 with fb",G200+G201*'Common input data'!$C$6+G202*'Common input data'!$D$6,IF($F$1="GTP100 without fb",G200+G201*'Common input data'!$C$7+G202*'Common input data'!$D$7,IF($F$1="GTP100 with fb",G200+G201*'Common input data'!$C$8+G202*'Common input data'!$D$8,G200+G201*'Common input data'!$C$9+G202*'Common input data'!$D$9))))</f>
        <v>16.9269818794073</v>
      </c>
      <c r="H199" s="180"/>
      <c r="I199" s="180"/>
      <c r="J199" s="180"/>
      <c r="K199" s="180"/>
      <c r="L199" s="180"/>
      <c r="M199" s="180"/>
      <c r="N199" s="180"/>
      <c r="O199" s="180"/>
      <c r="P199" s="180"/>
      <c r="Q199" s="180"/>
      <c r="R199" s="180"/>
      <c r="S199" s="180"/>
      <c r="T199" s="74"/>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c r="EU199" s="30"/>
      <c r="EV199" s="30"/>
      <c r="EW199" s="30"/>
      <c r="EX199" s="30"/>
      <c r="EY199" s="30"/>
      <c r="EZ199" s="30"/>
      <c r="FA199" s="30"/>
      <c r="FB199" s="30"/>
      <c r="FC199" s="30"/>
      <c r="FD199" s="30"/>
      <c r="FE199" s="30"/>
      <c r="FF199" s="30"/>
      <c r="FG199" s="30"/>
      <c r="FH199" s="30"/>
      <c r="FI199" s="30"/>
      <c r="FJ199" s="30"/>
      <c r="FK199" s="30"/>
      <c r="FL199" s="30"/>
      <c r="FM199" s="30"/>
      <c r="FN199" s="30"/>
      <c r="FO199" s="30"/>
      <c r="FP199" s="30"/>
      <c r="FQ199" s="30"/>
      <c r="FR199" s="30"/>
      <c r="FS199" s="30"/>
      <c r="FT199" s="30"/>
      <c r="FU199" s="30"/>
      <c r="FV199" s="30"/>
      <c r="FW199" s="30"/>
      <c r="FX199" s="30"/>
      <c r="FY199" s="30"/>
      <c r="FZ199" s="30"/>
      <c r="GA199" s="30"/>
      <c r="GB199" s="30"/>
      <c r="GC199" s="30"/>
      <c r="GD199" s="30"/>
      <c r="GE199" s="30"/>
      <c r="GF199" s="30"/>
      <c r="GG199" s="30"/>
      <c r="GH199" s="30"/>
      <c r="GI199" s="30"/>
      <c r="GJ199" s="30"/>
      <c r="GK199" s="30"/>
      <c r="GL199" s="30"/>
      <c r="GM199" s="30"/>
      <c r="GN199" s="30"/>
      <c r="GO199" s="30"/>
      <c r="GP199" s="30"/>
      <c r="GQ199" s="30"/>
      <c r="GR199" s="30"/>
      <c r="GS199" s="30"/>
      <c r="GT199" s="30"/>
      <c r="GU199" s="30"/>
      <c r="GV199" s="30"/>
      <c r="GW199" s="30"/>
      <c r="GX199" s="30"/>
      <c r="GY199" s="30"/>
      <c r="GZ199" s="30"/>
      <c r="HA199" s="30"/>
      <c r="HB199" s="30"/>
      <c r="HC199" s="30"/>
      <c r="HD199" s="30"/>
      <c r="HE199" s="30"/>
      <c r="HF199" s="30"/>
      <c r="HG199" s="30"/>
      <c r="HH199" s="30"/>
      <c r="HI199" s="30"/>
      <c r="HJ199" s="30"/>
      <c r="HK199" s="30"/>
      <c r="HL199" s="30"/>
      <c r="HM199" s="30"/>
      <c r="HN199" s="30"/>
      <c r="HO199" s="30"/>
      <c r="HP199" s="30"/>
      <c r="HQ199" s="30"/>
      <c r="HR199" s="30"/>
      <c r="HS199" s="30"/>
      <c r="HT199" s="30"/>
      <c r="HU199" s="30"/>
      <c r="HV199" s="30"/>
      <c r="HW199" s="30"/>
      <c r="HX199" s="30"/>
      <c r="HY199" s="30"/>
      <c r="HZ199" s="30"/>
      <c r="IA199" s="30"/>
      <c r="IB199" s="30"/>
      <c r="IC199" s="30"/>
      <c r="ID199" s="30"/>
      <c r="IE199" s="30"/>
      <c r="IF199" s="30"/>
      <c r="IG199" s="30"/>
      <c r="IH199" s="30"/>
      <c r="II199" s="30"/>
      <c r="IJ199" s="30"/>
      <c r="IK199" s="30"/>
      <c r="IL199" s="30"/>
      <c r="IM199" s="30"/>
      <c r="IN199" s="30"/>
      <c r="IO199" s="30"/>
      <c r="IP199" s="30"/>
      <c r="IQ199" s="30"/>
      <c r="IR199" s="30"/>
      <c r="IS199" s="30"/>
      <c r="IT199" s="30"/>
      <c r="IU199" s="30"/>
      <c r="IV199" s="30"/>
      <c r="IW199" s="30"/>
      <c r="IX199" s="30"/>
      <c r="IY199" s="30"/>
      <c r="IZ199" s="30"/>
      <c r="JA199" s="30"/>
      <c r="JB199" s="30"/>
      <c r="JC199" s="30"/>
      <c r="JD199" s="30"/>
      <c r="JE199" s="30"/>
      <c r="JF199" s="30"/>
      <c r="JG199" s="30"/>
      <c r="JH199" s="30"/>
      <c r="JI199" s="30"/>
      <c r="JJ199" s="30"/>
      <c r="JK199" s="30"/>
      <c r="JL199" s="30"/>
      <c r="JM199" s="30"/>
      <c r="JN199" s="30"/>
      <c r="JO199" s="30"/>
      <c r="JP199" s="30"/>
      <c r="JQ199" s="30"/>
      <c r="JR199" s="30"/>
      <c r="JS199" s="30"/>
      <c r="JT199" s="30"/>
      <c r="JU199" s="30"/>
      <c r="JV199" s="30"/>
      <c r="JW199" s="30"/>
      <c r="JX199" s="30"/>
      <c r="JY199" s="30"/>
      <c r="JZ199" s="30"/>
      <c r="KA199" s="30"/>
      <c r="KB199" s="30"/>
      <c r="KC199" s="30"/>
      <c r="KD199" s="30"/>
      <c r="KE199" s="30"/>
      <c r="KF199" s="30"/>
      <c r="KG199" s="30"/>
      <c r="KH199" s="30"/>
      <c r="KI199" s="30"/>
      <c r="KJ199" s="30"/>
      <c r="KK199" s="30"/>
      <c r="KL199" s="30"/>
      <c r="KM199" s="30"/>
      <c r="KN199" s="30"/>
      <c r="KO199" s="30"/>
      <c r="KP199" s="30"/>
      <c r="KQ199" s="30"/>
      <c r="KR199" s="30"/>
      <c r="KS199" s="30"/>
      <c r="KT199" s="30"/>
      <c r="KU199" s="30"/>
      <c r="KV199" s="30"/>
      <c r="KW199" s="30"/>
      <c r="KX199" s="30"/>
      <c r="KY199" s="30"/>
      <c r="KZ199" s="30"/>
      <c r="LA199" s="30"/>
      <c r="LB199" s="30"/>
      <c r="LC199" s="30"/>
      <c r="LD199" s="30"/>
      <c r="LE199" s="30"/>
      <c r="LF199" s="30"/>
      <c r="LG199" s="30"/>
      <c r="LH199" s="30"/>
      <c r="LI199" s="30"/>
      <c r="LJ199" s="30"/>
      <c r="LK199" s="30"/>
      <c r="LL199" s="30"/>
      <c r="LM199" s="30"/>
      <c r="LN199" s="30"/>
      <c r="LO199" s="30"/>
      <c r="LP199" s="30"/>
      <c r="LQ199" s="30"/>
      <c r="LR199" s="30"/>
      <c r="LS199" s="30"/>
      <c r="LT199" s="30"/>
      <c r="LU199" s="30"/>
      <c r="LV199" s="30"/>
      <c r="LW199" s="30"/>
      <c r="LX199" s="30"/>
      <c r="LY199" s="30"/>
      <c r="LZ199" s="30"/>
      <c r="MA199" s="30"/>
      <c r="MB199" s="30"/>
      <c r="MC199" s="30"/>
      <c r="MD199" s="30"/>
      <c r="ME199" s="30"/>
      <c r="MF199" s="30"/>
      <c r="MG199" s="30"/>
      <c r="MH199" s="30"/>
      <c r="MI199" s="30"/>
      <c r="MJ199" s="30"/>
      <c r="MK199" s="30"/>
      <c r="ML199" s="30"/>
      <c r="MM199" s="30"/>
      <c r="MN199" s="30"/>
      <c r="MO199" s="30"/>
      <c r="MP199" s="30"/>
      <c r="MQ199" s="30"/>
      <c r="MR199" s="30"/>
      <c r="MS199" s="30"/>
      <c r="MT199" s="30"/>
      <c r="MU199" s="30"/>
      <c r="MV199" s="30"/>
      <c r="MW199" s="30"/>
      <c r="MX199" s="30"/>
      <c r="MY199" s="30"/>
      <c r="MZ199" s="30"/>
      <c r="NA199" s="30"/>
      <c r="NB199" s="30"/>
      <c r="NC199" s="30"/>
      <c r="ND199" s="30"/>
      <c r="NE199" s="30"/>
      <c r="NF199" s="30"/>
      <c r="NG199" s="30"/>
      <c r="NH199" s="30"/>
      <c r="NI199" s="30"/>
      <c r="NJ199" s="30"/>
      <c r="NK199" s="30"/>
      <c r="NL199" s="30"/>
      <c r="NM199" s="30"/>
      <c r="NN199" s="30"/>
      <c r="NO199" s="30"/>
      <c r="NP199" s="30"/>
      <c r="NQ199" s="30"/>
      <c r="NR199" s="30"/>
      <c r="NS199" s="30"/>
      <c r="NT199" s="30"/>
      <c r="NU199" s="30"/>
      <c r="NV199" s="30"/>
      <c r="NW199" s="30"/>
      <c r="NX199" s="30"/>
      <c r="NY199" s="30"/>
      <c r="NZ199" s="30"/>
      <c r="OA199" s="30"/>
      <c r="OB199" s="30"/>
      <c r="OC199" s="30"/>
      <c r="OD199" s="30"/>
      <c r="OE199" s="30"/>
      <c r="OF199" s="30"/>
      <c r="OG199" s="30"/>
      <c r="OH199" s="30"/>
      <c r="OI199" s="30"/>
      <c r="OJ199" s="30"/>
      <c r="OK199" s="30"/>
      <c r="OL199" s="30"/>
    </row>
    <row r="200" customFormat="false" ht="14.4" hidden="false" customHeight="false" outlineLevel="0" collapsed="false">
      <c r="A200" s="192"/>
      <c r="B200" s="167"/>
      <c r="C200" s="189"/>
      <c r="D200" s="85" t="s">
        <v>134</v>
      </c>
      <c r="E200" s="86" t="n">
        <f aca="false">IF(AND($F$2="No",$F$3="No"),SUM(I200:L200),IF(AND($F$2="Yes", $F$3="No"), SUM(I200:L200)+N200, IF(AND($F$2="No", $F$3="Yes"),SUM(I200:L200)+M200, SUM(I200:L200)+N200+M200)))</f>
        <v>0.449145265915702</v>
      </c>
      <c r="F200" s="87" t="n">
        <f aca="false">IF(AND($F$2="No",$F$3="No"),SUM(H200:L200,O200),IF(AND($F$2="Yes", $F$3="No"), SUM(H200:L200,O200)+N200, IF(AND($F$2="No", $F$3="Yes"),SUM(H200:L200,O200)+M200, SUM(H200:L200,O200)+N200+M200)))</f>
        <v>4.30959536541801</v>
      </c>
      <c r="G200" s="88" t="n">
        <f aca="false">SUM(Q200:S200)/(1-'Common input data'!B$126)</f>
        <v>5.64381319031683</v>
      </c>
      <c r="H200" s="146" t="n">
        <f aca="false">('Input data meat and eggs'!S425*'Input data meat and eggs'!B48+'Input data meat and eggs'!T425*'Input data meat and eggs'!B47+'Input data meat and eggs'!U425*'Input data meat and eggs'!B35+'Input data meat and eggs'!V425*SUMPRODUCT('Input data meat and eggs'!B37:B46,'Input data meat and eggs'!F65:F74))*'Input data meat and eggs'!$E$425/'Input data meat and eggs'!$H$425</f>
        <v>1.57420009950231</v>
      </c>
      <c r="I200" s="146" t="n">
        <v>0</v>
      </c>
      <c r="J200" s="146" t="n">
        <v>0</v>
      </c>
      <c r="K200" s="146" t="n">
        <v>0</v>
      </c>
      <c r="L200" s="146" t="n">
        <v>0</v>
      </c>
      <c r="M200" s="146" t="n">
        <f aca="false">(('Input data meat and eggs'!S425+'Input data meat and eggs'!T425)*'Common input data'!F13+ 'Input data meat and eggs'!U425*'Common input data'!B13+'Input data meat and eggs'!V425*('Input data meat and eggs'!F65*'Common input data'!B13*'Common input data'!G28/'Common input data'!F28+'Input data meat and eggs'!F67*'Common input data'!F13*'Common input data'!J31/'Common input data'!I31+'Common input data'!D13*('Input data meat and eggs'!F68+'Input data meat and eggs'!F69*'Common input data'!G26/'Common input data'!F26)+'Common input data'!C13*('Input data meat and eggs'!F71*'Common input data'!G30/'Common input data'!F30+'Input data meat and eggs'!F72)+'Input data meat and eggs'!F73*'Common input data'!E13*'Common input data'!G29/'Common input data'!F29))*'Input data meat and eggs'!$E$425/'Input data meat and eggs'!$H$425</f>
        <v>0.207131732257585</v>
      </c>
      <c r="N200" s="146" t="n">
        <f aca="false">('Input data meat and eggs'!V425*('Input data meat and eggs'!F67*'Common input data'!B21*'Common input data'!G30/'Common input data'!F30+'Input data meat and eggs'!F71*'Common input data'!C21*'Common input data'!J31/'Common input data'!I31))*'Input data meat and eggs'!$E$425/'Input data meat and eggs'!$H$425</f>
        <v>0.242013533658117</v>
      </c>
      <c r="O200" s="146" t="n">
        <f aca="false">'Input data meat and eggs'!B83*'Common input data'!C63</f>
        <v>2.28625</v>
      </c>
      <c r="P200" s="146" t="n">
        <f aca="false">'Input data meat and eggs'!B92*'Common input data'!C63+'Input data meat and eggs'!C92*3.6*'Common input data'!B49</f>
        <v>0.607562264150943</v>
      </c>
      <c r="Q200" s="146" t="n">
        <f aca="false">(F200+P200)</f>
        <v>4.91715762956895</v>
      </c>
      <c r="R200" s="146" t="n">
        <f aca="false">'Common input data'!B92</f>
        <v>0.1</v>
      </c>
      <c r="S200" s="146" t="n">
        <f aca="false">'Common input data'!B99+'Common input data'!C99</f>
        <v>0.13</v>
      </c>
      <c r="T200" s="74"/>
    </row>
    <row r="201" customFormat="false" ht="14.4" hidden="false" customHeight="false" outlineLevel="0" collapsed="false">
      <c r="A201" s="192"/>
      <c r="B201" s="167"/>
      <c r="C201" s="189"/>
      <c r="D201" s="85" t="s">
        <v>135</v>
      </c>
      <c r="E201" s="86" t="n">
        <f aca="false">SUM(I201:L201)</f>
        <v>0.224686499532049</v>
      </c>
      <c r="F201" s="87" t="n">
        <f aca="false">SUM(H201:L201,O201)</f>
        <v>0.226986332721679</v>
      </c>
      <c r="G201" s="88" t="n">
        <f aca="false">SUM(Q201:S201)/(1-'Common input data'!B$126)</f>
        <v>0.249002475054804</v>
      </c>
      <c r="H201" s="146" t="n">
        <f aca="false">('Input data meat and eggs'!S425*'Input data meat and eggs'!C48+'Input data meat and eggs'!T425*'Input data meat and eggs'!C47+'Input data meat and eggs'!U425*'Input data meat and eggs'!C35+'Input data meat and eggs'!V425*SUMPRODUCT('Input data meat and eggs'!C37:C46,'Input data meat and eggs'!F65:F74))*'Input data meat and eggs'!$E$425/'Input data meat and eggs'!$H$425</f>
        <v>0.00229983318963032</v>
      </c>
      <c r="I201" s="146" t="n">
        <v>0</v>
      </c>
      <c r="J201" s="146" t="n">
        <f aca="false">('Input data meat and eggs'!M425*'Input data meat and eggs'!G425/12*'Input data meat and eggs'!$C$450*'Input data meat and eggs'!$C$452*'Input data meat and eggs'!$C$453* ('Input data meat and eggs'!$O$425*'Input data meat and eggs'!$B$443 +'Input data meat and eggs'!$P$425*'Input data meat and eggs'!$C$443+ 'Input data meat and eggs'!$Q$425*'Input data meat and eggs'!$D$443+ 'Input data meat and eggs'!$R$425*'Input data meat and eggs'!$E$443))*'Input data meat and eggs'!$E$425/'Input data meat and eggs'!$H$425</f>
        <v>0.022821697667247</v>
      </c>
      <c r="K201" s="146" t="n">
        <v>0</v>
      </c>
      <c r="L201" s="146" t="n">
        <f aca="false">('Input data meat and eggs'!L425*'Input data meat and eggs'!G425/12)*'Input data meat and eggs'!$E$425/'Input data meat and eggs'!$H$425</f>
        <v>0.201864801864802</v>
      </c>
      <c r="M201" s="146" t="n">
        <v>0</v>
      </c>
      <c r="N201" s="146" t="n">
        <v>0</v>
      </c>
      <c r="O201" s="146" t="n">
        <v>0</v>
      </c>
      <c r="P201" s="146" t="n">
        <f aca="false">'Input data meat and eggs'!C92*3.6*'Common input data'!B50</f>
        <v>0.000103924528301887</v>
      </c>
      <c r="Q201" s="146" t="n">
        <f aca="false">(F201+P201)</f>
        <v>0.227090257249981</v>
      </c>
      <c r="R201" s="146" t="n">
        <v>0</v>
      </c>
      <c r="S201" s="146" t="n">
        <v>0</v>
      </c>
      <c r="T201" s="74"/>
    </row>
    <row r="202" customFormat="false" ht="14.4" hidden="false" customHeight="false" outlineLevel="0" collapsed="false">
      <c r="A202" s="192"/>
      <c r="B202" s="167"/>
      <c r="C202" s="189"/>
      <c r="D202" s="31" t="s">
        <v>136</v>
      </c>
      <c r="E202" s="86" t="n">
        <f aca="false">SUM(I202:L202)</f>
        <v>0.00709950865167681</v>
      </c>
      <c r="F202" s="87" t="n">
        <f aca="false">SUM(H202:L202,O202)</f>
        <v>0.00861172500490115</v>
      </c>
      <c r="G202" s="88" t="n">
        <f aca="false">SUM(Q202:S202)/(1-'Common input data'!B$126)</f>
        <v>0.0094533038161983</v>
      </c>
      <c r="H202" s="146" t="n">
        <f aca="false">(('Input data meat and eggs'!S425*'Input data meat and eggs'!D48+'Input data meat and eggs'!T425*'Input data meat and eggs'!D47+'Input data meat and eggs'!U425*'Input data meat and eggs'!D35+'Input data meat and eggs'!V425*SUMPRODUCT('Input data meat and eggs'!D37:D46,'Input data meat and eggs'!F65:F74))*'Input data meat and eggs'!B58)*'Input data meat and eggs'!$E$425/'Input data meat and eggs'!$H$425</f>
        <v>0.00151221635322434</v>
      </c>
      <c r="I202" s="146" t="n">
        <f aca="false">(('Input data meat and eggs'!S425*'Input data meat and eggs'!D48+'Input data meat and eggs'!T425*'Input data meat and eggs'!D47+'Input data meat and eggs'!U425*'Input data meat and eggs'!D35+'Input data meat and eggs'!V425*SUMPRODUCT('Input data meat and eggs'!D37:D46,'Input data meat and eggs'!F65:F74))*'Input data meat and eggs'!C58)*'Input data meat and eggs'!$E$425/'Input data meat and eggs'!$H$425</f>
        <v>0.00382227341959318</v>
      </c>
      <c r="J202" s="146" t="n">
        <f aca="false">('Input data meat and eggs'!K425*'Input data meat and eggs'!G425/12*('Input data meat and eggs'!$O$425*'Input data meat and eggs'!$B$445+'Input data meat and eggs'!$P$425*'Input data meat and eggs'!$C$445+'Input data meat and eggs'!$Q$425*'Input data meat and eggs'!$D$445+'Input data meat and eggs'!$R$425*'Input data meat and eggs'!$E$445)*44/28)*'Input data meat and eggs'!$E$425/'Input data meat and eggs'!$H$425</f>
        <v>0.00194079995109202</v>
      </c>
      <c r="K202" s="146" t="n">
        <f aca="false">('Input data meat and eggs'!$B$446*44/28*'Input data meat and eggs'!K425*'Input data meat and eggs'!G425/12*('Input data meat and eggs'!O425*'Input data meat and eggs'!B458+'Input data meat and eggs'!P425*'Input data meat and eggs'!C458+'Input data meat and eggs'!Q425*'Input data meat and eggs'!D458))*'Input data meat and eggs'!$E$425/'Input data meat and eggs'!$H$425</f>
        <v>0.00133643528099161</v>
      </c>
      <c r="L202" s="146" t="n">
        <v>0</v>
      </c>
      <c r="M202" s="146" t="n">
        <v>0</v>
      </c>
      <c r="N202" s="146" t="n">
        <v>0</v>
      </c>
      <c r="O202" s="146" t="n">
        <v>0</v>
      </c>
      <c r="P202" s="146" t="n">
        <f aca="false">'Input data meat and eggs'!C92*3.6*'Common input data'!B51</f>
        <v>9.68807547169811E-006</v>
      </c>
      <c r="Q202" s="146" t="n">
        <f aca="false">(F202+P202)</f>
        <v>0.00862141308037284</v>
      </c>
      <c r="R202" s="146" t="n">
        <v>0</v>
      </c>
      <c r="S202" s="146" t="n">
        <v>0</v>
      </c>
      <c r="T202" s="74"/>
    </row>
    <row r="203" s="83" customFormat="true" ht="14.4" hidden="false" customHeight="false" outlineLevel="0" collapsed="false">
      <c r="A203" s="75" t="s">
        <v>141</v>
      </c>
      <c r="B203" s="76" t="str">
        <f aca="false">'Input data meat and eggs'!C13</f>
        <v>Beef from extensive dairy production**</v>
      </c>
      <c r="C203" s="98" t="n">
        <f aca="false">'Input data meat and eggs'!D13</f>
        <v>0.152349105218509</v>
      </c>
      <c r="D203" s="78" t="s">
        <v>133</v>
      </c>
      <c r="E203" s="94" t="n">
        <f aca="false">IF($F$1="GWP100 without fb",E204+E205*'Common input data'!$C$5+E206*'Common input data'!$D$5,IF($F$1="GWP100 with fb",E204+E205*'Common input data'!$C$6+E206*'Common input data'!$D$6,IF($F$1="GTP100 without fb",E204+E205*'Common input data'!$C$7+E206*'Common input data'!$D$7,IF($F$1="GTP100 with fb",E204+E205*'Common input data'!$C$8+E206*'Common input data'!$D$8,E204+E205*'Common input data'!$C$9+E206*'Common input data'!$D$9))))</f>
        <v>17.8210662919302</v>
      </c>
      <c r="F203" s="95" t="n">
        <f aca="false">IF($F$1="GWP100 without fb",F204+F205*'Common input data'!$C$5+F206*'Common input data'!$D$5,IF($F$1="GWP100 with fb",F204+F205*'Common input data'!$C$6+F206*'Common input data'!$D$6,IF($F$1="GTP100 without fb",F204+F205*'Common input data'!$C$7+F206*'Common input data'!$D$7,IF($F$1="GTP100 with fb",F204+F205*'Common input data'!$C$8+F206*'Common input data'!$D$8,F204+F205*'Common input data'!$C$9+F206*'Common input data'!$D$9))))</f>
        <v>22.5207253906737</v>
      </c>
      <c r="G203" s="96" t="n">
        <f aca="false">IF($F$1="GWP100 without fb",G204+G205*'Common input data'!$C$5+G206*'Common input data'!$D$5,IF($F$1="GWP100 with fb",G204+G205*'Common input data'!$C$6+G206*'Common input data'!$D$6,IF($F$1="GTP100 without fb",G204+G205*'Common input data'!$C$7+G206*'Common input data'!$D$7,IF($F$1="GTP100 with fb",G204+G205*'Common input data'!$C$8+G206*'Common input data'!$D$8,G204+G205*'Common input data'!$C$9+G206*'Common input data'!$D$9))))</f>
        <v>25.7288466395587</v>
      </c>
      <c r="H203" s="180"/>
      <c r="I203" s="180"/>
      <c r="J203" s="180"/>
      <c r="K203" s="180"/>
      <c r="L203" s="180"/>
      <c r="M203" s="180"/>
      <c r="N203" s="180"/>
      <c r="O203" s="180"/>
      <c r="P203" s="180"/>
      <c r="Q203" s="180"/>
      <c r="R203" s="180"/>
      <c r="S203" s="180"/>
      <c r="T203" s="74"/>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c r="FQ203" s="30"/>
      <c r="FR203" s="30"/>
      <c r="FS203" s="30"/>
      <c r="FT203" s="30"/>
      <c r="FU203" s="30"/>
      <c r="FV203" s="30"/>
      <c r="FW203" s="30"/>
      <c r="FX203" s="30"/>
      <c r="FY203" s="30"/>
      <c r="FZ203" s="30"/>
      <c r="GA203" s="30"/>
      <c r="GB203" s="30"/>
      <c r="GC203" s="30"/>
      <c r="GD203" s="30"/>
      <c r="GE203" s="30"/>
      <c r="GF203" s="30"/>
      <c r="GG203" s="30"/>
      <c r="GH203" s="30"/>
      <c r="GI203" s="30"/>
      <c r="GJ203" s="30"/>
      <c r="GK203" s="30"/>
      <c r="GL203" s="30"/>
      <c r="GM203" s="30"/>
      <c r="GN203" s="30"/>
      <c r="GO203" s="30"/>
      <c r="GP203" s="30"/>
      <c r="GQ203" s="30"/>
      <c r="GR203" s="30"/>
      <c r="GS203" s="30"/>
      <c r="GT203" s="30"/>
      <c r="GU203" s="30"/>
      <c r="GV203" s="30"/>
      <c r="GW203" s="30"/>
      <c r="GX203" s="30"/>
      <c r="GY203" s="30"/>
      <c r="GZ203" s="30"/>
      <c r="HA203" s="30"/>
      <c r="HB203" s="30"/>
      <c r="HC203" s="30"/>
      <c r="HD203" s="30"/>
      <c r="HE203" s="30"/>
      <c r="HF203" s="30"/>
      <c r="HG203" s="30"/>
      <c r="HH203" s="30"/>
      <c r="HI203" s="30"/>
      <c r="HJ203" s="30"/>
      <c r="HK203" s="30"/>
      <c r="HL203" s="30"/>
      <c r="HM203" s="30"/>
      <c r="HN203" s="30"/>
      <c r="HO203" s="30"/>
      <c r="HP203" s="30"/>
      <c r="HQ203" s="30"/>
      <c r="HR203" s="30"/>
      <c r="HS203" s="30"/>
      <c r="HT203" s="30"/>
      <c r="HU203" s="30"/>
      <c r="HV203" s="30"/>
      <c r="HW203" s="30"/>
      <c r="HX203" s="30"/>
      <c r="HY203" s="30"/>
      <c r="HZ203" s="30"/>
      <c r="IA203" s="30"/>
      <c r="IB203" s="30"/>
      <c r="IC203" s="30"/>
      <c r="ID203" s="30"/>
      <c r="IE203" s="30"/>
      <c r="IF203" s="30"/>
      <c r="IG203" s="30"/>
      <c r="IH203" s="30"/>
      <c r="II203" s="30"/>
      <c r="IJ203" s="30"/>
      <c r="IK203" s="30"/>
      <c r="IL203" s="30"/>
      <c r="IM203" s="30"/>
      <c r="IN203" s="30"/>
      <c r="IO203" s="30"/>
      <c r="IP203" s="30"/>
      <c r="IQ203" s="30"/>
      <c r="IR203" s="30"/>
      <c r="IS203" s="30"/>
      <c r="IT203" s="30"/>
      <c r="IU203" s="30"/>
      <c r="IV203" s="30"/>
      <c r="IW203" s="30"/>
      <c r="IX203" s="30"/>
      <c r="IY203" s="30"/>
      <c r="IZ203" s="30"/>
      <c r="JA203" s="30"/>
      <c r="JB203" s="30"/>
      <c r="JC203" s="30"/>
      <c r="JD203" s="30"/>
      <c r="JE203" s="30"/>
      <c r="JF203" s="30"/>
      <c r="JG203" s="30"/>
      <c r="JH203" s="30"/>
      <c r="JI203" s="30"/>
      <c r="JJ203" s="30"/>
      <c r="JK203" s="30"/>
      <c r="JL203" s="30"/>
      <c r="JM203" s="30"/>
      <c r="JN203" s="30"/>
      <c r="JO203" s="30"/>
      <c r="JP203" s="30"/>
      <c r="JQ203" s="30"/>
      <c r="JR203" s="30"/>
      <c r="JS203" s="30"/>
      <c r="JT203" s="30"/>
      <c r="JU203" s="30"/>
      <c r="JV203" s="30"/>
      <c r="JW203" s="30"/>
      <c r="JX203" s="30"/>
      <c r="JY203" s="30"/>
      <c r="JZ203" s="30"/>
      <c r="KA203" s="30"/>
      <c r="KB203" s="30"/>
      <c r="KC203" s="30"/>
      <c r="KD203" s="30"/>
      <c r="KE203" s="30"/>
      <c r="KF203" s="30"/>
      <c r="KG203" s="30"/>
      <c r="KH203" s="30"/>
      <c r="KI203" s="30"/>
      <c r="KJ203" s="30"/>
      <c r="KK203" s="30"/>
      <c r="KL203" s="30"/>
      <c r="KM203" s="30"/>
      <c r="KN203" s="30"/>
      <c r="KO203" s="30"/>
      <c r="KP203" s="30"/>
      <c r="KQ203" s="30"/>
      <c r="KR203" s="30"/>
      <c r="KS203" s="30"/>
      <c r="KT203" s="30"/>
      <c r="KU203" s="30"/>
      <c r="KV203" s="30"/>
      <c r="KW203" s="30"/>
      <c r="KX203" s="30"/>
      <c r="KY203" s="30"/>
      <c r="KZ203" s="30"/>
      <c r="LA203" s="30"/>
      <c r="LB203" s="30"/>
      <c r="LC203" s="30"/>
      <c r="LD203" s="30"/>
      <c r="LE203" s="30"/>
      <c r="LF203" s="30"/>
      <c r="LG203" s="30"/>
      <c r="LH203" s="30"/>
      <c r="LI203" s="30"/>
      <c r="LJ203" s="30"/>
      <c r="LK203" s="30"/>
      <c r="LL203" s="30"/>
      <c r="LM203" s="30"/>
      <c r="LN203" s="30"/>
      <c r="LO203" s="30"/>
      <c r="LP203" s="30"/>
      <c r="LQ203" s="30"/>
      <c r="LR203" s="30"/>
      <c r="LS203" s="30"/>
      <c r="LT203" s="30"/>
      <c r="LU203" s="30"/>
      <c r="LV203" s="30"/>
      <c r="LW203" s="30"/>
      <c r="LX203" s="30"/>
      <c r="LY203" s="30"/>
      <c r="LZ203" s="30"/>
      <c r="MA203" s="30"/>
      <c r="MB203" s="30"/>
      <c r="MC203" s="30"/>
      <c r="MD203" s="30"/>
      <c r="ME203" s="30"/>
      <c r="MF203" s="30"/>
      <c r="MG203" s="30"/>
      <c r="MH203" s="30"/>
      <c r="MI203" s="30"/>
      <c r="MJ203" s="30"/>
      <c r="MK203" s="30"/>
      <c r="ML203" s="30"/>
      <c r="MM203" s="30"/>
      <c r="MN203" s="30"/>
      <c r="MO203" s="30"/>
      <c r="MP203" s="30"/>
      <c r="MQ203" s="30"/>
      <c r="MR203" s="30"/>
      <c r="MS203" s="30"/>
      <c r="MT203" s="30"/>
      <c r="MU203" s="30"/>
      <c r="MV203" s="30"/>
      <c r="MW203" s="30"/>
      <c r="MX203" s="30"/>
      <c r="MY203" s="30"/>
      <c r="MZ203" s="30"/>
      <c r="NA203" s="30"/>
      <c r="NB203" s="30"/>
      <c r="NC203" s="30"/>
      <c r="ND203" s="30"/>
      <c r="NE203" s="30"/>
      <c r="NF203" s="30"/>
      <c r="NG203" s="30"/>
      <c r="NH203" s="30"/>
      <c r="NI203" s="30"/>
      <c r="NJ203" s="30"/>
      <c r="NK203" s="30"/>
      <c r="NL203" s="30"/>
      <c r="NM203" s="30"/>
      <c r="NN203" s="30"/>
      <c r="NO203" s="30"/>
      <c r="NP203" s="30"/>
      <c r="NQ203" s="30"/>
      <c r="NR203" s="30"/>
      <c r="NS203" s="30"/>
      <c r="NT203" s="30"/>
      <c r="NU203" s="30"/>
      <c r="NV203" s="30"/>
      <c r="NW203" s="30"/>
      <c r="NX203" s="30"/>
      <c r="NY203" s="30"/>
      <c r="NZ203" s="30"/>
      <c r="OA203" s="30"/>
      <c r="OB203" s="30"/>
      <c r="OC203" s="30"/>
      <c r="OD203" s="30"/>
      <c r="OE203" s="30"/>
      <c r="OF203" s="30"/>
      <c r="OG203" s="30"/>
      <c r="OH203" s="30"/>
      <c r="OI203" s="30"/>
      <c r="OJ203" s="30"/>
      <c r="OK203" s="30"/>
      <c r="OL203" s="30"/>
    </row>
    <row r="204" customFormat="false" ht="14.4" hidden="false" customHeight="false" outlineLevel="0" collapsed="false">
      <c r="A204" s="192"/>
      <c r="B204" s="167"/>
      <c r="C204" s="189"/>
      <c r="D204" s="85" t="s">
        <v>134</v>
      </c>
      <c r="E204" s="86" t="n">
        <f aca="false">IF(AND($F$2="No",$F$3="No"),SUM(I204:L204),IF(AND($F$2="Yes", $F$3="No"), SUM(I204:L204)+N204, IF(AND($F$2="No", $F$3="Yes"),SUM(I204:L204)+M204, SUM(I204:L204)+N204+M204)))</f>
        <v>-1.49904074822517</v>
      </c>
      <c r="F204" s="87" t="n">
        <f aca="false">IF(AND($F$2="No",$F$3="No"),SUM(H204:L204,O204),IF(AND($F$2="Yes", $F$3="No"), SUM(H204:L204,O204)+N204, IF(AND($F$2="No", $F$3="Yes"),SUM(H204:L204,O204)+M204, SUM(H204:L204,O204)+N204+M204)))</f>
        <v>2.60271040479698</v>
      </c>
      <c r="G204" s="88" t="n">
        <f aca="false">SUM(Q204:S204)/(1-'Common input data'!B$126)</f>
        <v>3.88187792647798</v>
      </c>
      <c r="H204" s="146" t="n">
        <f aca="false">H124</f>
        <v>1.81550115302214</v>
      </c>
      <c r="I204" s="146" t="n">
        <f aca="false">I124</f>
        <v>0</v>
      </c>
      <c r="J204" s="146" t="n">
        <f aca="false">J124</f>
        <v>0</v>
      </c>
      <c r="K204" s="146" t="n">
        <f aca="false">K124</f>
        <v>0</v>
      </c>
      <c r="L204" s="146" t="n">
        <f aca="false">L124</f>
        <v>0</v>
      </c>
      <c r="M204" s="146" t="n">
        <f aca="false">M124</f>
        <v>-1.51617334706186</v>
      </c>
      <c r="N204" s="146" t="n">
        <f aca="false">N124</f>
        <v>0.0171325988366914</v>
      </c>
      <c r="O204" s="146" t="n">
        <f aca="false">'Input data meat and eggs'!B83*'Common input data'!C63</f>
        <v>2.28625</v>
      </c>
      <c r="P204" s="146" t="n">
        <f aca="false">'Input data meat and eggs'!B92*'Common input data'!C63+'Input data meat and eggs'!C92*3.6*'Common input data'!B49</f>
        <v>0.607562264150943</v>
      </c>
      <c r="Q204" s="146" t="n">
        <f aca="false">(F204+P204)</f>
        <v>3.21027266894792</v>
      </c>
      <c r="R204" s="146" t="n">
        <f aca="false">'Common input data'!B92</f>
        <v>0.1</v>
      </c>
      <c r="S204" s="146" t="n">
        <f aca="false">'Common input data'!B102+'Common input data'!C102</f>
        <v>0.23</v>
      </c>
      <c r="T204" s="74"/>
    </row>
    <row r="205" customFormat="false" ht="14.4" hidden="false" customHeight="false" outlineLevel="0" collapsed="false">
      <c r="A205" s="192"/>
      <c r="B205" s="167"/>
      <c r="C205" s="189"/>
      <c r="D205" s="85" t="s">
        <v>135</v>
      </c>
      <c r="E205" s="86" t="n">
        <f aca="false">SUM(I205:L205)</f>
        <v>0.459247020271735</v>
      </c>
      <c r="F205" s="87" t="n">
        <f aca="false">SUM(H205:L205,O205)</f>
        <v>0.46022073883027</v>
      </c>
      <c r="G205" s="88" t="n">
        <f aca="false">SUM(Q205:S205)/(1-'Common input data'!B$126)</f>
        <v>0.504741955437031</v>
      </c>
      <c r="H205" s="146" t="n">
        <f aca="false">H125</f>
        <v>0.000973718558534801</v>
      </c>
      <c r="I205" s="146" t="n">
        <f aca="false">I125</f>
        <v>0</v>
      </c>
      <c r="J205" s="146" t="n">
        <f aca="false">J125</f>
        <v>0.0374143322888394</v>
      </c>
      <c r="K205" s="146" t="n">
        <f aca="false">K125</f>
        <v>0</v>
      </c>
      <c r="L205" s="146" t="n">
        <f aca="false">L125</f>
        <v>0.421832687982896</v>
      </c>
      <c r="M205" s="146" t="n">
        <f aca="false">M125</f>
        <v>0</v>
      </c>
      <c r="N205" s="146" t="n">
        <f aca="false">N125</f>
        <v>0</v>
      </c>
      <c r="O205" s="146" t="n">
        <v>0</v>
      </c>
      <c r="P205" s="146" t="n">
        <f aca="false">'Input data meat and eggs'!C92*3.6*'Common input data'!B50</f>
        <v>0.000103924528301887</v>
      </c>
      <c r="Q205" s="146" t="n">
        <f aca="false">(F205+P205)</f>
        <v>0.460324663358572</v>
      </c>
      <c r="R205" s="146" t="n">
        <v>0</v>
      </c>
      <c r="S205" s="146" t="n">
        <v>0</v>
      </c>
      <c r="T205" s="74"/>
    </row>
    <row r="206" customFormat="false" ht="14.4" hidden="false" customHeight="false" outlineLevel="0" collapsed="false">
      <c r="A206" s="192"/>
      <c r="B206" s="167"/>
      <c r="C206" s="189"/>
      <c r="D206" s="31" t="s">
        <v>136</v>
      </c>
      <c r="E206" s="86" t="n">
        <f aca="false">SUM(I206:L206)</f>
        <v>0.0124352629225382</v>
      </c>
      <c r="F206" s="87" t="n">
        <f aca="false">SUM(H206:L206,O206)</f>
        <v>0.0143305700189516</v>
      </c>
      <c r="G206" s="88" t="n">
        <f aca="false">SUM(Q206:S206)/(1-'Common input data'!B$126)</f>
        <v>0.0157239672087975</v>
      </c>
      <c r="H206" s="146" t="n">
        <f aca="false">H126</f>
        <v>0.00189530709641346</v>
      </c>
      <c r="I206" s="146" t="n">
        <f aca="false">I126</f>
        <v>0.00479057240793691</v>
      </c>
      <c r="J206" s="146" t="n">
        <f aca="false">J126</f>
        <v>0.00704924955915722</v>
      </c>
      <c r="K206" s="146" t="n">
        <f aca="false">K126</f>
        <v>0.000595440955444039</v>
      </c>
      <c r="L206" s="146" t="n">
        <f aca="false">L126</f>
        <v>0</v>
      </c>
      <c r="M206" s="146" t="n">
        <f aca="false">M126</f>
        <v>0</v>
      </c>
      <c r="N206" s="146" t="n">
        <f aca="false">N126</f>
        <v>0</v>
      </c>
      <c r="O206" s="146" t="n">
        <v>0</v>
      </c>
      <c r="P206" s="146" t="n">
        <f aca="false">'Input data meat and eggs'!C92*3.6*'Common input data'!B51</f>
        <v>9.68807547169811E-006</v>
      </c>
      <c r="Q206" s="146" t="n">
        <f aca="false">(F206+P206)</f>
        <v>0.0143402580944233</v>
      </c>
      <c r="R206" s="146" t="n">
        <v>0</v>
      </c>
      <c r="S206" s="146" t="n">
        <v>0</v>
      </c>
      <c r="T206" s="74"/>
    </row>
    <row r="207" s="83" customFormat="true" ht="14.4" hidden="false" customHeight="false" outlineLevel="0" collapsed="false">
      <c r="A207" s="75" t="s">
        <v>171</v>
      </c>
      <c r="B207" s="76" t="str">
        <f aca="false">'Input data meat and eggs'!C14</f>
        <v>Extensive suckler cows and offsprings***</v>
      </c>
      <c r="C207" s="98" t="n">
        <f aca="false">'Input data meat and eggs'!D14</f>
        <v>0.0460416159532732</v>
      </c>
      <c r="D207" s="78" t="s">
        <v>133</v>
      </c>
      <c r="E207" s="94" t="n">
        <f aca="false">IF($F$1="GWP100 without fb",E208+E209*'Common input data'!$C$5+E210*'Common input data'!$D$5,IF($F$1="GWP100 with fb",E208+E209*'Common input data'!$C$6+E210*'Common input data'!$D$6,IF($F$1="GTP100 without fb",E208+E209*'Common input data'!$C$7+E210*'Common input data'!$D$7,IF($F$1="GTP100 with fb",E208+E209*'Common input data'!$C$8+E210*'Common input data'!$D$8,E208+E209*'Common input data'!$C$9+E210*'Common input data'!$D$9))))</f>
        <v>23.3874623349111</v>
      </c>
      <c r="F207" s="95" t="n">
        <f aca="false">IF($F$1="GWP100 without fb",F208+F209*'Common input data'!$C$5+F210*'Common input data'!$D$5,IF($F$1="GWP100 with fb",F208+F209*'Common input data'!$C$6+F210*'Common input data'!$D$6,IF($F$1="GTP100 without fb",F208+F209*'Common input data'!$C$7+F210*'Common input data'!$D$7,IF($F$1="GTP100 with fb",F208+F209*'Common input data'!$C$8+F210*'Common input data'!$D$8,F208+F209*'Common input data'!$C$9+F210*'Common input data'!$D$9))))</f>
        <v>32.5978397383854</v>
      </c>
      <c r="G207" s="96" t="n">
        <f aca="false">IF($F$1="GWP100 without fb",G208+G209*'Common input data'!$C$5+G210*'Common input data'!$D$5,IF($F$1="GWP100 with fb",G208+G209*'Common input data'!$C$6+G210*'Common input data'!$D$6,IF($F$1="GTP100 without fb",G208+G209*'Common input data'!$C$7+G210*'Common input data'!$D$7,IF($F$1="GTP100 with fb",G208+G209*'Common input data'!$C$8+G210*'Common input data'!$D$8,G208+G209*'Common input data'!$C$9+G210*'Common input data'!$D$9))))</f>
        <v>37.5451545762667</v>
      </c>
      <c r="H207" s="180"/>
      <c r="I207" s="180"/>
      <c r="J207" s="180"/>
      <c r="K207" s="180"/>
      <c r="L207" s="180"/>
      <c r="M207" s="180"/>
      <c r="N207" s="180"/>
      <c r="O207" s="180"/>
      <c r="P207" s="180"/>
      <c r="Q207" s="180"/>
      <c r="R207" s="180"/>
      <c r="S207" s="180"/>
      <c r="T207" s="74"/>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c r="EU207" s="30"/>
      <c r="EV207" s="30"/>
      <c r="EW207" s="30"/>
      <c r="EX207" s="30"/>
      <c r="EY207" s="30"/>
      <c r="EZ207" s="30"/>
      <c r="FA207" s="30"/>
      <c r="FB207" s="30"/>
      <c r="FC207" s="30"/>
      <c r="FD207" s="30"/>
      <c r="FE207" s="30"/>
      <c r="FF207" s="30"/>
      <c r="FG207" s="30"/>
      <c r="FH207" s="30"/>
      <c r="FI207" s="30"/>
      <c r="FJ207" s="30"/>
      <c r="FK207" s="30"/>
      <c r="FL207" s="30"/>
      <c r="FM207" s="30"/>
      <c r="FN207" s="30"/>
      <c r="FO207" s="30"/>
      <c r="FP207" s="30"/>
      <c r="FQ207" s="30"/>
      <c r="FR207" s="30"/>
      <c r="FS207" s="30"/>
      <c r="FT207" s="30"/>
      <c r="FU207" s="30"/>
      <c r="FV207" s="30"/>
      <c r="FW207" s="30"/>
      <c r="FX207" s="30"/>
      <c r="FY207" s="30"/>
      <c r="FZ207" s="30"/>
      <c r="GA207" s="30"/>
      <c r="GB207" s="30"/>
      <c r="GC207" s="30"/>
      <c r="GD207" s="30"/>
      <c r="GE207" s="30"/>
      <c r="GF207" s="30"/>
      <c r="GG207" s="30"/>
      <c r="GH207" s="30"/>
      <c r="GI207" s="30"/>
      <c r="GJ207" s="30"/>
      <c r="GK207" s="30"/>
      <c r="GL207" s="30"/>
      <c r="GM207" s="30"/>
      <c r="GN207" s="30"/>
      <c r="GO207" s="30"/>
      <c r="GP207" s="30"/>
      <c r="GQ207" s="30"/>
      <c r="GR207" s="30"/>
      <c r="GS207" s="30"/>
      <c r="GT207" s="30"/>
      <c r="GU207" s="30"/>
      <c r="GV207" s="30"/>
      <c r="GW207" s="30"/>
      <c r="GX207" s="30"/>
      <c r="GY207" s="30"/>
      <c r="GZ207" s="30"/>
      <c r="HA207" s="30"/>
      <c r="HB207" s="30"/>
      <c r="HC207" s="30"/>
      <c r="HD207" s="30"/>
      <c r="HE207" s="30"/>
      <c r="HF207" s="30"/>
      <c r="HG207" s="30"/>
      <c r="HH207" s="30"/>
      <c r="HI207" s="30"/>
      <c r="HJ207" s="30"/>
      <c r="HK207" s="30"/>
      <c r="HL207" s="30"/>
      <c r="HM207" s="30"/>
      <c r="HN207" s="30"/>
      <c r="HO207" s="30"/>
      <c r="HP207" s="30"/>
      <c r="HQ207" s="30"/>
      <c r="HR207" s="30"/>
      <c r="HS207" s="30"/>
      <c r="HT207" s="30"/>
      <c r="HU207" s="30"/>
      <c r="HV207" s="30"/>
      <c r="HW207" s="30"/>
      <c r="HX207" s="30"/>
      <c r="HY207" s="30"/>
      <c r="HZ207" s="30"/>
      <c r="IA207" s="30"/>
      <c r="IB207" s="30"/>
      <c r="IC207" s="30"/>
      <c r="ID207" s="30"/>
      <c r="IE207" s="30"/>
      <c r="IF207" s="30"/>
      <c r="IG207" s="30"/>
      <c r="IH207" s="30"/>
      <c r="II207" s="30"/>
      <c r="IJ207" s="30"/>
      <c r="IK207" s="30"/>
      <c r="IL207" s="30"/>
      <c r="IM207" s="30"/>
      <c r="IN207" s="30"/>
      <c r="IO207" s="30"/>
      <c r="IP207" s="30"/>
      <c r="IQ207" s="30"/>
      <c r="IR207" s="30"/>
      <c r="IS207" s="30"/>
      <c r="IT207" s="30"/>
      <c r="IU207" s="30"/>
      <c r="IV207" s="30"/>
      <c r="IW207" s="30"/>
      <c r="IX207" s="30"/>
      <c r="IY207" s="30"/>
      <c r="IZ207" s="30"/>
      <c r="JA207" s="30"/>
      <c r="JB207" s="30"/>
      <c r="JC207" s="30"/>
      <c r="JD207" s="30"/>
      <c r="JE207" s="30"/>
      <c r="JF207" s="30"/>
      <c r="JG207" s="30"/>
      <c r="JH207" s="30"/>
      <c r="JI207" s="30"/>
      <c r="JJ207" s="30"/>
      <c r="JK207" s="30"/>
      <c r="JL207" s="30"/>
      <c r="JM207" s="30"/>
      <c r="JN207" s="30"/>
      <c r="JO207" s="30"/>
      <c r="JP207" s="30"/>
      <c r="JQ207" s="30"/>
      <c r="JR207" s="30"/>
      <c r="JS207" s="30"/>
      <c r="JT207" s="30"/>
      <c r="JU207" s="30"/>
      <c r="JV207" s="30"/>
      <c r="JW207" s="30"/>
      <c r="JX207" s="30"/>
      <c r="JY207" s="30"/>
      <c r="JZ207" s="30"/>
      <c r="KA207" s="30"/>
      <c r="KB207" s="30"/>
      <c r="KC207" s="30"/>
      <c r="KD207" s="30"/>
      <c r="KE207" s="30"/>
      <c r="KF207" s="30"/>
      <c r="KG207" s="30"/>
      <c r="KH207" s="30"/>
      <c r="KI207" s="30"/>
      <c r="KJ207" s="30"/>
      <c r="KK207" s="30"/>
      <c r="KL207" s="30"/>
      <c r="KM207" s="30"/>
      <c r="KN207" s="30"/>
      <c r="KO207" s="30"/>
      <c r="KP207" s="30"/>
      <c r="KQ207" s="30"/>
      <c r="KR207" s="30"/>
      <c r="KS207" s="30"/>
      <c r="KT207" s="30"/>
      <c r="KU207" s="30"/>
      <c r="KV207" s="30"/>
      <c r="KW207" s="30"/>
      <c r="KX207" s="30"/>
      <c r="KY207" s="30"/>
      <c r="KZ207" s="30"/>
      <c r="LA207" s="30"/>
      <c r="LB207" s="30"/>
      <c r="LC207" s="30"/>
      <c r="LD207" s="30"/>
      <c r="LE207" s="30"/>
      <c r="LF207" s="30"/>
      <c r="LG207" s="30"/>
      <c r="LH207" s="30"/>
      <c r="LI207" s="30"/>
      <c r="LJ207" s="30"/>
      <c r="LK207" s="30"/>
      <c r="LL207" s="30"/>
      <c r="LM207" s="30"/>
      <c r="LN207" s="30"/>
      <c r="LO207" s="30"/>
      <c r="LP207" s="30"/>
      <c r="LQ207" s="30"/>
      <c r="LR207" s="30"/>
      <c r="LS207" s="30"/>
      <c r="LT207" s="30"/>
      <c r="LU207" s="30"/>
      <c r="LV207" s="30"/>
      <c r="LW207" s="30"/>
      <c r="LX207" s="30"/>
      <c r="LY207" s="30"/>
      <c r="LZ207" s="30"/>
      <c r="MA207" s="30"/>
      <c r="MB207" s="30"/>
      <c r="MC207" s="30"/>
      <c r="MD207" s="30"/>
      <c r="ME207" s="30"/>
      <c r="MF207" s="30"/>
      <c r="MG207" s="30"/>
      <c r="MH207" s="30"/>
      <c r="MI207" s="30"/>
      <c r="MJ207" s="30"/>
      <c r="MK207" s="30"/>
      <c r="ML207" s="30"/>
      <c r="MM207" s="30"/>
      <c r="MN207" s="30"/>
      <c r="MO207" s="30"/>
      <c r="MP207" s="30"/>
      <c r="MQ207" s="30"/>
      <c r="MR207" s="30"/>
      <c r="MS207" s="30"/>
      <c r="MT207" s="30"/>
      <c r="MU207" s="30"/>
      <c r="MV207" s="30"/>
      <c r="MW207" s="30"/>
      <c r="MX207" s="30"/>
      <c r="MY207" s="30"/>
      <c r="MZ207" s="30"/>
      <c r="NA207" s="30"/>
      <c r="NB207" s="30"/>
      <c r="NC207" s="30"/>
      <c r="ND207" s="30"/>
      <c r="NE207" s="30"/>
      <c r="NF207" s="30"/>
      <c r="NG207" s="30"/>
      <c r="NH207" s="30"/>
      <c r="NI207" s="30"/>
      <c r="NJ207" s="30"/>
      <c r="NK207" s="30"/>
      <c r="NL207" s="30"/>
      <c r="NM207" s="30"/>
      <c r="NN207" s="30"/>
      <c r="NO207" s="30"/>
      <c r="NP207" s="30"/>
      <c r="NQ207" s="30"/>
      <c r="NR207" s="30"/>
      <c r="NS207" s="30"/>
      <c r="NT207" s="30"/>
      <c r="NU207" s="30"/>
      <c r="NV207" s="30"/>
      <c r="NW207" s="30"/>
      <c r="NX207" s="30"/>
      <c r="NY207" s="30"/>
      <c r="NZ207" s="30"/>
      <c r="OA207" s="30"/>
      <c r="OB207" s="30"/>
      <c r="OC207" s="30"/>
      <c r="OD207" s="30"/>
      <c r="OE207" s="30"/>
      <c r="OF207" s="30"/>
      <c r="OG207" s="30"/>
      <c r="OH207" s="30"/>
      <c r="OI207" s="30"/>
      <c r="OJ207" s="30"/>
      <c r="OK207" s="30"/>
      <c r="OL207" s="30"/>
    </row>
    <row r="208" customFormat="false" ht="14.4" hidden="false" customHeight="false" outlineLevel="0" collapsed="false">
      <c r="A208" s="192"/>
      <c r="B208" s="167"/>
      <c r="C208" s="189"/>
      <c r="D208" s="85" t="s">
        <v>134</v>
      </c>
      <c r="E208" s="86" t="n">
        <f aca="false">IF(AND($F$2="No",$F$3="No"),SUM(I208:L208),IF(AND($F$2="Yes", $F$3="No"), SUM(I208:L208)+N208, IF(AND($F$2="No", $F$3="Yes"),SUM(I208:L208)+M208, SUM(I208:L208)+N208+M208)))</f>
        <v>-1.68379071962248</v>
      </c>
      <c r="F208" s="87" t="n">
        <f aca="false">IF(AND($F$2="No",$F$3="No"),SUM(H208:L208,O208),IF(AND($F$2="Yes", $F$3="No"), SUM(H208:L208,O208)+N208, IF(AND($F$2="No", $F$3="Yes"),SUM(H208:L208,O208)+M208, SUM(H208:L208,O208)+N208+M208)))</f>
        <v>6.66081118745186</v>
      </c>
      <c r="G208" s="88" t="n">
        <f aca="false">SUM(Q208:S208)/(1-'Common input data'!$H$126)</f>
        <v>9.09839028746583</v>
      </c>
      <c r="H208" s="146" t="n">
        <f aca="false">AVERAGE(H64,H148)</f>
        <v>2.63982690707434</v>
      </c>
      <c r="I208" s="146" t="n">
        <f aca="false">AVERAGE(I64,I148)</f>
        <v>0</v>
      </c>
      <c r="J208" s="146" t="n">
        <f aca="false">AVERAGE(J64,J148)</f>
        <v>0</v>
      </c>
      <c r="K208" s="146" t="n">
        <f aca="false">AVERAGE(K64,K148)</f>
        <v>0</v>
      </c>
      <c r="L208" s="146" t="n">
        <f aca="false">AVERAGE(L64,L148)</f>
        <v>0</v>
      </c>
      <c r="M208" s="146" t="n">
        <f aca="false">AVERAGE(M64,M148)</f>
        <v>-1.76560280994274</v>
      </c>
      <c r="N208" s="146" t="n">
        <f aca="false">AVERAGE(N64,N148)</f>
        <v>0.081812090320259</v>
      </c>
      <c r="O208" s="146" t="n">
        <f aca="false">'Input data meat and eggs'!B83*'Common input data'!K63</f>
        <v>5.704775</v>
      </c>
      <c r="P208" s="146" t="n">
        <f aca="false">'Input data meat and eggs'!B92*'Common input data'!K63+'Input data meat and eggs'!C92*3.6*'Common input data'!B49</f>
        <v>1.10692075471698</v>
      </c>
      <c r="Q208" s="146" t="n">
        <f aca="false">(F208+P208)</f>
        <v>7.76773194216884</v>
      </c>
      <c r="R208" s="146" t="n">
        <f aca="false">'Common input data'!B92</f>
        <v>0.1</v>
      </c>
      <c r="S208" s="146" t="n">
        <f aca="false">'Common input data'!B108+'Common input data'!C108</f>
        <v>0.43</v>
      </c>
      <c r="T208" s="74"/>
    </row>
    <row r="209" customFormat="false" ht="14.4" hidden="false" customHeight="false" outlineLevel="0" collapsed="false">
      <c r="A209" s="192"/>
      <c r="B209" s="167"/>
      <c r="C209" s="189"/>
      <c r="D209" s="85" t="s">
        <v>135</v>
      </c>
      <c r="E209" s="86" t="n">
        <f aca="false">SUM(I209:L209)</f>
        <v>0.569409570895554</v>
      </c>
      <c r="F209" s="87" t="n">
        <f aca="false">SUM(H209:L209,O209)</f>
        <v>0.571250174085521</v>
      </c>
      <c r="G209" s="88" t="n">
        <f aca="false">SUM(Q209:S209)/(1-'Common input data'!$H$126)</f>
        <v>0.626484757251999</v>
      </c>
      <c r="H209" s="146" t="n">
        <f aca="false">AVERAGE(H65,H149)</f>
        <v>0.00184060318996695</v>
      </c>
      <c r="I209" s="146" t="n">
        <f aca="false">AVERAGE(I65,I149)</f>
        <v>0</v>
      </c>
      <c r="J209" s="146" t="n">
        <f aca="false">AVERAGE(J65,J149)</f>
        <v>0.0362403947693449</v>
      </c>
      <c r="K209" s="146" t="n">
        <f aca="false">AVERAGE(K65,K149)</f>
        <v>0</v>
      </c>
      <c r="L209" s="146" t="n">
        <f aca="false">AVERAGE(L65,L149)</f>
        <v>0.533169176126209</v>
      </c>
      <c r="M209" s="146" t="n">
        <f aca="false">AVERAGE(M65,M149)</f>
        <v>0</v>
      </c>
      <c r="N209" s="146" t="n">
        <f aca="false">AVERAGE(N65,N149)</f>
        <v>0</v>
      </c>
      <c r="O209" s="146" t="n">
        <v>0</v>
      </c>
      <c r="P209" s="146" t="n">
        <f aca="false">'Input data meat and eggs'!C92*3.6*'Common input data'!B50</f>
        <v>0.000103924528301887</v>
      </c>
      <c r="Q209" s="146" t="n">
        <f aca="false">(F209+P209)</f>
        <v>0.571354098613822</v>
      </c>
      <c r="R209" s="146" t="n">
        <v>0</v>
      </c>
      <c r="S209" s="146" t="n">
        <v>0</v>
      </c>
      <c r="T209" s="74"/>
    </row>
    <row r="210" customFormat="false" ht="15" hidden="false" customHeight="false" outlineLevel="0" collapsed="false">
      <c r="A210" s="195"/>
      <c r="B210" s="196"/>
      <c r="C210" s="197"/>
      <c r="D210" s="125" t="s">
        <v>136</v>
      </c>
      <c r="E210" s="198" t="n">
        <f aca="false">SUM(I210:L210)</f>
        <v>0.0191655290069958</v>
      </c>
      <c r="F210" s="199" t="n">
        <f aca="false">SUM(H210:L210,O210)</f>
        <v>0.021860814201429</v>
      </c>
      <c r="G210" s="200" t="n">
        <f aca="false">SUM(Q210:S210)/(1-'Common input data'!$H$126)</f>
        <v>0.0239808139001104</v>
      </c>
      <c r="H210" s="201" t="n">
        <f aca="false">AVERAGE(H66,H150)</f>
        <v>0.00269528519443319</v>
      </c>
      <c r="I210" s="201" t="n">
        <f aca="false">AVERAGE(I66,I150)</f>
        <v>0.00681259459662561</v>
      </c>
      <c r="J210" s="201" t="n">
        <f aca="false">AVERAGE(J66,J150)</f>
        <v>0.0113704946104499</v>
      </c>
      <c r="K210" s="201" t="n">
        <f aca="false">AVERAGE(K66,K150)</f>
        <v>0.000982439799920254</v>
      </c>
      <c r="L210" s="201" t="n">
        <f aca="false">AVERAGE(L66,L150)</f>
        <v>0</v>
      </c>
      <c r="M210" s="201" t="n">
        <f aca="false">AVERAGE(M66,M150)</f>
        <v>0</v>
      </c>
      <c r="N210" s="201" t="n">
        <f aca="false">AVERAGE(N66,N150)</f>
        <v>0</v>
      </c>
      <c r="O210" s="201" t="n">
        <v>0</v>
      </c>
      <c r="P210" s="201" t="n">
        <f aca="false">'Input data meat and eggs'!C92*3.6*'Common input data'!B51</f>
        <v>9.68807547169811E-006</v>
      </c>
      <c r="Q210" s="201" t="n">
        <f aca="false">(F210+P210)</f>
        <v>0.0218705022769007</v>
      </c>
      <c r="R210" s="201" t="n">
        <v>0</v>
      </c>
      <c r="S210" s="201" t="n">
        <v>0</v>
      </c>
      <c r="T210" s="74"/>
    </row>
    <row r="212" customFormat="false" ht="14.4" hidden="false" customHeight="false" outlineLevel="0" collapsed="false">
      <c r="G212" s="37"/>
    </row>
  </sheetData>
  <mergeCells count="1">
    <mergeCell ref="H4:I4"/>
  </mergeCells>
  <dataValidations count="3">
    <dataValidation allowBlank="true" operator="between" showDropDown="false" showErrorMessage="true" showInputMessage="true" sqref="F1" type="list">
      <formula1>"GWP100 without fb,GWP100 with fb,GTP100 without fb,GTP100 with fb,GTP climate goal"</formula1>
      <formula2>0</formula2>
    </dataValidation>
    <dataValidation allowBlank="true" operator="between" showDropDown="false" showErrorMessage="true" showInputMessage="true" sqref="F2" type="list">
      <formula1>"Yes,No"</formula1>
      <formula2>0</formula2>
    </dataValidation>
    <dataValidation allowBlank="true" operator="between" showDropDown="false" showErrorMessage="true" showInputMessage="true" sqref="F3" type="list">
      <formula1>"Yes,No,"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4B183"/>
    <pageSetUpPr fitToPage="false"/>
  </sheetPr>
  <dimension ref="A1:OP131"/>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C16" activeCellId="0" sqref="C16"/>
    </sheetView>
  </sheetViews>
  <sheetFormatPr defaultColWidth="8.90234375" defaultRowHeight="14.4" zeroHeight="false" outlineLevelRow="0" outlineLevelCol="0"/>
  <cols>
    <col collapsed="false" customWidth="true" hidden="false" outlineLevel="0" max="1" min="1" style="30" width="37.66"/>
    <col collapsed="false" customWidth="true" hidden="false" outlineLevel="0" max="2" min="2" style="30" width="24.56"/>
    <col collapsed="false" customWidth="true" hidden="false" outlineLevel="0" max="3" min="3" style="30" width="17.89"/>
    <col collapsed="false" customWidth="true" hidden="false" outlineLevel="0" max="4" min="4" style="30" width="43.66"/>
    <col collapsed="false" customWidth="true" hidden="false" outlineLevel="0" max="5" min="5" style="30" width="27.99"/>
    <col collapsed="false" customWidth="true" hidden="false" outlineLevel="0" max="6" min="6" style="30" width="38.89"/>
    <col collapsed="false" customWidth="true" hidden="false" outlineLevel="0" max="7" min="7" style="30" width="41.34"/>
    <col collapsed="false" customWidth="true" hidden="false" outlineLevel="0" max="8" min="8" style="30" width="34.11"/>
    <col collapsed="false" customWidth="true" hidden="false" outlineLevel="0" max="9" min="9" style="30" width="36.33"/>
    <col collapsed="false" customWidth="true" hidden="false" outlineLevel="0" max="10" min="10" style="30" width="32.34"/>
    <col collapsed="false" customWidth="true" hidden="false" outlineLevel="0" max="11" min="11" style="30" width="22.33"/>
    <col collapsed="false" customWidth="true" hidden="false" outlineLevel="0" max="12" min="12" style="30" width="35.11"/>
    <col collapsed="false" customWidth="true" hidden="false" outlineLevel="0" max="13" min="13" style="30" width="24"/>
    <col collapsed="false" customWidth="true" hidden="false" outlineLevel="0" max="14" min="14" style="30" width="37.89"/>
    <col collapsed="false" customWidth="true" hidden="false" outlineLevel="0" max="15" min="15" style="30" width="41.67"/>
    <col collapsed="false" customWidth="true" hidden="false" outlineLevel="0" max="16" min="16" style="30" width="24"/>
    <col collapsed="false" customWidth="true" hidden="false" outlineLevel="0" max="17" min="17" style="30" width="35.11"/>
    <col collapsed="false" customWidth="true" hidden="false" outlineLevel="0" max="18" min="18" style="30" width="18.44"/>
    <col collapsed="false" customWidth="true" hidden="false" outlineLevel="0" max="19" min="19" style="30" width="27.89"/>
    <col collapsed="false" customWidth="false" hidden="false" outlineLevel="0" max="1025" min="20" style="30" width="8.89"/>
  </cols>
  <sheetData>
    <row r="1" customFormat="false" ht="31.2" hidden="false" customHeight="false" outlineLevel="0" collapsed="false">
      <c r="A1" s="32" t="s">
        <v>12</v>
      </c>
      <c r="D1" s="33" t="s">
        <v>104</v>
      </c>
      <c r="E1" s="34" t="s">
        <v>105</v>
      </c>
    </row>
    <row r="2" customFormat="false" ht="17.4" hidden="false" customHeight="false" outlineLevel="0" collapsed="false">
      <c r="D2" s="33" t="s">
        <v>106</v>
      </c>
      <c r="E2" s="34" t="s">
        <v>107</v>
      </c>
    </row>
    <row r="3" customFormat="false" ht="52.2" hidden="false" customHeight="false" outlineLevel="0" collapsed="false">
      <c r="D3" s="38" t="s">
        <v>108</v>
      </c>
      <c r="E3" s="34" t="s">
        <v>107</v>
      </c>
    </row>
    <row r="4" customFormat="false" ht="15" hidden="false" customHeight="false" outlineLevel="0" collapsed="false"/>
    <row r="5" s="34" customFormat="true" ht="17.4" hidden="false" customHeight="false" outlineLevel="0" collapsed="false">
      <c r="A5" s="49"/>
      <c r="B5" s="42"/>
      <c r="C5" s="42"/>
      <c r="D5" s="43" t="s">
        <v>109</v>
      </c>
      <c r="E5" s="202"/>
      <c r="F5" s="203"/>
      <c r="G5" s="204" t="s">
        <v>110</v>
      </c>
      <c r="H5" s="205"/>
      <c r="I5" s="206" t="s">
        <v>111</v>
      </c>
      <c r="J5" s="48"/>
      <c r="K5" s="49"/>
      <c r="L5" s="50"/>
      <c r="M5" s="50"/>
      <c r="N5" s="50"/>
      <c r="O5" s="50"/>
      <c r="P5" s="50"/>
      <c r="Q5" s="50"/>
      <c r="R5" s="50"/>
      <c r="S5" s="51"/>
    </row>
    <row r="6" s="209" customFormat="true" ht="61.2" hidden="false" customHeight="true" outlineLevel="0" collapsed="false">
      <c r="A6" s="207"/>
      <c r="B6" s="55" t="s">
        <v>113</v>
      </c>
      <c r="C6" s="55" t="s">
        <v>114</v>
      </c>
      <c r="D6" s="56" t="s">
        <v>115</v>
      </c>
      <c r="E6" s="57" t="s">
        <v>116</v>
      </c>
      <c r="F6" s="58" t="s">
        <v>117</v>
      </c>
      <c r="G6" s="46" t="s">
        <v>172</v>
      </c>
      <c r="H6" s="208" t="s">
        <v>119</v>
      </c>
      <c r="I6" s="57" t="s">
        <v>120</v>
      </c>
      <c r="J6" s="57" t="s">
        <v>121</v>
      </c>
      <c r="K6" s="60" t="s">
        <v>122</v>
      </c>
      <c r="L6" s="54" t="s">
        <v>123</v>
      </c>
      <c r="M6" s="54" t="s">
        <v>124</v>
      </c>
      <c r="N6" s="55" t="s">
        <v>125</v>
      </c>
      <c r="O6" s="55" t="s">
        <v>126</v>
      </c>
      <c r="P6" s="55" t="s">
        <v>173</v>
      </c>
      <c r="Q6" s="54" t="s">
        <v>127</v>
      </c>
      <c r="R6" s="55" t="s">
        <v>128</v>
      </c>
      <c r="S6" s="59" t="s">
        <v>129</v>
      </c>
    </row>
    <row r="7" s="109" customFormat="true" ht="20.4" hidden="false" customHeight="true" outlineLevel="0" collapsed="false">
      <c r="A7" s="210" t="s">
        <v>174</v>
      </c>
      <c r="B7" s="211"/>
      <c r="C7" s="211"/>
      <c r="D7" s="212" t="s">
        <v>175</v>
      </c>
      <c r="E7" s="213" t="s">
        <v>175</v>
      </c>
      <c r="F7" s="214"/>
      <c r="G7" s="215"/>
      <c r="H7" s="215"/>
      <c r="I7" s="215"/>
      <c r="J7" s="216"/>
      <c r="K7" s="211"/>
      <c r="L7" s="65"/>
      <c r="M7" s="65"/>
      <c r="N7" s="65"/>
      <c r="O7" s="65"/>
      <c r="P7" s="65"/>
      <c r="Q7" s="65"/>
      <c r="R7" s="65"/>
      <c r="S7" s="65"/>
      <c r="T7" s="99"/>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row>
    <row r="8" s="76" customFormat="true" ht="14.4" hidden="false" customHeight="false" outlineLevel="0" collapsed="false">
      <c r="A8" s="75" t="s">
        <v>176</v>
      </c>
      <c r="B8" s="98"/>
      <c r="C8" s="78" t="s">
        <v>133</v>
      </c>
      <c r="D8" s="79" t="n">
        <f aca="false">IF($E$1="GWP100 without fb",D9+D10*'Common input data'!$C$5+D11*'Common input data'!$D$5,IF($E$1="GWP100 with fb",D9+D10*'Common input data'!$C$6+D11*'Common input data'!$D$6,IF($E$1="GTP100 without fb",D9+D10*'Common input data'!$C$7+D11*'Common input data'!$D$7,IF($E$1="GTP100 with fb",D9+D10*'Common input data'!$C$8+D11*'Common input data'!$D$8,D9+D10*'Common input data'!$C$9+D11*'Common input data'!$D$9))))</f>
        <v>0.928973929738715</v>
      </c>
      <c r="E8" s="80" t="n">
        <f aca="false">IF($E$1="GWP100 without fb",E9+E10*'Common input data'!$C$5+E11*'Common input data'!$D$5,IF($E$1="GWP100 with fb",E9+E10*'Common input data'!$C$6+E11*'Common input data'!$D$6,IF($E$1="GTP100 without fb",E9+E10*'Common input data'!$C$7+E11*'Common input data'!$D$7,IF($E$1="GTP100 with fb",E9+E10*'Common input data'!$C$8+E11*'Common input data'!$D$8,E9+E10*'Common input data'!$C$9+E11*'Common input data'!$D$9))))</f>
        <v>1.22942689505776</v>
      </c>
      <c r="F8" s="81"/>
      <c r="G8" s="98"/>
      <c r="H8" s="98"/>
      <c r="I8" s="98"/>
      <c r="J8" s="98"/>
      <c r="K8" s="98"/>
      <c r="L8" s="98"/>
      <c r="M8" s="98"/>
      <c r="N8" s="98"/>
      <c r="O8" s="98"/>
      <c r="P8" s="98"/>
      <c r="Q8" s="98"/>
      <c r="R8" s="98"/>
      <c r="S8" s="98"/>
      <c r="T8" s="169"/>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7"/>
      <c r="BG8" s="167"/>
      <c r="BH8" s="167"/>
      <c r="BI8" s="167"/>
      <c r="BJ8" s="167"/>
      <c r="BK8" s="167"/>
      <c r="BL8" s="167"/>
      <c r="BM8" s="167"/>
      <c r="BN8" s="167"/>
      <c r="BO8" s="167"/>
      <c r="BP8" s="167"/>
      <c r="BQ8" s="167"/>
      <c r="BR8" s="167"/>
      <c r="BS8" s="167"/>
      <c r="BT8" s="167"/>
      <c r="BU8" s="167"/>
      <c r="BV8" s="167"/>
      <c r="BW8" s="167"/>
      <c r="BX8" s="167"/>
      <c r="BY8" s="167"/>
      <c r="BZ8" s="167"/>
      <c r="CA8" s="167"/>
      <c r="CB8" s="167"/>
      <c r="CC8" s="167"/>
      <c r="CD8" s="167"/>
      <c r="CE8" s="167"/>
      <c r="CF8" s="167"/>
      <c r="CG8" s="167"/>
      <c r="CH8" s="167"/>
      <c r="CI8" s="167"/>
      <c r="CJ8" s="167"/>
      <c r="CK8" s="167"/>
      <c r="CL8" s="167"/>
      <c r="CM8" s="167"/>
      <c r="CN8" s="167"/>
      <c r="CO8" s="167"/>
      <c r="CP8" s="167"/>
      <c r="CQ8" s="167"/>
      <c r="CR8" s="167"/>
      <c r="CS8" s="167"/>
      <c r="CT8" s="167"/>
      <c r="CU8" s="167"/>
      <c r="CV8" s="167"/>
      <c r="CW8" s="167"/>
      <c r="CX8" s="167"/>
      <c r="CY8" s="167"/>
      <c r="CZ8" s="167"/>
      <c r="DA8" s="167"/>
      <c r="DB8" s="167"/>
      <c r="DC8" s="167"/>
      <c r="DD8" s="167"/>
      <c r="DE8" s="167"/>
      <c r="DF8" s="167"/>
      <c r="DG8" s="167"/>
      <c r="DH8" s="167"/>
      <c r="DI8" s="167"/>
      <c r="DJ8" s="167"/>
      <c r="DK8" s="167"/>
      <c r="DL8" s="167"/>
      <c r="DM8" s="167"/>
      <c r="DN8" s="167"/>
      <c r="DO8" s="167"/>
      <c r="DP8" s="167"/>
      <c r="DQ8" s="167"/>
      <c r="DR8" s="167"/>
      <c r="DS8" s="167"/>
      <c r="DT8" s="167"/>
      <c r="DU8" s="167"/>
      <c r="DV8" s="167"/>
      <c r="DW8" s="167"/>
      <c r="DX8" s="167"/>
      <c r="DY8" s="167"/>
      <c r="DZ8" s="167"/>
      <c r="EA8" s="167"/>
      <c r="EB8" s="167"/>
      <c r="EC8" s="167"/>
      <c r="ED8" s="167"/>
      <c r="EE8" s="167"/>
      <c r="EF8" s="167"/>
      <c r="EG8" s="167"/>
      <c r="EH8" s="167"/>
      <c r="EI8" s="167"/>
      <c r="EJ8" s="167"/>
      <c r="EK8" s="167"/>
      <c r="EL8" s="167"/>
      <c r="EM8" s="167"/>
      <c r="EN8" s="167"/>
      <c r="EO8" s="167"/>
      <c r="EP8" s="167"/>
      <c r="EQ8" s="167"/>
      <c r="ER8" s="167"/>
      <c r="ES8" s="167"/>
      <c r="ET8" s="167"/>
      <c r="EU8" s="167"/>
      <c r="EV8" s="167"/>
      <c r="EW8" s="167"/>
      <c r="EX8" s="167"/>
      <c r="EY8" s="167"/>
      <c r="EZ8" s="167"/>
      <c r="FA8" s="167"/>
      <c r="FB8" s="167"/>
      <c r="FC8" s="167"/>
      <c r="FD8" s="167"/>
      <c r="FE8" s="167"/>
      <c r="FF8" s="167"/>
      <c r="FG8" s="167"/>
      <c r="FH8" s="167"/>
      <c r="FI8" s="167"/>
      <c r="FJ8" s="167"/>
      <c r="FK8" s="167"/>
      <c r="FL8" s="167"/>
      <c r="FM8" s="167"/>
      <c r="FN8" s="167"/>
      <c r="FO8" s="167"/>
      <c r="FP8" s="167"/>
      <c r="FQ8" s="167"/>
      <c r="FR8" s="167"/>
      <c r="FS8" s="167"/>
      <c r="FT8" s="167"/>
      <c r="FU8" s="167"/>
      <c r="FV8" s="167"/>
      <c r="FW8" s="167"/>
      <c r="FX8" s="167"/>
      <c r="FY8" s="167"/>
      <c r="FZ8" s="167"/>
      <c r="GA8" s="167"/>
      <c r="GB8" s="167"/>
      <c r="GC8" s="167"/>
      <c r="GD8" s="167"/>
      <c r="GE8" s="167"/>
      <c r="GF8" s="167"/>
      <c r="GG8" s="167"/>
      <c r="GH8" s="167"/>
      <c r="GI8" s="167"/>
      <c r="GJ8" s="167"/>
      <c r="GK8" s="167"/>
      <c r="GL8" s="167"/>
      <c r="GM8" s="167"/>
      <c r="GN8" s="167"/>
      <c r="GO8" s="167"/>
      <c r="GP8" s="167"/>
      <c r="GQ8" s="167"/>
      <c r="GR8" s="167"/>
      <c r="GS8" s="167"/>
      <c r="GT8" s="167"/>
      <c r="GU8" s="167"/>
      <c r="GV8" s="167"/>
      <c r="GW8" s="167"/>
      <c r="GX8" s="167"/>
      <c r="GY8" s="167"/>
      <c r="GZ8" s="167"/>
      <c r="HA8" s="167"/>
      <c r="HB8" s="167"/>
      <c r="HC8" s="167"/>
      <c r="HD8" s="167"/>
      <c r="HE8" s="167"/>
      <c r="HF8" s="167"/>
      <c r="HG8" s="167"/>
      <c r="HH8" s="167"/>
      <c r="HI8" s="167"/>
      <c r="HJ8" s="167"/>
      <c r="HK8" s="167"/>
      <c r="HL8" s="167"/>
      <c r="HM8" s="167"/>
      <c r="HN8" s="167"/>
      <c r="HO8" s="167"/>
      <c r="HP8" s="167"/>
      <c r="HQ8" s="167"/>
      <c r="HR8" s="167"/>
      <c r="HS8" s="167"/>
      <c r="HT8" s="167"/>
      <c r="HU8" s="167"/>
      <c r="HV8" s="167"/>
      <c r="HW8" s="167"/>
      <c r="HX8" s="167"/>
      <c r="HY8" s="167"/>
      <c r="HZ8" s="167"/>
      <c r="IA8" s="167"/>
      <c r="IB8" s="167"/>
      <c r="IC8" s="167"/>
      <c r="ID8" s="167"/>
      <c r="IE8" s="167"/>
      <c r="IF8" s="167"/>
      <c r="IG8" s="167"/>
      <c r="IH8" s="167"/>
      <c r="II8" s="167"/>
      <c r="IJ8" s="167"/>
      <c r="IK8" s="167"/>
      <c r="IL8" s="167"/>
      <c r="IM8" s="167"/>
      <c r="IN8" s="167"/>
      <c r="IO8" s="167"/>
      <c r="IP8" s="167"/>
      <c r="IQ8" s="167"/>
      <c r="IR8" s="167"/>
      <c r="IS8" s="167"/>
      <c r="IT8" s="167"/>
      <c r="IU8" s="167"/>
      <c r="IV8" s="167"/>
      <c r="IW8" s="167"/>
      <c r="IX8" s="167"/>
      <c r="IY8" s="167"/>
      <c r="IZ8" s="167"/>
      <c r="JA8" s="167"/>
      <c r="JB8" s="167"/>
      <c r="JC8" s="167"/>
      <c r="JD8" s="167"/>
      <c r="JE8" s="167"/>
      <c r="JF8" s="167"/>
      <c r="JG8" s="167"/>
      <c r="JH8" s="167"/>
      <c r="JI8" s="167"/>
      <c r="JJ8" s="167"/>
      <c r="JK8" s="167"/>
      <c r="JL8" s="167"/>
      <c r="JM8" s="167"/>
      <c r="JN8" s="167"/>
      <c r="JO8" s="167"/>
      <c r="JP8" s="167"/>
      <c r="JQ8" s="167"/>
      <c r="JR8" s="167"/>
      <c r="JS8" s="167"/>
      <c r="JT8" s="167"/>
      <c r="JU8" s="167"/>
      <c r="JV8" s="167"/>
      <c r="JW8" s="167"/>
      <c r="JX8" s="167"/>
      <c r="JY8" s="167"/>
      <c r="JZ8" s="167"/>
      <c r="KA8" s="167"/>
      <c r="KB8" s="167"/>
      <c r="KC8" s="167"/>
      <c r="KD8" s="167"/>
      <c r="KE8" s="167"/>
      <c r="KF8" s="167"/>
      <c r="KG8" s="167"/>
      <c r="KH8" s="167"/>
    </row>
    <row r="9" s="31" customFormat="true" ht="14.4" hidden="false" customHeight="false" outlineLevel="0" collapsed="false">
      <c r="A9" s="169"/>
      <c r="B9" s="89"/>
      <c r="C9" s="85" t="s">
        <v>134</v>
      </c>
      <c r="D9" s="217" t="n">
        <f aca="false">IF(AND($E$2="No",$E$3="No"),SUM(H9:K9),IF(AND($E$2="Yes", $E$3="No"), SUM(H9:K9)+M9, IF(AND($E$2="No", $E$3="Yes"),SUM(H9:K9)+L9, SUM(H9:K9)+M9+L9)))</f>
        <v>-0.0248319429438229</v>
      </c>
      <c r="E9" s="89" t="n">
        <f aca="false">IF(AND($E$2="No",$E$3="No"),SUM(G9:K9,N9:O9),IF(AND($E$2="Yes",$E$3="No"), SUM(G9:K9,N9:O9)+M9, IF(AND($E$2="No", $E$3="Yes"),SUM(G9:K9,N9:O9)+L9, SUM(G9:K9,N9:O9)+M9+L9)))</f>
        <v>0.207136481076306</v>
      </c>
      <c r="F9" s="88"/>
      <c r="G9" s="89" t="n">
        <f aca="false">'Meat and eggs'!H104*'Common input data'!$D$37/'Input data meat and eggs'!$B$437</f>
        <v>0.202517174327087</v>
      </c>
      <c r="H9" s="89" t="n">
        <f aca="false">'Meat and eggs'!I104*'Common input data'!$D$37/'Input data meat and eggs'!$B$437</f>
        <v>0</v>
      </c>
      <c r="I9" s="89" t="n">
        <f aca="false">'Meat and eggs'!J104*'Common input data'!$D$37/'Input data meat and eggs'!$B$437</f>
        <v>0</v>
      </c>
      <c r="J9" s="89" t="n">
        <f aca="false">'Meat and eggs'!K104*'Common input data'!$D$37/'Input data meat and eggs'!$B$437</f>
        <v>0</v>
      </c>
      <c r="K9" s="89" t="n">
        <f aca="false">'Meat and eggs'!L104*'Common input data'!$D$37/'Input data meat and eggs'!$B$437</f>
        <v>0</v>
      </c>
      <c r="L9" s="89" t="n">
        <f aca="false">'Meat and eggs'!M104*'Common input data'!$D$37/'Input data meat and eggs'!$B$437</f>
        <v>-0.043977760303202</v>
      </c>
      <c r="M9" s="89" t="n">
        <f aca="false">'Meat and eggs'!N104*'Common input data'!$D$37/'Input data meat and eggs'!$B$437</f>
        <v>0.0191458173593791</v>
      </c>
      <c r="N9" s="89" t="n">
        <f aca="false">'Meat and eggs'!O104*'Common input data'!$D$37/'Input data meat and eggs'!$B$437</f>
        <v>0.0259849134873567</v>
      </c>
      <c r="O9" s="89" t="n">
        <f aca="false">'Meat and eggs'!P104*'Common input data'!$D$37/'Input data meat and eggs'!$B$437</f>
        <v>0.00346633620568501</v>
      </c>
      <c r="P9" s="89" t="n">
        <v>0</v>
      </c>
      <c r="Q9" s="218" t="n">
        <f aca="false">IF(AND($E$2="No",$E$3="No"),SUM(G9:K9,N9:P9),IF(AND($E$2="Yes",$E$3="No"), SUM(G9:K9,N9:P9)+M9, IF(AND($E$2="No", $E$3="Yes"),SUM(G9:K9,N9:P9)+L9, SUM(G9:K9,N9:P9)+M9+L9)))</f>
        <v>0.207136481076306</v>
      </c>
      <c r="R9" s="89"/>
      <c r="S9" s="89"/>
      <c r="T9" s="99"/>
    </row>
    <row r="10" s="31" customFormat="true" ht="14.4" hidden="false" customHeight="false" outlineLevel="0" collapsed="false">
      <c r="A10" s="169"/>
      <c r="B10" s="89"/>
      <c r="C10" s="85" t="s">
        <v>135</v>
      </c>
      <c r="D10" s="217" t="n">
        <f aca="false">SUM(H10:K10)</f>
        <v>0.0209896199940482</v>
      </c>
      <c r="E10" s="89" t="n">
        <f aca="false">SUM(G10:K10,N10:O10)</f>
        <v>0.0212073779342979</v>
      </c>
      <c r="F10" s="88"/>
      <c r="G10" s="89" t="n">
        <f aca="false">'Meat and eggs'!H105*'Common input data'!$D$37/'Input data meat and eggs'!$B$437</f>
        <v>0.000216818381776656</v>
      </c>
      <c r="H10" s="89" t="n">
        <f aca="false">'Meat and eggs'!I105*'Common input data'!$D$37/'Input data meat and eggs'!$B$437</f>
        <v>0</v>
      </c>
      <c r="I10" s="89" t="n">
        <f aca="false">'Meat and eggs'!J105*'Common input data'!$D$37/'Input data meat and eggs'!$B$437</f>
        <v>0.00137152180489391</v>
      </c>
      <c r="J10" s="89" t="n">
        <f aca="false">'Meat and eggs'!K105*'Common input data'!$D$37/'Input data meat and eggs'!$B$437</f>
        <v>0</v>
      </c>
      <c r="K10" s="89" t="n">
        <f aca="false">'Meat and eggs'!L105*'Common input data'!$D$37/'Input data meat and eggs'!$B$437</f>
        <v>0.0196180981891542</v>
      </c>
      <c r="L10" s="89" t="n">
        <f aca="false">'Meat and eggs'!M105*'Common input data'!$D$37/'Input data meat and eggs'!$B$437</f>
        <v>0</v>
      </c>
      <c r="M10" s="89" t="n">
        <f aca="false">'Meat and eggs'!N105*'Common input data'!$D$37/'Input data meat and eggs'!$B$437</f>
        <v>0</v>
      </c>
      <c r="N10" s="89" t="n">
        <f aca="false">'Meat and eggs'!O105*'Common input data'!$D$37/'Input data meat and eggs'!$B$437</f>
        <v>0</v>
      </c>
      <c r="O10" s="89" t="n">
        <f aca="false">'Meat and eggs'!P105*'Common input data'!$D$37/'Input data meat and eggs'!$B$437</f>
        <v>9.39558473136542E-007</v>
      </c>
      <c r="P10" s="89" t="n">
        <v>0</v>
      </c>
      <c r="Q10" s="87" t="n">
        <f aca="false">SUM(G10:P10)</f>
        <v>0.0212073779342979</v>
      </c>
      <c r="R10" s="89"/>
      <c r="S10" s="89"/>
      <c r="T10" s="99"/>
    </row>
    <row r="11" s="31" customFormat="true" ht="14.4" hidden="false" customHeight="false" outlineLevel="0" collapsed="false">
      <c r="A11" s="169"/>
      <c r="B11" s="89"/>
      <c r="C11" s="167" t="s">
        <v>136</v>
      </c>
      <c r="D11" s="217" t="n">
        <f aca="false">SUM(H11:K11)</f>
        <v>0.000805901989546646</v>
      </c>
      <c r="E11" s="89" t="n">
        <f aca="false">SUM(G11:K11,N11:O11)</f>
        <v>0.00101087102085678</v>
      </c>
      <c r="F11" s="88"/>
      <c r="G11" s="89" t="n">
        <f aca="false">'Meat and eggs'!H106*'Common input data'!$D$37/'Input data meat and eggs'!$B$437</f>
        <v>0.000204881443581359</v>
      </c>
      <c r="H11" s="89" t="n">
        <f aca="false">'Meat and eggs'!I106*'Common input data'!$D$37/'Input data meat and eggs'!$B$437</f>
        <v>0.000517857708851752</v>
      </c>
      <c r="I11" s="89" t="n">
        <f aca="false">'Meat and eggs'!J106*'Common input data'!$D$37/'Input data meat and eggs'!$B$437</f>
        <v>0.000265527939078597</v>
      </c>
      <c r="J11" s="89" t="n">
        <f aca="false">'Meat and eggs'!K106*'Common input data'!$D$37/'Input data meat and eggs'!$B$437</f>
        <v>2.25163416162975E-005</v>
      </c>
      <c r="K11" s="89" t="n">
        <f aca="false">'Meat and eggs'!L106*'Common input data'!$D$37/'Input data meat and eggs'!$B$437</f>
        <v>0</v>
      </c>
      <c r="L11" s="89" t="n">
        <f aca="false">'Meat and eggs'!M106*'Common input data'!$D$37/'Input data meat and eggs'!$B$437</f>
        <v>0</v>
      </c>
      <c r="M11" s="89" t="n">
        <f aca="false">'Meat and eggs'!N106*'Common input data'!$D$37/'Input data meat and eggs'!$B$437</f>
        <v>0</v>
      </c>
      <c r="N11" s="89" t="n">
        <f aca="false">'Meat and eggs'!O106*'Common input data'!$D$37/'Input data meat and eggs'!$B$437</f>
        <v>0</v>
      </c>
      <c r="O11" s="89" t="n">
        <f aca="false">'Meat and eggs'!P106*'Common input data'!$D$37/'Input data meat and eggs'!$B$437</f>
        <v>8.75877287735066E-008</v>
      </c>
      <c r="P11" s="89" t="n">
        <v>0</v>
      </c>
      <c r="Q11" s="87" t="n">
        <f aca="false">SUM(G11:P11)</f>
        <v>0.00101087102085678</v>
      </c>
      <c r="R11" s="89"/>
      <c r="S11" s="89"/>
      <c r="T11" s="99"/>
    </row>
    <row r="12" s="76" customFormat="true" ht="14.4" hidden="false" customHeight="false" outlineLevel="0" collapsed="false">
      <c r="A12" s="75" t="s">
        <v>141</v>
      </c>
      <c r="B12" s="98"/>
      <c r="C12" s="78" t="s">
        <v>133</v>
      </c>
      <c r="D12" s="94" t="n">
        <f aca="false">IF($E$1="GWP100 without fb",D13+D14*'Common input data'!$C$5+D15*'Common input data'!$D$5,IF($E$1="GWP100 with fb",D13+D14*'Common input data'!$C$6+D15*'Common input data'!$D$6,IF($E$1="GTP100 without fb",D13+D14*'Common input data'!$C$7+D15*'Common input data'!$D$7,IF($E$1="GTP100 with fb",D13+D14*'Common input data'!$C$8+D15*'Common input data'!$D$8,D13+D14*'Common input data'!$C$9+D15*'Common input data'!$D$9))))</f>
        <v>0.928973929738715</v>
      </c>
      <c r="E12" s="95" t="n">
        <f aca="false">IF($E$1="GWP100 without fb",E13+E14*'Common input data'!$C$5+E15*'Common input data'!$D$5,IF($E$1="GWP100 with fb",E13+E14*'Common input data'!$C$6+E15*'Common input data'!$D$6,IF($E$1="GTP100 without fb",E13+E14*'Common input data'!$C$7+E15*'Common input data'!$D$7,IF($E$1="GTP100 with fb",E13+E14*'Common input data'!$C$8+E15*'Common input data'!$D$8,E13+E14*'Common input data'!$C$9+E15*'Common input data'!$D$9))))</f>
        <v>1.28966236488468</v>
      </c>
      <c r="F12" s="96"/>
      <c r="G12" s="98"/>
      <c r="H12" s="98"/>
      <c r="I12" s="98"/>
      <c r="J12" s="98"/>
      <c r="K12" s="98"/>
      <c r="L12" s="98"/>
      <c r="M12" s="98"/>
      <c r="N12" s="98"/>
      <c r="O12" s="98"/>
      <c r="P12" s="98"/>
      <c r="Q12" s="98"/>
      <c r="R12" s="98"/>
      <c r="S12" s="98"/>
      <c r="T12" s="169"/>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167"/>
      <c r="BU12" s="167"/>
      <c r="BV12" s="167"/>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167"/>
      <c r="CS12" s="167"/>
      <c r="CT12" s="167"/>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167"/>
      <c r="DQ12" s="167"/>
      <c r="DR12" s="167"/>
      <c r="DS12" s="167"/>
      <c r="DT12" s="167"/>
      <c r="DU12" s="167"/>
      <c r="DV12" s="167"/>
      <c r="DW12" s="167"/>
      <c r="DX12" s="167"/>
      <c r="DY12" s="167"/>
      <c r="DZ12" s="167"/>
      <c r="EA12" s="167"/>
      <c r="EB12" s="167"/>
      <c r="EC12" s="167"/>
      <c r="ED12" s="167"/>
      <c r="EE12" s="167"/>
      <c r="EF12" s="167"/>
      <c r="EG12" s="167"/>
      <c r="EH12" s="167"/>
      <c r="EI12" s="167"/>
      <c r="EJ12" s="167"/>
      <c r="EK12" s="167"/>
      <c r="EL12" s="167"/>
      <c r="EM12" s="167"/>
      <c r="EN12" s="167"/>
      <c r="EO12" s="167"/>
      <c r="EP12" s="167"/>
      <c r="EQ12" s="167"/>
      <c r="ER12" s="167"/>
      <c r="ES12" s="167"/>
      <c r="ET12" s="167"/>
      <c r="EU12" s="167"/>
      <c r="EV12" s="167"/>
      <c r="EW12" s="167"/>
      <c r="EX12" s="167"/>
      <c r="EY12" s="167"/>
      <c r="EZ12" s="167"/>
      <c r="FA12" s="167"/>
      <c r="FB12" s="167"/>
      <c r="FC12" s="167"/>
      <c r="FD12" s="167"/>
      <c r="FE12" s="167"/>
      <c r="FF12" s="167"/>
      <c r="FG12" s="167"/>
      <c r="FH12" s="167"/>
      <c r="FI12" s="167"/>
      <c r="FJ12" s="167"/>
      <c r="FK12" s="167"/>
      <c r="FL12" s="167"/>
      <c r="FM12" s="167"/>
      <c r="FN12" s="167"/>
      <c r="FO12" s="167"/>
      <c r="FP12" s="167"/>
      <c r="FQ12" s="167"/>
      <c r="FR12" s="167"/>
      <c r="FS12" s="167"/>
      <c r="FT12" s="167"/>
      <c r="FU12" s="167"/>
      <c r="FV12" s="167"/>
      <c r="FW12" s="167"/>
      <c r="FX12" s="167"/>
      <c r="FY12" s="167"/>
      <c r="FZ12" s="167"/>
      <c r="GA12" s="167"/>
      <c r="GB12" s="167"/>
      <c r="GC12" s="167"/>
      <c r="GD12" s="167"/>
      <c r="GE12" s="167"/>
      <c r="GF12" s="167"/>
      <c r="GG12" s="167"/>
      <c r="GH12" s="167"/>
      <c r="GI12" s="167"/>
      <c r="GJ12" s="167"/>
      <c r="GK12" s="167"/>
      <c r="GL12" s="167"/>
      <c r="GM12" s="167"/>
      <c r="GN12" s="167"/>
      <c r="GO12" s="167"/>
      <c r="GP12" s="167"/>
      <c r="GQ12" s="167"/>
      <c r="GR12" s="167"/>
      <c r="GS12" s="167"/>
      <c r="GT12" s="167"/>
      <c r="GU12" s="167"/>
      <c r="GV12" s="167"/>
      <c r="GW12" s="167"/>
      <c r="GX12" s="167"/>
      <c r="GY12" s="167"/>
      <c r="GZ12" s="167"/>
      <c r="HA12" s="167"/>
      <c r="HB12" s="167"/>
      <c r="HC12" s="167"/>
      <c r="HD12" s="167"/>
      <c r="HE12" s="167"/>
      <c r="HF12" s="167"/>
      <c r="HG12" s="167"/>
      <c r="HH12" s="167"/>
      <c r="HI12" s="167"/>
      <c r="HJ12" s="167"/>
      <c r="HK12" s="167"/>
      <c r="HL12" s="167"/>
      <c r="HM12" s="167"/>
      <c r="HN12" s="167"/>
      <c r="HO12" s="167"/>
      <c r="HP12" s="167"/>
      <c r="HQ12" s="167"/>
      <c r="HR12" s="167"/>
      <c r="HS12" s="167"/>
      <c r="HT12" s="167"/>
      <c r="HU12" s="167"/>
      <c r="HV12" s="167"/>
      <c r="HW12" s="167"/>
      <c r="HX12" s="167"/>
      <c r="HY12" s="167"/>
      <c r="HZ12" s="167"/>
      <c r="IA12" s="167"/>
      <c r="IB12" s="167"/>
      <c r="IC12" s="167"/>
      <c r="ID12" s="167"/>
      <c r="IE12" s="167"/>
      <c r="IF12" s="167"/>
      <c r="IG12" s="167"/>
      <c r="IH12" s="167"/>
      <c r="II12" s="167"/>
      <c r="IJ12" s="167"/>
      <c r="IK12" s="167"/>
      <c r="IL12" s="167"/>
      <c r="IM12" s="167"/>
      <c r="IN12" s="167"/>
      <c r="IO12" s="167"/>
      <c r="IP12" s="167"/>
      <c r="IQ12" s="167"/>
      <c r="IR12" s="167"/>
      <c r="IS12" s="167"/>
      <c r="IT12" s="167"/>
      <c r="IU12" s="167"/>
      <c r="IV12" s="167"/>
      <c r="IW12" s="167"/>
      <c r="IX12" s="167"/>
      <c r="IY12" s="167"/>
      <c r="IZ12" s="167"/>
      <c r="JA12" s="167"/>
      <c r="JB12" s="167"/>
      <c r="JC12" s="167"/>
      <c r="JD12" s="167"/>
      <c r="JE12" s="167"/>
      <c r="JF12" s="167"/>
      <c r="JG12" s="167"/>
      <c r="JH12" s="167"/>
      <c r="JI12" s="167"/>
      <c r="JJ12" s="167"/>
      <c r="JK12" s="167"/>
      <c r="JL12" s="167"/>
      <c r="JM12" s="167"/>
      <c r="JN12" s="167"/>
      <c r="JO12" s="167"/>
      <c r="JP12" s="167"/>
      <c r="JQ12" s="167"/>
      <c r="JR12" s="167"/>
      <c r="JS12" s="167"/>
      <c r="JT12" s="167"/>
      <c r="JU12" s="167"/>
      <c r="JV12" s="167"/>
      <c r="JW12" s="167"/>
      <c r="JX12" s="167"/>
      <c r="JY12" s="167"/>
      <c r="JZ12" s="167"/>
      <c r="KA12" s="167"/>
      <c r="KB12" s="167"/>
      <c r="KC12" s="167"/>
      <c r="KD12" s="167"/>
      <c r="KE12" s="167"/>
      <c r="KF12" s="167"/>
      <c r="KG12" s="167"/>
      <c r="KH12" s="167"/>
    </row>
    <row r="13" s="31" customFormat="true" ht="14.4" hidden="false" customHeight="false" outlineLevel="0" collapsed="false">
      <c r="A13" s="169"/>
      <c r="B13" s="89"/>
      <c r="C13" s="85" t="s">
        <v>134</v>
      </c>
      <c r="D13" s="217" t="n">
        <f aca="false">IF(AND($E$2="No",$E$3="No"),SUM(H13:K13),IF(AND($E$2="Yes", $E$3="No"), SUM(H13:K13)+M13, IF(AND($E$2="No", $E$3="Yes"),SUM(H13:K13)+L13, SUM(H13:K13)+M13+L13)))</f>
        <v>-0.0248319429438229</v>
      </c>
      <c r="E13" s="89" t="n">
        <f aca="false">IF(AND($E$2="No",$E$3="No"),SUM(G13:K13,N13:O13),IF(AND($E$2="Yes",$E$3="No"), SUM(G13:K13,N13:O13)+M13, IF(AND($E$2="No", $E$3="Yes"),SUM(G13:K13,N13:O13)+L13, SUM(G13:K13,N13:O13)+M13+L13)))</f>
        <v>0.267253464985814</v>
      </c>
      <c r="F13" s="88"/>
      <c r="G13" s="89" t="n">
        <f aca="false">G9</f>
        <v>0.202517174327087</v>
      </c>
      <c r="H13" s="89" t="n">
        <f aca="false">H9</f>
        <v>0</v>
      </c>
      <c r="I13" s="89" t="n">
        <f aca="false">I9</f>
        <v>0</v>
      </c>
      <c r="J13" s="89" t="n">
        <f aca="false">J9</f>
        <v>0</v>
      </c>
      <c r="K13" s="89" t="n">
        <f aca="false">K9</f>
        <v>0</v>
      </c>
      <c r="L13" s="89" t="n">
        <f aca="false">L9</f>
        <v>-0.043977760303202</v>
      </c>
      <c r="M13" s="89" t="n">
        <f aca="false">M9</f>
        <v>0.0191458173593791</v>
      </c>
      <c r="N13" s="89" t="n">
        <f aca="false">N9*'Common input data'!$C$63/'Common input data'!$B$63</f>
        <v>0.0790262832862909</v>
      </c>
      <c r="O13" s="89" t="n">
        <f aca="false">O9*'Common input data'!$C$63/'Common input data'!$B$63</f>
        <v>0.0105419503162585</v>
      </c>
      <c r="P13" s="89" t="n">
        <v>0</v>
      </c>
      <c r="Q13" s="218" t="n">
        <f aca="false">IF(AND($E$2="No",$E$3="No"),SUM(G13:K13,N13:P13),IF(AND($E$2="Yes",$E$3="No"), SUM(G13:K13,N13:P13)+M13, IF(AND($E$2="No", $E$3="Yes"),SUM(G13:K13,N13:P13)+L13, SUM(G13:K13,N13:P13)+M13+L13)))</f>
        <v>0.267253464985814</v>
      </c>
      <c r="R13" s="89"/>
      <c r="S13" s="89"/>
      <c r="T13" s="99"/>
    </row>
    <row r="14" s="31" customFormat="true" ht="14.4" hidden="false" customHeight="false" outlineLevel="0" collapsed="false">
      <c r="A14" s="169"/>
      <c r="B14" s="89"/>
      <c r="C14" s="85" t="s">
        <v>135</v>
      </c>
      <c r="D14" s="217" t="n">
        <f aca="false">SUM(H14:K14)</f>
        <v>0.0209896199940482</v>
      </c>
      <c r="E14" s="89" t="n">
        <f aca="false">SUM(G14:K14,N14:O14)</f>
        <v>0.0212092957959235</v>
      </c>
      <c r="F14" s="88"/>
      <c r="G14" s="89" t="n">
        <f aca="false">G10</f>
        <v>0.000216818381776656</v>
      </c>
      <c r="H14" s="89" t="n">
        <f aca="false">H10</f>
        <v>0</v>
      </c>
      <c r="I14" s="89" t="n">
        <f aca="false">I10</f>
        <v>0.00137152180489391</v>
      </c>
      <c r="J14" s="89" t="n">
        <f aca="false">J10</f>
        <v>0</v>
      </c>
      <c r="K14" s="89" t="n">
        <f aca="false">K10</f>
        <v>0.0196180981891542</v>
      </c>
      <c r="L14" s="89" t="n">
        <f aca="false">L10</f>
        <v>0</v>
      </c>
      <c r="M14" s="89" t="n">
        <f aca="false">M10</f>
        <v>0</v>
      </c>
      <c r="N14" s="89" t="n">
        <f aca="false">N10*'Common input data'!$C$63/'Common input data'!$B$63</f>
        <v>0</v>
      </c>
      <c r="O14" s="89" t="n">
        <f aca="false">O10*'Common input data'!$C$63/'Common input data'!$B$63</f>
        <v>2.85742009871423E-006</v>
      </c>
      <c r="P14" s="89" t="n">
        <v>0</v>
      </c>
      <c r="Q14" s="87" t="n">
        <f aca="false">SUM(G14:P14)</f>
        <v>0.0212092957959235</v>
      </c>
      <c r="R14" s="89"/>
      <c r="S14" s="89"/>
      <c r="T14" s="99"/>
    </row>
    <row r="15" s="31" customFormat="true" ht="14.4" hidden="false" customHeight="false" outlineLevel="0" collapsed="false">
      <c r="A15" s="169"/>
      <c r="B15" s="89"/>
      <c r="C15" s="167" t="s">
        <v>136</v>
      </c>
      <c r="D15" s="219" t="n">
        <f aca="false">SUM(H15:K15)</f>
        <v>0.000805901989546646</v>
      </c>
      <c r="E15" s="126" t="n">
        <f aca="false">SUM(G15:K15,N15:O15)</f>
        <v>0.00101104980817943</v>
      </c>
      <c r="F15" s="106"/>
      <c r="G15" s="89" t="n">
        <f aca="false">G11</f>
        <v>0.000204881443581359</v>
      </c>
      <c r="H15" s="89" t="n">
        <f aca="false">H11</f>
        <v>0.000517857708851752</v>
      </c>
      <c r="I15" s="89" t="n">
        <f aca="false">I11</f>
        <v>0.000265527939078597</v>
      </c>
      <c r="J15" s="89" t="n">
        <f aca="false">J11</f>
        <v>2.25163416162975E-005</v>
      </c>
      <c r="K15" s="89" t="n">
        <f aca="false">K11</f>
        <v>0</v>
      </c>
      <c r="L15" s="89" t="n">
        <f aca="false">L11</f>
        <v>0</v>
      </c>
      <c r="M15" s="89" t="n">
        <f aca="false">M11</f>
        <v>0</v>
      </c>
      <c r="N15" s="89" t="n">
        <f aca="false">N11*'Common input data'!$C$63/'Common input data'!$B$63</f>
        <v>0</v>
      </c>
      <c r="O15" s="89" t="n">
        <f aca="false">O11*'Common input data'!$C$63/'Common input data'!$B$63</f>
        <v>2.66375051424582E-007</v>
      </c>
      <c r="P15" s="89" t="n">
        <v>0</v>
      </c>
      <c r="Q15" s="87" t="n">
        <f aca="false">SUM(G15:P15)</f>
        <v>0.00101104980817943</v>
      </c>
      <c r="R15" s="89"/>
      <c r="S15" s="89"/>
      <c r="T15" s="99"/>
    </row>
    <row r="16" s="109" customFormat="true" ht="17.4" hidden="false" customHeight="false" outlineLevel="0" collapsed="false">
      <c r="A16" s="220" t="s">
        <v>177</v>
      </c>
      <c r="B16" s="216"/>
      <c r="C16" s="216"/>
      <c r="D16" s="221" t="s">
        <v>178</v>
      </c>
      <c r="E16" s="222" t="s">
        <v>178</v>
      </c>
      <c r="F16" s="223" t="s">
        <v>178</v>
      </c>
      <c r="G16" s="215"/>
      <c r="P16" s="215"/>
      <c r="Q16" s="215"/>
      <c r="R16" s="216"/>
      <c r="S16" s="216"/>
      <c r="T16" s="99"/>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row>
    <row r="17" s="76" customFormat="true" ht="23.25" hidden="false" customHeight="true" outlineLevel="0" collapsed="false">
      <c r="A17" s="75" t="s">
        <v>137</v>
      </c>
      <c r="B17" s="98" t="n">
        <f aca="false">'Input data dairy products'!C4</f>
        <v>1</v>
      </c>
      <c r="C17" s="78" t="s">
        <v>133</v>
      </c>
      <c r="D17" s="79" t="n">
        <f aca="false">IF($E$1="GWP100 without fb",D18+D19*'Common input data'!$C$5+D20*'Common input data'!$D$5,IF($E$1="GWP100 with fb",D18+D19*'Common input data'!$C$6+D20*'Common input data'!$D$6,IF($E$1="GTP100 without fb",D18+D19*'Common input data'!$C$7+D20*'Common input data'!$D$7,IF($E$1="GTP100 with fb",D18+D19*'Common input data'!$C$8+D20*'Common input data'!$D$8,D18+D19*'Common input data'!$C$9+D20*'Common input data'!$D$9))))</f>
        <v>0.928973929738715</v>
      </c>
      <c r="E17" s="80" t="n">
        <f aca="false">IF($E$1="GWP100 without fb",E18+E19*'Common input data'!$C$5+E20*'Common input data'!$D$5,IF($E$1="GWP100 with fb",E18+E19*'Common input data'!$C$6+E20*'Common input data'!$D$6,IF($E$1="GTP100 without fb",E18+E19*'Common input data'!$C$7+E20*'Common input data'!$D$7,IF($E$1="GTP100 with fb",E18+E19*'Common input data'!$C$8+E20*'Common input data'!$D$8,E18+E19*'Common input data'!$C$9+E20*'Common input data'!$D$9))))</f>
        <v>1.22942689505776</v>
      </c>
      <c r="F17" s="81" t="n">
        <f aca="false">IF($E$1="GWP100 without fb",F18+F19*'Common input data'!$C$5+F20*'Common input data'!$D$5,IF($E$1="GWP100 with fb",F18+F19*'Common input data'!$C$6+F20*'Common input data'!$D$6,IF($E$1="GTP100 without fb",F18+F19*'Common input data'!$C$7+F20*'Common input data'!$D$7,IF($E$1="GTP100 with fb",F18+F19*'Common input data'!$C$8+F20*'Common input data'!$D$8,F18+F19*'Common input data'!$C$9+F20*'Common input data'!$D$9))))</f>
        <v>1.36935454954441</v>
      </c>
      <c r="G17" s="98"/>
      <c r="H17" s="98"/>
      <c r="I17" s="98"/>
      <c r="J17" s="98"/>
      <c r="K17" s="98"/>
      <c r="L17" s="98"/>
      <c r="M17" s="98"/>
      <c r="N17" s="98"/>
      <c r="O17" s="98"/>
      <c r="P17" s="98"/>
      <c r="Q17" s="98"/>
      <c r="R17" s="98"/>
      <c r="S17" s="98"/>
      <c r="T17" s="169"/>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16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167"/>
      <c r="CS17" s="167"/>
      <c r="CT17" s="167"/>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167"/>
      <c r="DQ17" s="167"/>
      <c r="DR17" s="167"/>
      <c r="DS17" s="167"/>
      <c r="DT17" s="167"/>
      <c r="DU17" s="167"/>
      <c r="DV17" s="167"/>
      <c r="DW17" s="167"/>
      <c r="DX17" s="167"/>
      <c r="DY17" s="167"/>
      <c r="DZ17" s="167"/>
      <c r="EA17" s="167"/>
      <c r="EB17" s="167"/>
      <c r="EC17" s="167"/>
      <c r="ED17" s="167"/>
      <c r="EE17" s="167"/>
      <c r="EF17" s="167"/>
      <c r="EG17" s="167"/>
      <c r="EH17" s="167"/>
      <c r="EI17" s="167"/>
      <c r="EJ17" s="167"/>
      <c r="EK17" s="167"/>
      <c r="EL17" s="167"/>
      <c r="EM17" s="167"/>
      <c r="EN17" s="167"/>
      <c r="EO17" s="167"/>
      <c r="EP17" s="167"/>
      <c r="EQ17" s="167"/>
      <c r="ER17" s="167"/>
      <c r="ES17" s="167"/>
      <c r="ET17" s="167"/>
      <c r="EU17" s="167"/>
      <c r="EV17" s="167"/>
      <c r="EW17" s="167"/>
      <c r="EX17" s="167"/>
      <c r="EY17" s="167"/>
      <c r="EZ17" s="167"/>
      <c r="FA17" s="167"/>
      <c r="FB17" s="167"/>
      <c r="FC17" s="167"/>
      <c r="FD17" s="167"/>
      <c r="FE17" s="167"/>
      <c r="FF17" s="167"/>
      <c r="FG17" s="167"/>
      <c r="FH17" s="167"/>
      <c r="FI17" s="167"/>
      <c r="FJ17" s="167"/>
      <c r="FK17" s="167"/>
      <c r="FL17" s="167"/>
      <c r="FM17" s="167"/>
      <c r="FN17" s="167"/>
      <c r="FO17" s="167"/>
      <c r="FP17" s="167"/>
      <c r="FQ17" s="167"/>
      <c r="FR17" s="167"/>
      <c r="FS17" s="167"/>
      <c r="FT17" s="167"/>
      <c r="FU17" s="167"/>
      <c r="FV17" s="167"/>
      <c r="FW17" s="167"/>
      <c r="FX17" s="167"/>
      <c r="FY17" s="167"/>
      <c r="FZ17" s="167"/>
      <c r="GA17" s="167"/>
      <c r="GB17" s="167"/>
      <c r="GC17" s="167"/>
      <c r="GD17" s="167"/>
      <c r="GE17" s="167"/>
      <c r="GF17" s="167"/>
      <c r="GG17" s="167"/>
      <c r="GH17" s="167"/>
      <c r="GI17" s="167"/>
      <c r="GJ17" s="167"/>
      <c r="GK17" s="167"/>
      <c r="GL17" s="167"/>
      <c r="GM17" s="167"/>
      <c r="GN17" s="167"/>
      <c r="GO17" s="167"/>
      <c r="GP17" s="167"/>
      <c r="GQ17" s="167"/>
      <c r="GR17" s="167"/>
      <c r="GS17" s="167"/>
      <c r="GT17" s="167"/>
      <c r="GU17" s="167"/>
      <c r="GV17" s="167"/>
      <c r="GW17" s="167"/>
      <c r="GX17" s="167"/>
      <c r="GY17" s="167"/>
      <c r="GZ17" s="167"/>
      <c r="HA17" s="167"/>
      <c r="HB17" s="167"/>
      <c r="HC17" s="167"/>
      <c r="HD17" s="167"/>
      <c r="HE17" s="167"/>
      <c r="HF17" s="167"/>
      <c r="HG17" s="167"/>
      <c r="HH17" s="167"/>
      <c r="HI17" s="167"/>
      <c r="HJ17" s="167"/>
      <c r="HK17" s="167"/>
      <c r="HL17" s="167"/>
      <c r="HM17" s="167"/>
      <c r="HN17" s="167"/>
      <c r="HO17" s="167"/>
      <c r="HP17" s="167"/>
      <c r="HQ17" s="167"/>
      <c r="HR17" s="167"/>
      <c r="HS17" s="167"/>
      <c r="HT17" s="167"/>
      <c r="HU17" s="167"/>
      <c r="HV17" s="167"/>
      <c r="HW17" s="167"/>
      <c r="HX17" s="167"/>
      <c r="HY17" s="167"/>
      <c r="HZ17" s="167"/>
      <c r="IA17" s="167"/>
      <c r="IB17" s="167"/>
      <c r="IC17" s="167"/>
      <c r="ID17" s="167"/>
      <c r="IE17" s="167"/>
      <c r="IF17" s="167"/>
      <c r="IG17" s="167"/>
      <c r="IH17" s="167"/>
      <c r="II17" s="167"/>
      <c r="IJ17" s="167"/>
      <c r="IK17" s="167"/>
      <c r="IL17" s="167"/>
      <c r="IM17" s="167"/>
      <c r="IN17" s="167"/>
      <c r="IO17" s="167"/>
      <c r="IP17" s="167"/>
      <c r="IQ17" s="167"/>
      <c r="IR17" s="167"/>
      <c r="IS17" s="167"/>
      <c r="IT17" s="167"/>
      <c r="IU17" s="167"/>
      <c r="IV17" s="167"/>
      <c r="IW17" s="167"/>
      <c r="IX17" s="167"/>
      <c r="IY17" s="167"/>
      <c r="IZ17" s="167"/>
      <c r="JA17" s="167"/>
      <c r="JB17" s="167"/>
      <c r="JC17" s="167"/>
      <c r="JD17" s="167"/>
      <c r="JE17" s="167"/>
      <c r="JF17" s="167"/>
      <c r="JG17" s="167"/>
      <c r="JH17" s="167"/>
      <c r="JI17" s="167"/>
      <c r="JJ17" s="167"/>
      <c r="JK17" s="167"/>
      <c r="JL17" s="167"/>
      <c r="JM17" s="167"/>
      <c r="JN17" s="167"/>
      <c r="JO17" s="167"/>
      <c r="JP17" s="167"/>
      <c r="JQ17" s="167"/>
      <c r="JR17" s="167"/>
      <c r="JS17" s="167"/>
      <c r="JT17" s="167"/>
      <c r="JU17" s="167"/>
      <c r="JV17" s="167"/>
      <c r="JW17" s="167"/>
      <c r="JX17" s="167"/>
      <c r="JY17" s="167"/>
      <c r="JZ17" s="167"/>
      <c r="KA17" s="167"/>
      <c r="KB17" s="167"/>
      <c r="KC17" s="167"/>
      <c r="KD17" s="167"/>
      <c r="KE17" s="167"/>
      <c r="KF17" s="167"/>
      <c r="KG17" s="167"/>
      <c r="KH17" s="167"/>
    </row>
    <row r="18" s="83" customFormat="true" ht="14.4" hidden="false" customHeight="false" outlineLevel="0" collapsed="false">
      <c r="A18" s="169"/>
      <c r="B18" s="93"/>
      <c r="C18" s="85" t="s">
        <v>134</v>
      </c>
      <c r="D18" s="217" t="n">
        <f aca="false">IF(AND($E$2="No",$E$3="No"),SUM(H18:K18),IF(AND($E$2="Yes", $E$3="No"), SUM(H18:K18)+M18, IF(AND($E$2="No", $E$3="Yes"),SUM(H18:K18)+L18, SUM(H18:K18)+M18+L18)))</f>
        <v>-0.0248319429438229</v>
      </c>
      <c r="E18" s="89" t="n">
        <f aca="false">IF(AND($E$2="No",$E$3="No"),SUM(G18:K18,N18:O18),IF(AND($E$2="Yes",$E$3="No"), SUM(G18:K18,N18:O18)+M18, IF(AND($E$2="No", $E$3="Yes"),SUM(G18:K18,N18:O18)+L18, SUM(G18:K18,N18:O18)+M18+L18)))</f>
        <v>0.207136481076306</v>
      </c>
      <c r="F18" s="88" t="n">
        <f aca="false">SUM(Q18:S18)/(1-'Common input data'!B$127)</f>
        <v>0.324222460210955</v>
      </c>
      <c r="G18" s="87" t="n">
        <f aca="false">'Input data dairy products'!$D$4*G9</f>
        <v>0.202517174327087</v>
      </c>
      <c r="H18" s="87" t="n">
        <f aca="false">'Input data dairy products'!$D$4*H9</f>
        <v>0</v>
      </c>
      <c r="I18" s="87" t="n">
        <f aca="false">'Input data dairy products'!$D$4*I9</f>
        <v>0</v>
      </c>
      <c r="J18" s="87" t="n">
        <f aca="false">'Input data dairy products'!$D$4*J9</f>
        <v>0</v>
      </c>
      <c r="K18" s="87" t="n">
        <f aca="false">'Input data dairy products'!$D$4*K9</f>
        <v>0</v>
      </c>
      <c r="L18" s="87" t="n">
        <f aca="false">'Input data dairy products'!$D$4*L9</f>
        <v>-0.043977760303202</v>
      </c>
      <c r="M18" s="87" t="n">
        <f aca="false">'Input data dairy products'!$D$4*M9</f>
        <v>0.0191458173593791</v>
      </c>
      <c r="N18" s="87" t="n">
        <f aca="false">N9*'Input data dairy products'!$D$4</f>
        <v>0.0259849134873567</v>
      </c>
      <c r="O18" s="87" t="n">
        <f aca="false">O9*'Input data dairy products'!$D$4</f>
        <v>0.00346633620568501</v>
      </c>
      <c r="P18" s="87" t="n">
        <f aca="false">'Input data dairy products'!B29</f>
        <v>0.03</v>
      </c>
      <c r="Q18" s="218" t="n">
        <f aca="false">IF(AND($E$2="No",$E$3="No"),SUM(G18:K18,N18:P18),IF(AND($E$2="Yes",$E$3="No"), SUM(G18:K18,N18:P18)+M18, IF(AND($E$2="No", $E$3="Yes"),SUM(G18:K18,N18:P18)+L18, SUM(G18:K18,N18:P18)+M18+L18)))</f>
        <v>0.237136481076306</v>
      </c>
      <c r="R18" s="89" t="n">
        <f aca="false">'Common input data'!B$91</f>
        <v>0.05</v>
      </c>
      <c r="S18" s="89" t="n">
        <f aca="false">'Common input data'!C$98</f>
        <v>0.03</v>
      </c>
      <c r="T18" s="74"/>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0"/>
      <c r="IV18" s="30"/>
      <c r="IW18" s="30"/>
      <c r="IX18" s="30"/>
      <c r="IY18" s="30"/>
      <c r="IZ18" s="30"/>
      <c r="JA18" s="30"/>
      <c r="JB18" s="30"/>
      <c r="JC18" s="30"/>
      <c r="JD18" s="30"/>
      <c r="JE18" s="30"/>
      <c r="JF18" s="30"/>
      <c r="JG18" s="30"/>
      <c r="JH18" s="30"/>
      <c r="JI18" s="30"/>
      <c r="JJ18" s="30"/>
      <c r="JK18" s="30"/>
      <c r="JL18" s="30"/>
      <c r="JM18" s="30"/>
      <c r="JN18" s="30"/>
      <c r="JO18" s="30"/>
      <c r="JP18" s="30"/>
      <c r="JQ18" s="30"/>
      <c r="JR18" s="30"/>
      <c r="JS18" s="30"/>
      <c r="JT18" s="30"/>
      <c r="JU18" s="30"/>
      <c r="JV18" s="30"/>
      <c r="JW18" s="30"/>
      <c r="JX18" s="30"/>
      <c r="JY18" s="30"/>
      <c r="JZ18" s="30"/>
      <c r="KA18" s="30"/>
      <c r="KB18" s="30"/>
      <c r="KC18" s="30"/>
      <c r="KD18" s="30"/>
      <c r="KE18" s="30"/>
      <c r="KF18" s="30"/>
      <c r="KG18" s="30"/>
      <c r="KH18" s="30"/>
      <c r="KI18" s="30"/>
      <c r="KJ18" s="30"/>
      <c r="KK18" s="30"/>
      <c r="KL18" s="30"/>
      <c r="KM18" s="30"/>
      <c r="KN18" s="30"/>
      <c r="KO18" s="30"/>
      <c r="KP18" s="30"/>
      <c r="KQ18" s="30"/>
      <c r="KR18" s="30"/>
      <c r="KS18" s="30"/>
      <c r="KT18" s="30"/>
      <c r="KU18" s="30"/>
      <c r="KV18" s="30"/>
      <c r="KW18" s="30"/>
      <c r="KX18" s="30"/>
      <c r="KY18" s="30"/>
      <c r="KZ18" s="30"/>
      <c r="LA18" s="30"/>
      <c r="LB18" s="30"/>
      <c r="LC18" s="30"/>
      <c r="LD18" s="30"/>
      <c r="LE18" s="30"/>
      <c r="LF18" s="30"/>
      <c r="LG18" s="30"/>
      <c r="LH18" s="30"/>
      <c r="LI18" s="30"/>
      <c r="LJ18" s="30"/>
      <c r="LK18" s="30"/>
      <c r="LL18" s="30"/>
      <c r="LM18" s="30"/>
      <c r="LN18" s="30"/>
      <c r="LO18" s="30"/>
      <c r="LP18" s="30"/>
      <c r="LQ18" s="30"/>
      <c r="LR18" s="30"/>
      <c r="LS18" s="30"/>
      <c r="LT18" s="30"/>
      <c r="LU18" s="30"/>
      <c r="LV18" s="30"/>
      <c r="LW18" s="30"/>
      <c r="LX18" s="30"/>
      <c r="LY18" s="30"/>
      <c r="LZ18" s="30"/>
      <c r="MA18" s="30"/>
      <c r="MB18" s="30"/>
      <c r="MC18" s="30"/>
      <c r="MD18" s="30"/>
      <c r="ME18" s="30"/>
      <c r="MF18" s="30"/>
      <c r="MG18" s="30"/>
      <c r="MH18" s="30"/>
      <c r="MI18" s="30"/>
      <c r="MJ18" s="30"/>
      <c r="MK18" s="30"/>
      <c r="ML18" s="30"/>
      <c r="MM18" s="30"/>
      <c r="MN18" s="30"/>
      <c r="MO18" s="30"/>
      <c r="MP18" s="30"/>
      <c r="MQ18" s="30"/>
      <c r="MR18" s="30"/>
      <c r="MS18" s="30"/>
      <c r="MT18" s="30"/>
      <c r="MU18" s="30"/>
      <c r="MV18" s="30"/>
      <c r="MW18" s="30"/>
      <c r="MX18" s="30"/>
      <c r="MY18" s="30"/>
      <c r="MZ18" s="30"/>
      <c r="NA18" s="30"/>
      <c r="NB18" s="30"/>
      <c r="NC18" s="30"/>
      <c r="ND18" s="30"/>
      <c r="NE18" s="30"/>
      <c r="NF18" s="30"/>
      <c r="NG18" s="30"/>
      <c r="NH18" s="30"/>
      <c r="NI18" s="30"/>
      <c r="NJ18" s="30"/>
      <c r="NK18" s="30"/>
      <c r="NL18" s="30"/>
      <c r="NM18" s="30"/>
      <c r="NN18" s="30"/>
      <c r="NO18" s="30"/>
      <c r="NP18" s="30"/>
      <c r="NQ18" s="30"/>
      <c r="NR18" s="30"/>
      <c r="NS18" s="30"/>
      <c r="NT18" s="30"/>
      <c r="NU18" s="30"/>
      <c r="NV18" s="30"/>
      <c r="NW18" s="30"/>
      <c r="NX18" s="30"/>
      <c r="NY18" s="30"/>
      <c r="NZ18" s="30"/>
      <c r="OA18" s="30"/>
      <c r="OB18" s="30"/>
      <c r="OC18" s="30"/>
      <c r="OD18" s="30"/>
      <c r="OE18" s="30"/>
      <c r="OF18" s="30"/>
      <c r="OG18" s="30"/>
      <c r="OH18" s="30"/>
      <c r="OI18" s="30"/>
      <c r="OJ18" s="30"/>
      <c r="OK18" s="30"/>
      <c r="OL18" s="30"/>
      <c r="OM18" s="30"/>
      <c r="ON18" s="30"/>
      <c r="OO18" s="30"/>
      <c r="OP18" s="30"/>
    </row>
    <row r="19" customFormat="false" ht="14.4" hidden="false" customHeight="false" outlineLevel="0" collapsed="false">
      <c r="A19" s="91"/>
      <c r="B19" s="93"/>
      <c r="C19" s="85" t="s">
        <v>135</v>
      </c>
      <c r="D19" s="217" t="n">
        <f aca="false">SUM(H19:K19)</f>
        <v>0.0209896199940482</v>
      </c>
      <c r="E19" s="89" t="n">
        <f aca="false">SUM(G19:K19,N19:O19)</f>
        <v>0.0212073779342979</v>
      </c>
      <c r="F19" s="88" t="n">
        <f aca="false">SUM(Q19:S19)/(1-'Common input data'!B$127)</f>
        <v>0.0216812276693806</v>
      </c>
      <c r="G19" s="87" t="n">
        <f aca="false">'Input data dairy products'!$D$4*G10</f>
        <v>0.000216818381776656</v>
      </c>
      <c r="H19" s="87" t="n">
        <f aca="false">'Input data dairy products'!$D$4*H10</f>
        <v>0</v>
      </c>
      <c r="I19" s="87" t="n">
        <f aca="false">'Input data dairy products'!$D$4*I10</f>
        <v>0.00137152180489391</v>
      </c>
      <c r="J19" s="87" t="n">
        <f aca="false">'Input data dairy products'!$D$4*J10</f>
        <v>0</v>
      </c>
      <c r="K19" s="87" t="n">
        <f aca="false">'Input data dairy products'!$D$4*K10</f>
        <v>0.0196180981891542</v>
      </c>
      <c r="L19" s="87" t="n">
        <f aca="false">'Input data dairy products'!$D$4*L10</f>
        <v>0</v>
      </c>
      <c r="M19" s="87" t="n">
        <f aca="false">'Input data dairy products'!$D$4*M10</f>
        <v>0</v>
      </c>
      <c r="N19" s="87" t="n">
        <f aca="false">N10*'Input data dairy products'!$D$4</f>
        <v>0</v>
      </c>
      <c r="O19" s="87" t="n">
        <f aca="false">O10*'Input data dairy products'!$D$4</f>
        <v>9.39558473136542E-007</v>
      </c>
      <c r="P19" s="87" t="n">
        <v>0</v>
      </c>
      <c r="Q19" s="87" t="n">
        <f aca="false">SUM(G19:P19)</f>
        <v>0.0212073779342979</v>
      </c>
      <c r="R19" s="89" t="n">
        <v>0</v>
      </c>
      <c r="S19" s="89" t="n">
        <v>0</v>
      </c>
      <c r="T19" s="74"/>
    </row>
    <row r="20" customFormat="false" ht="14.4" hidden="false" customHeight="false" outlineLevel="0" collapsed="false">
      <c r="A20" s="91"/>
      <c r="B20" s="87"/>
      <c r="C20" s="31" t="s">
        <v>136</v>
      </c>
      <c r="D20" s="219" t="n">
        <f aca="false">SUM(H20:K20)</f>
        <v>0.000805901989546646</v>
      </c>
      <c r="E20" s="126" t="n">
        <f aca="false">SUM(G20:K20,N20:O20)</f>
        <v>0.00101087102085678</v>
      </c>
      <c r="F20" s="106" t="n">
        <f aca="false">SUM(Q20:S20)/(1-'Common input data'!B$127)</f>
        <v>0.00103345754555208</v>
      </c>
      <c r="G20" s="87" t="n">
        <f aca="false">'Input data dairy products'!$D$4*G11</f>
        <v>0.000204881443581359</v>
      </c>
      <c r="H20" s="87" t="n">
        <f aca="false">'Input data dairy products'!$D$4*H11</f>
        <v>0.000517857708851752</v>
      </c>
      <c r="I20" s="87" t="n">
        <f aca="false">'Input data dairy products'!$D$4*I11</f>
        <v>0.000265527939078597</v>
      </c>
      <c r="J20" s="87" t="n">
        <f aca="false">'Input data dairy products'!$D$4*J11</f>
        <v>2.25163416162975E-005</v>
      </c>
      <c r="K20" s="87" t="n">
        <f aca="false">'Input data dairy products'!$D$4*K11</f>
        <v>0</v>
      </c>
      <c r="L20" s="87" t="n">
        <f aca="false">'Input data dairy products'!$D$4*L11</f>
        <v>0</v>
      </c>
      <c r="M20" s="87" t="n">
        <f aca="false">'Input data dairy products'!$D$4*M11</f>
        <v>0</v>
      </c>
      <c r="N20" s="87" t="n">
        <f aca="false">N11*'Input data dairy products'!$D$4</f>
        <v>0</v>
      </c>
      <c r="O20" s="87" t="n">
        <f aca="false">O11*'Input data dairy products'!$D$4</f>
        <v>8.75877287735066E-008</v>
      </c>
      <c r="P20" s="87" t="n">
        <v>0</v>
      </c>
      <c r="Q20" s="87" t="n">
        <f aca="false">SUM(G20:P20)</f>
        <v>0.00101087102085678</v>
      </c>
      <c r="R20" s="89" t="n">
        <v>0</v>
      </c>
      <c r="S20" s="89" t="n">
        <v>0</v>
      </c>
      <c r="T20" s="74"/>
    </row>
    <row r="21" s="113" customFormat="true" ht="14.4" hidden="false" customHeight="false" outlineLevel="0" collapsed="false">
      <c r="A21" s="107" t="s">
        <v>179</v>
      </c>
      <c r="B21" s="69"/>
      <c r="C21" s="109"/>
      <c r="D21" s="221" t="s">
        <v>180</v>
      </c>
      <c r="E21" s="222" t="s">
        <v>180</v>
      </c>
      <c r="F21" s="223" t="s">
        <v>180</v>
      </c>
      <c r="G21" s="69"/>
      <c r="P21" s="69"/>
      <c r="Q21" s="69"/>
      <c r="R21" s="70"/>
      <c r="S21" s="70"/>
      <c r="T21" s="74"/>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row>
    <row r="22" s="83" customFormat="true" ht="14.4" hidden="false" customHeight="false" outlineLevel="0" collapsed="false">
      <c r="A22" s="75" t="s">
        <v>132</v>
      </c>
      <c r="B22" s="188" t="n">
        <f aca="false">SUM(B26:B34)</f>
        <v>1</v>
      </c>
      <c r="C22" s="78" t="s">
        <v>133</v>
      </c>
      <c r="D22" s="79" t="n">
        <f aca="false">IF($E$1="GWP100 without fb",D23+D24*'Common input data'!$C$5+D25*'Common input data'!$D$5,IF($E$1="GWP100 with fb",D23+D24*'Common input data'!$C$6+D25*'Common input data'!$D$6,IF($E$1="GTP100 without fb",D23+D24*'Common input data'!$C$7+D25*'Common input data'!$D$7,IF($E$1="GTP100 with fb",D23+D24*'Common input data'!$C$8+D25*'Common input data'!$D$8,D23+D24*'Common input data'!$C$9+D25*'Common input data'!$D$9))))</f>
        <v>9.14110346862895</v>
      </c>
      <c r="E22" s="80" t="n">
        <f aca="false">IF($E$1="GWP100 without fb",E23+E24*'Common input data'!$C$5+E25*'Common input data'!$D$5,IF($E$1="GWP100 with fb",E23+E24*'Common input data'!$C$6+E25*'Common input data'!$D$6,IF($E$1="GTP100 without fb",E23+E24*'Common input data'!$C$7+E25*'Common input data'!$D$7,IF($E$1="GTP100 with fb",E23+E24*'Common input data'!$C$8+E25*'Common input data'!$D$8,E23+E24*'Common input data'!$C$9+E25*'Common input data'!$D$9))))</f>
        <v>12.2042497115258</v>
      </c>
      <c r="F22" s="81" t="n">
        <f aca="false">IF($E$1="GWP100 without fb",F23+F24*'Common input data'!$C$5+F25*'Common input data'!$D$5,IF($E$1="GWP100 with fb",F23+F24*'Common input data'!$C$6+F25*'Common input data'!$D$6,IF($E$1="GTP100 without fb",F23+F24*'Common input data'!$C$7+F25*'Common input data'!$D$7,IF($E$1="GTP100 with fb",F23+F24*'Common input data'!$C$8+F25*'Common input data'!$D$8,F23+F24*'Common input data'!$C$9+F25*'Common input data'!$D$9))))</f>
        <v>12.6670519316066</v>
      </c>
      <c r="G22" s="82"/>
      <c r="P22" s="82"/>
      <c r="Q22" s="82"/>
      <c r="R22" s="78"/>
      <c r="S22" s="78"/>
      <c r="T22" s="74"/>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row>
    <row r="23" customFormat="false" ht="14.4" hidden="false" customHeight="false" outlineLevel="0" collapsed="false">
      <c r="A23" s="74"/>
      <c r="C23" s="85" t="s">
        <v>134</v>
      </c>
      <c r="D23" s="217" t="n">
        <f aca="false">$B$26*D27+$B$30*D31+$B$34*D35</f>
        <v>-0.244346318567217</v>
      </c>
      <c r="E23" s="89" t="n">
        <f aca="false">$B$26*E27+$B$30*E31+$B$34*E35</f>
        <v>2.14470217569137</v>
      </c>
      <c r="F23" s="88" t="n">
        <f aca="false">$B$26*F27+$B$30*F31+$B$34*F35</f>
        <v>2.38273762122452</v>
      </c>
      <c r="G23" s="89" t="n">
        <f aca="false">$B$26*G27+$B$30*G31+$B$34*G35</f>
        <v>1.99276899537854</v>
      </c>
      <c r="H23" s="89" t="n">
        <f aca="false">$B$26*H27+$B$30*H31+$B$34*H35</f>
        <v>0</v>
      </c>
      <c r="I23" s="89" t="n">
        <f aca="false">$B$26*I27+$B$30*I31+$B$34*I35</f>
        <v>0</v>
      </c>
      <c r="J23" s="89" t="n">
        <f aca="false">$B$26*J27+$B$30*J31+$B$34*J35</f>
        <v>0</v>
      </c>
      <c r="K23" s="89" t="n">
        <f aca="false">$B$26*K27+$B$30*K31+$B$34*K35</f>
        <v>0</v>
      </c>
      <c r="L23" s="89" t="n">
        <f aca="false">$B$26*L27+$B$30*L31+$B$34*L35</f>
        <v>-0.432741161383507</v>
      </c>
      <c r="M23" s="89" t="n">
        <f aca="false">$B$26*M27+$B$30*M31+$B$34*M35</f>
        <v>0.18839484281629</v>
      </c>
      <c r="N23" s="89" t="n">
        <f aca="false">$B$26*N27+$B$30*N31+$B$34*N35</f>
        <v>0.349638422903462</v>
      </c>
      <c r="O23" s="89" t="n">
        <f aca="false">$B$26*O27+$B$30*O31+$B$34*O35</f>
        <v>0.0466410759765884</v>
      </c>
      <c r="P23" s="89" t="n">
        <f aca="false">$B$26*P27+$B$30*P31+$B$34*P35</f>
        <v>0.06096</v>
      </c>
      <c r="Q23" s="89" t="n">
        <f aca="false">$B$26*Q27+$B$30*Q31+$B$34*Q35</f>
        <v>2.20566217569137</v>
      </c>
      <c r="R23" s="89" t="n">
        <f aca="false">$B$26*R27+$B$30*R31+$B$34*R35</f>
        <v>0.05</v>
      </c>
      <c r="S23" s="89" t="n">
        <f aca="false">$B$26*S27+$B$30*S31+$B$34*S35</f>
        <v>0.075</v>
      </c>
      <c r="T23" s="74"/>
    </row>
    <row r="24" customFormat="false" ht="14.4" hidden="false" customHeight="false" outlineLevel="0" collapsed="false">
      <c r="A24" s="91"/>
      <c r="B24" s="93"/>
      <c r="C24" s="85" t="s">
        <v>135</v>
      </c>
      <c r="D24" s="217" t="n">
        <f aca="false">$B$26*D28+$B$30*D32+$B$34*D36</f>
        <v>0.206537860741434</v>
      </c>
      <c r="E24" s="89" t="n">
        <f aca="false">$B$26*E28+$B$30*E32+$B$34*E36</f>
        <v>0.208683995790003</v>
      </c>
      <c r="F24" s="88" t="n">
        <f aca="false">$B$26*F28+$B$30*F32+$B$34*F36</f>
        <v>0.21334675308265</v>
      </c>
      <c r="G24" s="89" t="n">
        <f aca="false">$B$26*G28+$B$30*G32+$B$34*G36</f>
        <v>0.00213349287668229</v>
      </c>
      <c r="H24" s="89" t="n">
        <f aca="false">$B$26*H28+$B$30*H32+$B$34*H36</f>
        <v>0</v>
      </c>
      <c r="I24" s="89" t="n">
        <f aca="false">$B$26*I28+$B$30*I32+$B$34*I36</f>
        <v>0.0134957745601561</v>
      </c>
      <c r="J24" s="89" t="n">
        <f aca="false">$B$26*J28+$B$30*J32+$B$34*J36</f>
        <v>0</v>
      </c>
      <c r="K24" s="89" t="n">
        <f aca="false">$B$26*K28+$B$30*K32+$B$34*K36</f>
        <v>0.193042086181278</v>
      </c>
      <c r="L24" s="89" t="n">
        <f aca="false">$B$26*L28+$B$30*L32+$B$34*L36</f>
        <v>0</v>
      </c>
      <c r="M24" s="89" t="n">
        <f aca="false">$B$26*M28+$B$30*M32+$B$34*M36</f>
        <v>0</v>
      </c>
      <c r="N24" s="89" t="n">
        <f aca="false">$B$26*N28+$B$30*N32+$B$34*N36</f>
        <v>0</v>
      </c>
      <c r="O24" s="89" t="n">
        <f aca="false">$B$26*O28+$B$30*O32+$B$34*O36</f>
        <v>1.26421718868868E-005</v>
      </c>
      <c r="P24" s="89" t="n">
        <f aca="false">$B$26*P28+$B$30*P32+$B$34*P36</f>
        <v>0</v>
      </c>
      <c r="Q24" s="89" t="n">
        <f aca="false">$B$26*Q28+$B$30*Q32+$B$34*Q36</f>
        <v>0.208683995790003</v>
      </c>
      <c r="R24" s="89" t="n">
        <f aca="false">$B$26*R28+$B$30*R32+$B$34*R36</f>
        <v>0</v>
      </c>
      <c r="S24" s="89" t="n">
        <f aca="false">$B$26*S28+$B$30*S32+$B$34*S36</f>
        <v>0</v>
      </c>
      <c r="T24" s="74"/>
    </row>
    <row r="25" customFormat="false" ht="14.4" hidden="false" customHeight="false" outlineLevel="0" collapsed="false">
      <c r="A25" s="91"/>
      <c r="B25" s="87"/>
      <c r="C25" s="31" t="s">
        <v>136</v>
      </c>
      <c r="D25" s="217" t="n">
        <f aca="false">$B$26*D29+$B$30*D33+$B$34*D37</f>
        <v>0.007930075577139</v>
      </c>
      <c r="E25" s="89" t="n">
        <f aca="false">$B$26*E29+$B$30*E33+$B$34*E37</f>
        <v>0.00994728751333658</v>
      </c>
      <c r="F25" s="88" t="n">
        <f aca="false">$B$26*F29+$B$30*F33+$B$34*F37</f>
        <v>0.0101695459918523</v>
      </c>
      <c r="G25" s="89" t="n">
        <f aca="false">$B$26*G29+$B$30*G33+$B$34*G37</f>
        <v>0.00201603340484057</v>
      </c>
      <c r="H25" s="89" t="n">
        <f aca="false">$B$26*H29+$B$30*H33+$B$34*H37</f>
        <v>0.00509571985510124</v>
      </c>
      <c r="I25" s="89" t="n">
        <f aca="false">$B$26*I29+$B$30*I33+$B$34*I37</f>
        <v>0.00261279492053339</v>
      </c>
      <c r="J25" s="89" t="n">
        <f aca="false">$B$26*J29+$B$30*J33+$B$34*J37</f>
        <v>0.000221560801504367</v>
      </c>
      <c r="K25" s="89" t="n">
        <f aca="false">$B$26*K29+$B$30*K33+$B$34*K37</f>
        <v>0</v>
      </c>
      <c r="L25" s="89" t="n">
        <f aca="false">$B$26*L29+$B$30*L33+$B$34*L37</f>
        <v>0</v>
      </c>
      <c r="M25" s="89" t="n">
        <f aca="false">$B$26*M29+$B$30*M33+$B$34*M37</f>
        <v>0</v>
      </c>
      <c r="N25" s="89" t="n">
        <f aca="false">$B$26*N29+$B$30*N33+$B$34*N37</f>
        <v>0</v>
      </c>
      <c r="O25" s="89" t="n">
        <f aca="false">$B$26*O29+$B$30*O33+$B$34*O37</f>
        <v>1.17853135701089E-006</v>
      </c>
      <c r="P25" s="89" t="n">
        <f aca="false">$B$26*P29+$B$30*P33+$B$34*P37</f>
        <v>0</v>
      </c>
      <c r="Q25" s="89" t="n">
        <f aca="false">$B$26*Q29+$B$30*Q33+$B$34*Q37</f>
        <v>0.00994728751333658</v>
      </c>
      <c r="R25" s="89" t="n">
        <f aca="false">$B$26*R29+$B$30*R33+$B$34*R37</f>
        <v>0</v>
      </c>
      <c r="S25" s="89" t="n">
        <f aca="false">$B$26*S29+$B$30*S33+$B$34*S37</f>
        <v>0</v>
      </c>
      <c r="T25" s="74"/>
    </row>
    <row r="26" s="83" customFormat="true" ht="14.4" hidden="false" customHeight="false" outlineLevel="0" collapsed="false">
      <c r="A26" s="75" t="s">
        <v>137</v>
      </c>
      <c r="B26" s="188" t="n">
        <f aca="false">'Input data dairy products'!C6</f>
        <v>0.64</v>
      </c>
      <c r="C26" s="78" t="s">
        <v>133</v>
      </c>
      <c r="D26" s="94" t="n">
        <f aca="false">IF($E$1="GWP100 without fb",D27+D28*'Common input data'!$C$5+D29*'Common input data'!$D$5,IF($E$1="GWP100 with fb",D27+D28*'Common input data'!$C$6+D29*'Common input data'!$D$6,IF($E$1="GTP100 without fb",D27+D28*'Common input data'!$C$7+D29*'Common input data'!$D$7,IF($E$1="GTP100 with fb",D27+D28*'Common input data'!$C$8+D29*'Common input data'!$D$8,D27+D28*'Common input data'!$C$9+D29*'Common input data'!$D$9))))</f>
        <v>9.14110346862895</v>
      </c>
      <c r="E26" s="95" t="n">
        <f aca="false">IF($E$1="GWP100 without fb",E27+E28*'Common input data'!$C$5+E29*'Common input data'!$D$5,IF($E$1="GWP100 with fb",E27+E28*'Common input data'!$C$6+E29*'Common input data'!$D$6,IF($E$1="GTP100 without fb",E27+E28*'Common input data'!$C$7+E29*'Common input data'!$D$7,IF($E$1="GTP100 with fb",E27+E28*'Common input data'!$C$8+E29*'Common input data'!$D$8,E27+E28*'Common input data'!$C$9+E29*'Common input data'!$D$9))))</f>
        <v>12.0975606473683</v>
      </c>
      <c r="F26" s="96" t="n">
        <f aca="false">IF($E$1="GWP100 without fb",F27+F28*'Common input data'!$C$5+F29*'Common input data'!$D$5,IF($E$1="GWP100 with fb",F27+F28*'Common input data'!$C$6+F29*'Common input data'!$D$6,IF($E$1="GTP100 without fb",F27+F28*'Common input data'!$C$7+F29*'Common input data'!$D$7,IF($E$1="GTP100 with fb",F27+F28*'Common input data'!$C$8+F29*'Common input data'!$D$8,F27+F28*'Common input data'!$C$9+F29*'Common input data'!$D$9))))</f>
        <v>12.4987240102291</v>
      </c>
      <c r="G26" s="97"/>
      <c r="P26" s="97"/>
      <c r="Q26" s="97"/>
      <c r="R26" s="98"/>
      <c r="S26" s="98"/>
      <c r="T26" s="74"/>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row>
    <row r="27" customFormat="false" ht="14.4" hidden="false" customHeight="false" outlineLevel="0" collapsed="false">
      <c r="A27" s="99"/>
      <c r="C27" s="85" t="s">
        <v>134</v>
      </c>
      <c r="D27" s="217" t="n">
        <f aca="false">IF(AND($E$2="No",$E$3="No"),SUM(H27:K27),IF(AND($E$2="Yes", $E$3="No"), SUM(H27:K27)+M27, IF(AND($E$2="No", $E$3="Yes"),SUM(H27:K27)+L27, SUM(H27:K27)+M27+L27)))</f>
        <v>-0.244346318567217</v>
      </c>
      <c r="E27" s="89" t="n">
        <f aca="false">IF(AND($E$2="No",$E$3="No"),SUM(G27:K27,N27:O27),IF(AND($E$2="Yes",$E$3="No"), SUM(G27:K27,N27:O27)+M27, IF(AND($E$2="No", $E$3="Yes"),SUM(G27:K27,N27:O27)+L27, SUM(G27:K27,N27:O27)+M27+L27)))</f>
        <v>2.03822297379085</v>
      </c>
      <c r="F27" s="88" t="n">
        <f aca="false">SUM(Q27:S27)/(1-'Common input data'!B$127)</f>
        <v>2.21462425118784</v>
      </c>
      <c r="G27" s="87" t="n">
        <f aca="false">'Input data dairy products'!$D$6*G9*'Common input data'!D$38</f>
        <v>1.99276899537854</v>
      </c>
      <c r="H27" s="87" t="n">
        <f aca="false">'Input data dairy products'!$D$6*H9*'Common input data'!D$38</f>
        <v>0</v>
      </c>
      <c r="I27" s="87" t="n">
        <f aca="false">'Input data dairy products'!$D$6*I9*'Common input data'!D$38</f>
        <v>0</v>
      </c>
      <c r="J27" s="87" t="n">
        <f aca="false">'Input data dairy products'!$D$6*J9*'Common input data'!D$38</f>
        <v>0</v>
      </c>
      <c r="K27" s="87" t="n">
        <f aca="false">'Input data dairy products'!$D$6*K9*'Common input data'!D$38</f>
        <v>0</v>
      </c>
      <c r="L27" s="87" t="n">
        <f aca="false">'Input data dairy products'!$D$6*L9*'Common input data'!D$38</f>
        <v>-0.432741161383507</v>
      </c>
      <c r="M27" s="87" t="n">
        <f aca="false">'Input data dairy products'!$D$6*M9*'Common input data'!D$38</f>
        <v>0.18839484281629</v>
      </c>
      <c r="N27" s="87" t="n">
        <f aca="false">'Input data dairy products'!$D$6*N9*'Common input data'!D$38</f>
        <v>0.25569154871559</v>
      </c>
      <c r="O27" s="87" t="n">
        <f aca="false">'Input data dairy products'!$D$6*O9*'Common input data'!D$38</f>
        <v>0.0341087482639405</v>
      </c>
      <c r="P27" s="87" t="n">
        <f aca="false">'Input data dairy products'!C$29*'Common input data'!D$38</f>
        <v>0.048</v>
      </c>
      <c r="Q27" s="87" t="n">
        <f aca="false">IF(AND($E$2="No",$E$3="No"),SUM(G27:K27,N27:P27),IF(AND($E$2="Yes",$E$3="No"), SUM(G27:K27,N27:P27)+M27, IF(AND($E$2="No", $E$3="Yes"),SUM(G27:K27,N27:P27)+L27, SUM(G27:K27,N27:P27)+M27+L27)))</f>
        <v>2.08622297379085</v>
      </c>
      <c r="R27" s="89" t="n">
        <f aca="false">'Common input data'!B$91</f>
        <v>0.05</v>
      </c>
      <c r="S27" s="89" t="n">
        <f aca="false">'Common input data'!C$98</f>
        <v>0.03</v>
      </c>
      <c r="T27" s="74"/>
    </row>
    <row r="28" customFormat="false" ht="14.4" hidden="false" customHeight="false" outlineLevel="0" collapsed="false">
      <c r="A28" s="99"/>
      <c r="B28" s="93"/>
      <c r="C28" s="85" t="s">
        <v>135</v>
      </c>
      <c r="D28" s="217" t="n">
        <f aca="false">SUM(H28:K28)</f>
        <v>0.206537860741434</v>
      </c>
      <c r="E28" s="89" t="n">
        <f aca="false">SUM(G28:K28,N28:O28)</f>
        <v>0.208680598873492</v>
      </c>
      <c r="F28" s="88" t="n">
        <f aca="false">SUM(Q28:S28)/(1-'Common input data'!B$127)</f>
        <v>0.213343280266705</v>
      </c>
      <c r="G28" s="87" t="n">
        <f aca="false">'Input data dairy products'!$D$6*G10*'Common input data'!D$38</f>
        <v>0.00213349287668229</v>
      </c>
      <c r="H28" s="87" t="n">
        <f aca="false">'Input data dairy products'!$D$6*H10*'Common input data'!D$38</f>
        <v>0</v>
      </c>
      <c r="I28" s="87" t="n">
        <f aca="false">'Input data dairy products'!$D$6*I10*'Common input data'!D$38</f>
        <v>0.0134957745601561</v>
      </c>
      <c r="J28" s="87" t="n">
        <f aca="false">'Input data dairy products'!$D$6*J10*'Common input data'!D$38</f>
        <v>0</v>
      </c>
      <c r="K28" s="87" t="n">
        <f aca="false">'Input data dairy products'!$D$6*K10*'Common input data'!D$38</f>
        <v>0.193042086181278</v>
      </c>
      <c r="L28" s="87" t="n">
        <f aca="false">'Input data dairy products'!$D$6*L10*'Common input data'!D$38</f>
        <v>0</v>
      </c>
      <c r="M28" s="87" t="n">
        <f aca="false">'Input data dairy products'!$D$6*M10*'Common input data'!D$38</f>
        <v>0</v>
      </c>
      <c r="N28" s="87" t="n">
        <f aca="false">'Input data dairy products'!$D$6*N10*'Common input data'!D$38</f>
        <v>0</v>
      </c>
      <c r="O28" s="87" t="n">
        <f aca="false">'Input data dairy products'!$D$6*O10*'Common input data'!D$38</f>
        <v>9.24525537566358E-006</v>
      </c>
      <c r="P28" s="87" t="n">
        <v>0</v>
      </c>
      <c r="Q28" s="87" t="n">
        <f aca="false">SUM(G28:P28)</f>
        <v>0.208680598873492</v>
      </c>
      <c r="R28" s="89" t="n">
        <v>0</v>
      </c>
      <c r="S28" s="89" t="n">
        <v>0</v>
      </c>
      <c r="T28" s="74"/>
    </row>
    <row r="29" customFormat="false" ht="14.4" hidden="false" customHeight="false" outlineLevel="0" collapsed="false">
      <c r="A29" s="100"/>
      <c r="B29" s="87"/>
      <c r="C29" s="31" t="s">
        <v>136</v>
      </c>
      <c r="D29" s="217" t="n">
        <f aca="false">SUM(H29:K29)</f>
        <v>0.007930075577139</v>
      </c>
      <c r="E29" s="89" t="n">
        <f aca="false">SUM(G29:K29,N29:O29)</f>
        <v>0.0099469708452307</v>
      </c>
      <c r="F29" s="88" t="n">
        <f aca="false">SUM(Q29:S29)/(1-'Common input data'!B$127)</f>
        <v>0.0101692222482325</v>
      </c>
      <c r="G29" s="87" t="n">
        <f aca="false">'Input data dairy products'!$D$6*G11*'Common input data'!D$38</f>
        <v>0.00201603340484057</v>
      </c>
      <c r="H29" s="87" t="n">
        <f aca="false">'Input data dairy products'!$D$6*H11*'Common input data'!D$38</f>
        <v>0.00509571985510124</v>
      </c>
      <c r="I29" s="87" t="n">
        <f aca="false">'Input data dairy products'!$D$6*I11*'Common input data'!D$38</f>
        <v>0.00261279492053339</v>
      </c>
      <c r="J29" s="87" t="n">
        <f aca="false">'Input data dairy products'!$D$6*J11*'Common input data'!D$38</f>
        <v>0.000221560801504367</v>
      </c>
      <c r="K29" s="87" t="n">
        <f aca="false">'Input data dairy products'!$D$6*K11*'Common input data'!D$38</f>
        <v>0</v>
      </c>
      <c r="L29" s="87" t="n">
        <f aca="false">'Input data dairy products'!$D$6*L11*'Common input data'!D$38</f>
        <v>0</v>
      </c>
      <c r="M29" s="87" t="n">
        <f aca="false">'Input data dairy products'!$D$6*M11*'Common input data'!D$38</f>
        <v>0</v>
      </c>
      <c r="N29" s="87" t="n">
        <f aca="false">'Input data dairy products'!$D$6*N11*'Common input data'!D$38</f>
        <v>0</v>
      </c>
      <c r="O29" s="87" t="n">
        <f aca="false">'Input data dairy products'!$D$6*O11*'Common input data'!D$38</f>
        <v>8.61863251131304E-007</v>
      </c>
      <c r="P29" s="87" t="n">
        <v>0</v>
      </c>
      <c r="Q29" s="87" t="n">
        <f aca="false">SUM(G29:P29)</f>
        <v>0.0099469708452307</v>
      </c>
      <c r="R29" s="89" t="n">
        <v>0</v>
      </c>
      <c r="S29" s="89" t="n">
        <v>0</v>
      </c>
      <c r="T29" s="74"/>
    </row>
    <row r="30" s="83" customFormat="true" ht="14.4" hidden="false" customHeight="false" outlineLevel="0" collapsed="false">
      <c r="A30" s="75" t="s">
        <v>139</v>
      </c>
      <c r="B30" s="188" t="n">
        <f aca="false">'Input data dairy products'!C7</f>
        <v>0.18</v>
      </c>
      <c r="C30" s="78" t="s">
        <v>133</v>
      </c>
      <c r="D30" s="94" t="n">
        <f aca="false">IF($E$1="GWP100 without fb",D31+D32*'Common input data'!$C$5+D33*'Common input data'!$D$5,IF($E$1="GWP100 with fb",D31+D32*'Common input data'!$C$6+D33*'Common input data'!$D$6,IF($E$1="GTP100 without fb",D31+D32*'Common input data'!$C$7+D33*'Common input data'!$D$7,IF($E$1="GTP100 with fb",D31+D32*'Common input data'!$C$8+D33*'Common input data'!$D$8,D31+D32*'Common input data'!$C$9+D33*'Common input data'!$D$9))))</f>
        <v>9.14110346862895</v>
      </c>
      <c r="E30" s="95" t="n">
        <f aca="false">IF($E$1="GWP100 without fb",E31+E32*'Common input data'!$C$5+E33*'Common input data'!$D$5,IF($E$1="GWP100 with fb",E31+E32*'Common input data'!$C$6+E33*'Common input data'!$D$6,IF($E$1="GTP100 without fb",E31+E32*'Common input data'!$C$7+E33*'Common input data'!$D$7,IF($E$1="GTP100 with fb",E31+E32*'Common input data'!$C$8+E33*'Common input data'!$D$8,E31+E32*'Common input data'!$C$9+E33*'Common input data'!$D$9))))</f>
        <v>12.0975606473683</v>
      </c>
      <c r="F30" s="96" t="n">
        <f aca="false">IF($E$1="GWP100 without fb",F31+F32*'Common input data'!$C$5+F33*'Common input data'!$D$5,IF($E$1="GWP100 with fb",F31+F32*'Common input data'!$C$6+F33*'Common input data'!$D$6,IF($E$1="GTP100 without fb",F31+F32*'Common input data'!$C$7+F33*'Common input data'!$D$7,IF($E$1="GTP100 with fb",F31+F32*'Common input data'!$C$8+F33*'Common input data'!$D$8,F31+F32*'Common input data'!$C$9+F33*'Common input data'!$D$9))))</f>
        <v>12.5498411915623</v>
      </c>
      <c r="G30" s="97"/>
      <c r="P30" s="97"/>
      <c r="Q30" s="97"/>
      <c r="R30" s="98"/>
      <c r="S30" s="98"/>
      <c r="T30" s="74"/>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row>
    <row r="31" customFormat="false" ht="14.4" hidden="false" customHeight="false" outlineLevel="0" collapsed="false">
      <c r="A31" s="99"/>
      <c r="C31" s="85" t="s">
        <v>134</v>
      </c>
      <c r="D31" s="217" t="n">
        <f aca="false">IF(AND($E$2="No",$E$3="No"),SUM(H31:K31),IF(AND($E$2="Yes", $E$3="No"), SUM(H31:K31)+M31, IF(AND($E$2="No", $E$3="Yes"),SUM(H31:K31)+L31, SUM(H31:K31)+M31+L31)))</f>
        <v>-0.244346318567217</v>
      </c>
      <c r="E31" s="89" t="n">
        <f aca="false">IF(AND($E$2="No",$E$3="No"),SUM(G31:K31,N31:O31),IF(AND($E$2="Yes",$E$3="No"), SUM(G31:K31,N31:O31)+M31, IF(AND($E$2="No", $E$3="Yes"),SUM(G31:K31,N31:O31)+L31, SUM(G31:K31,N31:O31)+M31+L31)))</f>
        <v>2.03822297379085</v>
      </c>
      <c r="F31" s="88" t="n">
        <f aca="false">SUM(Q31:S31)/(1-'Common input data'!B$127)</f>
        <v>2.26574143252103</v>
      </c>
      <c r="G31" s="87" t="n">
        <f aca="false">'Input data dairy products'!$D$7*G9*'Common input data'!D$38</f>
        <v>1.99276899537854</v>
      </c>
      <c r="H31" s="87" t="n">
        <f aca="false">'Input data dairy products'!$D$7*H9*'Common input data'!D$38</f>
        <v>0</v>
      </c>
      <c r="I31" s="87" t="n">
        <f aca="false">'Input data dairy products'!$D$7*I9*'Common input data'!D$38</f>
        <v>0</v>
      </c>
      <c r="J31" s="87" t="n">
        <f aca="false">'Input data dairy products'!$D$7*J9*'Common input data'!D$38</f>
        <v>0</v>
      </c>
      <c r="K31" s="87" t="n">
        <f aca="false">'Input data dairy products'!$D$7*K9*'Common input data'!D$38</f>
        <v>0</v>
      </c>
      <c r="L31" s="87" t="n">
        <f aca="false">'Input data dairy products'!$D$7*L9*'Common input data'!D$38</f>
        <v>-0.432741161383507</v>
      </c>
      <c r="M31" s="87" t="n">
        <f aca="false">'Input data dairy products'!$D$7*M9*'Common input data'!D$38</f>
        <v>0.18839484281629</v>
      </c>
      <c r="N31" s="87" t="n">
        <f aca="false">'Input data dairy products'!$D$7*N9*'Common input data'!D$38</f>
        <v>0.25569154871559</v>
      </c>
      <c r="O31" s="87" t="n">
        <f aca="false">'Input data dairy products'!$D$7*O9*'Common input data'!D$38</f>
        <v>0.0341087482639405</v>
      </c>
      <c r="P31" s="87" t="n">
        <f aca="false">'Input data dairy products'!C$29*'Common input data'!D$38</f>
        <v>0.048</v>
      </c>
      <c r="Q31" s="218" t="n">
        <f aca="false">IF(AND($E$2="No",$E$3="No"),SUM(G31:K31,N31:P31),IF(AND($E$2="Yes",$E$3="No"), SUM(G31:K31,N31:P31)+M31, IF(AND($E$2="No", $E$3="Yes"),SUM(G31:K31,N31:P31)+L31, SUM(G31:K31,N31:P31)+M31+L31)))</f>
        <v>2.08622297379085</v>
      </c>
      <c r="R31" s="89" t="n">
        <f aca="false">'Common input data'!B$91</f>
        <v>0.05</v>
      </c>
      <c r="S31" s="89" t="n">
        <f aca="false">'Common input data'!B$98+'Common input data'!C$98</f>
        <v>0.08</v>
      </c>
      <c r="T31" s="74"/>
    </row>
    <row r="32" customFormat="false" ht="14.4" hidden="false" customHeight="false" outlineLevel="0" collapsed="false">
      <c r="A32" s="99"/>
      <c r="B32" s="31"/>
      <c r="C32" s="85" t="s">
        <v>135</v>
      </c>
      <c r="D32" s="217" t="n">
        <f aca="false">SUM(H32:K32)</f>
        <v>0.206537860741434</v>
      </c>
      <c r="E32" s="89" t="n">
        <f aca="false">SUM(G32:K32,N32:O32)</f>
        <v>0.208680598873492</v>
      </c>
      <c r="F32" s="88" t="n">
        <f aca="false">SUM(Q32:S32)/(1-'Common input data'!B$127)</f>
        <v>0.213343280266705</v>
      </c>
      <c r="G32" s="87" t="n">
        <f aca="false">'Input data dairy products'!$D$7*G10*'Common input data'!D$38</f>
        <v>0.00213349287668229</v>
      </c>
      <c r="H32" s="87" t="n">
        <f aca="false">'Input data dairy products'!$D$7*H10*'Common input data'!D$38</f>
        <v>0</v>
      </c>
      <c r="I32" s="87" t="n">
        <f aca="false">'Input data dairy products'!$D$7*I10*'Common input data'!D$38</f>
        <v>0.0134957745601561</v>
      </c>
      <c r="J32" s="87" t="n">
        <f aca="false">'Input data dairy products'!$D$7*J10*'Common input data'!D$38</f>
        <v>0</v>
      </c>
      <c r="K32" s="87" t="n">
        <f aca="false">'Input data dairy products'!$D$7*K10*'Common input data'!D$38</f>
        <v>0.193042086181278</v>
      </c>
      <c r="L32" s="87" t="n">
        <f aca="false">'Input data dairy products'!$D$7*L10*'Common input data'!D$38</f>
        <v>0</v>
      </c>
      <c r="M32" s="87" t="n">
        <f aca="false">'Input data dairy products'!$D$7*M10*'Common input data'!D$38</f>
        <v>0</v>
      </c>
      <c r="N32" s="87" t="n">
        <f aca="false">'Input data dairy products'!$D$7*N10*'Common input data'!D$38</f>
        <v>0</v>
      </c>
      <c r="O32" s="87" t="n">
        <f aca="false">'Input data dairy products'!$D$7*O10*'Common input data'!D$38</f>
        <v>9.24525537566358E-006</v>
      </c>
      <c r="P32" s="87" t="n">
        <v>0</v>
      </c>
      <c r="Q32" s="87" t="n">
        <f aca="false">SUM(G32:P32)</f>
        <v>0.208680598873492</v>
      </c>
      <c r="R32" s="89" t="n">
        <v>0</v>
      </c>
      <c r="S32" s="89" t="n">
        <v>0</v>
      </c>
      <c r="T32" s="74"/>
    </row>
    <row r="33" customFormat="false" ht="14.4" hidden="false" customHeight="false" outlineLevel="0" collapsed="false">
      <c r="A33" s="99"/>
      <c r="B33" s="87"/>
      <c r="C33" s="31" t="s">
        <v>136</v>
      </c>
      <c r="D33" s="217" t="n">
        <f aca="false">SUM(H33:K33)</f>
        <v>0.007930075577139</v>
      </c>
      <c r="E33" s="89" t="n">
        <f aca="false">SUM(G33:K33,N33:O33)</f>
        <v>0.0099469708452307</v>
      </c>
      <c r="F33" s="88" t="n">
        <f aca="false">SUM(Q33:S33)/(1-'Common input data'!B$127)</f>
        <v>0.0101692222482325</v>
      </c>
      <c r="G33" s="87" t="n">
        <f aca="false">'Input data dairy products'!$D$7*G11*'Common input data'!D$38</f>
        <v>0.00201603340484057</v>
      </c>
      <c r="H33" s="87" t="n">
        <f aca="false">'Input data dairy products'!$D$7*H11*'Common input data'!D$38</f>
        <v>0.00509571985510124</v>
      </c>
      <c r="I33" s="87" t="n">
        <f aca="false">'Input data dairy products'!$D$7*I11*'Common input data'!D$38</f>
        <v>0.00261279492053339</v>
      </c>
      <c r="J33" s="87" t="n">
        <f aca="false">'Input data dairy products'!$D$7*J11*'Common input data'!D$38</f>
        <v>0.000221560801504367</v>
      </c>
      <c r="K33" s="87" t="n">
        <f aca="false">'Input data dairy products'!$D$7*K11*'Common input data'!D$38</f>
        <v>0</v>
      </c>
      <c r="L33" s="87" t="n">
        <f aca="false">'Input data dairy products'!$D$7*L11*'Common input data'!D$38</f>
        <v>0</v>
      </c>
      <c r="M33" s="87" t="n">
        <f aca="false">'Input data dairy products'!$D$7*M11*'Common input data'!D$38</f>
        <v>0</v>
      </c>
      <c r="N33" s="87" t="n">
        <f aca="false">'Input data dairy products'!$D$7*N11*'Common input data'!D$38</f>
        <v>0</v>
      </c>
      <c r="O33" s="87" t="n">
        <f aca="false">'Input data dairy products'!$D$7*O11*'Common input data'!D$38</f>
        <v>8.61863251131304E-007</v>
      </c>
      <c r="P33" s="87" t="n">
        <v>0</v>
      </c>
      <c r="Q33" s="87" t="n">
        <f aca="false">SUM(G33:P33)</f>
        <v>0.0099469708452307</v>
      </c>
      <c r="R33" s="102" t="n">
        <v>0</v>
      </c>
      <c r="S33" s="89" t="n">
        <v>0</v>
      </c>
      <c r="T33" s="74"/>
    </row>
    <row r="34" s="83" customFormat="true" ht="14.4" hidden="false" customHeight="false" outlineLevel="0" collapsed="false">
      <c r="A34" s="75" t="s">
        <v>141</v>
      </c>
      <c r="B34" s="188" t="n">
        <f aca="false">'Input data dairy products'!C8</f>
        <v>0.18</v>
      </c>
      <c r="C34" s="78" t="s">
        <v>133</v>
      </c>
      <c r="D34" s="94" t="n">
        <f aca="false">IF($E$1="GWP100 without fb",D35+D36*'Common input data'!$C$5+D37*'Common input data'!$D$5,IF($E$1="GWP100 with fb",D35+D36*'Common input data'!$C$6+D37*'Common input data'!$D$6,IF($E$1="GTP100 without fb",D35+D36*'Common input data'!$C$7+D37*'Common input data'!$D$7,IF($E$1="GTP100 with fb",D35+D36*'Common input data'!$C$8+D37*'Common input data'!$D$8,D35+D36*'Common input data'!$C$9+D37*'Common input data'!$D$9))))</f>
        <v>9.14110346862895</v>
      </c>
      <c r="E34" s="95" t="n">
        <f aca="false">IF($E$1="GWP100 without fb",E35+E36*'Common input data'!$C$5+E37*'Common input data'!$D$5,IF($E$1="GWP100 with fb",E35+E36*'Common input data'!$C$6+E37*'Common input data'!$D$6,IF($E$1="GTP100 without fb",E35+E36*'Common input data'!$C$7+E37*'Common input data'!$D$7,IF($E$1="GTP100 with fb",E35+E36*'Common input data'!$C$8+E37*'Common input data'!$D$8,E35+E36*'Common input data'!$C$9+E37*'Common input data'!$D$9))))</f>
        <v>12.6902776704653</v>
      </c>
      <c r="F34" s="96" t="n">
        <f aca="false">IF($E$1="GWP100 without fb",F35+F36*'Common input data'!$C$5+F37*'Common input data'!$D$5,IF($E$1="GWP100 with fb",F35+F36*'Common input data'!$C$6+F37*'Common input data'!$D$6,IF($E$1="GTP100 without fb",F35+F36*'Common input data'!$C$7+F37*'Common input data'!$D$7,IF($E$1="GTP100 with fb",F35+F36*'Common input data'!$C$8+F37*'Common input data'!$D$8,F35+F36*'Common input data'!$C$9+F37*'Common input data'!$D$9))))</f>
        <v>13.38276194766</v>
      </c>
      <c r="G34" s="97"/>
      <c r="P34" s="97"/>
      <c r="Q34" s="97"/>
      <c r="R34" s="98"/>
      <c r="S34" s="98"/>
      <c r="T34" s="74"/>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row>
    <row r="35" customFormat="false" ht="14.4" hidden="false" customHeight="false" outlineLevel="0" collapsed="false">
      <c r="A35" s="99"/>
      <c r="C35" s="85" t="s">
        <v>134</v>
      </c>
      <c r="D35" s="217" t="n">
        <f aca="false">IF(AND($E$2="No",$E$3="No"),SUM(H35:K35),IF(AND($E$2="Yes", $E$3="No"), SUM(H35:K35)+M35, IF(AND($E$2="No", $E$3="Yes"),SUM(H35:K35)+L35, SUM(H35:K35)+M35+L35)))</f>
        <v>-0.244346318567217</v>
      </c>
      <c r="E35" s="89" t="n">
        <f aca="false">IF(AND($E$2="No",$E$3="No"),SUM(G35:K35,N35:O35),IF(AND($E$2="Yes",$E$3="No"), SUM(G35:K35,N35:O35)+M35, IF(AND($E$2="No", $E$3="Yes"),SUM(G35:K35,N35:O35)+L35, SUM(G35:K35,N35:O35)+M35+L35)))</f>
        <v>2.62977409546041</v>
      </c>
      <c r="F35" s="88" t="n">
        <f aca="false">SUM(Q35:S35)/(1-'Common input data'!B$127)</f>
        <v>3.09747023672511</v>
      </c>
      <c r="G35" s="87" t="n">
        <f aca="false">'Input data dairy products'!$D$8*G13*'Common input data'!D$38</f>
        <v>1.99276899537854</v>
      </c>
      <c r="H35" s="87" t="n">
        <f aca="false">'Input data dairy products'!$D$8*H13*'Common input data'!D$38</f>
        <v>0</v>
      </c>
      <c r="I35" s="87" t="n">
        <f aca="false">'Input data dairy products'!$D$8*I13*'Common input data'!D$38</f>
        <v>0</v>
      </c>
      <c r="J35" s="87" t="n">
        <f aca="false">'Input data dairy products'!$D$8*J13*'Common input data'!D$38</f>
        <v>0</v>
      </c>
      <c r="K35" s="87" t="n">
        <f aca="false">'Input data dairy products'!$D$8*K13*'Common input data'!D$38</f>
        <v>0</v>
      </c>
      <c r="L35" s="87" t="n">
        <f aca="false">'Input data dairy products'!$D$8*L13*'Common input data'!D$38</f>
        <v>-0.432741161383507</v>
      </c>
      <c r="M35" s="87" t="n">
        <f aca="false">'Input data dairy products'!$D$8*M13*'Common input data'!D$38</f>
        <v>0.18839484281629</v>
      </c>
      <c r="N35" s="87" t="n">
        <f aca="false">'Input data dairy products'!$D$8*N13*'Common input data'!D$38</f>
        <v>0.777618627537102</v>
      </c>
      <c r="O35" s="87" t="n">
        <f aca="false">'Input data dairy products'!$D$8*O13*'Common input data'!D$38</f>
        <v>0.103732791111984</v>
      </c>
      <c r="P35" s="87" t="n">
        <f aca="false">'Input data dairy products'!C$30*'Common input data'!D$38</f>
        <v>0.12</v>
      </c>
      <c r="Q35" s="218" t="n">
        <f aca="false">IF(AND($E$2="No",$E$3="No"),SUM(G35:K35,N35:P35),IF(AND($E$2="Yes",$E$3="No"), SUM(G35:K35,N35:P35)+M35, IF(AND($E$2="No", $E$3="Yes"),SUM(G35:K35,N35:P35)+L35, SUM(G35:K35,N35:P35)+M35+L35)))</f>
        <v>2.74977409546041</v>
      </c>
      <c r="R35" s="89" t="n">
        <f aca="false">'Common input data'!B$91</f>
        <v>0.05</v>
      </c>
      <c r="S35" s="89" t="n">
        <f aca="false">'Common input data'!B$102+'Common input data'!C$102</f>
        <v>0.23</v>
      </c>
      <c r="T35" s="74"/>
    </row>
    <row r="36" customFormat="false" ht="14.4" hidden="false" customHeight="false" outlineLevel="0" collapsed="false">
      <c r="A36" s="99"/>
      <c r="B36" s="87"/>
      <c r="C36" s="85" t="s">
        <v>135</v>
      </c>
      <c r="D36" s="217" t="n">
        <f aca="false">SUM(H36:K36)</f>
        <v>0.206537860741434</v>
      </c>
      <c r="E36" s="89" t="n">
        <f aca="false">SUM(G36:K36,N36:O36)</f>
        <v>0.208699470631887</v>
      </c>
      <c r="F36" s="88" t="n">
        <f aca="false">SUM(Q36:S36)/(1-'Common input data'!B$127)</f>
        <v>0.213362573688624</v>
      </c>
      <c r="G36" s="87" t="n">
        <f aca="false">'Input data dairy products'!$D$8*G14*'Common input data'!D$38</f>
        <v>0.00213349287668229</v>
      </c>
      <c r="H36" s="87" t="n">
        <f aca="false">'Input data dairy products'!$D$8*H14*'Common input data'!D$38</f>
        <v>0</v>
      </c>
      <c r="I36" s="87" t="n">
        <f aca="false">'Input data dairy products'!$D$8*I14*'Common input data'!D$38</f>
        <v>0.0134957745601561</v>
      </c>
      <c r="J36" s="87" t="n">
        <f aca="false">'Input data dairy products'!$D$8*J14*'Common input data'!D$38</f>
        <v>0</v>
      </c>
      <c r="K36" s="87" t="n">
        <f aca="false">'Input data dairy products'!$D$8*K14*'Common input data'!D$38</f>
        <v>0.193042086181278</v>
      </c>
      <c r="L36" s="87" t="n">
        <f aca="false">'Input data dairy products'!$D$8*L14*'Common input data'!D$38</f>
        <v>0</v>
      </c>
      <c r="M36" s="87" t="n">
        <f aca="false">'Input data dairy products'!$D$8*M14*'Common input data'!D$38</f>
        <v>0</v>
      </c>
      <c r="N36" s="87" t="n">
        <f aca="false">'Input data dairy products'!$D$8*N14*'Common input data'!D$38</f>
        <v>0</v>
      </c>
      <c r="O36" s="87" t="n">
        <f aca="false">'Input data dairy products'!$D$8*O14*'Common input data'!D$38</f>
        <v>2.8117013771348E-005</v>
      </c>
      <c r="P36" s="87" t="n">
        <v>0</v>
      </c>
      <c r="Q36" s="87" t="n">
        <f aca="false">SUM(G36:P36)</f>
        <v>0.208699470631887</v>
      </c>
      <c r="R36" s="89" t="n">
        <v>0</v>
      </c>
      <c r="S36" s="89" t="n">
        <v>0</v>
      </c>
      <c r="T36" s="74"/>
    </row>
    <row r="37" customFormat="false" ht="14.4" hidden="false" customHeight="false" outlineLevel="0" collapsed="false">
      <c r="A37" s="99"/>
      <c r="B37" s="31"/>
      <c r="C37" s="31" t="s">
        <v>136</v>
      </c>
      <c r="D37" s="219" t="n">
        <f aca="false">SUM(H37:K37)</f>
        <v>0.007930075577139</v>
      </c>
      <c r="E37" s="126" t="n">
        <f aca="false">SUM(G37:K37,N37:O37)</f>
        <v>0.00994873011248559</v>
      </c>
      <c r="F37" s="106" t="n">
        <f aca="false">SUM(Q37:S37)/(1-'Common input data'!B$127)</f>
        <v>0.0101710208238981</v>
      </c>
      <c r="G37" s="87" t="n">
        <f aca="false">'Input data dairy products'!$D$8*G15*'Common input data'!D$38</f>
        <v>0.00201603340484057</v>
      </c>
      <c r="H37" s="87" t="n">
        <f aca="false">'Input data dairy products'!$D$8*H15*'Common input data'!D$38</f>
        <v>0.00509571985510124</v>
      </c>
      <c r="I37" s="87" t="n">
        <f aca="false">'Input data dairy products'!$D$8*I15*'Common input data'!D$38</f>
        <v>0.00261279492053339</v>
      </c>
      <c r="J37" s="87" t="n">
        <f aca="false">'Input data dairy products'!$D$8*J15*'Common input data'!D$38</f>
        <v>0.000221560801504367</v>
      </c>
      <c r="K37" s="87" t="n">
        <f aca="false">'Input data dairy products'!$D$8*K15*'Common input data'!D$38</f>
        <v>0</v>
      </c>
      <c r="L37" s="87" t="n">
        <f aca="false">'Input data dairy products'!$D$8*L15*'Common input data'!D$38</f>
        <v>0</v>
      </c>
      <c r="M37" s="87" t="n">
        <f aca="false">'Input data dairy products'!$D$8*M15*'Common input data'!D$38</f>
        <v>0</v>
      </c>
      <c r="N37" s="87" t="n">
        <f aca="false">'Input data dairy products'!$D$8*N15*'Common input data'!D$38</f>
        <v>0</v>
      </c>
      <c r="O37" s="87" t="n">
        <f aca="false">'Input data dairy products'!$D$8*O15*'Common input data'!D$38</f>
        <v>2.62113050601788E-006</v>
      </c>
      <c r="P37" s="87" t="n">
        <v>0</v>
      </c>
      <c r="Q37" s="87" t="n">
        <f aca="false">SUM(G37:P37)</f>
        <v>0.00994873011248559</v>
      </c>
      <c r="R37" s="89" t="n">
        <v>0</v>
      </c>
      <c r="S37" s="89" t="n">
        <v>0</v>
      </c>
      <c r="T37" s="74"/>
    </row>
    <row r="38" s="113" customFormat="true" ht="14.4" hidden="false" customHeight="false" outlineLevel="0" collapsed="false">
      <c r="A38" s="107" t="s">
        <v>181</v>
      </c>
      <c r="B38" s="109"/>
      <c r="C38" s="109"/>
      <c r="D38" s="221" t="s">
        <v>182</v>
      </c>
      <c r="E38" s="222" t="s">
        <v>182</v>
      </c>
      <c r="F38" s="223" t="s">
        <v>182</v>
      </c>
      <c r="G38" s="69"/>
      <c r="P38" s="69"/>
      <c r="Q38" s="69"/>
      <c r="R38" s="70"/>
      <c r="S38" s="70"/>
      <c r="T38" s="74"/>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row>
    <row r="39" s="83" customFormat="true" ht="14.4" hidden="false" customHeight="false" outlineLevel="0" collapsed="false">
      <c r="A39" s="75" t="s">
        <v>132</v>
      </c>
      <c r="B39" s="188" t="n">
        <f aca="false">SUM(B43:B47)</f>
        <v>1</v>
      </c>
      <c r="C39" s="78" t="s">
        <v>133</v>
      </c>
      <c r="D39" s="79" t="n">
        <f aca="false">IF($E$1="GWP100 without fb",D40+D41*'Common input data'!$C$5+D42*'Common input data'!$D$5,IF($E$1="GWP100 with fb",D40+D41*'Common input data'!$C$6+D42*'Common input data'!$D$6,IF($E$1="GTP100 without fb",D40+D41*'Common input data'!$C$7+D42*'Common input data'!$D$7,IF($E$1="GTP100 with fb",D40+D41*'Common input data'!$C$8+D42*'Common input data'!$D$8,D40+D41*'Common input data'!$C$9+D42*'Common input data'!$D$9))))</f>
        <v>0.928973929738715</v>
      </c>
      <c r="E39" s="80" t="n">
        <f aca="false">IF($E$1="GWP100 without fb",E40+E41*'Common input data'!$C$5+E42*'Common input data'!$D$5,IF($E$1="GWP100 with fb",E40+E41*'Common input data'!$C$6+E42*'Common input data'!$D$6,IF($E$1="GTP100 without fb",E40+E41*'Common input data'!$C$7+E42*'Common input data'!$D$7,IF($E$1="GTP100 with fb",E40+E41*'Common input data'!$C$8+E42*'Common input data'!$D$8,E40+E41*'Common input data'!$C$9+E42*'Common input data'!$D$9))))</f>
        <v>1.2434015240576</v>
      </c>
      <c r="F39" s="81" t="n">
        <f aca="false">IF($E$1="GWP100 without fb",F40+F41*'Common input data'!$C$5+F42*'Common input data'!$D$5,IF($E$1="GWP100 with fb",F40+F41*'Common input data'!$C$6+F42*'Common input data'!$D$6,IF($E$1="GTP100 without fb",F40+F41*'Common input data'!$C$7+F42*'Common input data'!$D$7,IF($E$1="GTP100 with fb",F40+F41*'Common input data'!$C$8+F42*'Common input data'!$D$8,F40+F41*'Common input data'!$C$9+F42*'Common input data'!$D$9))))</f>
        <v>1.53821977878897</v>
      </c>
      <c r="G39" s="82"/>
      <c r="P39" s="82"/>
      <c r="Q39" s="82"/>
      <c r="R39" s="78"/>
      <c r="S39" s="78"/>
      <c r="T39" s="74"/>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row>
    <row r="40" customFormat="false" ht="14.4" hidden="false" customHeight="false" outlineLevel="0" collapsed="false">
      <c r="A40" s="74"/>
      <c r="C40" s="85" t="s">
        <v>134</v>
      </c>
      <c r="D40" s="217" t="n">
        <f aca="false">$B$43*D44+$B$47*D48</f>
        <v>-0.0248319429438229</v>
      </c>
      <c r="E40" s="89" t="n">
        <f aca="false">$B$43*E44+$B$47*E48</f>
        <v>0.221083621343312</v>
      </c>
      <c r="F40" s="88" t="n">
        <f aca="false">$B$43*F44+$B$47*F48</f>
        <v>0.493059586524685</v>
      </c>
      <c r="G40" s="89" t="n">
        <f aca="false">$B$43*G44+$B$47*G48</f>
        <v>0.202517174327087</v>
      </c>
      <c r="H40" s="89" t="n">
        <f aca="false">$B$43*H44+$B$47*H48</f>
        <v>0</v>
      </c>
      <c r="I40" s="89" t="n">
        <f aca="false">$B$43*I44+$B$47*I48</f>
        <v>0</v>
      </c>
      <c r="J40" s="89" t="n">
        <f aca="false">$B$43*J44+$B$47*J48</f>
        <v>0</v>
      </c>
      <c r="K40" s="89" t="n">
        <f aca="false">$B$43*K44+$B$47*K48</f>
        <v>0</v>
      </c>
      <c r="L40" s="89" t="n">
        <f aca="false">$B$43*L44+$B$47*L48</f>
        <v>-0.043977760303202</v>
      </c>
      <c r="M40" s="89" t="n">
        <f aca="false">$B$43*M44+$B$47*M48</f>
        <v>0.0191458173593791</v>
      </c>
      <c r="N40" s="89" t="n">
        <f aca="false">$B$43*N44+$B$47*N48</f>
        <v>0.0382905112807094</v>
      </c>
      <c r="O40" s="89" t="n">
        <f aca="false">$B$43*O44+$B$47*O48</f>
        <v>0.00510787867933807</v>
      </c>
      <c r="P40" s="89" t="n">
        <f aca="false">$B$43*P44+$B$47*P48</f>
        <v>0.1348</v>
      </c>
      <c r="Q40" s="89" t="n">
        <f aca="false">$B$43*Q44+$B$47*Q48</f>
        <v>0.355883621343312</v>
      </c>
      <c r="R40" s="89" t="n">
        <f aca="false">$B$43*R44+$B$47*R48</f>
        <v>0.05</v>
      </c>
      <c r="S40" s="89" t="n">
        <f aca="false">$B$43*S44+$B$47*S48</f>
        <v>0.0764</v>
      </c>
      <c r="T40" s="74"/>
    </row>
    <row r="41" customFormat="false" ht="14.4" hidden="false" customHeight="false" outlineLevel="0" collapsed="false">
      <c r="A41" s="91"/>
      <c r="B41" s="93"/>
      <c r="C41" s="85" t="s">
        <v>135</v>
      </c>
      <c r="D41" s="217" t="n">
        <f aca="false">$B$43*D45+$B$47*D49</f>
        <v>0.0209896199940482</v>
      </c>
      <c r="E41" s="89" t="n">
        <f aca="false">$B$43*E45+$B$47*E49</f>
        <v>0.0212078228781951</v>
      </c>
      <c r="F41" s="88" t="n">
        <f aca="false">$B$43*F45+$B$47*F49</f>
        <v>0.021681682554938</v>
      </c>
      <c r="G41" s="89" t="n">
        <f aca="false">$B$43*G45+$B$47*G49</f>
        <v>0.000216818381776656</v>
      </c>
      <c r="H41" s="89" t="n">
        <f aca="false">$B$43*H45+$B$47*H49</f>
        <v>0</v>
      </c>
      <c r="I41" s="89" t="n">
        <f aca="false">$B$43*I45+$B$47*I49</f>
        <v>0.00137152180489391</v>
      </c>
      <c r="J41" s="89" t="n">
        <f aca="false">$B$43*J45+$B$47*J49</f>
        <v>0</v>
      </c>
      <c r="K41" s="89" t="n">
        <f aca="false">$B$43*K45+$B$47*K49</f>
        <v>0.0196180981891542</v>
      </c>
      <c r="L41" s="89" t="n">
        <f aca="false">$B$43*L45+$B$47*L49</f>
        <v>0</v>
      </c>
      <c r="M41" s="89" t="n">
        <f aca="false">$B$43*M45+$B$47*M49</f>
        <v>0</v>
      </c>
      <c r="N41" s="89" t="n">
        <f aca="false">$B$43*N45+$B$47*N49</f>
        <v>0</v>
      </c>
      <c r="O41" s="89" t="n">
        <f aca="false">$B$43*O45+$B$47*O49</f>
        <v>1.38450237027056E-006</v>
      </c>
      <c r="P41" s="89" t="n">
        <f aca="false">$B$43*P45+$B$47*P49</f>
        <v>0</v>
      </c>
      <c r="Q41" s="89" t="n">
        <f aca="false">$B$43*Q45+$B$47*Q49</f>
        <v>0.0212078228781951</v>
      </c>
      <c r="R41" s="89" t="n">
        <f aca="false">$B$43*R45+$B$47*R49</f>
        <v>0</v>
      </c>
      <c r="S41" s="89" t="n">
        <f aca="false">$B$43*S45+$B$47*S49</f>
        <v>0</v>
      </c>
      <c r="T41" s="74"/>
    </row>
    <row r="42" customFormat="false" ht="14.4" hidden="false" customHeight="false" outlineLevel="0" collapsed="false">
      <c r="A42" s="91"/>
      <c r="B42" s="87"/>
      <c r="C42" s="31" t="s">
        <v>136</v>
      </c>
      <c r="D42" s="217" t="n">
        <f aca="false">$B$43*D46+$B$47*D50</f>
        <v>0.000805901989546646</v>
      </c>
      <c r="E42" s="89" t="n">
        <f aca="false">$B$43*E46+$B$47*E50</f>
        <v>0.00101091249951563</v>
      </c>
      <c r="F42" s="88" t="n">
        <f aca="false">$B$43*F46+$B$47*F50</f>
        <v>0.00103349995099461</v>
      </c>
      <c r="G42" s="89" t="n">
        <f aca="false">$B$43*G46+$B$47*G50</f>
        <v>0.000204881443581359</v>
      </c>
      <c r="H42" s="89" t="n">
        <f aca="false">$B$43*H46+$B$47*H50</f>
        <v>0.000517857708851752</v>
      </c>
      <c r="I42" s="89" t="n">
        <f aca="false">$B$43*I46+$B$47*I50</f>
        <v>0.000265527939078597</v>
      </c>
      <c r="J42" s="89" t="n">
        <f aca="false">$B$43*J46+$B$47*J50</f>
        <v>2.25163416162975E-005</v>
      </c>
      <c r="K42" s="89" t="n">
        <f aca="false">$B$43*K46+$B$47*K50</f>
        <v>0</v>
      </c>
      <c r="L42" s="89" t="n">
        <f aca="false">$B$43*L46+$B$47*L50</f>
        <v>0</v>
      </c>
      <c r="M42" s="89" t="n">
        <f aca="false">$B$43*M46+$B$47*M50</f>
        <v>0</v>
      </c>
      <c r="N42" s="89" t="n">
        <f aca="false">$B$43*N46+$B$47*N50</f>
        <v>0</v>
      </c>
      <c r="O42" s="89" t="n">
        <f aca="false">$B$43*O46+$B$47*O50</f>
        <v>1.29066387628556E-007</v>
      </c>
      <c r="P42" s="89" t="n">
        <f aca="false">$B$43*P46+$B$47*P50</f>
        <v>0</v>
      </c>
      <c r="Q42" s="89" t="n">
        <f aca="false">$B$43*Q46+$B$47*Q50</f>
        <v>0.00101091249951563</v>
      </c>
      <c r="R42" s="89" t="n">
        <f aca="false">$B$43*R46+$B$47*R50</f>
        <v>0</v>
      </c>
      <c r="S42" s="89" t="n">
        <f aca="false">$B$43*S46+$B$47*S50</f>
        <v>0</v>
      </c>
      <c r="T42" s="74"/>
    </row>
    <row r="43" s="83" customFormat="true" ht="14.4" hidden="false" customHeight="false" outlineLevel="0" collapsed="false">
      <c r="A43" s="75" t="s">
        <v>137</v>
      </c>
      <c r="B43" s="97" t="n">
        <f aca="false">'Input data dairy products'!C9</f>
        <v>0.768</v>
      </c>
      <c r="C43" s="78" t="s">
        <v>133</v>
      </c>
      <c r="D43" s="94" t="n">
        <f aca="false">IF($E$1="GWP100 without fb",D44+D45*'Common input data'!$C$5+D46*'Common input data'!$D$5,IF($E$1="GWP100 with fb",D44+D45*'Common input data'!$C$6+D46*'Common input data'!$D$6,IF($E$1="GTP100 without fb",D44+D45*'Common input data'!$C$7+D46*'Common input data'!$D$7,IF($E$1="GTP100 with fb",D44+D45*'Common input data'!$C$8+D46*'Common input data'!$D$8,D44+D45*'Common input data'!$C$9+D46*'Common input data'!$D$9))))</f>
        <v>0.928973929738715</v>
      </c>
      <c r="E43" s="95" t="n">
        <f aca="false">IF($E$1="GWP100 without fb",E44+E45*'Common input data'!$C$5+E46*'Common input data'!$D$5,IF($E$1="GWP100 with fb",E44+E45*'Common input data'!$C$6+E46*'Common input data'!$D$6,IF($E$1="GTP100 without fb",E44+E45*'Common input data'!$C$7+E46*'Common input data'!$D$7,IF($E$1="GTP100 with fb",E44+E45*'Common input data'!$C$8+E46*'Common input data'!$D$8,E44+E45*'Common input data'!$C$9+E46*'Common input data'!$D$9))))</f>
        <v>1.22942689505776</v>
      </c>
      <c r="F43" s="96" t="n">
        <f aca="false">IF($E$1="GWP100 without fb",F44+F45*'Common input data'!$C$5+F46*'Common input data'!$D$5,IF($E$1="GWP100 with fb",F44+F45*'Common input data'!$C$6+F46*'Common input data'!$D$6,IF($E$1="GTP100 without fb",F44+F45*'Common input data'!$C$7+F46*'Common input data'!$D$7,IF($E$1="GTP100 with fb",F44+F45*'Common input data'!$C$8+F46*'Common input data'!$D$8,F44+F45*'Common input data'!$C$9+F46*'Common input data'!$D$9))))</f>
        <v>1.44091860341088</v>
      </c>
      <c r="G43" s="97"/>
      <c r="P43" s="97"/>
      <c r="Q43" s="97"/>
      <c r="R43" s="98"/>
      <c r="S43" s="98"/>
      <c r="T43" s="74"/>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row>
    <row r="44" customFormat="false" ht="14.4" hidden="false" customHeight="false" outlineLevel="0" collapsed="false">
      <c r="A44" s="74"/>
      <c r="B44" s="93"/>
      <c r="C44" s="85" t="s">
        <v>134</v>
      </c>
      <c r="D44" s="217" t="n">
        <f aca="false">IF(AND($E$2="No",$E$3="No"),SUM(H44:K44),IF(AND($E$2="Yes", $E$3="No"), SUM(H44:K44)+M44, IF(AND($E$2="No", $E$3="Yes"),SUM(H44:K44)+L44, SUM(H44:K44)+M44+L44)))</f>
        <v>-0.0248319429438229</v>
      </c>
      <c r="E44" s="89" t="n">
        <f aca="false">IF(AND($E$2="No",$E$3="No"),SUM(G44:K44,N44:O44),IF(AND($E$2="Yes",$E$3="No"), SUM(G44:K44,N44:O44)+M44, IF(AND($E$2="No", $E$3="Yes"),SUM(G44:K44,N44:O44)+L44, SUM(G44:K44,N44:O44)+M44+L44)))</f>
        <v>0.207136481076306</v>
      </c>
      <c r="F44" s="88" t="n">
        <f aca="false">SUM(Q44:S44)/(1-'Common input data'!B$127)</f>
        <v>0.395786514077422</v>
      </c>
      <c r="G44" s="87" t="n">
        <f aca="false">'Input data dairy products'!$D$9*G9</f>
        <v>0.202517174327087</v>
      </c>
      <c r="H44" s="87" t="n">
        <f aca="false">'Input data dairy products'!$D$9*H9</f>
        <v>0</v>
      </c>
      <c r="I44" s="87" t="n">
        <f aca="false">'Input data dairy products'!$D$9*I9</f>
        <v>0</v>
      </c>
      <c r="J44" s="87" t="n">
        <f aca="false">'Input data dairy products'!$D$9*J9</f>
        <v>0</v>
      </c>
      <c r="K44" s="87" t="n">
        <f aca="false">'Input data dairy products'!$D$9*K9</f>
        <v>0</v>
      </c>
      <c r="L44" s="87" t="n">
        <f aca="false">'Input data dairy products'!$D$9*L9</f>
        <v>-0.043977760303202</v>
      </c>
      <c r="M44" s="87" t="n">
        <f aca="false">'Input data dairy products'!$D$9*M9</f>
        <v>0.0191458173593791</v>
      </c>
      <c r="N44" s="87" t="n">
        <f aca="false">'Input data dairy products'!$D$9*N9</f>
        <v>0.0259849134873567</v>
      </c>
      <c r="O44" s="87" t="n">
        <f aca="false">'Input data dairy products'!$D$9*O9</f>
        <v>0.00346633620568501</v>
      </c>
      <c r="P44" s="87" t="n">
        <f aca="false">'Input data dairy products'!D$29</f>
        <v>0.1</v>
      </c>
      <c r="Q44" s="218" t="n">
        <f aca="false">IF(AND($E$2="No",$E$3="No"),SUM(G44:K44,N44:P44),IF(AND($E$2="Yes",$E$3="No"), SUM(G44:K44,N44:P44)+M44, IF(AND($E$2="No", $E$3="Yes"),SUM(G44:K44,N44:P44)+L44, SUM(G44:K44,N44:P44)+M44+L44)))</f>
        <v>0.307136481076306</v>
      </c>
      <c r="R44" s="89" t="n">
        <f aca="false">'Common input data'!B$91</f>
        <v>0.05</v>
      </c>
      <c r="S44" s="89" t="n">
        <f aca="false">'Common input data'!C$98</f>
        <v>0.03</v>
      </c>
      <c r="T44" s="74"/>
    </row>
    <row r="45" customFormat="false" ht="14.4" hidden="false" customHeight="false" outlineLevel="0" collapsed="false">
      <c r="A45" s="99"/>
      <c r="B45" s="93"/>
      <c r="C45" s="85" t="s">
        <v>135</v>
      </c>
      <c r="D45" s="217" t="n">
        <f aca="false">SUM(H45:K45)</f>
        <v>0.0209896199940482</v>
      </c>
      <c r="E45" s="89" t="n">
        <f aca="false">SUM(G45:K45,N45:O45)</f>
        <v>0.0212073779342979</v>
      </c>
      <c r="F45" s="88" t="n">
        <f aca="false">SUM(Q45:S45)/(1-'Common input data'!B$127)</f>
        <v>0.0216812276693806</v>
      </c>
      <c r="G45" s="87" t="n">
        <f aca="false">'Input data dairy products'!$D$9*G10</f>
        <v>0.000216818381776656</v>
      </c>
      <c r="H45" s="87" t="n">
        <f aca="false">'Input data dairy products'!$D$9*H10</f>
        <v>0</v>
      </c>
      <c r="I45" s="87" t="n">
        <f aca="false">'Input data dairy products'!$D$9*I10</f>
        <v>0.00137152180489391</v>
      </c>
      <c r="J45" s="87" t="n">
        <f aca="false">'Input data dairy products'!$D$9*J10</f>
        <v>0</v>
      </c>
      <c r="K45" s="87" t="n">
        <f aca="false">'Input data dairy products'!$D$9*K10</f>
        <v>0.0196180981891542</v>
      </c>
      <c r="L45" s="87" t="n">
        <f aca="false">'Input data dairy products'!$D$9*L10</f>
        <v>0</v>
      </c>
      <c r="M45" s="87" t="n">
        <f aca="false">'Input data dairy products'!$D$9*M10</f>
        <v>0</v>
      </c>
      <c r="N45" s="87" t="n">
        <f aca="false">'Input data dairy products'!$D$9*N10</f>
        <v>0</v>
      </c>
      <c r="O45" s="87" t="n">
        <f aca="false">'Input data dairy products'!$D$9*O10</f>
        <v>9.39558473136542E-007</v>
      </c>
      <c r="P45" s="87" t="n">
        <v>0</v>
      </c>
      <c r="Q45" s="87" t="n">
        <f aca="false">SUM(G45:P45)</f>
        <v>0.0212073779342979</v>
      </c>
      <c r="R45" s="89" t="n">
        <v>0</v>
      </c>
      <c r="S45" s="89" t="n">
        <v>0</v>
      </c>
      <c r="T45" s="74"/>
    </row>
    <row r="46" customFormat="false" ht="14.4" hidden="false" customHeight="false" outlineLevel="0" collapsed="false">
      <c r="A46" s="100"/>
      <c r="B46" s="87"/>
      <c r="C46" s="31" t="s">
        <v>136</v>
      </c>
      <c r="D46" s="217" t="n">
        <f aca="false">SUM(H46:K46)</f>
        <v>0.000805901989546646</v>
      </c>
      <c r="E46" s="89" t="n">
        <f aca="false">SUM(G46:K46,N46:O46)</f>
        <v>0.00101087102085678</v>
      </c>
      <c r="F46" s="88" t="n">
        <f aca="false">SUM(Q46:S46)/(1-'Common input data'!B$127)</f>
        <v>0.00103345754555208</v>
      </c>
      <c r="G46" s="87" t="n">
        <f aca="false">'Input data dairy products'!$D$9*G11</f>
        <v>0.000204881443581359</v>
      </c>
      <c r="H46" s="87" t="n">
        <f aca="false">'Input data dairy products'!$D$9*H11</f>
        <v>0.000517857708851752</v>
      </c>
      <c r="I46" s="87" t="n">
        <f aca="false">'Input data dairy products'!$D$9*I11</f>
        <v>0.000265527939078597</v>
      </c>
      <c r="J46" s="87" t="n">
        <f aca="false">'Input data dairy products'!$D$9*J11</f>
        <v>2.25163416162975E-005</v>
      </c>
      <c r="K46" s="87" t="n">
        <f aca="false">'Input data dairy products'!$D$9*K11</f>
        <v>0</v>
      </c>
      <c r="L46" s="87" t="n">
        <f aca="false">'Input data dairy products'!$D$9*L11</f>
        <v>0</v>
      </c>
      <c r="M46" s="87" t="n">
        <f aca="false">'Input data dairy products'!$D$9*M11</f>
        <v>0</v>
      </c>
      <c r="N46" s="87" t="n">
        <f aca="false">'Input data dairy products'!$D$9*N11</f>
        <v>0</v>
      </c>
      <c r="O46" s="87" t="n">
        <f aca="false">'Input data dairy products'!$D$9*O11</f>
        <v>8.75877287735066E-008</v>
      </c>
      <c r="P46" s="87" t="n">
        <v>0</v>
      </c>
      <c r="Q46" s="87" t="n">
        <f aca="false">SUM(G46:P46)</f>
        <v>0.00101087102085678</v>
      </c>
      <c r="R46" s="89" t="n">
        <v>0</v>
      </c>
      <c r="S46" s="89" t="n">
        <v>0</v>
      </c>
      <c r="T46" s="74"/>
    </row>
    <row r="47" s="83" customFormat="true" ht="14.4" hidden="false" customHeight="false" outlineLevel="0" collapsed="false">
      <c r="A47" s="75" t="s">
        <v>141</v>
      </c>
      <c r="B47" s="97" t="n">
        <f aca="false">'Input data dairy products'!C10</f>
        <v>0.232</v>
      </c>
      <c r="C47" s="78" t="s">
        <v>133</v>
      </c>
      <c r="D47" s="94" t="n">
        <f aca="false">IF($E$1="GWP100 without fb",D48+D49*'Common input data'!$C$5+D50*'Common input data'!$D$5,IF($E$1="GWP100 with fb",D48+D49*'Common input data'!$C$6+D50*'Common input data'!$D$6,IF($E$1="GTP100 without fb",D48+D49*'Common input data'!$C$7+D50*'Common input data'!$D$7,IF($E$1="GTP100 with fb",D48+D49*'Common input data'!$C$8+D50*'Common input data'!$D$8,D48+D49*'Common input data'!$C$9+D50*'Common input data'!$D$9))))</f>
        <v>0.928973929738715</v>
      </c>
      <c r="E47" s="95" t="n">
        <f aca="false">IF($E$1="GWP100 without fb",E48+E49*'Common input data'!$C$5+E50*'Common input data'!$D$5,IF($E$1="GWP100 with fb",E48+E49*'Common input data'!$C$6+E50*'Common input data'!$D$6,IF($E$1="GTP100 without fb",E48+E49*'Common input data'!$C$7+E50*'Common input data'!$D$7,IF($E$1="GTP100 with fb",E48+E49*'Common input data'!$C$8+E50*'Common input data'!$D$8,E48+E49*'Common input data'!$C$9+E50*'Common input data'!$D$9))))</f>
        <v>1.28966236488468</v>
      </c>
      <c r="F47" s="96" t="n">
        <f aca="false">IF($E$1="GWP100 without fb",F48+F49*'Common input data'!$C$5+F50*'Common input data'!$D$5,IF($E$1="GWP100 with fb",F48+F49*'Common input data'!$C$6+F50*'Common input data'!$D$6,IF($E$1="GTP100 without fb",F48+F49*'Common input data'!$C$7+F50*'Common input data'!$D$7,IF($E$1="GTP100 with fb",F48+F49*'Common input data'!$C$8+F50*'Common input data'!$D$8,F48+F49*'Common input data'!$C$9+F50*'Common input data'!$D$9))))</f>
        <v>1.86032022141988</v>
      </c>
      <c r="G47" s="97"/>
      <c r="P47" s="97"/>
      <c r="Q47" s="97"/>
      <c r="R47" s="98"/>
      <c r="S47" s="98"/>
      <c r="T47" s="74"/>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row>
    <row r="48" customFormat="false" ht="14.4" hidden="false" customHeight="false" outlineLevel="0" collapsed="false">
      <c r="A48" s="74"/>
      <c r="B48" s="93"/>
      <c r="C48" s="85" t="s">
        <v>134</v>
      </c>
      <c r="D48" s="217" t="n">
        <f aca="false">IF(AND($E$2="No",$E$3="No"),SUM(H48:K48),IF(AND($E$2="Yes", $E$3="No"), SUM(H48:K48)+M48, IF(AND($E$2="No", $E$3="Yes"),SUM(H48:K48)+L48, SUM(H48:K48)+M48+L48)))</f>
        <v>-0.0248319429438229</v>
      </c>
      <c r="E48" s="89" t="n">
        <f aca="false">IF(AND($E$2="No",$E$3="No"),SUM(G48:K48,N48:O48),IF(AND($E$2="Yes",$E$3="No"), SUM(G48:K48,N48:O48)+M48, IF(AND($E$2="No", $E$3="Yes"),SUM(G48:K48,N48:O48)+L48, SUM(G48:K48,N48:O48)+M48+L48)))</f>
        <v>0.267253464985814</v>
      </c>
      <c r="F48" s="88" t="n">
        <f aca="false">SUM(Q48:S48)/(1-'Common input data'!B$127)</f>
        <v>0.815066998763899</v>
      </c>
      <c r="G48" s="87" t="n">
        <f aca="false">'Input data dairy products'!$D$10*G13</f>
        <v>0.202517174327087</v>
      </c>
      <c r="H48" s="87" t="n">
        <f aca="false">'Input data dairy products'!$D$10*H13</f>
        <v>0</v>
      </c>
      <c r="I48" s="87" t="n">
        <f aca="false">'Input data dairy products'!$D$10*I13</f>
        <v>0</v>
      </c>
      <c r="J48" s="87" t="n">
        <f aca="false">'Input data dairy products'!$D$10*J13</f>
        <v>0</v>
      </c>
      <c r="K48" s="87" t="n">
        <f aca="false">'Input data dairy products'!$D$10*K13</f>
        <v>0</v>
      </c>
      <c r="L48" s="87" t="n">
        <f aca="false">'Input data dairy products'!$D$10*L13</f>
        <v>-0.043977760303202</v>
      </c>
      <c r="M48" s="87" t="n">
        <f aca="false">'Input data dairy products'!$D$10*M13</f>
        <v>0.0191458173593791</v>
      </c>
      <c r="N48" s="87" t="n">
        <f aca="false">'Input data dairy products'!$D$10*N13</f>
        <v>0.0790262832862909</v>
      </c>
      <c r="O48" s="87" t="n">
        <f aca="false">'Input data dairy products'!$D$10*O13</f>
        <v>0.0105419503162585</v>
      </c>
      <c r="P48" s="87" t="n">
        <f aca="false">'Input data dairy products'!D$30</f>
        <v>0.25</v>
      </c>
      <c r="Q48" s="218" t="n">
        <f aca="false">IF(AND($E$2="No",$E$3="No"),SUM(G48:K48,N48:P48),IF(AND($E$2="Yes",$E$3="No"), SUM(G48:K48,N48:P48)+M48, IF(AND($E$2="No", $E$3="Yes"),SUM(G48:K48,N48:P48)+L48, SUM(G48:K48,N48:P48)+M48+L48)))</f>
        <v>0.517253464985814</v>
      </c>
      <c r="R48" s="89" t="n">
        <f aca="false">'Common input data'!B$91</f>
        <v>0.05</v>
      </c>
      <c r="S48" s="89" t="n">
        <f aca="false">'Common input data'!B$102+'Common input data'!C$102</f>
        <v>0.23</v>
      </c>
      <c r="T48" s="74"/>
    </row>
    <row r="49" customFormat="false" ht="14.4" hidden="false" customHeight="false" outlineLevel="0" collapsed="false">
      <c r="A49" s="99"/>
      <c r="B49" s="31"/>
      <c r="C49" s="85" t="s">
        <v>135</v>
      </c>
      <c r="D49" s="217" t="n">
        <f aca="false">SUM(H49:K49)</f>
        <v>0.0209896199940482</v>
      </c>
      <c r="E49" s="89" t="n">
        <f aca="false">SUM(G49:K49,N49:O49)</f>
        <v>0.0212092957959235</v>
      </c>
      <c r="F49" s="88" t="n">
        <f aca="false">SUM(Q49:S49)/(1-'Common input data'!B$127)</f>
        <v>0.0216831883829903</v>
      </c>
      <c r="G49" s="87" t="n">
        <f aca="false">'Input data dairy products'!$D$10*G14</f>
        <v>0.000216818381776656</v>
      </c>
      <c r="H49" s="87" t="n">
        <f aca="false">'Input data dairy products'!$D$10*H14</f>
        <v>0</v>
      </c>
      <c r="I49" s="87" t="n">
        <f aca="false">'Input data dairy products'!$D$10*I14</f>
        <v>0.00137152180489391</v>
      </c>
      <c r="J49" s="87" t="n">
        <f aca="false">'Input data dairy products'!$D$10*J14</f>
        <v>0</v>
      </c>
      <c r="K49" s="87" t="n">
        <f aca="false">'Input data dairy products'!$D$10*K14</f>
        <v>0.0196180981891542</v>
      </c>
      <c r="L49" s="87" t="n">
        <f aca="false">'Input data dairy products'!$D$10*L14</f>
        <v>0</v>
      </c>
      <c r="M49" s="87" t="n">
        <f aca="false">'Input data dairy products'!$D$10*M14</f>
        <v>0</v>
      </c>
      <c r="N49" s="87" t="n">
        <f aca="false">'Input data dairy products'!$D$10*N14</f>
        <v>0</v>
      </c>
      <c r="O49" s="87" t="n">
        <f aca="false">'Input data dairy products'!$D$10*O14</f>
        <v>2.85742009871423E-006</v>
      </c>
      <c r="P49" s="87" t="n">
        <v>0</v>
      </c>
      <c r="Q49" s="87" t="n">
        <f aca="false">SUM(G49:P49)</f>
        <v>0.0212092957959235</v>
      </c>
      <c r="R49" s="89" t="n">
        <v>0</v>
      </c>
      <c r="S49" s="89" t="n">
        <v>0</v>
      </c>
      <c r="T49" s="74"/>
    </row>
    <row r="50" customFormat="false" ht="14.4" hidden="false" customHeight="false" outlineLevel="0" collapsed="false">
      <c r="A50" s="99"/>
      <c r="B50" s="87"/>
      <c r="C50" s="31" t="s">
        <v>136</v>
      </c>
      <c r="D50" s="219" t="n">
        <f aca="false">SUM(H50:K50)</f>
        <v>0.000805901989546646</v>
      </c>
      <c r="E50" s="126" t="n">
        <f aca="false">SUM(G50:K50,N50:O50)</f>
        <v>0.00101104980817943</v>
      </c>
      <c r="F50" s="106" t="n">
        <f aca="false">SUM(Q50:S50)/(1-'Common input data'!B$127)</f>
        <v>0.00103364032763192</v>
      </c>
      <c r="G50" s="87" t="n">
        <f aca="false">'Input data dairy products'!$D$10*G15</f>
        <v>0.000204881443581359</v>
      </c>
      <c r="H50" s="87" t="n">
        <f aca="false">'Input data dairy products'!$D$10*H15</f>
        <v>0.000517857708851752</v>
      </c>
      <c r="I50" s="87" t="n">
        <f aca="false">'Input data dairy products'!$D$10*I15</f>
        <v>0.000265527939078597</v>
      </c>
      <c r="J50" s="87" t="n">
        <f aca="false">'Input data dairy products'!$D$10*J15</f>
        <v>2.25163416162975E-005</v>
      </c>
      <c r="K50" s="87" t="n">
        <f aca="false">'Input data dairy products'!$D$10*K15</f>
        <v>0</v>
      </c>
      <c r="L50" s="87" t="n">
        <f aca="false">'Input data dairy products'!$D$10*L15</f>
        <v>0</v>
      </c>
      <c r="M50" s="87" t="n">
        <f aca="false">'Input data dairy products'!$D$10*M15</f>
        <v>0</v>
      </c>
      <c r="N50" s="87" t="n">
        <f aca="false">'Input data dairy products'!$D$10*N15</f>
        <v>0</v>
      </c>
      <c r="O50" s="87" t="n">
        <f aca="false">'Input data dairy products'!$D$10*O15</f>
        <v>2.66375051424582E-007</v>
      </c>
      <c r="P50" s="87" t="n">
        <v>0</v>
      </c>
      <c r="Q50" s="87" t="n">
        <f aca="false">SUM(G50:P50)</f>
        <v>0.00101104980817943</v>
      </c>
      <c r="R50" s="102" t="n">
        <v>0</v>
      </c>
      <c r="S50" s="89" t="n">
        <v>0</v>
      </c>
      <c r="T50" s="74"/>
    </row>
    <row r="51" s="113" customFormat="true" ht="14.4" hidden="false" customHeight="false" outlineLevel="0" collapsed="false">
      <c r="A51" s="107" t="s">
        <v>183</v>
      </c>
      <c r="B51" s="69"/>
      <c r="C51" s="109"/>
      <c r="D51" s="221" t="s">
        <v>184</v>
      </c>
      <c r="E51" s="222" t="s">
        <v>184</v>
      </c>
      <c r="F51" s="223" t="s">
        <v>184</v>
      </c>
      <c r="G51" s="69"/>
      <c r="P51" s="69"/>
      <c r="Q51" s="69"/>
      <c r="R51" s="224"/>
      <c r="S51" s="70"/>
      <c r="T51" s="74"/>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row>
    <row r="52" s="83" customFormat="true" ht="14.4" hidden="false" customHeight="false" outlineLevel="0" collapsed="false">
      <c r="A52" s="75" t="s">
        <v>132</v>
      </c>
      <c r="B52" s="188" t="n">
        <f aca="false">SUM(B56:B60)</f>
        <v>1</v>
      </c>
      <c r="C52" s="78" t="s">
        <v>133</v>
      </c>
      <c r="D52" s="79" t="n">
        <f aca="false">IF($E$1="GWP100 without fb",D53+D54*'Common input data'!$C$5+D55*'Common input data'!$D$5,IF($E$1="GWP100 with fb",D53+D54*'Common input data'!$C$6+D55*'Common input data'!$D$6,IF($E$1="GTP100 without fb",D53+D54*'Common input data'!$C$7+D55*'Common input data'!$D$7,IF($E$1="GTP100 with fb",D53+D54*'Common input data'!$C$8+D55*'Common input data'!$D$8,D53+D54*'Common input data'!$C$9+D55*'Common input data'!$D$9))))</f>
        <v>4.64486964869358</v>
      </c>
      <c r="E52" s="80" t="n">
        <f aca="false">IF($E$1="GWP100 without fb",E53+E54*'Common input data'!$C$5+E55*'Common input data'!$D$5,IF($E$1="GWP100 with fb",E53+E54*'Common input data'!$C$6+E55*'Common input data'!$D$6,IF($E$1="GTP100 without fb",E53+E54*'Common input data'!$C$7+E55*'Common input data'!$D$7,IF($E$1="GTP100 with fb",E53+E54*'Common input data'!$C$8+E55*'Common input data'!$D$8,E53+E54*'Common input data'!$C$9+E55*'Common input data'!$D$9))))</f>
        <v>6.20014168873648</v>
      </c>
      <c r="F52" s="81" t="n">
        <f aca="false">IF($E$1="GWP100 without fb",F53+F54*'Common input data'!$C$5+F55*'Common input data'!$D$5,IF($E$1="GWP100 with fb",F53+F54*'Common input data'!$C$6+F55*'Common input data'!$D$6,IF($E$1="GTP100 without fb",F53+F54*'Common input data'!$C$7+F55*'Common input data'!$D$7,IF($E$1="GTP100 with fb",F53+F54*'Common input data'!$C$8+F55*'Common input data'!$D$8,F53+F54*'Common input data'!$C$9+F55*'Common input data'!$D$9))))</f>
        <v>6.46937174912513</v>
      </c>
      <c r="G52" s="82"/>
      <c r="P52" s="82"/>
      <c r="Q52" s="82"/>
      <c r="R52" s="78"/>
      <c r="S52" s="78"/>
      <c r="T52" s="74"/>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row>
    <row r="53" s="83" customFormat="true" ht="14.4" hidden="false" customHeight="false" outlineLevel="0" collapsed="false">
      <c r="A53" s="74"/>
      <c r="B53" s="30"/>
      <c r="C53" s="85" t="s">
        <v>134</v>
      </c>
      <c r="D53" s="217" t="n">
        <f aca="false">$B$56*D57+$B$60*D61</f>
        <v>-0.124159714719114</v>
      </c>
      <c r="E53" s="89" t="n">
        <f aca="false">$B$56*E57+$B$60*E61</f>
        <v>1.0885853512219</v>
      </c>
      <c r="F53" s="88" t="n">
        <f aca="false">$B$56*F57+$B$60*F61</f>
        <v>1.24360470513401</v>
      </c>
      <c r="G53" s="89" t="n">
        <f aca="false">$B56*G57+$B$60*G61</f>
        <v>1.01258587163544</v>
      </c>
      <c r="H53" s="89" t="n">
        <f aca="false">$B56*H57+$B$60*H61</f>
        <v>0</v>
      </c>
      <c r="I53" s="89" t="n">
        <f aca="false">$B56*I57+$B$60*I61</f>
        <v>0</v>
      </c>
      <c r="J53" s="89" t="n">
        <f aca="false">$B56*J57+$B$60*J61</f>
        <v>0</v>
      </c>
      <c r="K53" s="89" t="n">
        <f aca="false">$B56*K57+$B$60*K61</f>
        <v>0</v>
      </c>
      <c r="L53" s="89" t="n">
        <f aca="false">$B56*L57+$B$60*L61</f>
        <v>-0.21988880151601</v>
      </c>
      <c r="M53" s="89" t="n">
        <f aca="false">$B56*M57+$B$60*M61</f>
        <v>0.0957290867968953</v>
      </c>
      <c r="N53" s="89" t="n">
        <f aca="false">$B56*N57+$B$60*N61</f>
        <v>0.176600972859845</v>
      </c>
      <c r="O53" s="89" t="n">
        <f aca="false">$B56*O57+$B$60*O61</f>
        <v>0.0235582214457298</v>
      </c>
      <c r="P53" s="89" t="n">
        <f aca="false">$B56*P57+$B$60*P61</f>
        <v>0.01264</v>
      </c>
      <c r="Q53" s="89" t="n">
        <f aca="false">$B$56*Q57+$B$60*Q61</f>
        <v>1.1012253512219</v>
      </c>
      <c r="R53" s="89" t="n">
        <f aca="false">$B56*R57+$B$60*R61</f>
        <v>0.05</v>
      </c>
      <c r="S53" s="89" t="n">
        <f aca="false">$B56*S57+$B$60*S61</f>
        <v>0.0652</v>
      </c>
      <c r="T53" s="74"/>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row>
    <row r="54" customFormat="false" ht="14.4" hidden="false" customHeight="false" outlineLevel="0" collapsed="false">
      <c r="A54" s="91"/>
      <c r="B54" s="93"/>
      <c r="C54" s="85" t="s">
        <v>135</v>
      </c>
      <c r="D54" s="217" t="n">
        <f aca="false">$B$56*D58+$B$60*D62</f>
        <v>0.104948099970241</v>
      </c>
      <c r="E54" s="89" t="n">
        <f aca="false">$B$56*E58+$B$60*E62</f>
        <v>0.10603857738972</v>
      </c>
      <c r="F54" s="88" t="n">
        <f aca="false">$B$56*F58+$B$60*F62</f>
        <v>0.108407863774879</v>
      </c>
      <c r="G54" s="89" t="n">
        <f aca="false">$B57*G58+$B$60*G62</f>
        <v>0.000190800175963457</v>
      </c>
      <c r="H54" s="89" t="n">
        <f aca="false">$B57*H58+$B$60*H62</f>
        <v>0</v>
      </c>
      <c r="I54" s="89" t="n">
        <f aca="false">$B57*I58+$B$60*I62</f>
        <v>0.00120693918830664</v>
      </c>
      <c r="J54" s="89" t="n">
        <f aca="false">$B57*J58+$B$60*J62</f>
        <v>0</v>
      </c>
      <c r="K54" s="89" t="n">
        <f aca="false">$B57*K58+$B$60*K62</f>
        <v>0.0172639264064557</v>
      </c>
      <c r="L54" s="89" t="n">
        <f aca="false">$B57*L58+$B$60*L62</f>
        <v>0</v>
      </c>
      <c r="M54" s="89" t="n">
        <f aca="false">$B57*M58+$B$60*M62</f>
        <v>0</v>
      </c>
      <c r="N54" s="89" t="n">
        <f aca="false">$B57*N58+$B$60*N62</f>
        <v>0</v>
      </c>
      <c r="O54" s="89" t="n">
        <f aca="false">$B57*O58+$B$60*O62</f>
        <v>2.51452968686852E-006</v>
      </c>
      <c r="P54" s="89" t="n">
        <f aca="false">$B57*P58+$B$60*P62</f>
        <v>0</v>
      </c>
      <c r="Q54" s="89" t="n">
        <f aca="false">$B$56*Q58+$B$60*Q62</f>
        <v>0.10603857738972</v>
      </c>
      <c r="R54" s="89" t="n">
        <f aca="false">$B57*R58+$B$60*R62</f>
        <v>0</v>
      </c>
      <c r="S54" s="89" t="n">
        <f aca="false">$B57*S58+$B$60*S62</f>
        <v>0</v>
      </c>
      <c r="T54" s="74"/>
    </row>
    <row r="55" customFormat="false" ht="14.4" hidden="false" customHeight="false" outlineLevel="0" collapsed="false">
      <c r="A55" s="91"/>
      <c r="B55" s="87"/>
      <c r="C55" s="31" t="s">
        <v>136</v>
      </c>
      <c r="D55" s="217" t="n">
        <f aca="false">$B$56*D59+$B$60*D63</f>
        <v>0.00402950994773323</v>
      </c>
      <c r="E55" s="89" t="n">
        <f aca="false">$B$56*E59+$B$60*E63</f>
        <v>0.00505451243712782</v>
      </c>
      <c r="F55" s="88" t="n">
        <f aca="false">$B$56*F59+$B$60*F63</f>
        <v>0.00516744857599067</v>
      </c>
      <c r="G55" s="89" t="n">
        <f aca="false">$B58*G59+$B$60*G63</f>
        <v>0.000180295670351595</v>
      </c>
      <c r="H55" s="89" t="n">
        <f aca="false">$B58*H59+$B$60*H63</f>
        <v>0.000455714783789542</v>
      </c>
      <c r="I55" s="89" t="n">
        <f aca="false">$B58*I59+$B$60*I63</f>
        <v>0.000233664586389165</v>
      </c>
      <c r="J55" s="89" t="n">
        <f aca="false">$B58*J59+$B$60*J63</f>
        <v>1.98143806223418E-005</v>
      </c>
      <c r="K55" s="89" t="n">
        <f aca="false">$B58*K59+$B$60*K63</f>
        <v>0</v>
      </c>
      <c r="L55" s="89" t="n">
        <f aca="false">$B58*L59+$B$60*L63</f>
        <v>0</v>
      </c>
      <c r="M55" s="89" t="n">
        <f aca="false">$B58*M59+$B$60*M63</f>
        <v>0</v>
      </c>
      <c r="N55" s="89" t="n">
        <f aca="false">$B58*N59+$B$60*N63</f>
        <v>0</v>
      </c>
      <c r="O55" s="89" t="n">
        <f aca="false">$B58*O59+$B$60*O63</f>
        <v>2.34410045253632E-007</v>
      </c>
      <c r="P55" s="89" t="n">
        <f aca="false">$B58*P59+$B$60*P63</f>
        <v>0</v>
      </c>
      <c r="Q55" s="89" t="n">
        <f aca="false">$B$56*Q59+$B$60*Q63</f>
        <v>0.00505451243712782</v>
      </c>
      <c r="R55" s="89" t="n">
        <f aca="false">$B58*R59+$B$60*R63</f>
        <v>0</v>
      </c>
      <c r="S55" s="89" t="n">
        <f aca="false">$B58*S59+$B$60*S63</f>
        <v>0</v>
      </c>
      <c r="T55" s="74"/>
    </row>
    <row r="56" s="83" customFormat="true" ht="14.4" hidden="false" customHeight="false" outlineLevel="0" collapsed="false">
      <c r="A56" s="75" t="s">
        <v>137</v>
      </c>
      <c r="B56" s="188" t="n">
        <f aca="false">'Input data dairy products'!C11</f>
        <v>0.824</v>
      </c>
      <c r="C56" s="78" t="s">
        <v>133</v>
      </c>
      <c r="D56" s="94" t="n">
        <f aca="false">IF($E$1="GWP100 without fb",D57+D58*'Common input data'!$C$5+D59*'Common input data'!$D$5,IF($E$1="GWP100 with fb",D57+D58*'Common input data'!$C$6+D59*'Common input data'!$D$6,IF($E$1="GTP100 without fb",D57+D58*'Common input data'!$C$7+D59*'Common input data'!$D$7,IF($E$1="GTP100 with fb",D57+D58*'Common input data'!$C$8+D59*'Common input data'!$D$8,D57+D58*'Common input data'!$C$9+D59*'Common input data'!$D$9))))</f>
        <v>4.64486964869358</v>
      </c>
      <c r="E56" s="95" t="n">
        <f aca="false">IF($E$1="GWP100 without fb",E57+E58*'Common input data'!$C$5+E59*'Common input data'!$D$5,IF($E$1="GWP100 with fb",E57+E58*'Common input data'!$C$6+E59*'Common input data'!$D$6,IF($E$1="GTP100 without fb",E57+E58*'Common input data'!$C$7+E59*'Common input data'!$D$7,IF($E$1="GTP100 with fb",E57+E58*'Common input data'!$C$8+E59*'Common input data'!$D$8,E57+E58*'Common input data'!$C$9+E59*'Common input data'!$D$9))))</f>
        <v>6.14713447528878</v>
      </c>
      <c r="F56" s="96" t="n">
        <f aca="false">IF($E$1="GWP100 without fb",F57+F58*'Common input data'!$C$5+F59*'Common input data'!$D$5,IF($E$1="GWP100 with fb",F57+F58*'Common input data'!$C$6+F59*'Common input data'!$D$6,IF($E$1="GTP100 without fb",F57+F58*'Common input data'!$C$7+F59*'Common input data'!$D$7,IF($E$1="GTP100 with fb",F57+F58*'Common input data'!$C$8+F59*'Common input data'!$D$8,F57+F58*'Common input data'!$C$9+F59*'Common input data'!$D$9))))</f>
        <v>6.37649467945671</v>
      </c>
      <c r="G56" s="97"/>
      <c r="P56" s="97"/>
      <c r="Q56" s="97"/>
      <c r="R56" s="98"/>
      <c r="S56" s="98"/>
      <c r="T56" s="74"/>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row>
    <row r="57" customFormat="false" ht="14.4" hidden="false" customHeight="false" outlineLevel="0" collapsed="false">
      <c r="A57" s="74"/>
      <c r="C57" s="85" t="s">
        <v>134</v>
      </c>
      <c r="D57" s="217" t="n">
        <f aca="false">IF(AND($E$2="No",$E$3="No"),SUM(H57:K57),IF(AND($E$2="Yes", $E$3="No"), SUM(H57:K57)+M57, IF(AND($E$2="No", $E$3="Yes"),SUM(H57:K57)+L57, SUM(H57:K57)+M57+L57)))</f>
        <v>-0.124159714719114</v>
      </c>
      <c r="E57" s="89" t="n">
        <f aca="false">IF(AND($E$2="No",$E$3="No"),SUM(G57:K57,N57:O57),IF(AND($E$2="Yes",$E$3="No"), SUM(G57:K57,N57:O57)+M57, IF(AND($E$2="No", $E$3="Yes"),SUM(G57:K57,N57:O57)+L57, SUM(G57:K57,N57:O57)+M57+L57)))</f>
        <v>1.03568240538153</v>
      </c>
      <c r="F57" s="88" t="n">
        <f aca="false">SUM(Q57:S57)/(1-'Common input data'!B$127)</f>
        <v>1.15083423278941</v>
      </c>
      <c r="G57" s="87" t="n">
        <f aca="false">'Input data dairy products'!$D$11*G9*'Common input data'!D$39</f>
        <v>1.01258587163544</v>
      </c>
      <c r="H57" s="87" t="n">
        <f aca="false">'Input data dairy products'!$D$11*H9*'Common input data'!D$39</f>
        <v>0</v>
      </c>
      <c r="I57" s="87" t="n">
        <f aca="false">'Input data dairy products'!$D$11*I9*'Common input data'!D$39</f>
        <v>0</v>
      </c>
      <c r="J57" s="87" t="n">
        <f aca="false">'Input data dairy products'!$D$11*J9*'Common input data'!D$39</f>
        <v>0</v>
      </c>
      <c r="K57" s="87" t="n">
        <f aca="false">'Input data dairy products'!$D$11*K9*'Common input data'!D$39</f>
        <v>0</v>
      </c>
      <c r="L57" s="87" t="n">
        <f aca="false">'Input data dairy products'!$D$11*L9*'Common input data'!D$39</f>
        <v>-0.21988880151601</v>
      </c>
      <c r="M57" s="87" t="n">
        <f aca="false">'Input data dairy products'!$D$11*M9*'Common input data'!D$39</f>
        <v>0.0957290867968953</v>
      </c>
      <c r="N57" s="87" t="n">
        <f aca="false">'Input data dairy products'!$D$11*N9*'Common input data'!D$39</f>
        <v>0.129924567436783</v>
      </c>
      <c r="O57" s="87" t="n">
        <f aca="false">'Input data dairy products'!$D$11*O9*'Common input data'!D$39</f>
        <v>0.0173316810284251</v>
      </c>
      <c r="P57" s="87" t="n">
        <f aca="false">'Input data dairy products'!E$29*'Common input data'!D$39</f>
        <v>0.01</v>
      </c>
      <c r="Q57" s="218" t="n">
        <f aca="false">IF(AND($E$2="No",$E$3="No"),SUM(G57:K57,N57:P57),IF(AND($E$2="Yes",$E$3="No"), SUM(G57:K57,N57:P57)+M57, IF(AND($E$2="No", $E$3="Yes"),SUM(G57:K57,N57:P57)+L57, SUM(G57:K57,N57:P57)+M57+L57)))</f>
        <v>1.04568240538153</v>
      </c>
      <c r="R57" s="89" t="n">
        <f aca="false">'Common input data'!B$91</f>
        <v>0.05</v>
      </c>
      <c r="S57" s="89" t="n">
        <f aca="false">'Common input data'!C$98</f>
        <v>0.03</v>
      </c>
      <c r="T57" s="74"/>
    </row>
    <row r="58" customFormat="false" ht="14.4" hidden="false" customHeight="false" outlineLevel="0" collapsed="false">
      <c r="A58" s="99"/>
      <c r="B58" s="93"/>
      <c r="C58" s="85" t="s">
        <v>135</v>
      </c>
      <c r="D58" s="217" t="n">
        <f aca="false">SUM(H58:K58)</f>
        <v>0.104948099970241</v>
      </c>
      <c r="E58" s="89" t="n">
        <f aca="false">SUM(G58:K58,N58:O58)</f>
        <v>0.10603688967149</v>
      </c>
      <c r="F58" s="88" t="n">
        <f aca="false">SUM(Q58:S58)/(1-'Common input data'!B$127)</f>
        <v>0.108406138346903</v>
      </c>
      <c r="G58" s="87" t="n">
        <f aca="false">'Input data dairy products'!$D$11*G10*'Common input data'!D$39</f>
        <v>0.00108409190888328</v>
      </c>
      <c r="H58" s="87" t="n">
        <f aca="false">'Input data dairy products'!$D$11*H10*'Common input data'!D$39</f>
        <v>0</v>
      </c>
      <c r="I58" s="87" t="n">
        <f aca="false">'Input data dairy products'!$D$11*I10*'Common input data'!D$39</f>
        <v>0.00685760902446956</v>
      </c>
      <c r="J58" s="87" t="n">
        <f aca="false">'Input data dairy products'!$D$11*J10*'Common input data'!D$39</f>
        <v>0</v>
      </c>
      <c r="K58" s="87" t="n">
        <f aca="false">'Input data dairy products'!$D$11*K10*'Common input data'!D$39</f>
        <v>0.0980904909457712</v>
      </c>
      <c r="L58" s="87" t="n">
        <f aca="false">'Input data dairy products'!$D$11*L10*'Common input data'!D$39</f>
        <v>0</v>
      </c>
      <c r="M58" s="87" t="n">
        <f aca="false">'Input data dairy products'!$D$11*M10*'Common input data'!D$39</f>
        <v>0</v>
      </c>
      <c r="N58" s="87" t="n">
        <f aca="false">'Input data dairy products'!$D$11*N10*'Common input data'!D$39</f>
        <v>0</v>
      </c>
      <c r="O58" s="87" t="n">
        <f aca="false">'Input data dairy products'!$D$11*O10*'Common input data'!D$39</f>
        <v>4.69779236568271E-006</v>
      </c>
      <c r="P58" s="87" t="n">
        <v>0</v>
      </c>
      <c r="Q58" s="87" t="n">
        <f aca="false">SUM(G58:P58)</f>
        <v>0.10603688967149</v>
      </c>
      <c r="R58" s="89" t="n">
        <v>0</v>
      </c>
      <c r="S58" s="89" t="n">
        <v>0</v>
      </c>
      <c r="T58" s="74"/>
    </row>
    <row r="59" customFormat="false" ht="14.4" hidden="false" customHeight="false" outlineLevel="0" collapsed="false">
      <c r="A59" s="100"/>
      <c r="B59" s="87"/>
      <c r="C59" s="31" t="s">
        <v>136</v>
      </c>
      <c r="D59" s="217" t="n">
        <f aca="false">SUM(H59:K59)</f>
        <v>0.00402950994773323</v>
      </c>
      <c r="E59" s="89" t="n">
        <f aca="false">SUM(G59:K59,N59:O59)</f>
        <v>0.00505435510428389</v>
      </c>
      <c r="F59" s="88" t="n">
        <f aca="false">SUM(Q59:S59)/(1-'Common input data'!B$127)</f>
        <v>0.00516728772776041</v>
      </c>
      <c r="G59" s="87" t="n">
        <f aca="false">'Input data dairy products'!$D$11*G11*'Common input data'!D$39</f>
        <v>0.00102440721790679</v>
      </c>
      <c r="H59" s="87" t="n">
        <f aca="false">'Input data dairy products'!$D$11*H11*'Common input data'!D$39</f>
        <v>0.00258928854425876</v>
      </c>
      <c r="I59" s="87" t="n">
        <f aca="false">'Input data dairy products'!$D$11*I11*'Common input data'!D$39</f>
        <v>0.00132763969539298</v>
      </c>
      <c r="J59" s="87" t="n">
        <f aca="false">'Input data dairy products'!$D$11*J11*'Common input data'!D$39</f>
        <v>0.000112581708081487</v>
      </c>
      <c r="K59" s="87" t="n">
        <f aca="false">'Input data dairy products'!$D$11*K11*'Common input data'!D$39</f>
        <v>0</v>
      </c>
      <c r="L59" s="87" t="n">
        <f aca="false">'Input data dairy products'!$D$11*L11*'Common input data'!D$39</f>
        <v>0</v>
      </c>
      <c r="M59" s="87" t="n">
        <f aca="false">'Input data dairy products'!$D$11*M11*'Common input data'!D$39</f>
        <v>0</v>
      </c>
      <c r="N59" s="87" t="n">
        <f aca="false">'Input data dairy products'!$D$11*N11*'Common input data'!D$39</f>
        <v>0</v>
      </c>
      <c r="O59" s="87" t="n">
        <f aca="false">'Input data dairy products'!$D$11*O11*'Common input data'!D$39</f>
        <v>4.37938643867533E-007</v>
      </c>
      <c r="P59" s="87" t="n">
        <v>0</v>
      </c>
      <c r="Q59" s="87" t="n">
        <f aca="false">SUM(G59:P59)</f>
        <v>0.00505435510428389</v>
      </c>
      <c r="R59" s="89" t="n">
        <v>0</v>
      </c>
      <c r="S59" s="89" t="n">
        <v>0</v>
      </c>
      <c r="T59" s="74"/>
    </row>
    <row r="60" s="83" customFormat="true" ht="14.4" hidden="false" customHeight="false" outlineLevel="0" collapsed="false">
      <c r="A60" s="75" t="s">
        <v>141</v>
      </c>
      <c r="B60" s="188" t="n">
        <f aca="false">'Input data dairy products'!C12</f>
        <v>0.176</v>
      </c>
      <c r="C60" s="78" t="s">
        <v>133</v>
      </c>
      <c r="D60" s="94" t="n">
        <f aca="false">IF($E$1="GWP100 without fb",D61+D62*'Common input data'!$C$5+D63*'Common input data'!$D$5,IF($E$1="GWP100 with fb",D61+D62*'Common input data'!$C$6+D63*'Common input data'!$D$6,IF($E$1="GTP100 without fb",D61+D62*'Common input data'!$C$7+D63*'Common input data'!$D$7,IF($E$1="GTP100 with fb",D61+D62*'Common input data'!$C$8+D63*'Common input data'!$D$8,D61+D62*'Common input data'!$C$9+D63*'Common input data'!$D$9))))</f>
        <v>4.64486964869358</v>
      </c>
      <c r="E60" s="95" t="n">
        <f aca="false">IF($E$1="GWP100 without fb",E61+E62*'Common input data'!$C$5+E63*'Common input data'!$D$5,IF($E$1="GWP100 with fb",E61+E62*'Common input data'!$C$6+E63*'Common input data'!$D$6,IF($E$1="GTP100 without fb",E61+E62*'Common input data'!$C$7+E63*'Common input data'!$D$7,IF($E$1="GTP100 with fb",E61+E62*'Common input data'!$C$8+E63*'Common input data'!$D$8,E61+E62*'Common input data'!$C$9+E63*'Common input data'!$D$9))))</f>
        <v>6.44831182442342</v>
      </c>
      <c r="F60" s="96" t="n">
        <f aca="false">IF($E$1="GWP100 without fb",F61+F62*'Common input data'!$C$5+F63*'Common input data'!$D$5,IF($E$1="GWP100 with fb",F61+F62*'Common input data'!$C$6+F63*'Common input data'!$D$6,IF($E$1="GTP100 without fb",F61+F62*'Common input data'!$C$7+F63*'Common input data'!$D$7,IF($E$1="GTP100 with fb",F61+F62*'Common input data'!$C$8+F63*'Common input data'!$D$8,F61+F62*'Common input data'!$C$9+F63*'Common input data'!$D$9))))</f>
        <v>6.90420530257274</v>
      </c>
      <c r="G60" s="97"/>
      <c r="P60" s="97"/>
      <c r="Q60" s="97"/>
      <c r="R60" s="98"/>
      <c r="S60" s="98"/>
      <c r="T60" s="74"/>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row>
    <row r="61" s="83" customFormat="true" ht="14.4" hidden="false" customHeight="false" outlineLevel="0" collapsed="false">
      <c r="A61" s="74"/>
      <c r="B61" s="30"/>
      <c r="C61" s="85" t="s">
        <v>134</v>
      </c>
      <c r="D61" s="217" t="n">
        <f aca="false">IF(AND($E$2="No",$E$3="No"),SUM(H61:K61),IF(AND($E$2="Yes", $E$3="No"), SUM(H61:K61)+M61, IF(AND($E$2="No", $E$3="Yes"),SUM(H61:K61)+L61, SUM(H61:K61)+M61+L61)))</f>
        <v>-0.124159714719114</v>
      </c>
      <c r="E61" s="89" t="n">
        <f aca="false">IF(AND($E$2="No",$E$3="No"),SUM(G61:K61,N61:O61),IF(AND($E$2="Yes",$E$3="No"), SUM(G61:K61,N61:O61)+M61, IF(AND($E$2="No", $E$3="Yes"),SUM(G61:K61,N61:O61)+L61, SUM(G61:K61,N61:O61)+M61+L61)))</f>
        <v>1.33626732492907</v>
      </c>
      <c r="F61" s="88" t="n">
        <f aca="false">SUM(Q61:S61)/(1-'Common input data'!B$127)</f>
        <v>1.67793918929282</v>
      </c>
      <c r="G61" s="87" t="n">
        <f aca="false">'Input data dairy products'!$D$12*G13*'Common input data'!D$39</f>
        <v>1.01258587163544</v>
      </c>
      <c r="H61" s="87" t="n">
        <f aca="false">'Input data dairy products'!$D$12*H13*'Common input data'!D$39</f>
        <v>0</v>
      </c>
      <c r="I61" s="87" t="n">
        <f aca="false">'Input data dairy products'!$D$12*I13*'Common input data'!D$39</f>
        <v>0</v>
      </c>
      <c r="J61" s="87" t="n">
        <f aca="false">'Input data dairy products'!$D$12*J13*'Common input data'!D$39</f>
        <v>0</v>
      </c>
      <c r="K61" s="87" t="n">
        <f aca="false">'Input data dairy products'!$D$12*K13*'Common input data'!D$39</f>
        <v>0</v>
      </c>
      <c r="L61" s="87" t="n">
        <f aca="false">'Input data dairy products'!$D$12*L13*'Common input data'!D$39</f>
        <v>-0.21988880151601</v>
      </c>
      <c r="M61" s="87" t="n">
        <f aca="false">'Input data dairy products'!$D$12*M13*'Common input data'!D$39</f>
        <v>0.0957290867968953</v>
      </c>
      <c r="N61" s="87" t="n">
        <f aca="false">'Input data dairy products'!$D$12*N13*'Common input data'!D$39</f>
        <v>0.395131416431454</v>
      </c>
      <c r="O61" s="87" t="n">
        <f aca="false">'Input data dairy products'!$D$12*O13*'Common input data'!D$39</f>
        <v>0.0527097515812927</v>
      </c>
      <c r="P61" s="87" t="n">
        <f aca="false">'Input data dairy products'!E$30*'Common input data'!D$39</f>
        <v>0.025</v>
      </c>
      <c r="Q61" s="218" t="n">
        <f aca="false">IF(AND($E$2="No",$E$3="No"),SUM(G61:K61,N61:P61),IF(AND($E$2="Yes",$E$3="No"), SUM(G61:K61,N61:P61)+M61, IF(AND($E$2="No", $E$3="Yes"),SUM(G61:K61,N61:P61)+L61, SUM(G61:K61,N61:P61)+M61+L61)))</f>
        <v>1.36126732492907</v>
      </c>
      <c r="R61" s="89" t="n">
        <f aca="false">'Common input data'!B$91</f>
        <v>0.05</v>
      </c>
      <c r="S61" s="89" t="n">
        <f aca="false">'Common input data'!B$102+'Common input data'!C$102</f>
        <v>0.23</v>
      </c>
      <c r="T61" s="74"/>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c r="LY61" s="30"/>
      <c r="LZ61" s="30"/>
      <c r="MA61" s="30"/>
      <c r="MB61" s="30"/>
      <c r="MC61" s="30"/>
      <c r="MD61" s="30"/>
      <c r="ME61" s="30"/>
      <c r="MF61" s="30"/>
      <c r="MG61" s="30"/>
      <c r="MH61" s="30"/>
      <c r="MI61" s="30"/>
      <c r="MJ61" s="30"/>
      <c r="MK61" s="30"/>
      <c r="ML61" s="30"/>
      <c r="MM61" s="30"/>
      <c r="MN61" s="30"/>
      <c r="MO61" s="30"/>
      <c r="MP61" s="30"/>
      <c r="MQ61" s="30"/>
      <c r="MR61" s="30"/>
      <c r="MS61" s="30"/>
      <c r="MT61" s="30"/>
      <c r="MU61" s="30"/>
      <c r="MV61" s="30"/>
      <c r="MW61" s="30"/>
      <c r="MX61" s="30"/>
      <c r="MY61" s="30"/>
      <c r="MZ61" s="30"/>
      <c r="NA61" s="30"/>
      <c r="NB61" s="30"/>
      <c r="NC61" s="30"/>
      <c r="ND61" s="30"/>
      <c r="NE61" s="30"/>
      <c r="NF61" s="30"/>
      <c r="NG61" s="30"/>
      <c r="NH61" s="30"/>
      <c r="NI61" s="30"/>
      <c r="NJ61" s="30"/>
      <c r="NK61" s="30"/>
      <c r="NL61" s="30"/>
      <c r="NM61" s="30"/>
      <c r="NN61" s="30"/>
      <c r="NO61" s="30"/>
      <c r="NP61" s="30"/>
      <c r="NQ61" s="30"/>
      <c r="NR61" s="30"/>
      <c r="NS61" s="30"/>
      <c r="NT61" s="30"/>
      <c r="NU61" s="30"/>
      <c r="NV61" s="30"/>
      <c r="NW61" s="30"/>
      <c r="NX61" s="30"/>
      <c r="NY61" s="30"/>
      <c r="NZ61" s="30"/>
      <c r="OA61" s="30"/>
      <c r="OB61" s="30"/>
      <c r="OC61" s="30"/>
      <c r="OD61" s="30"/>
      <c r="OE61" s="30"/>
      <c r="OF61" s="30"/>
      <c r="OG61" s="30"/>
      <c r="OH61" s="30"/>
      <c r="OI61" s="30"/>
      <c r="OJ61" s="30"/>
      <c r="OK61" s="30"/>
      <c r="OL61" s="30"/>
      <c r="OM61" s="30"/>
      <c r="ON61" s="30"/>
      <c r="OO61" s="30"/>
      <c r="OP61" s="30"/>
    </row>
    <row r="62" customFormat="false" ht="14.4" hidden="false" customHeight="false" outlineLevel="0" collapsed="false">
      <c r="A62" s="99"/>
      <c r="B62" s="31"/>
      <c r="C62" s="85" t="s">
        <v>135</v>
      </c>
      <c r="D62" s="217" t="n">
        <f aca="false">SUM(H62:K62)</f>
        <v>0.104948099970241</v>
      </c>
      <c r="E62" s="89" t="n">
        <f aca="false">SUM(G62:K62,N62:O62)</f>
        <v>0.106046478979618</v>
      </c>
      <c r="F62" s="88" t="n">
        <f aca="false">SUM(Q62:S62)/(1-'Common input data'!B$127)</f>
        <v>0.108415941914951</v>
      </c>
      <c r="G62" s="87" t="n">
        <f aca="false">'Input data dairy products'!$D$12*G14*'Common input data'!D$39</f>
        <v>0.00108409190888328</v>
      </c>
      <c r="H62" s="87" t="n">
        <f aca="false">'Input data dairy products'!$D$12*H14*'Common input data'!D$39</f>
        <v>0</v>
      </c>
      <c r="I62" s="87" t="n">
        <f aca="false">'Input data dairy products'!$D$12*I14*'Common input data'!D$39</f>
        <v>0.00685760902446956</v>
      </c>
      <c r="J62" s="87" t="n">
        <f aca="false">'Input data dairy products'!$D$12*J14*'Common input data'!D$39</f>
        <v>0</v>
      </c>
      <c r="K62" s="87" t="n">
        <f aca="false">'Input data dairy products'!$D$12*K14*'Common input data'!D$39</f>
        <v>0.0980904909457712</v>
      </c>
      <c r="L62" s="87" t="n">
        <f aca="false">'Input data dairy products'!$D$12*L14*'Common input data'!D$39</f>
        <v>0</v>
      </c>
      <c r="M62" s="87" t="n">
        <f aca="false">'Input data dairy products'!$D$12*M14*'Common input data'!D$39</f>
        <v>0</v>
      </c>
      <c r="N62" s="87" t="n">
        <f aca="false">'Input data dairy products'!$D$12*N14*'Common input data'!D$39</f>
        <v>0</v>
      </c>
      <c r="O62" s="87" t="n">
        <f aca="false">'Input data dairy products'!$D$12*O14*'Common input data'!D$39</f>
        <v>1.42871004935711E-005</v>
      </c>
      <c r="P62" s="87" t="n">
        <v>0</v>
      </c>
      <c r="Q62" s="87" t="n">
        <f aca="false">SUM(G62:P62)</f>
        <v>0.106046478979618</v>
      </c>
      <c r="R62" s="89" t="n">
        <v>0</v>
      </c>
      <c r="S62" s="89" t="n">
        <v>0</v>
      </c>
      <c r="T62" s="74"/>
    </row>
    <row r="63" customFormat="false" ht="14.4" hidden="false" customHeight="false" outlineLevel="0" collapsed="false">
      <c r="A63" s="99"/>
      <c r="B63" s="87"/>
      <c r="C63" s="31" t="s">
        <v>136</v>
      </c>
      <c r="D63" s="219" t="n">
        <f aca="false">SUM(H63:K63)</f>
        <v>0.00402950994773323</v>
      </c>
      <c r="E63" s="126" t="n">
        <f aca="false">SUM(G63:K63,N63:O63)</f>
        <v>0.00505524904089715</v>
      </c>
      <c r="F63" s="106" t="n">
        <f aca="false">SUM(Q63:S63)/(1-'Common input data'!B$127)</f>
        <v>0.00516820163815962</v>
      </c>
      <c r="G63" s="87" t="n">
        <f aca="false">'Input data dairy products'!$D$12*G15*'Common input data'!D$39</f>
        <v>0.00102440721790679</v>
      </c>
      <c r="H63" s="87" t="n">
        <f aca="false">'Input data dairy products'!$D$12*H15*'Common input data'!D$39</f>
        <v>0.00258928854425876</v>
      </c>
      <c r="I63" s="87" t="n">
        <f aca="false">'Input data dairy products'!$D$12*I15*'Common input data'!D$39</f>
        <v>0.00132763969539298</v>
      </c>
      <c r="J63" s="87" t="n">
        <f aca="false">'Input data dairy products'!$D$12*J15*'Common input data'!D$39</f>
        <v>0.000112581708081487</v>
      </c>
      <c r="K63" s="87" t="n">
        <f aca="false">'Input data dairy products'!$D$12*K15*'Common input data'!D$39</f>
        <v>0</v>
      </c>
      <c r="L63" s="87" t="n">
        <f aca="false">'Input data dairy products'!$D$12*L15*'Common input data'!D$39</f>
        <v>0</v>
      </c>
      <c r="M63" s="87" t="n">
        <f aca="false">'Input data dairy products'!$D$12*M15*'Common input data'!D$39</f>
        <v>0</v>
      </c>
      <c r="N63" s="87" t="n">
        <f aca="false">'Input data dairy products'!$D$12*N15*'Common input data'!D$39</f>
        <v>0</v>
      </c>
      <c r="O63" s="87" t="n">
        <f aca="false">'Input data dairy products'!$D$12*O15*'Common input data'!D$39</f>
        <v>1.33187525712291E-006</v>
      </c>
      <c r="P63" s="87" t="n">
        <v>0</v>
      </c>
      <c r="Q63" s="87" t="n">
        <f aca="false">SUM(G63:P63)</f>
        <v>0.00505524904089715</v>
      </c>
      <c r="R63" s="102" t="n">
        <v>0</v>
      </c>
      <c r="S63" s="89" t="n">
        <v>0</v>
      </c>
      <c r="T63" s="74"/>
    </row>
    <row r="64" s="113" customFormat="true" ht="14.4" hidden="false" customHeight="false" outlineLevel="0" collapsed="false">
      <c r="A64" s="107" t="s">
        <v>185</v>
      </c>
      <c r="B64" s="69"/>
      <c r="C64" s="109"/>
      <c r="D64" s="221" t="s">
        <v>186</v>
      </c>
      <c r="E64" s="222" t="s">
        <v>186</v>
      </c>
      <c r="F64" s="223" t="s">
        <v>186</v>
      </c>
      <c r="G64" s="69"/>
      <c r="P64" s="69"/>
      <c r="Q64" s="69"/>
      <c r="R64" s="224"/>
      <c r="S64" s="70"/>
      <c r="T64" s="74"/>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row>
    <row r="65" s="83" customFormat="true" ht="14.4" hidden="false" customHeight="false" outlineLevel="0" collapsed="false">
      <c r="A65" s="75" t="s">
        <v>132</v>
      </c>
      <c r="B65" s="188" t="n">
        <f aca="false">SUM(B69:B81)</f>
        <v>1</v>
      </c>
      <c r="C65" s="78" t="s">
        <v>133</v>
      </c>
      <c r="D65" s="79" t="n">
        <f aca="false">IF($E$1="GWP100 without fb",D66+D67*'Common input data'!$C$5+D68*'Common input data'!$D$5,IF($E$1="GWP100 with fb",D66+D67*'Common input data'!$C$6+D68*'Common input data'!$D$6,IF($E$1="GTP100 without fb",D66+D67*'Common input data'!$C$7+D68*'Common input data'!$D$7,IF($E$1="GTP100 with fb",D66+D67*'Common input data'!$C$8+D68*'Common input data'!$D$8,D66+D67*'Common input data'!$C$9+D68*'Common input data'!$D$9))))</f>
        <v>8.73235493954392</v>
      </c>
      <c r="E65" s="80" t="n">
        <f aca="false">IF($E$1="GWP100 without fb",E66+E67*'Common input data'!$C$5+E68*'Common input data'!$D$5,IF($E$1="GWP100 with fb",E66+E67*'Common input data'!$C$6+E68*'Common input data'!$D$6,IF($E$1="GTP100 without fb",E66+E67*'Common input data'!$C$7+E68*'Common input data'!$D$7,IF($E$1="GTP100 with fb",E66+E67*'Common input data'!$C$8+E68*'Common input data'!$D$8,E66+E67*'Common input data'!$C$9+E68*'Common input data'!$D$9))))</f>
        <v>11.7423308141133</v>
      </c>
      <c r="F65" s="81" t="n">
        <f aca="false">IF($E$1="GWP100 without fb",F66+F67*'Common input data'!$C$5+F68*'Common input data'!$D$5,IF($E$1="GWP100 with fb",F66+F67*'Common input data'!$C$6+F68*'Common input data'!$D$6,IF($E$1="GTP100 without fb",F66+F67*'Common input data'!$C$7+F68*'Common input data'!$D$7,IF($E$1="GTP100 with fb",F66+F67*'Common input data'!$C$8+F68*'Common input data'!$D$8,F66+F67*'Common input data'!$C$9+F68*'Common input data'!$D$9))))</f>
        <v>12.5648677686576</v>
      </c>
      <c r="G65" s="82"/>
      <c r="P65" s="82"/>
      <c r="Q65" s="82"/>
      <c r="R65" s="78"/>
      <c r="S65" s="78"/>
      <c r="T65" s="74"/>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row>
    <row r="66" customFormat="false" ht="14.4" hidden="false" customHeight="false" outlineLevel="0" collapsed="false">
      <c r="A66" s="74"/>
      <c r="C66" s="85" t="s">
        <v>134</v>
      </c>
      <c r="D66" s="217" t="n">
        <f aca="false">$B$69*D70+$B$73*D74+$B$77*D78+$B$81*D82</f>
        <v>-0.233420263671935</v>
      </c>
      <c r="E66" s="89" t="n">
        <f aca="false">$B$69*E70+$B$73*E74+$B$77*E78+$B$81*E82</f>
        <v>2.13243560690707</v>
      </c>
      <c r="F66" s="88" t="n">
        <f aca="false">$B$69*F70+$B$73*F74+$B$77*F78+$B$81*F82</f>
        <v>2.74025265066311</v>
      </c>
      <c r="G66" s="89" t="n">
        <f aca="false">$B$69*G70+$B$73*G74+$B$77*G78+$B$81*G82</f>
        <v>1.90366143867462</v>
      </c>
      <c r="H66" s="89" t="n">
        <f aca="false">$B$69*H70+$B$73*H74+$B$77*H78+$B$81*H82</f>
        <v>0</v>
      </c>
      <c r="I66" s="89" t="n">
        <f aca="false">$B$69*I70+$B$73*I74+$B$77*I78+$B$81*I82</f>
        <v>0</v>
      </c>
      <c r="J66" s="89" t="n">
        <f aca="false">$B$69*J70+$B$73*J74+$B$77*J78+$B$81*J82</f>
        <v>0</v>
      </c>
      <c r="K66" s="89" t="n">
        <f aca="false">$B$69*K70+$B$73*K74+$B$77*K78+$B$81*K82</f>
        <v>0</v>
      </c>
      <c r="L66" s="89" t="n">
        <f aca="false">$B$69*L70+$B$73*L74+$B$77*L78+$B$81*L82</f>
        <v>-0.413390946850098</v>
      </c>
      <c r="M66" s="89" t="n">
        <f aca="false">$B$69*M70+$B$73*M74+$B$77*M78+$B$81*M82</f>
        <v>0.179970683178163</v>
      </c>
      <c r="N66" s="89" t="n">
        <f aca="false">$B$69*N70+$B$73*N74+$B$77*N78+$B$81*N82</f>
        <v>0.407795338145227</v>
      </c>
      <c r="O66" s="89" t="n">
        <f aca="false">$B$69*O70+$B$73*O74+$B$77*O78+$B$81*O82</f>
        <v>0.0543990937591594</v>
      </c>
      <c r="P66" s="89" t="n">
        <f aca="false">$B$69*P70+$B$73*P74+$B$77*P78+$B$81*P82</f>
        <v>0.405328</v>
      </c>
      <c r="Q66" s="89" t="n">
        <f aca="false">$B$69*Q70+$B$73*Q74+$B$77*Q78+$B$81*Q82</f>
        <v>2.53776360690707</v>
      </c>
      <c r="R66" s="89" t="n">
        <f aca="false">$B$69*R70+$B$73*R74+$B$77*R78+$B$81*R82</f>
        <v>0.05</v>
      </c>
      <c r="S66" s="89" t="n">
        <f aca="false">$B$69*S70+$B$73*S74+$B$77*S78+$B$81*S82</f>
        <v>0.0926</v>
      </c>
      <c r="T66" s="74"/>
    </row>
    <row r="67" customFormat="false" ht="14.4" hidden="false" customHeight="false" outlineLevel="0" collapsed="false">
      <c r="A67" s="91"/>
      <c r="B67" s="93"/>
      <c r="C67" s="85" t="s">
        <v>135</v>
      </c>
      <c r="D67" s="217" t="n">
        <f aca="false">$B$69*D71+$B$73*D75+$B$77*D79+$B$81*D83</f>
        <v>0.197302427944053</v>
      </c>
      <c r="E67" s="89" t="n">
        <f aca="false">$B$69*E71+$B$73*E75+$B$77*E79+$B$81*E83</f>
        <v>0.199355265733365</v>
      </c>
      <c r="F67" s="88" t="n">
        <f aca="false">$B$69*F71+$B$73*F75+$B$77*F79+$B$81*F83</f>
        <v>0.203809585364379</v>
      </c>
      <c r="G67" s="89" t="n">
        <f aca="false">$B$69*G71+$B$73*G75+$B$77*G79+$B$81*G83</f>
        <v>0.00203809278870056</v>
      </c>
      <c r="H67" s="89" t="n">
        <f aca="false">$B$69*H71+$B$73*H75+$B$77*H79+$B$81*H83</f>
        <v>0</v>
      </c>
      <c r="I67" s="89" t="n">
        <f aca="false">$B$69*I71+$B$73*I75+$B$77*I79+$B$81*I83</f>
        <v>0.0128923049660028</v>
      </c>
      <c r="J67" s="89" t="n">
        <f aca="false">$B$69*J71+$B$73*J75+$B$77*J79+$B$81*J83</f>
        <v>0</v>
      </c>
      <c r="K67" s="89" t="n">
        <f aca="false">$B$69*K71+$B$73*K75+$B$77*K79+$B$81*K83</f>
        <v>0.18441012297805</v>
      </c>
      <c r="L67" s="89" t="n">
        <f aca="false">$B$69*L71+$B$73*L75+$B$77*L79+$B$81*L83</f>
        <v>0</v>
      </c>
      <c r="M67" s="89" t="n">
        <f aca="false">$B$69*M71+$B$73*M75+$B$77*M79+$B$81*M83</f>
        <v>0</v>
      </c>
      <c r="N67" s="89" t="n">
        <f aca="false">$B$69*N71+$B$73*N75+$B$77*N79+$B$81*N83</f>
        <v>0</v>
      </c>
      <c r="O67" s="89" t="n">
        <f aca="false">$B$69*O71+$B$73*O75+$B$77*O79+$B$81*O83</f>
        <v>1.47450006114646E-005</v>
      </c>
      <c r="P67" s="89" t="n">
        <f aca="false">$B$69*P71+$B$73*P75+$B$77*P79+$B$81*P83</f>
        <v>0</v>
      </c>
      <c r="Q67" s="89" t="n">
        <f aca="false">$B$69*Q71+$B$73*Q75+$B$77*Q79+$B$81*Q83</f>
        <v>0.199355265733365</v>
      </c>
      <c r="R67" s="89" t="n">
        <f aca="false">$B$69*R71+$B$73*R75+$B$77*R79+$B$81*R83</f>
        <v>0</v>
      </c>
      <c r="S67" s="89" t="n">
        <f aca="false">$B$69*S71+$B$73*S75+$B$77*S79+$B$81*S83</f>
        <v>0</v>
      </c>
      <c r="T67" s="74"/>
    </row>
    <row r="68" customFormat="false" ht="14.4" hidden="false" customHeight="false" outlineLevel="0" collapsed="false">
      <c r="A68" s="91"/>
      <c r="B68" s="87"/>
      <c r="C68" s="31" t="s">
        <v>136</v>
      </c>
      <c r="D68" s="217" t="n">
        <f aca="false">$B$69*D72+$B$73*D76+$B$77*D80+$B$81*D84</f>
        <v>0.00757547870173848</v>
      </c>
      <c r="E68" s="89" t="n">
        <f aca="false">$B$69*E72+$B$73*E76+$B$77*E80+$B$81*E84</f>
        <v>0.00950273883312691</v>
      </c>
      <c r="F68" s="88" t="n">
        <f aca="false">$B$69*F72+$B$73*F76+$B$77*F80+$B$81*F84</f>
        <v>0.00971506448189814</v>
      </c>
      <c r="G68" s="89" t="n">
        <f aca="false">$B$69*G72+$B$73*G76+$B$77*G80+$B$81*G84</f>
        <v>0.00192588556966477</v>
      </c>
      <c r="H68" s="89" t="n">
        <f aca="false">$B$69*H72+$B$73*H76+$B$77*H80+$B$81*H84</f>
        <v>0.00486786246320647</v>
      </c>
      <c r="I68" s="89" t="n">
        <f aca="false">$B$69*I72+$B$73*I76+$B$77*I80+$B$81*I84</f>
        <v>0.00249596262733881</v>
      </c>
      <c r="J68" s="89" t="n">
        <f aca="false">$B$69*J72+$B$73*J76+$B$77*J80+$B$81*J84</f>
        <v>0.000211653611193196</v>
      </c>
      <c r="K68" s="89" t="n">
        <f aca="false">$B$69*K72+$B$73*K76+$B$77*K80+$B$81*K84</f>
        <v>0</v>
      </c>
      <c r="L68" s="89" t="n">
        <f aca="false">$B$69*L72+$B$73*L76+$B$77*L80+$B$81*L84</f>
        <v>0</v>
      </c>
      <c r="M68" s="89" t="n">
        <f aca="false">$B$69*M72+$B$73*M76+$B$77*M80+$B$81*M84</f>
        <v>0</v>
      </c>
      <c r="N68" s="89" t="n">
        <f aca="false">$B$69*N72+$B$73*N76+$B$77*N80+$B$81*N84</f>
        <v>0</v>
      </c>
      <c r="O68" s="89" t="n">
        <f aca="false">$B$69*O72+$B$73*O76+$B$77*O80+$B$81*O84</f>
        <v>1.37456172366876E-006</v>
      </c>
      <c r="P68" s="89" t="n">
        <f aca="false">$B$69*P72+$B$73*P76+$B$77*P80+$B$81*P84</f>
        <v>0</v>
      </c>
      <c r="Q68" s="89" t="n">
        <f aca="false">$B$69*Q72+$B$73*Q76+$B$77*Q80+$B$81*Q84</f>
        <v>0.00950273883312691</v>
      </c>
      <c r="R68" s="89" t="n">
        <f aca="false">$B$69*R72+$B$73*R76+$B$77*R80+$B$81*R84</f>
        <v>0</v>
      </c>
      <c r="S68" s="89" t="n">
        <f aca="false">$B$69*S72+$B$73*S76+$B$77*S80+$B$81*S84</f>
        <v>0</v>
      </c>
      <c r="T68" s="74"/>
    </row>
    <row r="69" s="83" customFormat="true" ht="14.4" hidden="false" customHeight="false" outlineLevel="0" collapsed="false">
      <c r="A69" s="75" t="s">
        <v>137</v>
      </c>
      <c r="B69" s="188" t="n">
        <f aca="false">'Input data dairy products'!C13</f>
        <v>0.512</v>
      </c>
      <c r="C69" s="78" t="s">
        <v>133</v>
      </c>
      <c r="D69" s="94" t="n">
        <f aca="false">IF($E$1="GWP100 without fb",D70+D71*'Common input data'!$C$5+D72*'Common input data'!$D$5,IF($E$1="GWP100 with fb",D70+D71*'Common input data'!$C$6+D72*'Common input data'!$D$6,IF($E$1="GTP100 without fb",D70+D71*'Common input data'!$C$7+D72*'Common input data'!$D$7,IF($E$1="GTP100 with fb",D70+D71*'Common input data'!$C$8+D72*'Common input data'!$D$8,D70+D71*'Common input data'!$C$9+D72*'Common input data'!$D$9))))</f>
        <v>8.73235493954392</v>
      </c>
      <c r="E69" s="95" t="n">
        <f aca="false">IF($E$1="GWP100 without fb",E70+E71*'Common input data'!$C$5+E72*'Common input data'!$D$5,IF($E$1="GWP100 with fb",E70+E71*'Common input data'!$C$6+E72*'Common input data'!$D$6,IF($E$1="GTP100 without fb",E70+E71*'Common input data'!$C$7+E72*'Common input data'!$D$7,IF($E$1="GTP100 with fb",E70+E71*'Common input data'!$C$8+E72*'Common input data'!$D$8,E70+E71*'Common input data'!$C$9+E72*'Common input data'!$D$9))))</f>
        <v>11.5566128135429</v>
      </c>
      <c r="F69" s="96" t="n">
        <f aca="false">IF($E$1="GWP100 without fb",F70+F71*'Common input data'!$C$5+F72*'Common input data'!$D$5,IF($E$1="GWP100 with fb",F70+F71*'Common input data'!$C$6+F72*'Common input data'!$D$6,IF($E$1="GTP100 without fb",F70+F71*'Common input data'!$C$7+F72*'Common input data'!$D$7,IF($E$1="GTP100 with fb",F70+F71*'Common input data'!$C$8+F72*'Common input data'!$D$8,F70+F71*'Common input data'!$C$9+F72*'Common input data'!$D$9))))</f>
        <v>12.1849178485994</v>
      </c>
      <c r="G69" s="97"/>
      <c r="P69" s="97"/>
      <c r="Q69" s="97"/>
      <c r="R69" s="98"/>
      <c r="S69" s="98"/>
      <c r="T69" s="74"/>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row>
    <row r="70" customFormat="false" ht="14.4" hidden="false" customHeight="false" outlineLevel="0" collapsed="false">
      <c r="A70" s="74"/>
      <c r="C70" s="85" t="s">
        <v>134</v>
      </c>
      <c r="D70" s="217" t="n">
        <f aca="false">IF(AND($E$2="No",$E$3="No"),SUM(H70:K70),IF(AND($E$2="Yes", $E$3="No"), SUM(H70:K70)+M70, IF(AND($E$2="No", $E$3="Yes"),SUM(H70:K70)+L70, SUM(H70:K70)+M70+L70)))</f>
        <v>-0.233420263671935</v>
      </c>
      <c r="E70" s="89" t="n">
        <f aca="false">IF(AND($E$2="No",$E$3="No"),SUM(G70:K70,N70:O70),IF(AND($E$2="Yes",$E$3="No"), SUM(G70:K70,N70:O70)+M70, IF(AND($E$2="No", $E$3="Yes"),SUM(G70:K70,N70:O70)+L70, SUM(G70:K70,N70:O70)+M70+L70)))</f>
        <v>1.94708292211728</v>
      </c>
      <c r="F70" s="88" t="n">
        <f aca="false">SUM(Q70:S70)/(1-'Common input data'!B$127)</f>
        <v>2.36067620886488</v>
      </c>
      <c r="G70" s="87" t="n">
        <f aca="false">'Input data dairy products'!$D$13*G9*'Common input data'!D$40</f>
        <v>1.90366143867462</v>
      </c>
      <c r="H70" s="87" t="n">
        <f aca="false">'Input data dairy products'!$D$13*H9*'Common input data'!D$40</f>
        <v>0</v>
      </c>
      <c r="I70" s="87" t="n">
        <f aca="false">'Input data dairy products'!$D$13*I9*'Common input data'!D$40</f>
        <v>0</v>
      </c>
      <c r="J70" s="87" t="n">
        <f aca="false">'Input data dairy products'!$D$13*J9*'Common input data'!D$40</f>
        <v>0</v>
      </c>
      <c r="K70" s="87" t="n">
        <f aca="false">'Input data dairy products'!$D$13*K9*'Common input data'!D$40</f>
        <v>0</v>
      </c>
      <c r="L70" s="87" t="n">
        <f aca="false">'Input data dairy products'!$D$13*L9*'Common input data'!D$40</f>
        <v>-0.413390946850098</v>
      </c>
      <c r="M70" s="87" t="n">
        <f aca="false">'Input data dairy products'!$D$13*M9*'Common input data'!D$40</f>
        <v>0.179970683178163</v>
      </c>
      <c r="N70" s="87" t="n">
        <f aca="false">'Input data dairy products'!$D$13*N9*'Common input data'!D$40</f>
        <v>0.244258186781153</v>
      </c>
      <c r="O70" s="87" t="n">
        <f aca="false">'Input data dairy products'!$D$13*O9*'Common input data'!D$40</f>
        <v>0.0325835603334391</v>
      </c>
      <c r="P70" s="87" t="n">
        <f aca="false">'Input data dairy products'!F$29*'Common input data'!D$40</f>
        <v>0.282</v>
      </c>
      <c r="Q70" s="218" t="n">
        <f aca="false">IF(AND($E$2="No",$E$3="No"),SUM(G70:K70,N70:P70),IF(AND($E$2="Yes",$E$3="No"), SUM(G70:K70,N70:P70)+M70, IF(AND($E$2="No", $E$3="Yes"),SUM(G70:K70,N70:P70)+L70, SUM(G70:K70,N70:P70)+M70+L70)))</f>
        <v>2.22908292211728</v>
      </c>
      <c r="R70" s="89" t="n">
        <f aca="false">'Common input data'!B$91</f>
        <v>0.05</v>
      </c>
      <c r="S70" s="89" t="n">
        <f aca="false">'Common input data'!C$98</f>
        <v>0.03</v>
      </c>
      <c r="T70" s="74"/>
    </row>
    <row r="71" customFormat="false" ht="14.4" hidden="false" customHeight="false" outlineLevel="0" collapsed="false">
      <c r="A71" s="99"/>
      <c r="B71" s="93"/>
      <c r="C71" s="85" t="s">
        <v>135</v>
      </c>
      <c r="D71" s="217" t="n">
        <f aca="false">SUM(H71:K71)</f>
        <v>0.197302427944053</v>
      </c>
      <c r="E71" s="89" t="n">
        <f aca="false">SUM(G71:K71,N71:O71)</f>
        <v>0.199349352582401</v>
      </c>
      <c r="F71" s="88" t="n">
        <f aca="false">SUM(Q71:S71)/(1-'Common input data'!B$127)</f>
        <v>0.203803540092177</v>
      </c>
      <c r="G71" s="87" t="n">
        <f aca="false">'Input data dairy products'!$D$13*G10*'Common input data'!D$40</f>
        <v>0.00203809278870056</v>
      </c>
      <c r="H71" s="87" t="n">
        <f aca="false">'Input data dairy products'!$D$13*H10*'Common input data'!D$40</f>
        <v>0</v>
      </c>
      <c r="I71" s="87" t="n">
        <f aca="false">'Input data dairy products'!$D$13*I10*'Common input data'!D$40</f>
        <v>0.0128923049660028</v>
      </c>
      <c r="J71" s="87" t="n">
        <f aca="false">'Input data dairy products'!$D$13*J10*'Common input data'!D$40</f>
        <v>0</v>
      </c>
      <c r="K71" s="87" t="n">
        <f aca="false">'Input data dairy products'!$D$13*K10*'Common input data'!D$40</f>
        <v>0.18441012297805</v>
      </c>
      <c r="L71" s="87" t="n">
        <f aca="false">'Input data dairy products'!$D$13*L10*'Common input data'!D$40</f>
        <v>0</v>
      </c>
      <c r="M71" s="87" t="n">
        <f aca="false">'Input data dairy products'!$D$13*M10*'Common input data'!D$40</f>
        <v>0</v>
      </c>
      <c r="N71" s="87" t="n">
        <f aca="false">'Input data dairy products'!$D$13*N10*'Common input data'!D$40</f>
        <v>0</v>
      </c>
      <c r="O71" s="87" t="n">
        <f aca="false">'Input data dairy products'!$D$13*O10*'Common input data'!D$40</f>
        <v>8.8318496474835E-006</v>
      </c>
      <c r="P71" s="87" t="n">
        <v>0</v>
      </c>
      <c r="Q71" s="87" t="n">
        <f aca="false">SUM(G71:P71)</f>
        <v>0.199349352582401</v>
      </c>
      <c r="R71" s="89" t="n">
        <v>0</v>
      </c>
      <c r="S71" s="89" t="n">
        <v>0</v>
      </c>
      <c r="T71" s="74"/>
    </row>
    <row r="72" customFormat="false" ht="14.4" hidden="false" customHeight="false" outlineLevel="0" collapsed="false">
      <c r="A72" s="100"/>
      <c r="B72" s="87"/>
      <c r="C72" s="31" t="s">
        <v>136</v>
      </c>
      <c r="D72" s="217" t="n">
        <f aca="false">SUM(H72:K72)</f>
        <v>0.00757547870173848</v>
      </c>
      <c r="E72" s="89" t="n">
        <f aca="false">SUM(G72:K72,N72:O72)</f>
        <v>0.00950218759605371</v>
      </c>
      <c r="F72" s="88" t="n">
        <f aca="false">SUM(Q72:S72)/(1-'Common input data'!B$127)</f>
        <v>0.00971450092818957</v>
      </c>
      <c r="G72" s="87" t="n">
        <f aca="false">'Input data dairy products'!$D$13*G11*'Common input data'!D$40</f>
        <v>0.00192588556966477</v>
      </c>
      <c r="H72" s="87" t="n">
        <f aca="false">'Input data dairy products'!$D$13*H11*'Common input data'!D$40</f>
        <v>0.00486786246320647</v>
      </c>
      <c r="I72" s="87" t="n">
        <f aca="false">'Input data dairy products'!$D$13*I11*'Common input data'!D$40</f>
        <v>0.00249596262733881</v>
      </c>
      <c r="J72" s="87" t="n">
        <f aca="false">'Input data dairy products'!$D$13*J11*'Common input data'!D$40</f>
        <v>0.000211653611193196</v>
      </c>
      <c r="K72" s="87" t="n">
        <f aca="false">'Input data dairy products'!$D$13*K11*'Common input data'!D$40</f>
        <v>0</v>
      </c>
      <c r="L72" s="87" t="n">
        <f aca="false">'Input data dairy products'!$D$13*L11*'Common input data'!D$40</f>
        <v>0</v>
      </c>
      <c r="M72" s="87" t="n">
        <f aca="false">'Input data dairy products'!$D$13*M11*'Common input data'!D$40</f>
        <v>0</v>
      </c>
      <c r="N72" s="87" t="n">
        <f aca="false">'Input data dairy products'!$D$13*N11*'Common input data'!D$40</f>
        <v>0</v>
      </c>
      <c r="O72" s="87" t="n">
        <f aca="false">'Input data dairy products'!$D$13*O11*'Common input data'!D$40</f>
        <v>8.23324650470961E-007</v>
      </c>
      <c r="P72" s="87" t="n">
        <v>0</v>
      </c>
      <c r="Q72" s="87" t="n">
        <f aca="false">SUM(G72:P72)</f>
        <v>0.00950218759605371</v>
      </c>
      <c r="R72" s="89" t="n">
        <v>0</v>
      </c>
      <c r="S72" s="89" t="n">
        <v>0</v>
      </c>
      <c r="T72" s="74"/>
    </row>
    <row r="73" s="83" customFormat="true" ht="14.4" hidden="false" customHeight="false" outlineLevel="0" collapsed="false">
      <c r="A73" s="75" t="s">
        <v>139</v>
      </c>
      <c r="B73" s="188" t="n">
        <f aca="false">'Input data dairy products'!C14</f>
        <v>0.16</v>
      </c>
      <c r="C73" s="78" t="s">
        <v>133</v>
      </c>
      <c r="D73" s="94" t="n">
        <f aca="false">IF($E$1="GWP100 without fb",D74+D75*'Common input data'!$C$5+D76*'Common input data'!$D$5,IF($E$1="GWP100 with fb",D74+D75*'Common input data'!$C$6+D76*'Common input data'!$D$6,IF($E$1="GTP100 without fb",D74+D75*'Common input data'!$C$7+D76*'Common input data'!$D$7,IF($E$1="GTP100 with fb",D74+D75*'Common input data'!$C$8+D76*'Common input data'!$D$8,D74+D75*'Common input data'!$C$9+D76*'Common input data'!$D$9))))</f>
        <v>8.73235493954392</v>
      </c>
      <c r="E73" s="95" t="n">
        <f aca="false">IF($E$1="GWP100 without fb",E74+E75*'Common input data'!$C$5+E76*'Common input data'!$D$5,IF($E$1="GWP100 with fb",E74+E75*'Common input data'!$C$6+E76*'Common input data'!$D$6,IF($E$1="GTP100 without fb",E74+E75*'Common input data'!$C$7+E76*'Common input data'!$D$7,IF($E$1="GTP100 with fb",E74+E75*'Common input data'!$C$8+E76*'Common input data'!$D$8,E74+E75*'Common input data'!$C$9+E76*'Common input data'!$D$9))))</f>
        <v>11.5566128135429</v>
      </c>
      <c r="F73" s="96" t="n">
        <f aca="false">IF($E$1="GWP100 without fb",F74+F75*'Common input data'!$C$5+F76*'Common input data'!$D$5,IF($E$1="GWP100 with fb",F74+F75*'Common input data'!$C$6+F76*'Common input data'!$D$6,IF($E$1="GTP100 without fb",F74+F75*'Common input data'!$C$7+F76*'Common input data'!$D$7,IF($E$1="GTP100 with fb",F74+F75*'Common input data'!$C$8+F76*'Common input data'!$D$8,F74+F75*'Common input data'!$C$9+F76*'Common input data'!$D$9))))</f>
        <v>12.2360350299326</v>
      </c>
      <c r="G73" s="97"/>
      <c r="P73" s="97"/>
      <c r="Q73" s="97"/>
      <c r="R73" s="98"/>
      <c r="S73" s="98"/>
      <c r="T73" s="74"/>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c r="GL73" s="30"/>
      <c r="GM73" s="30"/>
      <c r="GN73" s="30"/>
      <c r="GO73" s="30"/>
      <c r="GP73" s="30"/>
      <c r="GQ73" s="30"/>
      <c r="GR73" s="30"/>
      <c r="GS73" s="30"/>
      <c r="GT73" s="30"/>
      <c r="GU73" s="30"/>
      <c r="GV73" s="30"/>
      <c r="GW73" s="30"/>
      <c r="GX73" s="30"/>
      <c r="GY73" s="30"/>
      <c r="GZ73" s="30"/>
      <c r="HA73" s="30"/>
      <c r="HB73" s="30"/>
      <c r="HC73" s="30"/>
      <c r="HD73" s="30"/>
      <c r="HE73" s="30"/>
      <c r="HF73" s="30"/>
      <c r="HG73" s="30"/>
      <c r="HH73" s="30"/>
      <c r="HI73" s="30"/>
      <c r="HJ73" s="30"/>
      <c r="HK73" s="30"/>
      <c r="HL73" s="30"/>
      <c r="HM73" s="30"/>
      <c r="HN73" s="30"/>
      <c r="HO73" s="30"/>
      <c r="HP73" s="30"/>
      <c r="HQ73" s="30"/>
      <c r="HR73" s="30"/>
      <c r="HS73" s="30"/>
      <c r="HT73" s="30"/>
      <c r="HU73" s="30"/>
      <c r="HV73" s="30"/>
      <c r="HW73" s="30"/>
      <c r="HX73" s="30"/>
      <c r="HY73" s="30"/>
      <c r="HZ73" s="30"/>
      <c r="IA73" s="30"/>
      <c r="IB73" s="30"/>
      <c r="IC73" s="30"/>
      <c r="ID73" s="30"/>
      <c r="IE73" s="30"/>
      <c r="IF73" s="30"/>
      <c r="IG73" s="30"/>
      <c r="IH73" s="30"/>
      <c r="II73" s="30"/>
      <c r="IJ73" s="30"/>
      <c r="IK73" s="30"/>
      <c r="IL73" s="30"/>
      <c r="IM73" s="30"/>
      <c r="IN73" s="30"/>
      <c r="IO73" s="30"/>
      <c r="IP73" s="30"/>
      <c r="IQ73" s="30"/>
      <c r="IR73" s="30"/>
      <c r="IS73" s="30"/>
      <c r="IT73" s="30"/>
      <c r="IU73" s="30"/>
      <c r="IV73" s="30"/>
      <c r="IW73" s="30"/>
      <c r="IX73" s="30"/>
      <c r="IY73" s="30"/>
      <c r="IZ73" s="30"/>
      <c r="JA73" s="30"/>
      <c r="JB73" s="30"/>
      <c r="JC73" s="30"/>
      <c r="JD73" s="30"/>
      <c r="JE73" s="30"/>
      <c r="JF73" s="30"/>
      <c r="JG73" s="30"/>
      <c r="JH73" s="30"/>
      <c r="JI73" s="30"/>
      <c r="JJ73" s="30"/>
      <c r="JK73" s="30"/>
      <c r="JL73" s="30"/>
      <c r="JM73" s="30"/>
      <c r="JN73" s="30"/>
      <c r="JO73" s="30"/>
      <c r="JP73" s="30"/>
      <c r="JQ73" s="30"/>
      <c r="JR73" s="30"/>
      <c r="JS73" s="30"/>
      <c r="JT73" s="30"/>
      <c r="JU73" s="30"/>
      <c r="JV73" s="30"/>
      <c r="JW73" s="30"/>
      <c r="JX73" s="30"/>
      <c r="JY73" s="30"/>
      <c r="JZ73" s="30"/>
      <c r="KA73" s="30"/>
      <c r="KB73" s="30"/>
      <c r="KC73" s="30"/>
      <c r="KD73" s="30"/>
      <c r="KE73" s="30"/>
      <c r="KF73" s="30"/>
      <c r="KG73" s="30"/>
      <c r="KH73" s="30"/>
    </row>
    <row r="74" s="83" customFormat="true" ht="14.4" hidden="false" customHeight="false" outlineLevel="0" collapsed="false">
      <c r="A74" s="74"/>
      <c r="B74" s="30"/>
      <c r="C74" s="85" t="s">
        <v>134</v>
      </c>
      <c r="D74" s="217" t="n">
        <f aca="false">IF(AND($E$2="No",$E$3="No"),SUM(H74:K74),IF(AND($E$2="Yes", $E$3="No"), SUM(H74:K74)+M74, IF(AND($E$2="No", $E$3="Yes"),SUM(H74:K74)+L74, SUM(H74:K74)+M74+L74)))</f>
        <v>-0.233420263671935</v>
      </c>
      <c r="E74" s="89" t="n">
        <f aca="false">IF(AND($E$2="No",$E$3="No"),SUM(G74:K74,N74:O74),IF(AND($E$2="Yes",$E$3="No"), SUM(G74:K74,N74:O74)+M74, IF(AND($E$2="No", $E$3="Yes"),SUM(G74:K74,N74:O74)+L74, SUM(G74:K74,N74:O74)+M74+L74)))</f>
        <v>1.94708292211728</v>
      </c>
      <c r="F74" s="88" t="n">
        <f aca="false">SUM(Q74:S74)/(1-'Common input data'!B$127)</f>
        <v>2.41179339019807</v>
      </c>
      <c r="G74" s="87" t="n">
        <f aca="false">'Input data dairy products'!$D$14*G9*'Common input data'!D$40</f>
        <v>1.90366143867462</v>
      </c>
      <c r="H74" s="87" t="n">
        <f aca="false">'Input data dairy products'!$D$14*H9*'Common input data'!D$40</f>
        <v>0</v>
      </c>
      <c r="I74" s="87" t="n">
        <f aca="false">'Input data dairy products'!$D$14*I9*'Common input data'!D$40</f>
        <v>0</v>
      </c>
      <c r="J74" s="87" t="n">
        <f aca="false">'Input data dairy products'!$D$14*J9*'Common input data'!D$40</f>
        <v>0</v>
      </c>
      <c r="K74" s="87" t="n">
        <f aca="false">'Input data dairy products'!$D$14*K9*'Common input data'!D$40</f>
        <v>0</v>
      </c>
      <c r="L74" s="87" t="n">
        <f aca="false">'Input data dairy products'!$D$14*L9*'Common input data'!D$40</f>
        <v>-0.413390946850098</v>
      </c>
      <c r="M74" s="87" t="n">
        <f aca="false">'Input data dairy products'!$D$14*M9*'Common input data'!D$40</f>
        <v>0.179970683178163</v>
      </c>
      <c r="N74" s="87" t="n">
        <f aca="false">'Input data dairy products'!$D$14*N9*'Common input data'!D$40</f>
        <v>0.244258186781153</v>
      </c>
      <c r="O74" s="87" t="n">
        <f aca="false">'Input data dairy products'!$D$14*O9*'Common input data'!D$40</f>
        <v>0.0325835603334391</v>
      </c>
      <c r="P74" s="87" t="n">
        <f aca="false">'Input data dairy products'!F$29*'Common input data'!D$40</f>
        <v>0.282</v>
      </c>
      <c r="Q74" s="218" t="n">
        <f aca="false">IF(AND($E$2="No",$E$3="No"),SUM(G74:K74,N74:P74),IF(AND($E$2="Yes",$E$3="No"), SUM(G74:K74,N74:P74)+M74, IF(AND($E$2="No", $E$3="Yes"),SUM(G74:K74,N74:P74)+L74, SUM(G74:K74,N74:P74)+M74+L74)))</f>
        <v>2.22908292211728</v>
      </c>
      <c r="R74" s="89" t="n">
        <f aca="false">'Common input data'!B$91</f>
        <v>0.05</v>
      </c>
      <c r="S74" s="89" t="n">
        <f aca="false">'Common input data'!B$98+'Common input data'!C$98</f>
        <v>0.08</v>
      </c>
      <c r="T74" s="74"/>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c r="GL74" s="30"/>
      <c r="GM74" s="30"/>
      <c r="GN74" s="30"/>
      <c r="GO74" s="30"/>
      <c r="GP74" s="30"/>
      <c r="GQ74" s="30"/>
      <c r="GR74" s="30"/>
      <c r="GS74" s="30"/>
      <c r="GT74" s="30"/>
      <c r="GU74" s="30"/>
      <c r="GV74" s="30"/>
      <c r="GW74" s="30"/>
      <c r="GX74" s="30"/>
      <c r="GY74" s="30"/>
      <c r="GZ74" s="30"/>
      <c r="HA74" s="30"/>
      <c r="HB74" s="30"/>
      <c r="HC74" s="30"/>
      <c r="HD74" s="30"/>
      <c r="HE74" s="30"/>
      <c r="HF74" s="30"/>
      <c r="HG74" s="30"/>
      <c r="HH74" s="30"/>
      <c r="HI74" s="30"/>
      <c r="HJ74" s="30"/>
      <c r="HK74" s="30"/>
      <c r="HL74" s="30"/>
      <c r="HM74" s="30"/>
      <c r="HN74" s="30"/>
      <c r="HO74" s="30"/>
      <c r="HP74" s="30"/>
      <c r="HQ74" s="30"/>
      <c r="HR74" s="30"/>
      <c r="HS74" s="30"/>
      <c r="HT74" s="30"/>
      <c r="HU74" s="30"/>
      <c r="HV74" s="30"/>
      <c r="HW74" s="30"/>
      <c r="HX74" s="30"/>
      <c r="HY74" s="30"/>
      <c r="HZ74" s="30"/>
      <c r="IA74" s="30"/>
      <c r="IB74" s="30"/>
      <c r="IC74" s="30"/>
      <c r="ID74" s="30"/>
      <c r="IE74" s="30"/>
      <c r="IF74" s="30"/>
      <c r="IG74" s="30"/>
      <c r="IH74" s="30"/>
      <c r="II74" s="30"/>
      <c r="IJ74" s="30"/>
      <c r="IK74" s="30"/>
      <c r="IL74" s="30"/>
      <c r="IM74" s="30"/>
      <c r="IN74" s="30"/>
      <c r="IO74" s="30"/>
      <c r="IP74" s="30"/>
      <c r="IQ74" s="30"/>
      <c r="IR74" s="30"/>
      <c r="IS74" s="30"/>
      <c r="IT74" s="30"/>
      <c r="IU74" s="30"/>
      <c r="IV74" s="30"/>
      <c r="IW74" s="30"/>
      <c r="IX74" s="30"/>
      <c r="IY74" s="30"/>
      <c r="IZ74" s="30"/>
      <c r="JA74" s="30"/>
      <c r="JB74" s="30"/>
      <c r="JC74" s="30"/>
      <c r="JD74" s="30"/>
      <c r="JE74" s="30"/>
      <c r="JF74" s="30"/>
      <c r="JG74" s="30"/>
      <c r="JH74" s="30"/>
      <c r="JI74" s="30"/>
      <c r="JJ74" s="30"/>
      <c r="JK74" s="30"/>
      <c r="JL74" s="30"/>
      <c r="JM74" s="30"/>
      <c r="JN74" s="30"/>
      <c r="JO74" s="30"/>
      <c r="JP74" s="30"/>
      <c r="JQ74" s="30"/>
      <c r="JR74" s="30"/>
      <c r="JS74" s="30"/>
      <c r="JT74" s="30"/>
      <c r="JU74" s="30"/>
      <c r="JV74" s="30"/>
      <c r="JW74" s="30"/>
      <c r="JX74" s="30"/>
      <c r="JY74" s="30"/>
      <c r="JZ74" s="30"/>
      <c r="KA74" s="30"/>
      <c r="KB74" s="30"/>
      <c r="KC74" s="30"/>
      <c r="KD74" s="30"/>
      <c r="KE74" s="30"/>
      <c r="KF74" s="30"/>
      <c r="KG74" s="30"/>
      <c r="KH74" s="30"/>
      <c r="KI74" s="30"/>
      <c r="KJ74" s="30"/>
      <c r="KK74" s="30"/>
      <c r="KL74" s="30"/>
      <c r="KM74" s="30"/>
      <c r="KN74" s="30"/>
      <c r="KO74" s="30"/>
      <c r="KP74" s="30"/>
      <c r="KQ74" s="30"/>
      <c r="KR74" s="30"/>
      <c r="KS74" s="30"/>
      <c r="KT74" s="30"/>
      <c r="KU74" s="30"/>
      <c r="KV74" s="30"/>
      <c r="KW74" s="30"/>
      <c r="KX74" s="30"/>
      <c r="KY74" s="30"/>
      <c r="KZ74" s="30"/>
      <c r="LA74" s="30"/>
      <c r="LB74" s="30"/>
      <c r="LC74" s="30"/>
      <c r="LD74" s="30"/>
      <c r="LE74" s="30"/>
      <c r="LF74" s="30"/>
      <c r="LG74" s="30"/>
      <c r="LH74" s="30"/>
      <c r="LI74" s="30"/>
      <c r="LJ74" s="30"/>
      <c r="LK74" s="30"/>
      <c r="LL74" s="30"/>
      <c r="LM74" s="30"/>
      <c r="LN74" s="30"/>
      <c r="LO74" s="30"/>
      <c r="LP74" s="30"/>
      <c r="LQ74" s="30"/>
      <c r="LR74" s="30"/>
      <c r="LS74" s="30"/>
      <c r="LT74" s="30"/>
      <c r="LU74" s="30"/>
      <c r="LV74" s="30"/>
      <c r="LW74" s="30"/>
      <c r="LX74" s="30"/>
      <c r="LY74" s="30"/>
      <c r="LZ74" s="30"/>
      <c r="MA74" s="30"/>
      <c r="MB74" s="30"/>
      <c r="MC74" s="30"/>
      <c r="MD74" s="30"/>
      <c r="ME74" s="30"/>
      <c r="MF74" s="30"/>
      <c r="MG74" s="30"/>
      <c r="MH74" s="30"/>
      <c r="MI74" s="30"/>
      <c r="MJ74" s="30"/>
      <c r="MK74" s="30"/>
      <c r="ML74" s="30"/>
      <c r="MM74" s="30"/>
      <c r="MN74" s="30"/>
      <c r="MO74" s="30"/>
      <c r="MP74" s="30"/>
      <c r="MQ74" s="30"/>
      <c r="MR74" s="30"/>
      <c r="MS74" s="30"/>
      <c r="MT74" s="30"/>
      <c r="MU74" s="30"/>
      <c r="MV74" s="30"/>
      <c r="MW74" s="30"/>
      <c r="MX74" s="30"/>
      <c r="MY74" s="30"/>
      <c r="MZ74" s="30"/>
      <c r="NA74" s="30"/>
      <c r="NB74" s="30"/>
      <c r="NC74" s="30"/>
      <c r="ND74" s="30"/>
      <c r="NE74" s="30"/>
      <c r="NF74" s="30"/>
      <c r="NG74" s="30"/>
      <c r="NH74" s="30"/>
      <c r="NI74" s="30"/>
      <c r="NJ74" s="30"/>
      <c r="NK74" s="30"/>
      <c r="NL74" s="30"/>
      <c r="NM74" s="30"/>
      <c r="NN74" s="30"/>
      <c r="NO74" s="30"/>
      <c r="NP74" s="30"/>
      <c r="NQ74" s="30"/>
      <c r="NR74" s="30"/>
      <c r="NS74" s="30"/>
      <c r="NT74" s="30"/>
      <c r="NU74" s="30"/>
      <c r="NV74" s="30"/>
      <c r="NW74" s="30"/>
      <c r="NX74" s="30"/>
      <c r="NY74" s="30"/>
      <c r="NZ74" s="30"/>
      <c r="OA74" s="30"/>
      <c r="OB74" s="30"/>
      <c r="OC74" s="30"/>
      <c r="OD74" s="30"/>
      <c r="OE74" s="30"/>
      <c r="OF74" s="30"/>
      <c r="OG74" s="30"/>
      <c r="OH74" s="30"/>
      <c r="OI74" s="30"/>
      <c r="OJ74" s="30"/>
      <c r="OK74" s="30"/>
      <c r="OL74" s="30"/>
      <c r="OM74" s="30"/>
      <c r="ON74" s="30"/>
      <c r="OO74" s="30"/>
      <c r="OP74" s="30"/>
    </row>
    <row r="75" customFormat="false" ht="14.4" hidden="false" customHeight="false" outlineLevel="0" collapsed="false">
      <c r="A75" s="99"/>
      <c r="B75" s="31"/>
      <c r="C75" s="85" t="s">
        <v>135</v>
      </c>
      <c r="D75" s="217" t="n">
        <f aca="false">SUM(H75:K75)</f>
        <v>0.197302427944053</v>
      </c>
      <c r="E75" s="89" t="n">
        <f aca="false">SUM(G75:K75,N75:O75)</f>
        <v>0.199349352582401</v>
      </c>
      <c r="F75" s="88" t="n">
        <f aca="false">SUM(Q75:S75)/(1-'Common input data'!B$127)</f>
        <v>0.203803540092177</v>
      </c>
      <c r="G75" s="87" t="n">
        <f aca="false">'Input data dairy products'!$D$14*G10*'Common input data'!D$40</f>
        <v>0.00203809278870056</v>
      </c>
      <c r="H75" s="87" t="n">
        <f aca="false">'Input data dairy products'!$D$14*H10*'Common input data'!D$40</f>
        <v>0</v>
      </c>
      <c r="I75" s="87" t="n">
        <f aca="false">'Input data dairy products'!$D$14*I10*'Common input data'!D$40</f>
        <v>0.0128923049660028</v>
      </c>
      <c r="J75" s="87" t="n">
        <f aca="false">'Input data dairy products'!$D$14*J10*'Common input data'!D$40</f>
        <v>0</v>
      </c>
      <c r="K75" s="87" t="n">
        <f aca="false">'Input data dairy products'!$D$14*K10*'Common input data'!D$40</f>
        <v>0.18441012297805</v>
      </c>
      <c r="L75" s="87" t="n">
        <f aca="false">'Input data dairy products'!$D$14*L10*'Common input data'!D$40</f>
        <v>0</v>
      </c>
      <c r="M75" s="87" t="n">
        <f aca="false">'Input data dairy products'!$D$14*M10*'Common input data'!D$40</f>
        <v>0</v>
      </c>
      <c r="N75" s="87" t="n">
        <f aca="false">'Input data dairy products'!$D$14*N10*'Common input data'!D$40</f>
        <v>0</v>
      </c>
      <c r="O75" s="87" t="n">
        <f aca="false">'Input data dairy products'!$D$14*O10*'Common input data'!D$40</f>
        <v>8.8318496474835E-006</v>
      </c>
      <c r="P75" s="87" t="n">
        <v>0</v>
      </c>
      <c r="Q75" s="87" t="n">
        <f aca="false">SUM(G75:P75)</f>
        <v>0.199349352582401</v>
      </c>
      <c r="R75" s="89" t="n">
        <v>0</v>
      </c>
      <c r="S75" s="89" t="n">
        <v>0</v>
      </c>
      <c r="T75" s="74"/>
    </row>
    <row r="76" customFormat="false" ht="14.4" hidden="false" customHeight="false" outlineLevel="0" collapsed="false">
      <c r="A76" s="99"/>
      <c r="B76" s="87"/>
      <c r="C76" s="31" t="s">
        <v>136</v>
      </c>
      <c r="D76" s="217" t="n">
        <f aca="false">SUM(H76:K76)</f>
        <v>0.00757547870173848</v>
      </c>
      <c r="E76" s="89" t="n">
        <f aca="false">SUM(G76:K76,N76:O76)</f>
        <v>0.00950218759605371</v>
      </c>
      <c r="F76" s="88" t="n">
        <f aca="false">SUM(Q76:S76)/(1-'Common input data'!B$127)</f>
        <v>0.00971450092818957</v>
      </c>
      <c r="G76" s="87" t="n">
        <f aca="false">'Input data dairy products'!$D$14*G11*'Common input data'!D$40</f>
        <v>0.00192588556966477</v>
      </c>
      <c r="H76" s="87" t="n">
        <f aca="false">'Input data dairy products'!$D$14*H11*'Common input data'!D$40</f>
        <v>0.00486786246320647</v>
      </c>
      <c r="I76" s="87" t="n">
        <f aca="false">'Input data dairy products'!$D$14*I11*'Common input data'!D$40</f>
        <v>0.00249596262733881</v>
      </c>
      <c r="J76" s="87" t="n">
        <f aca="false">'Input data dairy products'!$D$14*J11*'Common input data'!D$40</f>
        <v>0.000211653611193196</v>
      </c>
      <c r="K76" s="87" t="n">
        <f aca="false">'Input data dairy products'!$D$14*K11*'Common input data'!D$40</f>
        <v>0</v>
      </c>
      <c r="L76" s="87" t="n">
        <f aca="false">'Input data dairy products'!$D$14*L11*'Common input data'!D$40</f>
        <v>0</v>
      </c>
      <c r="M76" s="87" t="n">
        <f aca="false">'Input data dairy products'!$D$14*M11*'Common input data'!D$40</f>
        <v>0</v>
      </c>
      <c r="N76" s="87" t="n">
        <f aca="false">'Input data dairy products'!$D$14*N11*'Common input data'!D$40</f>
        <v>0</v>
      </c>
      <c r="O76" s="87" t="n">
        <f aca="false">'Input data dairy products'!$D$14*O11*'Common input data'!D$40</f>
        <v>8.23324650470961E-007</v>
      </c>
      <c r="P76" s="87" t="n">
        <v>0</v>
      </c>
      <c r="Q76" s="87" t="n">
        <f aca="false">SUM(G76:P76)</f>
        <v>0.00950218759605371</v>
      </c>
      <c r="R76" s="102" t="n">
        <v>0</v>
      </c>
      <c r="S76" s="89" t="n">
        <v>0</v>
      </c>
      <c r="T76" s="74"/>
    </row>
    <row r="77" s="83" customFormat="true" ht="14.4" hidden="false" customHeight="false" outlineLevel="0" collapsed="false">
      <c r="A77" s="75" t="s">
        <v>187</v>
      </c>
      <c r="B77" s="188" t="n">
        <f aca="false">'Input data dairy products'!C15</f>
        <v>0.11</v>
      </c>
      <c r="C77" s="78" t="s">
        <v>133</v>
      </c>
      <c r="D77" s="94" t="n">
        <f aca="false">IF($E$1="GWP100 without fb",D78+D79*'Common input data'!$C$5+D80*'Common input data'!$D$5,IF($E$1="GWP100 with fb",D78+D79*'Common input data'!$C$6+D80*'Common input data'!$D$6,IF($E$1="GTP100 without fb",D78+D79*'Common input data'!$C$7+D80*'Common input data'!$D$7,IF($E$1="GTP100 with fb",D78+D79*'Common input data'!$C$8+D80*'Common input data'!$D$8,D78+D79*'Common input data'!$C$9+D80*'Common input data'!$D$9))))</f>
        <v>8.73235493954392</v>
      </c>
      <c r="E77" s="95" t="n">
        <f aca="false">IF($E$1="GWP100 without fb",E78+E79*'Common input data'!$C$5+E80*'Common input data'!$D$5,IF($E$1="GWP100 with fb",E78+E79*'Common input data'!$C$6+E80*'Common input data'!$D$6,IF($E$1="GTP100 without fb",E78+E79*'Common input data'!$C$7+E80*'Common input data'!$D$7,IF($E$1="GTP100 with fb",E78+E79*'Common input data'!$C$8+E80*'Common input data'!$D$8,E78+E79*'Common input data'!$C$9+E80*'Common input data'!$D$9))))</f>
        <v>12.122826229916</v>
      </c>
      <c r="F77" s="96" t="n">
        <f aca="false">IF($E$1="GWP100 without fb",F78+F79*'Common input data'!$C$5+F80*'Common input data'!$D$5,IF($E$1="GWP100 with fb",F78+F79*'Common input data'!$C$6+F80*'Common input data'!$D$6,IF($E$1="GTP100 without fb",F78+F79*'Common input data'!$C$7+F80*'Common input data'!$D$7,IF($E$1="GTP100 with fb",F78+F79*'Common input data'!$C$8+F80*'Common input data'!$D$8,F78+F79*'Common input data'!$C$9+F80*'Common input data'!$D$9))))</f>
        <v>13.250418092452</v>
      </c>
      <c r="G77" s="97"/>
      <c r="N77" s="191"/>
      <c r="O77" s="191"/>
      <c r="P77" s="97"/>
      <c r="Q77" s="97"/>
      <c r="R77" s="98"/>
      <c r="S77" s="98"/>
      <c r="T77" s="74"/>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c r="FQ77" s="30"/>
      <c r="FR77" s="30"/>
      <c r="FS77" s="30"/>
      <c r="FT77" s="30"/>
      <c r="FU77" s="30"/>
      <c r="FV77" s="30"/>
      <c r="FW77" s="30"/>
      <c r="FX77" s="30"/>
      <c r="FY77" s="30"/>
      <c r="FZ77" s="30"/>
      <c r="GA77" s="30"/>
      <c r="GB77" s="30"/>
      <c r="GC77" s="30"/>
      <c r="GD77" s="30"/>
      <c r="GE77" s="30"/>
      <c r="GF77" s="30"/>
      <c r="GG77" s="30"/>
      <c r="GH77" s="30"/>
      <c r="GI77" s="30"/>
      <c r="GJ77" s="30"/>
      <c r="GK77" s="30"/>
      <c r="GL77" s="30"/>
      <c r="GM77" s="30"/>
      <c r="GN77" s="30"/>
      <c r="GO77" s="30"/>
      <c r="GP77" s="30"/>
      <c r="GQ77" s="30"/>
      <c r="GR77" s="30"/>
      <c r="GS77" s="30"/>
      <c r="GT77" s="30"/>
      <c r="GU77" s="30"/>
      <c r="GV77" s="30"/>
      <c r="GW77" s="30"/>
      <c r="GX77" s="30"/>
      <c r="GY77" s="30"/>
      <c r="GZ77" s="30"/>
      <c r="HA77" s="30"/>
      <c r="HB77" s="30"/>
      <c r="HC77" s="30"/>
      <c r="HD77" s="30"/>
      <c r="HE77" s="30"/>
      <c r="HF77" s="30"/>
      <c r="HG77" s="30"/>
      <c r="HH77" s="30"/>
      <c r="HI77" s="30"/>
      <c r="HJ77" s="30"/>
      <c r="HK77" s="30"/>
      <c r="HL77" s="30"/>
      <c r="HM77" s="30"/>
      <c r="HN77" s="30"/>
      <c r="HO77" s="30"/>
      <c r="HP77" s="30"/>
      <c r="HQ77" s="30"/>
      <c r="HR77" s="30"/>
      <c r="HS77" s="30"/>
      <c r="HT77" s="30"/>
      <c r="HU77" s="30"/>
      <c r="HV77" s="30"/>
      <c r="HW77" s="30"/>
      <c r="HX77" s="30"/>
      <c r="HY77" s="30"/>
      <c r="HZ77" s="30"/>
      <c r="IA77" s="30"/>
      <c r="IB77" s="30"/>
      <c r="IC77" s="30"/>
      <c r="ID77" s="30"/>
      <c r="IE77" s="30"/>
      <c r="IF77" s="30"/>
      <c r="IG77" s="30"/>
      <c r="IH77" s="30"/>
      <c r="II77" s="30"/>
      <c r="IJ77" s="30"/>
      <c r="IK77" s="30"/>
      <c r="IL77" s="30"/>
      <c r="IM77" s="30"/>
      <c r="IN77" s="30"/>
      <c r="IO77" s="30"/>
      <c r="IP77" s="30"/>
      <c r="IQ77" s="30"/>
      <c r="IR77" s="30"/>
      <c r="IS77" s="30"/>
      <c r="IT77" s="30"/>
      <c r="IU77" s="30"/>
      <c r="IV77" s="30"/>
      <c r="IW77" s="30"/>
      <c r="IX77" s="30"/>
      <c r="IY77" s="30"/>
      <c r="IZ77" s="30"/>
      <c r="JA77" s="30"/>
      <c r="JB77" s="30"/>
      <c r="JC77" s="30"/>
      <c r="JD77" s="30"/>
      <c r="JE77" s="30"/>
      <c r="JF77" s="30"/>
      <c r="JG77" s="30"/>
      <c r="JH77" s="30"/>
      <c r="JI77" s="30"/>
      <c r="JJ77" s="30"/>
      <c r="JK77" s="30"/>
      <c r="JL77" s="30"/>
      <c r="JM77" s="30"/>
      <c r="JN77" s="30"/>
      <c r="JO77" s="30"/>
      <c r="JP77" s="30"/>
      <c r="JQ77" s="30"/>
      <c r="JR77" s="30"/>
      <c r="JS77" s="30"/>
      <c r="JT77" s="30"/>
      <c r="JU77" s="30"/>
      <c r="JV77" s="30"/>
      <c r="JW77" s="30"/>
      <c r="JX77" s="30"/>
      <c r="JY77" s="30"/>
      <c r="JZ77" s="30"/>
      <c r="KA77" s="30"/>
      <c r="KB77" s="30"/>
      <c r="KC77" s="30"/>
      <c r="KD77" s="30"/>
      <c r="KE77" s="30"/>
      <c r="KF77" s="30"/>
      <c r="KG77" s="30"/>
      <c r="KH77" s="30"/>
    </row>
    <row r="78" s="83" customFormat="true" ht="14.4" hidden="false" customHeight="false" outlineLevel="0" collapsed="false">
      <c r="A78" s="74"/>
      <c r="B78" s="30"/>
      <c r="C78" s="85" t="s">
        <v>134</v>
      </c>
      <c r="D78" s="217" t="n">
        <f aca="false">IF(AND($E$2="No",$E$3="No"),SUM(H78:K78),IF(AND($E$2="Yes", $E$3="No"), SUM(H78:K78)+M78, IF(AND($E$2="No", $E$3="Yes"),SUM(H78:K78)+L78, SUM(H78:K78)+M78+L78)))</f>
        <v>-0.233420263671935</v>
      </c>
      <c r="E78" s="89" t="n">
        <f aca="false">IF(AND($E$2="No",$E$3="No"),SUM(G78:K78,N78:O78),IF(AND($E$2="Yes",$E$3="No"), SUM(G78:K78,N78:O78)+M78, IF(AND($E$2="No", $E$3="Yes"),SUM(G78:K78,N78:O78)+L78, SUM(G78:K78,N78:O78)+M78+L78)))</f>
        <v>2.51218257086665</v>
      </c>
      <c r="F78" s="88" t="n">
        <f aca="false">SUM(Q78:S78)/(1-'Common input data'!B$127)</f>
        <v>3.42503779948575</v>
      </c>
      <c r="G78" s="87" t="n">
        <f aca="false">'Input data dairy products'!$D$15*G13*'Common input data'!D$40</f>
        <v>1.90366143867462</v>
      </c>
      <c r="H78" s="87" t="n">
        <f aca="false">'Input data dairy products'!$D$15*H13*'Common input data'!D$40</f>
        <v>0</v>
      </c>
      <c r="I78" s="87" t="n">
        <f aca="false">'Input data dairy products'!$D$15*I13*'Common input data'!D$40</f>
        <v>0</v>
      </c>
      <c r="J78" s="87" t="n">
        <f aca="false">'Input data dairy products'!$D$15*J13*'Common input data'!D$40</f>
        <v>0</v>
      </c>
      <c r="K78" s="87" t="n">
        <f aca="false">'Input data dairy products'!$D$15*K13*'Common input data'!D$40</f>
        <v>0</v>
      </c>
      <c r="L78" s="87" t="n">
        <f aca="false">'Input data dairy products'!$D$15*L13*'Common input data'!D$40</f>
        <v>-0.413390946850098</v>
      </c>
      <c r="M78" s="87" t="n">
        <f aca="false">'Input data dairy products'!$D$15*M13*'Common input data'!D$40</f>
        <v>0.179970683178163</v>
      </c>
      <c r="N78" s="87" t="n">
        <f aca="false">'Input data dairy products'!$D$15*N13*'Common input data'!D$40</f>
        <v>0.742847062891134</v>
      </c>
      <c r="O78" s="87" t="n">
        <f aca="false">'Input data dairy products'!$D$15*O13*'Common input data'!D$40</f>
        <v>0.0990943329728303</v>
      </c>
      <c r="P78" s="87" t="n">
        <f aca="false">'Input data dairy products'!F$30*'Common input data'!D$40</f>
        <v>0.658</v>
      </c>
      <c r="Q78" s="218" t="n">
        <f aca="false">IF(AND($E$2="No",$E$3="No"),SUM(G78:K78,N78:P78),IF(AND($E$2="Yes",$E$3="No"), SUM(G78:K78,N78:P78)+M78, IF(AND($E$2="No", $E$3="Yes"),SUM(G78:K78,N78:P78)+L78, SUM(G78:K78,N78:P78)+M78+L78)))</f>
        <v>3.17018257086665</v>
      </c>
      <c r="R78" s="89" t="n">
        <f aca="false">'Common input data'!B$91</f>
        <v>0.05</v>
      </c>
      <c r="S78" s="89" t="n">
        <f aca="false">'Common input data'!B$99+'Common input data'!C$99</f>
        <v>0.13</v>
      </c>
      <c r="T78" s="74"/>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c r="FQ78" s="30"/>
      <c r="FR78" s="30"/>
      <c r="FS78" s="30"/>
      <c r="FT78" s="30"/>
      <c r="FU78" s="30"/>
      <c r="FV78" s="30"/>
      <c r="FW78" s="30"/>
      <c r="FX78" s="30"/>
      <c r="FY78" s="30"/>
      <c r="FZ78" s="30"/>
      <c r="GA78" s="30"/>
      <c r="GB78" s="30"/>
      <c r="GC78" s="30"/>
      <c r="GD78" s="30"/>
      <c r="GE78" s="30"/>
      <c r="GF78" s="30"/>
      <c r="GG78" s="30"/>
      <c r="GH78" s="30"/>
      <c r="GI78" s="30"/>
      <c r="GJ78" s="30"/>
      <c r="GK78" s="30"/>
      <c r="GL78" s="30"/>
      <c r="GM78" s="30"/>
      <c r="GN78" s="30"/>
      <c r="GO78" s="30"/>
      <c r="GP78" s="30"/>
      <c r="GQ78" s="30"/>
      <c r="GR78" s="30"/>
      <c r="GS78" s="30"/>
      <c r="GT78" s="30"/>
      <c r="GU78" s="30"/>
      <c r="GV78" s="30"/>
      <c r="GW78" s="30"/>
      <c r="GX78" s="30"/>
      <c r="GY78" s="30"/>
      <c r="GZ78" s="30"/>
      <c r="HA78" s="30"/>
      <c r="HB78" s="30"/>
      <c r="HC78" s="30"/>
      <c r="HD78" s="30"/>
      <c r="HE78" s="30"/>
      <c r="HF78" s="30"/>
      <c r="HG78" s="30"/>
      <c r="HH78" s="30"/>
      <c r="HI78" s="30"/>
      <c r="HJ78" s="30"/>
      <c r="HK78" s="30"/>
      <c r="HL78" s="30"/>
      <c r="HM78" s="30"/>
      <c r="HN78" s="30"/>
      <c r="HO78" s="30"/>
      <c r="HP78" s="30"/>
      <c r="HQ78" s="30"/>
      <c r="HR78" s="30"/>
      <c r="HS78" s="30"/>
      <c r="HT78" s="30"/>
      <c r="HU78" s="30"/>
      <c r="HV78" s="30"/>
      <c r="HW78" s="30"/>
      <c r="HX78" s="30"/>
      <c r="HY78" s="30"/>
      <c r="HZ78" s="30"/>
      <c r="IA78" s="30"/>
      <c r="IB78" s="30"/>
      <c r="IC78" s="30"/>
      <c r="ID78" s="30"/>
      <c r="IE78" s="30"/>
      <c r="IF78" s="30"/>
      <c r="IG78" s="30"/>
      <c r="IH78" s="30"/>
      <c r="II78" s="30"/>
      <c r="IJ78" s="30"/>
      <c r="IK78" s="30"/>
      <c r="IL78" s="30"/>
      <c r="IM78" s="30"/>
      <c r="IN78" s="30"/>
      <c r="IO78" s="30"/>
      <c r="IP78" s="30"/>
      <c r="IQ78" s="30"/>
      <c r="IR78" s="30"/>
      <c r="IS78" s="30"/>
      <c r="IT78" s="30"/>
      <c r="IU78" s="30"/>
      <c r="IV78" s="30"/>
      <c r="IW78" s="30"/>
      <c r="IX78" s="30"/>
      <c r="IY78" s="30"/>
      <c r="IZ78" s="30"/>
      <c r="JA78" s="30"/>
      <c r="JB78" s="30"/>
      <c r="JC78" s="30"/>
      <c r="JD78" s="30"/>
      <c r="JE78" s="30"/>
      <c r="JF78" s="30"/>
      <c r="JG78" s="30"/>
      <c r="JH78" s="30"/>
      <c r="JI78" s="30"/>
      <c r="JJ78" s="30"/>
      <c r="JK78" s="30"/>
      <c r="JL78" s="30"/>
      <c r="JM78" s="30"/>
      <c r="JN78" s="30"/>
      <c r="JO78" s="30"/>
      <c r="JP78" s="30"/>
      <c r="JQ78" s="30"/>
      <c r="JR78" s="30"/>
      <c r="JS78" s="30"/>
      <c r="JT78" s="30"/>
      <c r="JU78" s="30"/>
      <c r="JV78" s="30"/>
      <c r="JW78" s="30"/>
      <c r="JX78" s="30"/>
      <c r="JY78" s="30"/>
      <c r="JZ78" s="30"/>
      <c r="KA78" s="30"/>
      <c r="KB78" s="30"/>
      <c r="KC78" s="30"/>
      <c r="KD78" s="30"/>
      <c r="KE78" s="30"/>
      <c r="KF78" s="30"/>
      <c r="KG78" s="30"/>
      <c r="KH78" s="30"/>
      <c r="KI78" s="30"/>
      <c r="KJ78" s="30"/>
      <c r="KK78" s="30"/>
      <c r="KL78" s="30"/>
      <c r="KM78" s="30"/>
      <c r="KN78" s="30"/>
      <c r="KO78" s="30"/>
      <c r="KP78" s="30"/>
      <c r="KQ78" s="30"/>
      <c r="KR78" s="30"/>
      <c r="KS78" s="30"/>
      <c r="KT78" s="30"/>
      <c r="KU78" s="30"/>
      <c r="KV78" s="30"/>
      <c r="KW78" s="30"/>
      <c r="KX78" s="30"/>
      <c r="KY78" s="30"/>
      <c r="KZ78" s="30"/>
      <c r="LA78" s="30"/>
      <c r="LB78" s="30"/>
      <c r="LC78" s="30"/>
      <c r="LD78" s="30"/>
      <c r="LE78" s="30"/>
      <c r="LF78" s="30"/>
      <c r="LG78" s="30"/>
      <c r="LH78" s="30"/>
      <c r="LI78" s="30"/>
      <c r="LJ78" s="30"/>
      <c r="LK78" s="30"/>
      <c r="LL78" s="30"/>
      <c r="LM78" s="30"/>
      <c r="LN78" s="30"/>
      <c r="LO78" s="30"/>
      <c r="LP78" s="30"/>
      <c r="LQ78" s="30"/>
      <c r="LR78" s="30"/>
      <c r="LS78" s="30"/>
      <c r="LT78" s="30"/>
      <c r="LU78" s="30"/>
      <c r="LV78" s="30"/>
      <c r="LW78" s="30"/>
      <c r="LX78" s="30"/>
      <c r="LY78" s="30"/>
      <c r="LZ78" s="30"/>
      <c r="MA78" s="30"/>
      <c r="MB78" s="30"/>
      <c r="MC78" s="30"/>
      <c r="MD78" s="30"/>
      <c r="ME78" s="30"/>
      <c r="MF78" s="30"/>
      <c r="MG78" s="30"/>
      <c r="MH78" s="30"/>
      <c r="MI78" s="30"/>
      <c r="MJ78" s="30"/>
      <c r="MK78" s="30"/>
      <c r="ML78" s="30"/>
      <c r="MM78" s="30"/>
      <c r="MN78" s="30"/>
      <c r="MO78" s="30"/>
      <c r="MP78" s="30"/>
      <c r="MQ78" s="30"/>
      <c r="MR78" s="30"/>
      <c r="MS78" s="30"/>
      <c r="MT78" s="30"/>
      <c r="MU78" s="30"/>
      <c r="MV78" s="30"/>
      <c r="MW78" s="30"/>
      <c r="MX78" s="30"/>
      <c r="MY78" s="30"/>
      <c r="MZ78" s="30"/>
      <c r="NA78" s="30"/>
      <c r="NB78" s="30"/>
      <c r="NC78" s="30"/>
      <c r="ND78" s="30"/>
      <c r="NE78" s="30"/>
      <c r="NF78" s="30"/>
      <c r="NG78" s="30"/>
      <c r="NH78" s="30"/>
      <c r="NI78" s="30"/>
      <c r="NJ78" s="30"/>
      <c r="NK78" s="30"/>
      <c r="NL78" s="30"/>
      <c r="NM78" s="30"/>
      <c r="NN78" s="30"/>
      <c r="NO78" s="30"/>
      <c r="NP78" s="30"/>
      <c r="NQ78" s="30"/>
      <c r="NR78" s="30"/>
      <c r="NS78" s="30"/>
      <c r="NT78" s="30"/>
      <c r="NU78" s="30"/>
      <c r="NV78" s="30"/>
      <c r="NW78" s="30"/>
      <c r="NX78" s="30"/>
      <c r="NY78" s="30"/>
      <c r="NZ78" s="30"/>
      <c r="OA78" s="30"/>
      <c r="OB78" s="30"/>
      <c r="OC78" s="30"/>
      <c r="OD78" s="30"/>
      <c r="OE78" s="30"/>
      <c r="OF78" s="30"/>
      <c r="OG78" s="30"/>
      <c r="OH78" s="30"/>
      <c r="OI78" s="30"/>
      <c r="OJ78" s="30"/>
      <c r="OK78" s="30"/>
      <c r="OL78" s="30"/>
      <c r="OM78" s="30"/>
      <c r="ON78" s="30"/>
      <c r="OO78" s="30"/>
      <c r="OP78" s="30"/>
    </row>
    <row r="79" customFormat="false" ht="14.4" hidden="false" customHeight="false" outlineLevel="0" collapsed="false">
      <c r="A79" s="99"/>
      <c r="B79" s="93"/>
      <c r="C79" s="85" t="s">
        <v>135</v>
      </c>
      <c r="D79" s="217" t="n">
        <f aca="false">SUM(H79:K79)</f>
        <v>0.197302427944053</v>
      </c>
      <c r="E79" s="89" t="n">
        <f aca="false">SUM(G79:K79,N79:O79)</f>
        <v>0.199367380481681</v>
      </c>
      <c r="F79" s="88" t="n">
        <f aca="false">SUM(Q79:S79)/(1-'Common input data'!B$127)</f>
        <v>0.203821970800109</v>
      </c>
      <c r="G79" s="87" t="n">
        <f aca="false">'Input data dairy products'!$D$15*G14*'Common input data'!D$40</f>
        <v>0.00203809278870056</v>
      </c>
      <c r="H79" s="87" t="n">
        <f aca="false">'Input data dairy products'!$D$15*H14*'Common input data'!D$40</f>
        <v>0</v>
      </c>
      <c r="I79" s="87" t="n">
        <f aca="false">'Input data dairy products'!$D$15*I14*'Common input data'!D$40</f>
        <v>0.0128923049660028</v>
      </c>
      <c r="J79" s="87" t="n">
        <f aca="false">'Input data dairy products'!$D$15*J14*'Common input data'!D$40</f>
        <v>0</v>
      </c>
      <c r="K79" s="87" t="n">
        <f aca="false">'Input data dairy products'!$D$15*K14*'Common input data'!D$40</f>
        <v>0.18441012297805</v>
      </c>
      <c r="L79" s="87" t="n">
        <f aca="false">'Input data dairy products'!$D$15*L14*'Common input data'!D$40</f>
        <v>0</v>
      </c>
      <c r="M79" s="87" t="n">
        <f aca="false">'Input data dairy products'!$D$15*M14*'Common input data'!D$40</f>
        <v>0</v>
      </c>
      <c r="N79" s="87" t="n">
        <f aca="false">'Input data dairy products'!$D$15*N14*'Common input data'!D$40</f>
        <v>0</v>
      </c>
      <c r="O79" s="87" t="n">
        <f aca="false">'Input data dairy products'!$D$15*O14*'Common input data'!D$40</f>
        <v>2.68597489279137E-005</v>
      </c>
      <c r="P79" s="87" t="n">
        <v>0</v>
      </c>
      <c r="Q79" s="87" t="n">
        <f aca="false">SUM(G79:P79)</f>
        <v>0.199367380481681</v>
      </c>
      <c r="R79" s="89" t="n">
        <v>0</v>
      </c>
      <c r="S79" s="89" t="n">
        <v>0</v>
      </c>
      <c r="T79" s="74"/>
    </row>
    <row r="80" customFormat="false" ht="14.4" hidden="false" customHeight="false" outlineLevel="0" collapsed="false">
      <c r="A80" s="100"/>
      <c r="B80" s="87"/>
      <c r="C80" s="31" t="s">
        <v>136</v>
      </c>
      <c r="D80" s="217" t="n">
        <f aca="false">SUM(H80:K80)</f>
        <v>0.00757547870173848</v>
      </c>
      <c r="E80" s="89" t="n">
        <f aca="false">SUM(G80:K80,N80:O80)</f>
        <v>0.00950386819688663</v>
      </c>
      <c r="F80" s="88" t="n">
        <f aca="false">SUM(Q80:S80)/(1-'Common input data'!B$127)</f>
        <v>0.00971621907974008</v>
      </c>
      <c r="G80" s="87" t="n">
        <f aca="false">'Input data dairy products'!$D$15*G15*'Common input data'!D$40</f>
        <v>0.00192588556966477</v>
      </c>
      <c r="H80" s="87" t="n">
        <f aca="false">'Input data dairy products'!$D$15*H15*'Common input data'!D$40</f>
        <v>0.00486786246320647</v>
      </c>
      <c r="I80" s="87" t="n">
        <f aca="false">'Input data dairy products'!$D$15*I15*'Common input data'!D$40</f>
        <v>0.00249596262733881</v>
      </c>
      <c r="J80" s="87" t="n">
        <f aca="false">'Input data dairy products'!$D$15*J15*'Common input data'!D$40</f>
        <v>0.000211653611193196</v>
      </c>
      <c r="K80" s="87" t="n">
        <f aca="false">'Input data dairy products'!$D$15*K15*'Common input data'!D$40</f>
        <v>0</v>
      </c>
      <c r="L80" s="87" t="n">
        <f aca="false">'Input data dairy products'!$D$15*L15*'Common input data'!D$40</f>
        <v>0</v>
      </c>
      <c r="M80" s="87" t="n">
        <f aca="false">'Input data dairy products'!$D$15*M15*'Common input data'!D$40</f>
        <v>0</v>
      </c>
      <c r="N80" s="87" t="n">
        <f aca="false">'Input data dairy products'!$D$15*N15*'Common input data'!D$40</f>
        <v>0</v>
      </c>
      <c r="O80" s="87" t="n">
        <f aca="false">'Input data dairy products'!$D$15*O15*'Common input data'!D$40</f>
        <v>2.50392548339107E-006</v>
      </c>
      <c r="P80" s="87" t="n">
        <v>0</v>
      </c>
      <c r="Q80" s="87" t="n">
        <f aca="false">SUM(G80:P80)</f>
        <v>0.00950386819688663</v>
      </c>
      <c r="R80" s="89" t="n">
        <v>0</v>
      </c>
      <c r="S80" s="89" t="n">
        <v>0</v>
      </c>
      <c r="T80" s="74"/>
    </row>
    <row r="81" s="83" customFormat="true" ht="14.4" hidden="false" customHeight="false" outlineLevel="0" collapsed="false">
      <c r="A81" s="75" t="s">
        <v>141</v>
      </c>
      <c r="B81" s="188" t="n">
        <f aca="false">'Input data dairy products'!C16</f>
        <v>0.218</v>
      </c>
      <c r="C81" s="78" t="s">
        <v>133</v>
      </c>
      <c r="D81" s="94" t="n">
        <f aca="false">IF($E$1="GWP100 without fb",D82+D83*'Common input data'!$C$5+D84*'Common input data'!$D$5,IF($E$1="GWP100 with fb",D82+D83*'Common input data'!$C$6+D84*'Common input data'!$D$6,IF($E$1="GTP100 without fb",D82+D83*'Common input data'!$C$7+D84*'Common input data'!$D$7,IF($E$1="GTP100 with fb",D82+D83*'Common input data'!$C$8+D84*'Common input data'!$D$8,D82+D83*'Common input data'!$C$9+D84*'Common input data'!$D$9))))</f>
        <v>8.73235493954392</v>
      </c>
      <c r="E81" s="95" t="n">
        <f aca="false">IF($E$1="GWP100 without fb",E82+E83*'Common input data'!$C$5+E84*'Common input data'!$D$5,IF($E$1="GWP100 with fb",E82+E83*'Common input data'!$C$6+E84*'Common input data'!$D$6,IF($E$1="GTP100 without fb",E82+E83*'Common input data'!$C$7+E84*'Common input data'!$D$7,IF($E$1="GTP100 with fb",E82+E83*'Common input data'!$C$8+E84*'Common input data'!$D$8,E82+E83*'Common input data'!$C$9+E84*'Common input data'!$D$9))))</f>
        <v>12.122826229916</v>
      </c>
      <c r="F81" s="96" t="n">
        <f aca="false">IF($E$1="GWP100 without fb",F82+F83*'Common input data'!$C$5+F84*'Common input data'!$D$5,IF($E$1="GWP100 with fb",F82+F83*'Common input data'!$C$6+F84*'Common input data'!$D$6,IF($E$1="GTP100 without fb",F82+F83*'Common input data'!$C$7+F84*'Common input data'!$D$7,IF($E$1="GTP100 with fb",F82+F83*'Common input data'!$C$8+F84*'Common input data'!$D$8,F82+F83*'Common input data'!$C$9+F84*'Common input data'!$D$9))))</f>
        <v>13.3526524551184</v>
      </c>
      <c r="G81" s="97"/>
      <c r="N81" s="191"/>
      <c r="O81" s="191"/>
      <c r="P81" s="97"/>
      <c r="Q81" s="97"/>
      <c r="R81" s="98"/>
      <c r="S81" s="98"/>
      <c r="T81" s="74"/>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row>
    <row r="82" s="83" customFormat="true" ht="14.4" hidden="false" customHeight="false" outlineLevel="0" collapsed="false">
      <c r="A82" s="74"/>
      <c r="B82" s="30"/>
      <c r="C82" s="85" t="s">
        <v>134</v>
      </c>
      <c r="D82" s="217" t="n">
        <f aca="false">IF(AND($E$2="No",$E$3="No"),SUM(H82:K82),IF(AND($E$2="Yes", $E$3="No"), SUM(H82:K82)+M82, IF(AND($E$2="No", $E$3="Yes"),SUM(H82:K82)+L82, SUM(H82:K82)+M82+L82)))</f>
        <v>-0.233420263671935</v>
      </c>
      <c r="E82" s="89" t="n">
        <f aca="false">IF(AND($E$2="No",$E$3="No"),SUM(G82:K82,N82:O82),IF(AND($E$2="Yes",$E$3="No"), SUM(G82:K82,N82:O82)+M82, IF(AND($E$2="No", $E$3="Yes"),SUM(G82:K82,N82:O82)+L82, SUM(G82:K82,N82:O82)+M82+L82)))</f>
        <v>2.51218257086665</v>
      </c>
      <c r="F82" s="88" t="n">
        <f aca="false">SUM(Q82:S82)/(1-'Common input data'!B$127)</f>
        <v>3.52727216215213</v>
      </c>
      <c r="G82" s="87" t="n">
        <f aca="false">'Input data dairy products'!$D$16*G13*'Common input data'!D$40</f>
        <v>1.90366143867462</v>
      </c>
      <c r="H82" s="87" t="n">
        <f aca="false">'Input data dairy products'!$D$16*H13*'Common input data'!D$40</f>
        <v>0</v>
      </c>
      <c r="I82" s="87" t="n">
        <f aca="false">'Input data dairy products'!$D$16*I13*'Common input data'!D$40</f>
        <v>0</v>
      </c>
      <c r="J82" s="87" t="n">
        <f aca="false">'Input data dairy products'!$D$16*J13*'Common input data'!D$40</f>
        <v>0</v>
      </c>
      <c r="K82" s="87" t="n">
        <f aca="false">'Input data dairy products'!$D$16*K13*'Common input data'!D$40</f>
        <v>0</v>
      </c>
      <c r="L82" s="87" t="n">
        <f aca="false">'Input data dairy products'!$D$16*L13*'Common input data'!D$40</f>
        <v>-0.413390946850098</v>
      </c>
      <c r="M82" s="87" t="n">
        <f aca="false">'Input data dairy products'!$D$16*M13*'Common input data'!D$40</f>
        <v>0.179970683178163</v>
      </c>
      <c r="N82" s="87" t="n">
        <f aca="false">'Input data dairy products'!$D$16*N13*'Common input data'!D$40</f>
        <v>0.742847062891134</v>
      </c>
      <c r="O82" s="87" t="n">
        <f aca="false">'Input data dairy products'!$D$16*O13*'Common input data'!D$40</f>
        <v>0.0990943329728303</v>
      </c>
      <c r="P82" s="87" t="n">
        <f aca="false">'Input data dairy products'!F$30*'Common input data'!D$40</f>
        <v>0.658</v>
      </c>
      <c r="Q82" s="218" t="n">
        <f aca="false">IF(AND($E$2="No",$E$3="No"),SUM(G82:K82,N82:P82),IF(AND($E$2="Yes",$E$3="No"), SUM(G82:K82,N82:P82)+M82, IF(AND($E$2="No", $E$3="Yes"),SUM(G82:K82,N82:P82)+L82, SUM(G82:K82,N82:P82)+M82+L82)))</f>
        <v>3.17018257086665</v>
      </c>
      <c r="R82" s="89" t="n">
        <f aca="false">'Common input data'!B$91</f>
        <v>0.05</v>
      </c>
      <c r="S82" s="89" t="n">
        <f aca="false">'Common input data'!B$102+'Common input data'!C$102</f>
        <v>0.23</v>
      </c>
      <c r="T82" s="74"/>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c r="FQ82" s="30"/>
      <c r="FR82" s="30"/>
      <c r="FS82" s="30"/>
      <c r="FT82" s="30"/>
      <c r="FU82" s="30"/>
      <c r="FV82" s="30"/>
      <c r="FW82" s="30"/>
      <c r="FX82" s="30"/>
      <c r="FY82" s="30"/>
      <c r="FZ82" s="30"/>
      <c r="GA82" s="30"/>
      <c r="GB82" s="30"/>
      <c r="GC82" s="30"/>
      <c r="GD82" s="30"/>
      <c r="GE82" s="30"/>
      <c r="GF82" s="30"/>
      <c r="GG82" s="30"/>
      <c r="GH82" s="30"/>
      <c r="GI82" s="30"/>
      <c r="GJ82" s="30"/>
      <c r="GK82" s="30"/>
      <c r="GL82" s="30"/>
      <c r="GM82" s="30"/>
      <c r="GN82" s="30"/>
      <c r="GO82" s="30"/>
      <c r="GP82" s="30"/>
      <c r="GQ82" s="30"/>
      <c r="GR82" s="30"/>
      <c r="GS82" s="30"/>
      <c r="GT82" s="30"/>
      <c r="GU82" s="30"/>
      <c r="GV82" s="30"/>
      <c r="GW82" s="30"/>
      <c r="GX82" s="30"/>
      <c r="GY82" s="30"/>
      <c r="GZ82" s="30"/>
      <c r="HA82" s="30"/>
      <c r="HB82" s="30"/>
      <c r="HC82" s="30"/>
      <c r="HD82" s="30"/>
      <c r="HE82" s="30"/>
      <c r="HF82" s="30"/>
      <c r="HG82" s="30"/>
      <c r="HH82" s="30"/>
      <c r="HI82" s="30"/>
      <c r="HJ82" s="30"/>
      <c r="HK82" s="30"/>
      <c r="HL82" s="30"/>
      <c r="HM82" s="30"/>
      <c r="HN82" s="30"/>
      <c r="HO82" s="30"/>
      <c r="HP82" s="30"/>
      <c r="HQ82" s="30"/>
      <c r="HR82" s="30"/>
      <c r="HS82" s="30"/>
      <c r="HT82" s="30"/>
      <c r="HU82" s="30"/>
      <c r="HV82" s="30"/>
      <c r="HW82" s="30"/>
      <c r="HX82" s="30"/>
      <c r="HY82" s="30"/>
      <c r="HZ82" s="30"/>
      <c r="IA82" s="30"/>
      <c r="IB82" s="30"/>
      <c r="IC82" s="30"/>
      <c r="ID82" s="30"/>
      <c r="IE82" s="30"/>
      <c r="IF82" s="30"/>
      <c r="IG82" s="30"/>
      <c r="IH82" s="30"/>
      <c r="II82" s="30"/>
      <c r="IJ82" s="30"/>
      <c r="IK82" s="30"/>
      <c r="IL82" s="30"/>
      <c r="IM82" s="30"/>
      <c r="IN82" s="30"/>
      <c r="IO82" s="30"/>
      <c r="IP82" s="30"/>
      <c r="IQ82" s="30"/>
      <c r="IR82" s="30"/>
      <c r="IS82" s="30"/>
      <c r="IT82" s="30"/>
      <c r="IU82" s="30"/>
      <c r="IV82" s="30"/>
      <c r="IW82" s="30"/>
      <c r="IX82" s="30"/>
      <c r="IY82" s="30"/>
      <c r="IZ82" s="30"/>
      <c r="JA82" s="30"/>
      <c r="JB82" s="30"/>
      <c r="JC82" s="30"/>
      <c r="JD82" s="30"/>
      <c r="JE82" s="30"/>
      <c r="JF82" s="30"/>
      <c r="JG82" s="30"/>
      <c r="JH82" s="30"/>
      <c r="JI82" s="30"/>
      <c r="JJ82" s="30"/>
      <c r="JK82" s="30"/>
      <c r="JL82" s="30"/>
      <c r="JM82" s="30"/>
      <c r="JN82" s="30"/>
      <c r="JO82" s="30"/>
      <c r="JP82" s="30"/>
      <c r="JQ82" s="30"/>
      <c r="JR82" s="30"/>
      <c r="JS82" s="30"/>
      <c r="JT82" s="30"/>
      <c r="JU82" s="30"/>
      <c r="JV82" s="30"/>
      <c r="JW82" s="30"/>
      <c r="JX82" s="30"/>
      <c r="JY82" s="30"/>
      <c r="JZ82" s="30"/>
      <c r="KA82" s="30"/>
      <c r="KB82" s="30"/>
      <c r="KC82" s="30"/>
      <c r="KD82" s="30"/>
      <c r="KE82" s="30"/>
      <c r="KF82" s="30"/>
      <c r="KG82" s="30"/>
      <c r="KH82" s="30"/>
      <c r="KI82" s="30"/>
      <c r="KJ82" s="30"/>
      <c r="KK82" s="30"/>
      <c r="KL82" s="30"/>
      <c r="KM82" s="30"/>
      <c r="KN82" s="30"/>
      <c r="KO82" s="30"/>
      <c r="KP82" s="30"/>
      <c r="KQ82" s="30"/>
      <c r="KR82" s="30"/>
      <c r="KS82" s="30"/>
      <c r="KT82" s="30"/>
      <c r="KU82" s="30"/>
      <c r="KV82" s="30"/>
      <c r="KW82" s="30"/>
      <c r="KX82" s="30"/>
      <c r="KY82" s="30"/>
      <c r="KZ82" s="30"/>
      <c r="LA82" s="30"/>
      <c r="LB82" s="30"/>
      <c r="LC82" s="30"/>
      <c r="LD82" s="30"/>
      <c r="LE82" s="30"/>
      <c r="LF82" s="30"/>
      <c r="LG82" s="30"/>
      <c r="LH82" s="30"/>
      <c r="LI82" s="30"/>
      <c r="LJ82" s="30"/>
      <c r="LK82" s="30"/>
      <c r="LL82" s="30"/>
      <c r="LM82" s="30"/>
      <c r="LN82" s="30"/>
      <c r="LO82" s="30"/>
      <c r="LP82" s="30"/>
      <c r="LQ82" s="30"/>
      <c r="LR82" s="30"/>
      <c r="LS82" s="30"/>
      <c r="LT82" s="30"/>
      <c r="LU82" s="30"/>
      <c r="LV82" s="30"/>
      <c r="LW82" s="30"/>
      <c r="LX82" s="30"/>
      <c r="LY82" s="30"/>
      <c r="LZ82" s="30"/>
      <c r="MA82" s="30"/>
      <c r="MB82" s="30"/>
      <c r="MC82" s="30"/>
      <c r="MD82" s="30"/>
      <c r="ME82" s="30"/>
      <c r="MF82" s="30"/>
      <c r="MG82" s="30"/>
      <c r="MH82" s="30"/>
      <c r="MI82" s="30"/>
      <c r="MJ82" s="30"/>
      <c r="MK82" s="30"/>
      <c r="ML82" s="30"/>
      <c r="MM82" s="30"/>
      <c r="MN82" s="30"/>
      <c r="MO82" s="30"/>
      <c r="MP82" s="30"/>
      <c r="MQ82" s="30"/>
      <c r="MR82" s="30"/>
      <c r="MS82" s="30"/>
      <c r="MT82" s="30"/>
      <c r="MU82" s="30"/>
      <c r="MV82" s="30"/>
      <c r="MW82" s="30"/>
      <c r="MX82" s="30"/>
      <c r="MY82" s="30"/>
      <c r="MZ82" s="30"/>
      <c r="NA82" s="30"/>
      <c r="NB82" s="30"/>
      <c r="NC82" s="30"/>
      <c r="ND82" s="30"/>
      <c r="NE82" s="30"/>
      <c r="NF82" s="30"/>
      <c r="NG82" s="30"/>
      <c r="NH82" s="30"/>
      <c r="NI82" s="30"/>
      <c r="NJ82" s="30"/>
      <c r="NK82" s="30"/>
      <c r="NL82" s="30"/>
      <c r="NM82" s="30"/>
      <c r="NN82" s="30"/>
      <c r="NO82" s="30"/>
      <c r="NP82" s="30"/>
      <c r="NQ82" s="30"/>
      <c r="NR82" s="30"/>
      <c r="NS82" s="30"/>
      <c r="NT82" s="30"/>
      <c r="NU82" s="30"/>
      <c r="NV82" s="30"/>
      <c r="NW82" s="30"/>
      <c r="NX82" s="30"/>
      <c r="NY82" s="30"/>
      <c r="NZ82" s="30"/>
      <c r="OA82" s="30"/>
      <c r="OB82" s="30"/>
      <c r="OC82" s="30"/>
      <c r="OD82" s="30"/>
      <c r="OE82" s="30"/>
      <c r="OF82" s="30"/>
      <c r="OG82" s="30"/>
      <c r="OH82" s="30"/>
      <c r="OI82" s="30"/>
      <c r="OJ82" s="30"/>
      <c r="OK82" s="30"/>
      <c r="OL82" s="30"/>
      <c r="OM82" s="30"/>
      <c r="ON82" s="30"/>
      <c r="OO82" s="30"/>
      <c r="OP82" s="30"/>
    </row>
    <row r="83" customFormat="false" ht="14.4" hidden="false" customHeight="false" outlineLevel="0" collapsed="false">
      <c r="A83" s="99"/>
      <c r="B83" s="31"/>
      <c r="C83" s="85" t="s">
        <v>135</v>
      </c>
      <c r="D83" s="217" t="n">
        <f aca="false">SUM(H83:K83)</f>
        <v>0.197302427944053</v>
      </c>
      <c r="E83" s="89" t="n">
        <f aca="false">SUM(G83:K83,N83:O83)</f>
        <v>0.199367380481681</v>
      </c>
      <c r="F83" s="88" t="n">
        <f aca="false">SUM(Q83:S83)/(1-'Common input data'!B$127)</f>
        <v>0.203821970800109</v>
      </c>
      <c r="G83" s="87" t="n">
        <f aca="false">'Input data dairy products'!$D$16*G14*'Common input data'!D$40</f>
        <v>0.00203809278870056</v>
      </c>
      <c r="H83" s="87" t="n">
        <f aca="false">'Input data dairy products'!$D$16*H14*'Common input data'!D$40</f>
        <v>0</v>
      </c>
      <c r="I83" s="87" t="n">
        <f aca="false">'Input data dairy products'!$D$16*I14*'Common input data'!D$40</f>
        <v>0.0128923049660028</v>
      </c>
      <c r="J83" s="87" t="n">
        <f aca="false">'Input data dairy products'!$D$16*J14*'Common input data'!D$40</f>
        <v>0</v>
      </c>
      <c r="K83" s="87" t="n">
        <f aca="false">'Input data dairy products'!$D$16*K14*'Common input data'!D$40</f>
        <v>0.18441012297805</v>
      </c>
      <c r="L83" s="87" t="n">
        <f aca="false">'Input data dairy products'!$D$16*L14*'Common input data'!D$40</f>
        <v>0</v>
      </c>
      <c r="M83" s="87" t="n">
        <f aca="false">'Input data dairy products'!$D$16*M14*'Common input data'!D$40</f>
        <v>0</v>
      </c>
      <c r="N83" s="87" t="n">
        <f aca="false">'Input data dairy products'!$D$16*N14*'Common input data'!D$40</f>
        <v>0</v>
      </c>
      <c r="O83" s="87" t="n">
        <f aca="false">'Input data dairy products'!$D$16*O14*'Common input data'!D$40</f>
        <v>2.68597489279137E-005</v>
      </c>
      <c r="P83" s="87" t="n">
        <v>0</v>
      </c>
      <c r="Q83" s="87" t="n">
        <f aca="false">SUM(G83:P83)</f>
        <v>0.199367380481681</v>
      </c>
      <c r="R83" s="89" t="n">
        <v>0</v>
      </c>
      <c r="S83" s="89" t="n">
        <v>0</v>
      </c>
      <c r="T83" s="74"/>
    </row>
    <row r="84" customFormat="false" ht="14.4" hidden="false" customHeight="false" outlineLevel="0" collapsed="false">
      <c r="A84" s="99"/>
      <c r="B84" s="87"/>
      <c r="C84" s="31" t="s">
        <v>136</v>
      </c>
      <c r="D84" s="219" t="n">
        <f aca="false">SUM(H84:K84)</f>
        <v>0.00757547870173848</v>
      </c>
      <c r="E84" s="126" t="n">
        <f aca="false">SUM(G84:K84,N84:O84)</f>
        <v>0.00950386819688663</v>
      </c>
      <c r="F84" s="106" t="n">
        <f aca="false">SUM(Q84:S84)/(1-'Common input data'!B$127)</f>
        <v>0.00971621907974008</v>
      </c>
      <c r="G84" s="87" t="n">
        <f aca="false">'Input data dairy products'!$D$16*G15*'Common input data'!D$40</f>
        <v>0.00192588556966477</v>
      </c>
      <c r="H84" s="87" t="n">
        <f aca="false">'Input data dairy products'!$D$16*H15*'Common input data'!D$40</f>
        <v>0.00486786246320647</v>
      </c>
      <c r="I84" s="87" t="n">
        <f aca="false">'Input data dairy products'!$D$16*I15*'Common input data'!D$40</f>
        <v>0.00249596262733881</v>
      </c>
      <c r="J84" s="87" t="n">
        <f aca="false">'Input data dairy products'!$D$16*J15*'Common input data'!D$40</f>
        <v>0.000211653611193196</v>
      </c>
      <c r="K84" s="87" t="n">
        <f aca="false">'Input data dairy products'!$D$16*K15*'Common input data'!D$40</f>
        <v>0</v>
      </c>
      <c r="L84" s="87" t="n">
        <f aca="false">'Input data dairy products'!$D$16*L15*'Common input data'!D$40</f>
        <v>0</v>
      </c>
      <c r="M84" s="87" t="n">
        <f aca="false">'Input data dairy products'!$D$16*M15*'Common input data'!D$40</f>
        <v>0</v>
      </c>
      <c r="N84" s="87" t="n">
        <f aca="false">'Input data dairy products'!$D$16*N15*'Common input data'!D$40</f>
        <v>0</v>
      </c>
      <c r="O84" s="87" t="n">
        <f aca="false">'Input data dairy products'!$D$16*O15*'Common input data'!D$40</f>
        <v>2.50392548339107E-006</v>
      </c>
      <c r="P84" s="87" t="n">
        <v>0</v>
      </c>
      <c r="Q84" s="87" t="n">
        <f aca="false">SUM(G84:P84)</f>
        <v>0.00950386819688663</v>
      </c>
      <c r="R84" s="102" t="n">
        <v>0</v>
      </c>
      <c r="S84" s="89" t="n">
        <v>0</v>
      </c>
      <c r="T84" s="74"/>
    </row>
    <row r="85" s="113" customFormat="true" ht="14.4" hidden="false" customHeight="false" outlineLevel="0" collapsed="false">
      <c r="A85" s="107" t="s">
        <v>188</v>
      </c>
      <c r="B85" s="69"/>
      <c r="C85" s="109"/>
      <c r="D85" s="221" t="s">
        <v>189</v>
      </c>
      <c r="E85" s="222" t="s">
        <v>189</v>
      </c>
      <c r="F85" s="223" t="s">
        <v>189</v>
      </c>
      <c r="G85" s="69"/>
      <c r="N85" s="225"/>
      <c r="O85" s="225"/>
      <c r="P85" s="69"/>
      <c r="Q85" s="69"/>
      <c r="R85" s="224"/>
      <c r="S85" s="70"/>
      <c r="T85" s="74"/>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c r="GL85" s="30"/>
      <c r="GM85" s="30"/>
      <c r="GN85" s="30"/>
      <c r="GO85" s="30"/>
      <c r="GP85" s="30"/>
      <c r="GQ85" s="30"/>
      <c r="GR85" s="30"/>
      <c r="GS85" s="30"/>
      <c r="GT85" s="30"/>
      <c r="GU85" s="30"/>
      <c r="GV85" s="30"/>
      <c r="GW85" s="30"/>
      <c r="GX85" s="30"/>
      <c r="GY85" s="30"/>
      <c r="GZ85" s="30"/>
      <c r="HA85" s="30"/>
      <c r="HB85" s="30"/>
      <c r="HC85" s="30"/>
      <c r="HD85" s="30"/>
      <c r="HE85" s="30"/>
      <c r="HF85" s="30"/>
      <c r="HG85" s="30"/>
      <c r="HH85" s="30"/>
      <c r="HI85" s="30"/>
      <c r="HJ85" s="30"/>
      <c r="HK85" s="30"/>
      <c r="HL85" s="30"/>
      <c r="HM85" s="30"/>
      <c r="HN85" s="30"/>
      <c r="HO85" s="30"/>
      <c r="HP85" s="30"/>
      <c r="HQ85" s="30"/>
      <c r="HR85" s="30"/>
      <c r="HS85" s="30"/>
      <c r="HT85" s="30"/>
      <c r="HU85" s="30"/>
      <c r="HV85" s="30"/>
      <c r="HW85" s="30"/>
      <c r="HX85" s="30"/>
      <c r="HY85" s="30"/>
      <c r="HZ85" s="30"/>
      <c r="IA85" s="30"/>
      <c r="IB85" s="30"/>
      <c r="IC85" s="30"/>
      <c r="ID85" s="30"/>
      <c r="IE85" s="30"/>
      <c r="IF85" s="30"/>
      <c r="IG85" s="30"/>
      <c r="IH85" s="30"/>
      <c r="II85" s="30"/>
      <c r="IJ85" s="30"/>
      <c r="IK85" s="30"/>
      <c r="IL85" s="30"/>
      <c r="IM85" s="30"/>
      <c r="IN85" s="30"/>
      <c r="IO85" s="30"/>
      <c r="IP85" s="30"/>
      <c r="IQ85" s="30"/>
      <c r="IR85" s="30"/>
      <c r="IS85" s="30"/>
      <c r="IT85" s="30"/>
      <c r="IU85" s="30"/>
      <c r="IV85" s="30"/>
      <c r="IW85" s="30"/>
      <c r="IX85" s="30"/>
      <c r="IY85" s="30"/>
      <c r="IZ85" s="30"/>
      <c r="JA85" s="30"/>
      <c r="JB85" s="30"/>
      <c r="JC85" s="30"/>
      <c r="JD85" s="30"/>
      <c r="JE85" s="30"/>
      <c r="JF85" s="30"/>
      <c r="JG85" s="30"/>
      <c r="JH85" s="30"/>
      <c r="JI85" s="30"/>
      <c r="JJ85" s="30"/>
      <c r="JK85" s="30"/>
      <c r="JL85" s="30"/>
      <c r="JM85" s="30"/>
      <c r="JN85" s="30"/>
      <c r="JO85" s="30"/>
      <c r="JP85" s="30"/>
      <c r="JQ85" s="30"/>
      <c r="JR85" s="30"/>
      <c r="JS85" s="30"/>
      <c r="JT85" s="30"/>
      <c r="JU85" s="30"/>
      <c r="JV85" s="30"/>
      <c r="JW85" s="30"/>
      <c r="JX85" s="30"/>
      <c r="JY85" s="30"/>
      <c r="JZ85" s="30"/>
      <c r="KA85" s="30"/>
      <c r="KB85" s="30"/>
      <c r="KC85" s="30"/>
      <c r="KD85" s="30"/>
      <c r="KE85" s="30"/>
      <c r="KF85" s="30"/>
      <c r="KG85" s="30"/>
      <c r="KH85" s="30"/>
    </row>
    <row r="86" s="83" customFormat="true" ht="14.4" hidden="false" customHeight="false" outlineLevel="0" collapsed="false">
      <c r="A86" s="75" t="s">
        <v>132</v>
      </c>
      <c r="B86" s="188" t="n">
        <f aca="false">SUM(B90:B102)</f>
        <v>1</v>
      </c>
      <c r="C86" s="78" t="s">
        <v>133</v>
      </c>
      <c r="D86" s="79" t="n">
        <f aca="false">IF($E$1="GWP100 without fb",D87+D88*'Common input data'!$C$5+D89*'Common input data'!$D$5,IF($E$1="GWP100 with fb",D87+D88*'Common input data'!$C$6+D89*'Common input data'!$D$6,IF($E$1="GTP100 without fb",D87+D88*'Common input data'!$C$7+D89*'Common input data'!$D$7,IF($E$1="GTP100 with fb",D87+D88*'Common input data'!$C$8+D89*'Common input data'!$D$8,D87+D88*'Common input data'!$C$9+D89*'Common input data'!$D$9))))</f>
        <v>5.67603071070355</v>
      </c>
      <c r="E86" s="80" t="n">
        <f aca="false">IF($E$1="GWP100 without fb",E87+E88*'Common input data'!$C$5+E89*'Common input data'!$D$5,IF($E$1="GWP100 with fb",E87+E88*'Common input data'!$C$6+E89*'Common input data'!$D$6,IF($E$1="GTP100 without fb",E87+E88*'Common input data'!$C$7+E89*'Common input data'!$D$7,IF($E$1="GTP100 with fb",E87+E88*'Common input data'!$C$8+E89*'Common input data'!$D$8,E87+E88*'Common input data'!$C$9+E89*'Common input data'!$D$9))))</f>
        <v>7.63251502917364</v>
      </c>
      <c r="F86" s="81" t="n">
        <f aca="false">IF($E$1="GWP100 without fb",F87+F88*'Common input data'!$C$5+F89*'Common input data'!$D$5,IF($E$1="GWP100 with fb",F87+F88*'Common input data'!$C$6+F89*'Common input data'!$D$6,IF($E$1="GTP100 without fb",F87+F88*'Common input data'!$C$7+F89*'Common input data'!$D$7,IF($E$1="GTP100 with fb",F87+F88*'Common input data'!$C$8+F89*'Common input data'!$D$8,F87+F88*'Common input data'!$C$9+F89*'Common input data'!$D$9))))</f>
        <v>8.36322379416219</v>
      </c>
      <c r="G86" s="82"/>
      <c r="N86" s="191"/>
      <c r="O86" s="191"/>
      <c r="P86" s="82"/>
      <c r="Q86" s="82"/>
      <c r="R86" s="78"/>
      <c r="S86" s="78"/>
      <c r="T86" s="74"/>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c r="FQ86" s="30"/>
      <c r="FR86" s="30"/>
      <c r="FS86" s="30"/>
      <c r="FT86" s="30"/>
      <c r="FU86" s="30"/>
      <c r="FV86" s="30"/>
      <c r="FW86" s="30"/>
      <c r="FX86" s="30"/>
      <c r="FY86" s="30"/>
      <c r="FZ86" s="30"/>
      <c r="GA86" s="30"/>
      <c r="GB86" s="30"/>
      <c r="GC86" s="30"/>
      <c r="GD86" s="30"/>
      <c r="GE86" s="30"/>
      <c r="GF86" s="30"/>
      <c r="GG86" s="30"/>
      <c r="GH86" s="30"/>
      <c r="GI86" s="30"/>
      <c r="GJ86" s="30"/>
      <c r="GK86" s="30"/>
      <c r="GL86" s="30"/>
      <c r="GM86" s="30"/>
      <c r="GN86" s="30"/>
      <c r="GO86" s="30"/>
      <c r="GP86" s="30"/>
      <c r="GQ86" s="30"/>
      <c r="GR86" s="30"/>
      <c r="GS86" s="30"/>
      <c r="GT86" s="30"/>
      <c r="GU86" s="30"/>
      <c r="GV86" s="30"/>
      <c r="GW86" s="30"/>
      <c r="GX86" s="30"/>
      <c r="GY86" s="30"/>
      <c r="GZ86" s="30"/>
      <c r="HA86" s="30"/>
      <c r="HB86" s="30"/>
      <c r="HC86" s="30"/>
      <c r="HD86" s="30"/>
      <c r="HE86" s="30"/>
      <c r="HF86" s="30"/>
      <c r="HG86" s="30"/>
      <c r="HH86" s="30"/>
      <c r="HI86" s="30"/>
      <c r="HJ86" s="30"/>
      <c r="HK86" s="30"/>
      <c r="HL86" s="30"/>
      <c r="HM86" s="30"/>
      <c r="HN86" s="30"/>
      <c r="HO86" s="30"/>
      <c r="HP86" s="30"/>
      <c r="HQ86" s="30"/>
      <c r="HR86" s="30"/>
      <c r="HS86" s="30"/>
      <c r="HT86" s="30"/>
      <c r="HU86" s="30"/>
      <c r="HV86" s="30"/>
      <c r="HW86" s="30"/>
      <c r="HX86" s="30"/>
      <c r="HY86" s="30"/>
      <c r="HZ86" s="30"/>
      <c r="IA86" s="30"/>
      <c r="IB86" s="30"/>
      <c r="IC86" s="30"/>
      <c r="ID86" s="30"/>
      <c r="IE86" s="30"/>
      <c r="IF86" s="30"/>
      <c r="IG86" s="30"/>
      <c r="IH86" s="30"/>
      <c r="II86" s="30"/>
      <c r="IJ86" s="30"/>
      <c r="IK86" s="30"/>
      <c r="IL86" s="30"/>
      <c r="IM86" s="30"/>
      <c r="IN86" s="30"/>
      <c r="IO86" s="30"/>
      <c r="IP86" s="30"/>
      <c r="IQ86" s="30"/>
      <c r="IR86" s="30"/>
      <c r="IS86" s="30"/>
      <c r="IT86" s="30"/>
      <c r="IU86" s="30"/>
      <c r="IV86" s="30"/>
      <c r="IW86" s="30"/>
      <c r="IX86" s="30"/>
      <c r="IY86" s="30"/>
      <c r="IZ86" s="30"/>
      <c r="JA86" s="30"/>
      <c r="JB86" s="30"/>
      <c r="JC86" s="30"/>
      <c r="JD86" s="30"/>
      <c r="JE86" s="30"/>
      <c r="JF86" s="30"/>
      <c r="JG86" s="30"/>
      <c r="JH86" s="30"/>
      <c r="JI86" s="30"/>
      <c r="JJ86" s="30"/>
      <c r="JK86" s="30"/>
      <c r="JL86" s="30"/>
      <c r="JM86" s="30"/>
      <c r="JN86" s="30"/>
      <c r="JO86" s="30"/>
      <c r="JP86" s="30"/>
      <c r="JQ86" s="30"/>
      <c r="JR86" s="30"/>
      <c r="JS86" s="30"/>
      <c r="JT86" s="30"/>
      <c r="JU86" s="30"/>
      <c r="JV86" s="30"/>
      <c r="JW86" s="30"/>
      <c r="JX86" s="30"/>
      <c r="JY86" s="30"/>
      <c r="JZ86" s="30"/>
      <c r="KA86" s="30"/>
      <c r="KB86" s="30"/>
      <c r="KC86" s="30"/>
      <c r="KD86" s="30"/>
      <c r="KE86" s="30"/>
      <c r="KF86" s="30"/>
      <c r="KG86" s="30"/>
      <c r="KH86" s="30"/>
    </row>
    <row r="87" s="83" customFormat="true" ht="14.4" hidden="false" customHeight="false" outlineLevel="0" collapsed="false">
      <c r="A87" s="74"/>
      <c r="B87" s="30"/>
      <c r="C87" s="85" t="s">
        <v>134</v>
      </c>
      <c r="D87" s="217" t="n">
        <f aca="false">$B$90*D91+$B$94*D95+$B$98*D99+$B$102*D103</f>
        <v>-0.151723171386758</v>
      </c>
      <c r="E87" s="89" t="n">
        <f aca="false">$B$90*E91+$B$94*E95+$B$98*E99+$B$102*E103</f>
        <v>1.3860831444896</v>
      </c>
      <c r="F87" s="88" t="n">
        <f aca="false">$B$90*F91+$B$94*F95+$B$98*F99+$B$102*F103</f>
        <v>1.97722396746575</v>
      </c>
      <c r="G87" s="89" t="n">
        <f aca="false">$B$90*G91+$B$94*G95+$B$98*G99+$B$102*G103</f>
        <v>1.2373799351385</v>
      </c>
      <c r="H87" s="89" t="n">
        <f aca="false">$B$90*H91+$B$94*H95+$B$98*H99+$B$102*H103</f>
        <v>0</v>
      </c>
      <c r="I87" s="89" t="n">
        <f aca="false">$B$90*I91+$B$94*I95+$B$98*I99+$B$102*I103</f>
        <v>0</v>
      </c>
      <c r="J87" s="89" t="n">
        <f aca="false">$B$90*J91+$B$94*J95+$B$98*J99+$B$102*J103</f>
        <v>0</v>
      </c>
      <c r="K87" s="89" t="n">
        <f aca="false">$B$90*K91+$B$94*K95+$B$98*K99+$B$102*K103</f>
        <v>0</v>
      </c>
      <c r="L87" s="89" t="n">
        <f aca="false">$B$90*L91+$B$94*L95+$B$98*L99+$B$102*L103</f>
        <v>-0.268704115452564</v>
      </c>
      <c r="M87" s="89" t="n">
        <f aca="false">$B$90*M91+$B$94*M95+$B$98*M99+$B$102*M103</f>
        <v>0.116980944065806</v>
      </c>
      <c r="N87" s="89" t="n">
        <f aca="false">$B$90*N91+$B$94*N95+$B$98*N99+$B$102*N103</f>
        <v>0.265066969794397</v>
      </c>
      <c r="O87" s="89" t="n">
        <f aca="false">$B$90*O91+$B$94*O95+$B$98*O99+$B$102*O103</f>
        <v>0.0353594109434536</v>
      </c>
      <c r="P87" s="89" t="n">
        <f aca="false">$B$90*P91+$B$94*P95+$B$98*P99+$B$102*P103</f>
        <v>0.405328</v>
      </c>
      <c r="Q87" s="89" t="n">
        <f aca="false">$B$90*Q91+$B$94*Q95+$B$98*Q99+$B$102*Q103</f>
        <v>1.7914111444896</v>
      </c>
      <c r="R87" s="89" t="n">
        <f aca="false">$B$90*R91+$B$94*R95+$B$98*R99+$B$102*R103</f>
        <v>0.05</v>
      </c>
      <c r="S87" s="89" t="n">
        <f aca="false">$B$90*S91+$B$94*S95+$B$98*S99+$B$102*S103</f>
        <v>0.0926</v>
      </c>
      <c r="T87" s="74"/>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c r="FQ87" s="30"/>
      <c r="FR87" s="30"/>
      <c r="FS87" s="30"/>
      <c r="FT87" s="30"/>
      <c r="FU87" s="30"/>
      <c r="FV87" s="30"/>
      <c r="FW87" s="30"/>
      <c r="FX87" s="30"/>
      <c r="FY87" s="30"/>
      <c r="FZ87" s="30"/>
      <c r="GA87" s="30"/>
      <c r="GB87" s="30"/>
      <c r="GC87" s="30"/>
      <c r="GD87" s="30"/>
      <c r="GE87" s="30"/>
      <c r="GF87" s="30"/>
      <c r="GG87" s="30"/>
      <c r="GH87" s="30"/>
      <c r="GI87" s="30"/>
      <c r="GJ87" s="30"/>
      <c r="GK87" s="30"/>
      <c r="GL87" s="30"/>
      <c r="GM87" s="30"/>
      <c r="GN87" s="30"/>
      <c r="GO87" s="30"/>
      <c r="GP87" s="30"/>
      <c r="GQ87" s="30"/>
      <c r="GR87" s="30"/>
      <c r="GS87" s="30"/>
      <c r="GT87" s="30"/>
      <c r="GU87" s="30"/>
      <c r="GV87" s="30"/>
      <c r="GW87" s="30"/>
      <c r="GX87" s="30"/>
      <c r="GY87" s="30"/>
      <c r="GZ87" s="30"/>
      <c r="HA87" s="30"/>
      <c r="HB87" s="30"/>
      <c r="HC87" s="30"/>
      <c r="HD87" s="30"/>
      <c r="HE87" s="30"/>
      <c r="HF87" s="30"/>
      <c r="HG87" s="30"/>
      <c r="HH87" s="30"/>
      <c r="HI87" s="30"/>
      <c r="HJ87" s="30"/>
      <c r="HK87" s="30"/>
      <c r="HL87" s="30"/>
      <c r="HM87" s="30"/>
      <c r="HN87" s="30"/>
      <c r="HO87" s="30"/>
      <c r="HP87" s="30"/>
      <c r="HQ87" s="30"/>
      <c r="HR87" s="30"/>
      <c r="HS87" s="30"/>
      <c r="HT87" s="30"/>
      <c r="HU87" s="30"/>
      <c r="HV87" s="30"/>
      <c r="HW87" s="30"/>
      <c r="HX87" s="30"/>
      <c r="HY87" s="30"/>
      <c r="HZ87" s="30"/>
      <c r="IA87" s="30"/>
      <c r="IB87" s="30"/>
      <c r="IC87" s="30"/>
      <c r="ID87" s="30"/>
      <c r="IE87" s="30"/>
      <c r="IF87" s="30"/>
      <c r="IG87" s="30"/>
      <c r="IH87" s="30"/>
      <c r="II87" s="30"/>
      <c r="IJ87" s="30"/>
      <c r="IK87" s="30"/>
      <c r="IL87" s="30"/>
      <c r="IM87" s="30"/>
      <c r="IN87" s="30"/>
      <c r="IO87" s="30"/>
      <c r="IP87" s="30"/>
      <c r="IQ87" s="30"/>
      <c r="IR87" s="30"/>
      <c r="IS87" s="30"/>
      <c r="IT87" s="30"/>
      <c r="IU87" s="30"/>
      <c r="IV87" s="30"/>
      <c r="IW87" s="30"/>
      <c r="IX87" s="30"/>
      <c r="IY87" s="30"/>
      <c r="IZ87" s="30"/>
      <c r="JA87" s="30"/>
      <c r="JB87" s="30"/>
      <c r="JC87" s="30"/>
      <c r="JD87" s="30"/>
      <c r="JE87" s="30"/>
      <c r="JF87" s="30"/>
      <c r="JG87" s="30"/>
      <c r="JH87" s="30"/>
      <c r="JI87" s="30"/>
      <c r="JJ87" s="30"/>
      <c r="JK87" s="30"/>
      <c r="JL87" s="30"/>
      <c r="JM87" s="30"/>
      <c r="JN87" s="30"/>
      <c r="JO87" s="30"/>
      <c r="JP87" s="30"/>
      <c r="JQ87" s="30"/>
      <c r="JR87" s="30"/>
      <c r="JS87" s="30"/>
      <c r="JT87" s="30"/>
      <c r="JU87" s="30"/>
      <c r="JV87" s="30"/>
      <c r="JW87" s="30"/>
      <c r="JX87" s="30"/>
      <c r="JY87" s="30"/>
      <c r="JZ87" s="30"/>
      <c r="KA87" s="30"/>
      <c r="KB87" s="30"/>
      <c r="KC87" s="30"/>
      <c r="KD87" s="30"/>
      <c r="KE87" s="30"/>
      <c r="KF87" s="30"/>
      <c r="KG87" s="30"/>
      <c r="KH87" s="30"/>
      <c r="KI87" s="30"/>
      <c r="KJ87" s="30"/>
      <c r="KK87" s="30"/>
      <c r="KL87" s="30"/>
      <c r="KM87" s="30"/>
      <c r="KN87" s="30"/>
      <c r="KO87" s="30"/>
      <c r="KP87" s="30"/>
      <c r="KQ87" s="30"/>
      <c r="KR87" s="30"/>
      <c r="KS87" s="30"/>
      <c r="KT87" s="30"/>
      <c r="KU87" s="30"/>
      <c r="KV87" s="30"/>
      <c r="KW87" s="30"/>
      <c r="KX87" s="30"/>
      <c r="KY87" s="30"/>
      <c r="KZ87" s="30"/>
      <c r="LA87" s="30"/>
      <c r="LB87" s="30"/>
      <c r="LC87" s="30"/>
      <c r="LD87" s="30"/>
      <c r="LE87" s="30"/>
      <c r="LF87" s="30"/>
      <c r="LG87" s="30"/>
      <c r="LH87" s="30"/>
      <c r="LI87" s="30"/>
      <c r="LJ87" s="30"/>
      <c r="LK87" s="30"/>
      <c r="LL87" s="30"/>
      <c r="LM87" s="30"/>
      <c r="LN87" s="30"/>
      <c r="LO87" s="30"/>
      <c r="LP87" s="30"/>
      <c r="LQ87" s="30"/>
      <c r="LR87" s="30"/>
      <c r="LS87" s="30"/>
      <c r="LT87" s="30"/>
      <c r="LU87" s="30"/>
      <c r="LV87" s="30"/>
      <c r="LW87" s="30"/>
      <c r="LX87" s="30"/>
      <c r="LY87" s="30"/>
      <c r="LZ87" s="30"/>
      <c r="MA87" s="30"/>
      <c r="MB87" s="30"/>
      <c r="MC87" s="30"/>
      <c r="MD87" s="30"/>
      <c r="ME87" s="30"/>
      <c r="MF87" s="30"/>
      <c r="MG87" s="30"/>
      <c r="MH87" s="30"/>
      <c r="MI87" s="30"/>
      <c r="MJ87" s="30"/>
      <c r="MK87" s="30"/>
      <c r="ML87" s="30"/>
      <c r="MM87" s="30"/>
      <c r="MN87" s="30"/>
      <c r="MO87" s="30"/>
      <c r="MP87" s="30"/>
      <c r="MQ87" s="30"/>
      <c r="MR87" s="30"/>
      <c r="MS87" s="30"/>
      <c r="MT87" s="30"/>
      <c r="MU87" s="30"/>
      <c r="MV87" s="30"/>
      <c r="MW87" s="30"/>
      <c r="MX87" s="30"/>
      <c r="MY87" s="30"/>
      <c r="MZ87" s="30"/>
      <c r="NA87" s="30"/>
      <c r="NB87" s="30"/>
      <c r="NC87" s="30"/>
      <c r="ND87" s="30"/>
      <c r="NE87" s="30"/>
      <c r="NF87" s="30"/>
      <c r="NG87" s="30"/>
      <c r="NH87" s="30"/>
      <c r="NI87" s="30"/>
      <c r="NJ87" s="30"/>
      <c r="NK87" s="30"/>
      <c r="NL87" s="30"/>
      <c r="NM87" s="30"/>
      <c r="NN87" s="30"/>
      <c r="NO87" s="30"/>
      <c r="NP87" s="30"/>
      <c r="NQ87" s="30"/>
      <c r="NR87" s="30"/>
      <c r="NS87" s="30"/>
      <c r="NT87" s="30"/>
      <c r="NU87" s="30"/>
      <c r="NV87" s="30"/>
      <c r="NW87" s="30"/>
      <c r="NX87" s="30"/>
      <c r="NY87" s="30"/>
      <c r="NZ87" s="30"/>
      <c r="OA87" s="30"/>
      <c r="OB87" s="30"/>
      <c r="OC87" s="30"/>
      <c r="OD87" s="30"/>
      <c r="OE87" s="30"/>
      <c r="OF87" s="30"/>
      <c r="OG87" s="30"/>
      <c r="OH87" s="30"/>
      <c r="OI87" s="30"/>
      <c r="OJ87" s="30"/>
      <c r="OK87" s="30"/>
      <c r="OL87" s="30"/>
      <c r="OM87" s="30"/>
      <c r="ON87" s="30"/>
      <c r="OO87" s="30"/>
      <c r="OP87" s="30"/>
    </row>
    <row r="88" customFormat="false" ht="14.4" hidden="false" customHeight="false" outlineLevel="0" collapsed="false">
      <c r="A88" s="91"/>
      <c r="B88" s="93"/>
      <c r="C88" s="85" t="s">
        <v>135</v>
      </c>
      <c r="D88" s="217" t="n">
        <f aca="false">$B$90*D92+$B$94*D96+$B$98*D100+$B$102*D104</f>
        <v>0.128246578163634</v>
      </c>
      <c r="E88" s="89" t="n">
        <f aca="false">$B$90*E92+$B$94*E96+$B$98*E100+$B$102*E104</f>
        <v>0.129580922726687</v>
      </c>
      <c r="F88" s="88" t="n">
        <f aca="false">$B$90*F92+$B$94*F96+$B$98*F100+$B$102*F104</f>
        <v>0.132476230486846</v>
      </c>
      <c r="G88" s="89" t="n">
        <f aca="false">$B$90*G92+$B$94*G96+$B$98*G100+$B$102*G104</f>
        <v>0.00132476031265537</v>
      </c>
      <c r="H88" s="89" t="n">
        <f aca="false">$B$90*H92+$B$94*H96+$B$98*H100+$B$102*H104</f>
        <v>0</v>
      </c>
      <c r="I88" s="89" t="n">
        <f aca="false">$B$90*I92+$B$94*I96+$B$98*I100+$B$102*I104</f>
        <v>0.0083799982279018</v>
      </c>
      <c r="J88" s="89" t="n">
        <f aca="false">$B$90*J92+$B$94*J96+$B$98*J100+$B$102*J104</f>
        <v>0</v>
      </c>
      <c r="K88" s="89" t="n">
        <f aca="false">$B$90*K92+$B$94*K96+$B$98*K100+$B$102*K104</f>
        <v>0.119866579935732</v>
      </c>
      <c r="L88" s="89" t="n">
        <f aca="false">$B$90*L92+$B$94*L96+$B$98*L100+$B$102*L104</f>
        <v>0</v>
      </c>
      <c r="M88" s="89" t="n">
        <f aca="false">$B$90*M92+$B$94*M96+$B$98*M100+$B$102*M104</f>
        <v>0</v>
      </c>
      <c r="N88" s="89" t="n">
        <f aca="false">$B$90*N92+$B$94*N96+$B$98*N100+$B$102*N104</f>
        <v>0</v>
      </c>
      <c r="O88" s="89" t="n">
        <f aca="false">$B$90*O92+$B$94*O96+$B$98*O100+$B$102*O104</f>
        <v>9.584250397452E-006</v>
      </c>
      <c r="P88" s="89" t="n">
        <f aca="false">$B$90*P92+$B$94*P96+$B$98*P100+$B$102*P104</f>
        <v>0</v>
      </c>
      <c r="Q88" s="89" t="n">
        <f aca="false">$B$90*Q92+$B$94*Q96+$B$98*Q100+$B$102*Q104</f>
        <v>0.129580922726687</v>
      </c>
      <c r="R88" s="89" t="n">
        <f aca="false">$B$90*R92+$B$94*R96+$B$98*R100+$B$102*R104</f>
        <v>0</v>
      </c>
      <c r="S88" s="89" t="n">
        <f aca="false">$B$90*S92+$B$94*S96+$B$98*S100+$B$102*S104</f>
        <v>0</v>
      </c>
      <c r="T88" s="74"/>
    </row>
    <row r="89" customFormat="false" ht="14.4" hidden="false" customHeight="false" outlineLevel="0" collapsed="false">
      <c r="A89" s="91"/>
      <c r="B89" s="87"/>
      <c r="C89" s="31" t="s">
        <v>136</v>
      </c>
      <c r="D89" s="217" t="n">
        <f aca="false">$B$90*D93+$B$94*D97+$B$98*D101+$B$102*D105</f>
        <v>0.00492406115613001</v>
      </c>
      <c r="E89" s="89" t="n">
        <f aca="false">$B$90*E93+$B$94*E97+$B$98*E101+$B$102*E105</f>
        <v>0.0061767802415325</v>
      </c>
      <c r="F89" s="88" t="n">
        <f aca="false">$B$90*F93+$B$94*F97+$B$98*F101+$B$102*F105</f>
        <v>0.00631479191323379</v>
      </c>
      <c r="G89" s="89" t="n">
        <f aca="false">$B$90*G93+$B$94*G97+$B$98*G101+$B$102*G105</f>
        <v>0.0012518256202821</v>
      </c>
      <c r="H89" s="89" t="n">
        <f aca="false">$B$90*H93+$B$94*H97+$B$98*H101+$B$102*H105</f>
        <v>0.0031641106010842</v>
      </c>
      <c r="I89" s="89" t="n">
        <f aca="false">$B$90*I93+$B$94*I97+$B$98*I101+$B$102*I105</f>
        <v>0.00162237570777023</v>
      </c>
      <c r="J89" s="89" t="n">
        <f aca="false">$B$90*J93+$B$94*J97+$B$98*J101+$B$102*J105</f>
        <v>0.000137574847275577</v>
      </c>
      <c r="K89" s="89" t="n">
        <f aca="false">$B$90*K93+$B$94*K97+$B$98*K101+$B$102*K105</f>
        <v>0</v>
      </c>
      <c r="L89" s="89" t="n">
        <f aca="false">$B$90*L93+$B$94*L97+$B$98*L101+$B$102*L105</f>
        <v>0</v>
      </c>
      <c r="M89" s="89" t="n">
        <f aca="false">$B$90*M93+$B$94*M97+$B$98*M101+$B$102*M105</f>
        <v>0</v>
      </c>
      <c r="N89" s="89" t="n">
        <f aca="false">$B$90*N93+$B$94*N97+$B$98*N101+$B$102*N105</f>
        <v>0</v>
      </c>
      <c r="O89" s="89" t="n">
        <f aca="false">$B$90*O93+$B$94*O97+$B$98*O101+$B$102*O105</f>
        <v>8.93465120384692E-007</v>
      </c>
      <c r="P89" s="89" t="n">
        <f aca="false">$B$90*P93+$B$94*P97+$B$98*P101+$B$102*P105</f>
        <v>0</v>
      </c>
      <c r="Q89" s="89" t="n">
        <f aca="false">$B$90*Q93+$B$94*Q97+$B$98*Q101+$B$102*Q105</f>
        <v>0.0061767802415325</v>
      </c>
      <c r="R89" s="89" t="n">
        <f aca="false">$B$90*R93+$B$94*R97+$B$98*R101+$B$102*R105</f>
        <v>0</v>
      </c>
      <c r="S89" s="89" t="n">
        <f aca="false">$B$90*S93+$B$94*S97+$B$98*S101+$B$102*S105</f>
        <v>0</v>
      </c>
      <c r="T89" s="74"/>
    </row>
    <row r="90" s="83" customFormat="true" ht="14.4" hidden="false" customHeight="false" outlineLevel="0" collapsed="false">
      <c r="A90" s="75" t="s">
        <v>137</v>
      </c>
      <c r="B90" s="188" t="n">
        <f aca="false">'Input data dairy products'!C17</f>
        <v>0.512</v>
      </c>
      <c r="C90" s="78" t="s">
        <v>133</v>
      </c>
      <c r="D90" s="94" t="n">
        <f aca="false">IF($E$1="GWP100 without fb",D91+D92*'Common input data'!$C$5+D93*'Common input data'!$D$5,IF($E$1="GWP100 with fb",D91+D92*'Common input data'!$C$6+D93*'Common input data'!$D$6,IF($E$1="GTP100 without fb",D91+D92*'Common input data'!$C$7+D93*'Common input data'!$D$7,IF($E$1="GTP100 with fb",D91+D92*'Common input data'!$C$8+D93*'Common input data'!$D$8,D91+D92*'Common input data'!$C$9+D93*'Common input data'!$D$9))))</f>
        <v>5.67603071070355</v>
      </c>
      <c r="E90" s="95" t="n">
        <f aca="false">IF($E$1="GWP100 without fb",E91+E92*'Common input data'!$C$5+E93*'Common input data'!$D$5,IF($E$1="GWP100 with fb",E91+E92*'Common input data'!$C$6+E93*'Common input data'!$D$6,IF($E$1="GTP100 without fb",E91+E92*'Common input data'!$C$7+E93*'Common input data'!$D$7,IF($E$1="GTP100 with fb",E91+E92*'Common input data'!$C$8+E93*'Common input data'!$D$8,E91+E92*'Common input data'!$C$9+E93*'Common input data'!$D$9))))</f>
        <v>7.51179832880289</v>
      </c>
      <c r="F90" s="96" t="n">
        <f aca="false">IF($E$1="GWP100 without fb",F91+F92*'Common input data'!$C$5+F93*'Common input data'!$D$5,IF($E$1="GWP100 with fb",F91+F92*'Common input data'!$C$6+F93*'Common input data'!$D$6,IF($E$1="GTP100 without fb",F91+F92*'Common input data'!$C$7+F93*'Common input data'!$D$7,IF($E$1="GTP100 with fb",F91+F92*'Common input data'!$C$8+F93*'Common input data'!$D$8,F91+F92*'Common input data'!$C$9+F93*'Common input data'!$D$9))))</f>
        <v>8.04972753908792</v>
      </c>
      <c r="G90" s="97"/>
      <c r="P90" s="97"/>
      <c r="Q90" s="97"/>
      <c r="R90" s="98"/>
      <c r="S90" s="98"/>
      <c r="T90" s="74"/>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c r="GL90" s="30"/>
      <c r="GM90" s="30"/>
      <c r="GN90" s="30"/>
      <c r="GO90" s="30"/>
      <c r="GP90" s="30"/>
      <c r="GQ90" s="30"/>
      <c r="GR90" s="30"/>
      <c r="GS90" s="30"/>
      <c r="GT90" s="30"/>
      <c r="GU90" s="30"/>
      <c r="GV90" s="30"/>
      <c r="GW90" s="30"/>
      <c r="GX90" s="30"/>
      <c r="GY90" s="30"/>
      <c r="GZ90" s="30"/>
      <c r="HA90" s="30"/>
      <c r="HB90" s="30"/>
      <c r="HC90" s="30"/>
      <c r="HD90" s="30"/>
      <c r="HE90" s="30"/>
      <c r="HF90" s="30"/>
      <c r="HG90" s="30"/>
      <c r="HH90" s="30"/>
      <c r="HI90" s="30"/>
      <c r="HJ90" s="30"/>
      <c r="HK90" s="30"/>
      <c r="HL90" s="30"/>
      <c r="HM90" s="30"/>
      <c r="HN90" s="30"/>
      <c r="HO90" s="30"/>
      <c r="HP90" s="30"/>
      <c r="HQ90" s="30"/>
      <c r="HR90" s="30"/>
      <c r="HS90" s="30"/>
      <c r="HT90" s="30"/>
      <c r="HU90" s="30"/>
      <c r="HV90" s="30"/>
      <c r="HW90" s="30"/>
      <c r="HX90" s="30"/>
      <c r="HY90" s="30"/>
      <c r="HZ90" s="30"/>
      <c r="IA90" s="30"/>
      <c r="IB90" s="30"/>
      <c r="IC90" s="30"/>
      <c r="ID90" s="30"/>
      <c r="IE90" s="30"/>
      <c r="IF90" s="30"/>
      <c r="IG90" s="30"/>
      <c r="IH90" s="30"/>
      <c r="II90" s="30"/>
      <c r="IJ90" s="30"/>
      <c r="IK90" s="30"/>
      <c r="IL90" s="30"/>
      <c r="IM90" s="30"/>
      <c r="IN90" s="30"/>
      <c r="IO90" s="30"/>
      <c r="IP90" s="30"/>
      <c r="IQ90" s="30"/>
      <c r="IR90" s="30"/>
      <c r="IS90" s="30"/>
      <c r="IT90" s="30"/>
      <c r="IU90" s="30"/>
      <c r="IV90" s="30"/>
      <c r="IW90" s="30"/>
      <c r="IX90" s="30"/>
      <c r="IY90" s="30"/>
      <c r="IZ90" s="30"/>
      <c r="JA90" s="30"/>
      <c r="JB90" s="30"/>
      <c r="JC90" s="30"/>
      <c r="JD90" s="30"/>
      <c r="JE90" s="30"/>
      <c r="JF90" s="30"/>
      <c r="JG90" s="30"/>
      <c r="JH90" s="30"/>
      <c r="JI90" s="30"/>
      <c r="JJ90" s="30"/>
      <c r="JK90" s="30"/>
      <c r="JL90" s="30"/>
      <c r="JM90" s="30"/>
      <c r="JN90" s="30"/>
      <c r="JO90" s="30"/>
      <c r="JP90" s="30"/>
      <c r="JQ90" s="30"/>
      <c r="JR90" s="30"/>
      <c r="JS90" s="30"/>
      <c r="JT90" s="30"/>
      <c r="JU90" s="30"/>
      <c r="JV90" s="30"/>
      <c r="JW90" s="30"/>
      <c r="JX90" s="30"/>
      <c r="JY90" s="30"/>
      <c r="JZ90" s="30"/>
      <c r="KA90" s="30"/>
      <c r="KB90" s="30"/>
      <c r="KC90" s="30"/>
      <c r="KD90" s="30"/>
      <c r="KE90" s="30"/>
      <c r="KF90" s="30"/>
      <c r="KG90" s="30"/>
      <c r="KH90" s="30"/>
    </row>
    <row r="91" s="83" customFormat="true" ht="14.4" hidden="false" customHeight="false" outlineLevel="0" collapsed="false">
      <c r="A91" s="74"/>
      <c r="B91" s="30"/>
      <c r="C91" s="85" t="s">
        <v>134</v>
      </c>
      <c r="D91" s="217" t="n">
        <f aca="false">IF(AND($E$2="No",$E$3="No"),SUM(H91:K91),IF(AND($E$2="Yes", $E$3="No"), SUM(H91:K91)+M91, IF(AND($E$2="No", $E$3="Yes"),SUM(H91:K91)+L91, SUM(H91:K91)+M91+L91)))</f>
        <v>-0.151723171386758</v>
      </c>
      <c r="E91" s="89" t="n">
        <f aca="false">IF(AND($E$2="No",$E$3="No"),SUM(G91:K91,N91:O91),IF(AND($E$2="Yes",$E$3="No"), SUM(G91:K91,N91:O91)+M91, IF(AND($E$2="No", $E$3="Yes"),SUM(G91:K91,N91:O91)+L91, SUM(G91:K91,N91:O91)+M91+L91)))</f>
        <v>1.26560389937623</v>
      </c>
      <c r="F91" s="88" t="n">
        <f aca="false">SUM(Q91:S91)/(1-'Common input data'!B$127)</f>
        <v>1.66397047326048</v>
      </c>
      <c r="G91" s="87" t="n">
        <f aca="false">'Input data dairy products'!$D$17*G9*'Common input data'!D$40</f>
        <v>1.2373799351385</v>
      </c>
      <c r="H91" s="87" t="n">
        <f aca="false">'Input data dairy products'!$D$17*H9*'Common input data'!D$40</f>
        <v>0</v>
      </c>
      <c r="I91" s="87" t="n">
        <f aca="false">'Input data dairy products'!$D$17*I9*'Common input data'!D$40</f>
        <v>0</v>
      </c>
      <c r="J91" s="87" t="n">
        <f aca="false">'Input data dairy products'!$D$17*J9*'Common input data'!D$40</f>
        <v>0</v>
      </c>
      <c r="K91" s="87" t="n">
        <f aca="false">'Input data dairy products'!$D$17*K9*'Common input data'!D$40</f>
        <v>0</v>
      </c>
      <c r="L91" s="87" t="n">
        <f aca="false">'Input data dairy products'!$D$17*L9*'Common input data'!D$40</f>
        <v>-0.268704115452564</v>
      </c>
      <c r="M91" s="87" t="n">
        <f aca="false">'Input data dairy products'!$D$17*M9*'Common input data'!D$40</f>
        <v>0.116980944065806</v>
      </c>
      <c r="N91" s="87" t="n">
        <f aca="false">'Input data dairy products'!$D$17*N9*'Common input data'!D$40</f>
        <v>0.158767821407749</v>
      </c>
      <c r="O91" s="87" t="n">
        <f aca="false">'Input data dairy products'!$D$17*O9*'Common input data'!D$40</f>
        <v>0.0211793142167354</v>
      </c>
      <c r="P91" s="87" t="n">
        <f aca="false">'Input data dairy products'!G$29*'Common input data'!D$40</f>
        <v>0.282</v>
      </c>
      <c r="Q91" s="218" t="n">
        <f aca="false">IF(AND($E$2="No",$E$3="No"),SUM(G91:K91,N91:P91),IF(AND($E$2="Yes",$E$3="No"), SUM(G91:K91,N91:P91)+M91, IF(AND($E$2="No", $E$3="Yes"),SUM(G91:K91,N91:P91)+L91, SUM(G91:K91,N91:P91)+M91+L91)))</f>
        <v>1.54760389937623</v>
      </c>
      <c r="R91" s="89" t="n">
        <f aca="false">'Common input data'!B$91</f>
        <v>0.05</v>
      </c>
      <c r="S91" s="89" t="n">
        <f aca="false">'Common input data'!C$98</f>
        <v>0.03</v>
      </c>
      <c r="T91" s="74"/>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c r="FQ91" s="30"/>
      <c r="FR91" s="30"/>
      <c r="FS91" s="30"/>
      <c r="FT91" s="30"/>
      <c r="FU91" s="30"/>
      <c r="FV91" s="30"/>
      <c r="FW91" s="30"/>
      <c r="FX91" s="30"/>
      <c r="FY91" s="30"/>
      <c r="FZ91" s="30"/>
      <c r="GA91" s="30"/>
      <c r="GB91" s="30"/>
      <c r="GC91" s="30"/>
      <c r="GD91" s="30"/>
      <c r="GE91" s="30"/>
      <c r="GF91" s="30"/>
      <c r="GG91" s="30"/>
      <c r="GH91" s="30"/>
      <c r="GI91" s="30"/>
      <c r="GJ91" s="30"/>
      <c r="GK91" s="30"/>
      <c r="GL91" s="30"/>
      <c r="GM91" s="30"/>
      <c r="GN91" s="30"/>
      <c r="GO91" s="30"/>
      <c r="GP91" s="30"/>
      <c r="GQ91" s="30"/>
      <c r="GR91" s="30"/>
      <c r="GS91" s="30"/>
      <c r="GT91" s="30"/>
      <c r="GU91" s="30"/>
      <c r="GV91" s="30"/>
      <c r="GW91" s="30"/>
      <c r="GX91" s="30"/>
      <c r="GY91" s="30"/>
      <c r="GZ91" s="30"/>
      <c r="HA91" s="30"/>
      <c r="HB91" s="30"/>
      <c r="HC91" s="30"/>
      <c r="HD91" s="30"/>
      <c r="HE91" s="30"/>
      <c r="HF91" s="30"/>
      <c r="HG91" s="30"/>
      <c r="HH91" s="30"/>
      <c r="HI91" s="30"/>
      <c r="HJ91" s="30"/>
      <c r="HK91" s="30"/>
      <c r="HL91" s="30"/>
      <c r="HM91" s="30"/>
      <c r="HN91" s="30"/>
      <c r="HO91" s="30"/>
      <c r="HP91" s="30"/>
      <c r="HQ91" s="30"/>
      <c r="HR91" s="30"/>
      <c r="HS91" s="30"/>
      <c r="HT91" s="30"/>
      <c r="HU91" s="30"/>
      <c r="HV91" s="30"/>
      <c r="HW91" s="30"/>
      <c r="HX91" s="30"/>
      <c r="HY91" s="30"/>
      <c r="HZ91" s="30"/>
      <c r="IA91" s="30"/>
      <c r="IB91" s="30"/>
      <c r="IC91" s="30"/>
      <c r="ID91" s="30"/>
      <c r="IE91" s="30"/>
      <c r="IF91" s="30"/>
      <c r="IG91" s="30"/>
      <c r="IH91" s="30"/>
      <c r="II91" s="30"/>
      <c r="IJ91" s="30"/>
      <c r="IK91" s="30"/>
      <c r="IL91" s="30"/>
      <c r="IM91" s="30"/>
      <c r="IN91" s="30"/>
      <c r="IO91" s="30"/>
      <c r="IP91" s="30"/>
      <c r="IQ91" s="30"/>
      <c r="IR91" s="30"/>
      <c r="IS91" s="30"/>
      <c r="IT91" s="30"/>
      <c r="IU91" s="30"/>
      <c r="IV91" s="30"/>
      <c r="IW91" s="30"/>
      <c r="IX91" s="30"/>
      <c r="IY91" s="30"/>
      <c r="IZ91" s="30"/>
      <c r="JA91" s="30"/>
      <c r="JB91" s="30"/>
      <c r="JC91" s="30"/>
      <c r="JD91" s="30"/>
      <c r="JE91" s="30"/>
      <c r="JF91" s="30"/>
      <c r="JG91" s="30"/>
      <c r="JH91" s="30"/>
      <c r="JI91" s="30"/>
      <c r="JJ91" s="30"/>
      <c r="JK91" s="30"/>
      <c r="JL91" s="30"/>
      <c r="JM91" s="30"/>
      <c r="JN91" s="30"/>
      <c r="JO91" s="30"/>
      <c r="JP91" s="30"/>
      <c r="JQ91" s="30"/>
      <c r="JR91" s="30"/>
      <c r="JS91" s="30"/>
      <c r="JT91" s="30"/>
      <c r="JU91" s="30"/>
      <c r="JV91" s="30"/>
      <c r="JW91" s="30"/>
      <c r="JX91" s="30"/>
      <c r="JY91" s="30"/>
      <c r="JZ91" s="30"/>
      <c r="KA91" s="30"/>
      <c r="KB91" s="30"/>
      <c r="KC91" s="30"/>
      <c r="KD91" s="30"/>
      <c r="KE91" s="30"/>
      <c r="KF91" s="30"/>
      <c r="KG91" s="30"/>
      <c r="KH91" s="30"/>
      <c r="KI91" s="30"/>
      <c r="KJ91" s="30"/>
      <c r="KK91" s="30"/>
      <c r="KL91" s="30"/>
      <c r="KM91" s="30"/>
      <c r="KN91" s="30"/>
      <c r="KO91" s="30"/>
      <c r="KP91" s="30"/>
      <c r="KQ91" s="30"/>
      <c r="KR91" s="30"/>
      <c r="KS91" s="30"/>
      <c r="KT91" s="30"/>
      <c r="KU91" s="30"/>
      <c r="KV91" s="30"/>
      <c r="KW91" s="30"/>
      <c r="KX91" s="30"/>
      <c r="KY91" s="30"/>
      <c r="KZ91" s="30"/>
      <c r="LA91" s="30"/>
      <c r="LB91" s="30"/>
      <c r="LC91" s="30"/>
      <c r="LD91" s="30"/>
      <c r="LE91" s="30"/>
      <c r="LF91" s="30"/>
      <c r="LG91" s="30"/>
      <c r="LH91" s="30"/>
      <c r="LI91" s="30"/>
      <c r="LJ91" s="30"/>
      <c r="LK91" s="30"/>
      <c r="LL91" s="30"/>
      <c r="LM91" s="30"/>
      <c r="LN91" s="30"/>
      <c r="LO91" s="30"/>
      <c r="LP91" s="30"/>
      <c r="LQ91" s="30"/>
      <c r="LR91" s="30"/>
      <c r="LS91" s="30"/>
      <c r="LT91" s="30"/>
      <c r="LU91" s="30"/>
      <c r="LV91" s="30"/>
      <c r="LW91" s="30"/>
      <c r="LX91" s="30"/>
      <c r="LY91" s="30"/>
      <c r="LZ91" s="30"/>
      <c r="MA91" s="30"/>
      <c r="MB91" s="30"/>
      <c r="MC91" s="30"/>
      <c r="MD91" s="30"/>
      <c r="ME91" s="30"/>
      <c r="MF91" s="30"/>
      <c r="MG91" s="30"/>
      <c r="MH91" s="30"/>
      <c r="MI91" s="30"/>
      <c r="MJ91" s="30"/>
      <c r="MK91" s="30"/>
      <c r="ML91" s="30"/>
      <c r="MM91" s="30"/>
      <c r="MN91" s="30"/>
      <c r="MO91" s="30"/>
      <c r="MP91" s="30"/>
      <c r="MQ91" s="30"/>
      <c r="MR91" s="30"/>
      <c r="MS91" s="30"/>
      <c r="MT91" s="30"/>
      <c r="MU91" s="30"/>
      <c r="MV91" s="30"/>
      <c r="MW91" s="30"/>
      <c r="MX91" s="30"/>
      <c r="MY91" s="30"/>
      <c r="MZ91" s="30"/>
      <c r="NA91" s="30"/>
      <c r="NB91" s="30"/>
      <c r="NC91" s="30"/>
      <c r="ND91" s="30"/>
      <c r="NE91" s="30"/>
      <c r="NF91" s="30"/>
      <c r="NG91" s="30"/>
      <c r="NH91" s="30"/>
      <c r="NI91" s="30"/>
      <c r="NJ91" s="30"/>
      <c r="NK91" s="30"/>
      <c r="NL91" s="30"/>
      <c r="NM91" s="30"/>
      <c r="NN91" s="30"/>
      <c r="NO91" s="30"/>
      <c r="NP91" s="30"/>
      <c r="NQ91" s="30"/>
      <c r="NR91" s="30"/>
      <c r="NS91" s="30"/>
      <c r="NT91" s="30"/>
      <c r="NU91" s="30"/>
      <c r="NV91" s="30"/>
      <c r="NW91" s="30"/>
      <c r="NX91" s="30"/>
      <c r="NY91" s="30"/>
      <c r="NZ91" s="30"/>
      <c r="OA91" s="30"/>
      <c r="OB91" s="30"/>
      <c r="OC91" s="30"/>
      <c r="OD91" s="30"/>
      <c r="OE91" s="30"/>
      <c r="OF91" s="30"/>
      <c r="OG91" s="30"/>
      <c r="OH91" s="30"/>
      <c r="OI91" s="30"/>
      <c r="OJ91" s="30"/>
      <c r="OK91" s="30"/>
      <c r="OL91" s="30"/>
      <c r="OM91" s="30"/>
      <c r="ON91" s="30"/>
      <c r="OO91" s="30"/>
      <c r="OP91" s="30"/>
    </row>
    <row r="92" customFormat="false" ht="14.4" hidden="false" customHeight="false" outlineLevel="0" collapsed="false">
      <c r="A92" s="99"/>
      <c r="B92" s="93"/>
      <c r="C92" s="85" t="s">
        <v>135</v>
      </c>
      <c r="D92" s="217" t="n">
        <f aca="false">SUM(H92:K92)</f>
        <v>0.128246578163634</v>
      </c>
      <c r="E92" s="89" t="n">
        <f aca="false">SUM(G92:K92,N92:O92)</f>
        <v>0.12957707917856</v>
      </c>
      <c r="F92" s="88" t="n">
        <f aca="false">SUM(Q92:S92)/(1-'Common input data'!B$127)</f>
        <v>0.132472301059915</v>
      </c>
      <c r="G92" s="87" t="n">
        <f aca="false">'Input data dairy products'!$D$17*G10*'Common input data'!D$40</f>
        <v>0.00132476031265537</v>
      </c>
      <c r="H92" s="87" t="n">
        <f aca="false">'Input data dairy products'!$D$17*H10*'Common input data'!D$40</f>
        <v>0</v>
      </c>
      <c r="I92" s="87" t="n">
        <f aca="false">'Input data dairy products'!$D$17*I10*'Common input data'!D$40</f>
        <v>0.0083799982279018</v>
      </c>
      <c r="J92" s="87" t="n">
        <f aca="false">'Input data dairy products'!$D$17*J10*'Common input data'!D$40</f>
        <v>0</v>
      </c>
      <c r="K92" s="87" t="n">
        <f aca="false">'Input data dairy products'!$D$17*K10*'Common input data'!D$40</f>
        <v>0.119866579935732</v>
      </c>
      <c r="L92" s="87" t="n">
        <f aca="false">'Input data dairy products'!$D$17*L10*'Common input data'!D$40</f>
        <v>0</v>
      </c>
      <c r="M92" s="87" t="n">
        <f aca="false">'Input data dairy products'!$D$17*M10*'Common input data'!D$40</f>
        <v>0</v>
      </c>
      <c r="N92" s="87" t="n">
        <f aca="false">'Input data dairy products'!$D$17*N10*'Common input data'!D$40</f>
        <v>0</v>
      </c>
      <c r="O92" s="87" t="n">
        <f aca="false">'Input data dairy products'!$D$17*O10*'Common input data'!D$40</f>
        <v>5.74070227086427E-006</v>
      </c>
      <c r="P92" s="87" t="n">
        <v>0</v>
      </c>
      <c r="Q92" s="87" t="n">
        <f aca="false">SUM(G92:P92)</f>
        <v>0.12957707917856</v>
      </c>
      <c r="R92" s="89" t="n">
        <v>0</v>
      </c>
      <c r="S92" s="89" t="n">
        <v>0</v>
      </c>
      <c r="T92" s="74"/>
    </row>
    <row r="93" customFormat="false" ht="14.4" hidden="false" customHeight="false" outlineLevel="0" collapsed="false">
      <c r="A93" s="100"/>
      <c r="B93" s="87"/>
      <c r="C93" s="31" t="s">
        <v>136</v>
      </c>
      <c r="D93" s="217" t="n">
        <f aca="false">SUM(H93:K93)</f>
        <v>0.00492406115613001</v>
      </c>
      <c r="E93" s="89" t="n">
        <f aca="false">SUM(G93:K93,N93:O93)</f>
        <v>0.00617642193743492</v>
      </c>
      <c r="F93" s="88" t="n">
        <f aca="false">SUM(Q93:S93)/(1-'Common input data'!B$127)</f>
        <v>0.00631442560332323</v>
      </c>
      <c r="G93" s="87" t="n">
        <f aca="false">'Input data dairy products'!$D$17*G11*'Common input data'!D$40</f>
        <v>0.0012518256202821</v>
      </c>
      <c r="H93" s="87" t="n">
        <f aca="false">'Input data dairy products'!$D$17*H11*'Common input data'!D$40</f>
        <v>0.0031641106010842</v>
      </c>
      <c r="I93" s="87" t="n">
        <f aca="false">'Input data dairy products'!$D$17*I11*'Common input data'!D$40</f>
        <v>0.00162237570777023</v>
      </c>
      <c r="J93" s="87" t="n">
        <f aca="false">'Input data dairy products'!$D$17*J11*'Common input data'!D$40</f>
        <v>0.000137574847275577</v>
      </c>
      <c r="K93" s="87" t="n">
        <f aca="false">'Input data dairy products'!$D$17*K11*'Common input data'!D$40</f>
        <v>0</v>
      </c>
      <c r="L93" s="87" t="n">
        <f aca="false">'Input data dairy products'!$D$17*L11*'Common input data'!D$40</f>
        <v>0</v>
      </c>
      <c r="M93" s="87" t="n">
        <f aca="false">'Input data dairy products'!$D$17*M11*'Common input data'!D$40</f>
        <v>0</v>
      </c>
      <c r="N93" s="87" t="n">
        <f aca="false">'Input data dairy products'!$D$17*N11*'Common input data'!D$40</f>
        <v>0</v>
      </c>
      <c r="O93" s="87" t="n">
        <f aca="false">'Input data dairy products'!$D$17*O11*'Common input data'!D$40</f>
        <v>5.35161022806125E-007</v>
      </c>
      <c r="P93" s="87" t="n">
        <v>0</v>
      </c>
      <c r="Q93" s="87" t="n">
        <f aca="false">SUM(G93:P93)</f>
        <v>0.00617642193743492</v>
      </c>
      <c r="R93" s="89" t="n">
        <v>0</v>
      </c>
      <c r="S93" s="89" t="n">
        <v>0</v>
      </c>
      <c r="T93" s="74"/>
    </row>
    <row r="94" s="83" customFormat="true" ht="14.4" hidden="false" customHeight="false" outlineLevel="0" collapsed="false">
      <c r="A94" s="75" t="s">
        <v>139</v>
      </c>
      <c r="B94" s="188" t="n">
        <f aca="false">'Input data dairy products'!C18</f>
        <v>0.16</v>
      </c>
      <c r="C94" s="78" t="s">
        <v>133</v>
      </c>
      <c r="D94" s="94" t="n">
        <f aca="false">IF($E$1="GWP100 without fb",D95+D96*'Common input data'!$C$5+D97*'Common input data'!$D$5,IF($E$1="GWP100 with fb",D95+D96*'Common input data'!$C$6+D97*'Common input data'!$D$6,IF($E$1="GTP100 without fb",D95+D96*'Common input data'!$C$7+D97*'Common input data'!$D$7,IF($E$1="GTP100 with fb",D95+D96*'Common input data'!$C$8+D97*'Common input data'!$D$8,D95+D96*'Common input data'!$C$9+D97*'Common input data'!$D$9))))</f>
        <v>5.67603071070355</v>
      </c>
      <c r="E94" s="95" t="n">
        <f aca="false">IF($E$1="GWP100 without fb",E95+E96*'Common input data'!$C$5+E97*'Common input data'!$D$5,IF($E$1="GWP100 with fb",E95+E96*'Common input data'!$C$6+E97*'Common input data'!$D$6,IF($E$1="GTP100 without fb",E95+E96*'Common input data'!$C$7+E97*'Common input data'!$D$7,IF($E$1="GTP100 with fb",E95+E96*'Common input data'!$C$8+E97*'Common input data'!$D$8,E95+E96*'Common input data'!$C$9+E97*'Common input data'!$D$9))))</f>
        <v>7.51179832880289</v>
      </c>
      <c r="F94" s="96" t="n">
        <f aca="false">IF($E$1="GWP100 without fb",F95+F96*'Common input data'!$C$5+F97*'Common input data'!$D$5,IF($E$1="GWP100 with fb",F95+F96*'Common input data'!$C$6+F97*'Common input data'!$D$6,IF($E$1="GTP100 without fb",F95+F96*'Common input data'!$C$7+F97*'Common input data'!$D$7,IF($E$1="GTP100 with fb",F95+F96*'Common input data'!$C$8+F97*'Common input data'!$D$8,F95+F96*'Common input data'!$C$9+F97*'Common input data'!$D$9))))</f>
        <v>8.10084472042111</v>
      </c>
      <c r="G94" s="97"/>
      <c r="P94" s="97"/>
      <c r="Q94" s="97"/>
      <c r="R94" s="98"/>
      <c r="S94" s="98"/>
      <c r="T94" s="74"/>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c r="FQ94" s="30"/>
      <c r="FR94" s="30"/>
      <c r="FS94" s="30"/>
      <c r="FT94" s="30"/>
      <c r="FU94" s="30"/>
      <c r="FV94" s="30"/>
      <c r="FW94" s="30"/>
      <c r="FX94" s="30"/>
      <c r="FY94" s="30"/>
      <c r="FZ94" s="30"/>
      <c r="GA94" s="30"/>
      <c r="GB94" s="30"/>
      <c r="GC94" s="30"/>
      <c r="GD94" s="30"/>
      <c r="GE94" s="30"/>
      <c r="GF94" s="30"/>
      <c r="GG94" s="30"/>
      <c r="GH94" s="30"/>
      <c r="GI94" s="30"/>
      <c r="GJ94" s="30"/>
      <c r="GK94" s="30"/>
      <c r="GL94" s="30"/>
      <c r="GM94" s="30"/>
      <c r="GN94" s="30"/>
      <c r="GO94" s="30"/>
      <c r="GP94" s="30"/>
      <c r="GQ94" s="30"/>
      <c r="GR94" s="30"/>
      <c r="GS94" s="30"/>
      <c r="GT94" s="30"/>
      <c r="GU94" s="30"/>
      <c r="GV94" s="30"/>
      <c r="GW94" s="30"/>
      <c r="GX94" s="30"/>
      <c r="GY94" s="30"/>
      <c r="GZ94" s="30"/>
      <c r="HA94" s="30"/>
      <c r="HB94" s="30"/>
      <c r="HC94" s="30"/>
      <c r="HD94" s="30"/>
      <c r="HE94" s="30"/>
      <c r="HF94" s="30"/>
      <c r="HG94" s="30"/>
      <c r="HH94" s="30"/>
      <c r="HI94" s="30"/>
      <c r="HJ94" s="30"/>
      <c r="HK94" s="30"/>
      <c r="HL94" s="30"/>
      <c r="HM94" s="30"/>
      <c r="HN94" s="30"/>
      <c r="HO94" s="30"/>
      <c r="HP94" s="30"/>
      <c r="HQ94" s="30"/>
      <c r="HR94" s="30"/>
      <c r="HS94" s="30"/>
      <c r="HT94" s="30"/>
      <c r="HU94" s="30"/>
      <c r="HV94" s="30"/>
      <c r="HW94" s="30"/>
      <c r="HX94" s="30"/>
      <c r="HY94" s="30"/>
      <c r="HZ94" s="30"/>
      <c r="IA94" s="30"/>
      <c r="IB94" s="30"/>
      <c r="IC94" s="30"/>
      <c r="ID94" s="30"/>
      <c r="IE94" s="30"/>
      <c r="IF94" s="30"/>
      <c r="IG94" s="30"/>
      <c r="IH94" s="30"/>
      <c r="II94" s="30"/>
      <c r="IJ94" s="30"/>
      <c r="IK94" s="30"/>
      <c r="IL94" s="30"/>
      <c r="IM94" s="30"/>
      <c r="IN94" s="30"/>
      <c r="IO94" s="30"/>
      <c r="IP94" s="30"/>
      <c r="IQ94" s="30"/>
      <c r="IR94" s="30"/>
      <c r="IS94" s="30"/>
      <c r="IT94" s="30"/>
      <c r="IU94" s="30"/>
      <c r="IV94" s="30"/>
      <c r="IW94" s="30"/>
      <c r="IX94" s="30"/>
      <c r="IY94" s="30"/>
      <c r="IZ94" s="30"/>
      <c r="JA94" s="30"/>
      <c r="JB94" s="30"/>
      <c r="JC94" s="30"/>
      <c r="JD94" s="30"/>
      <c r="JE94" s="30"/>
      <c r="JF94" s="30"/>
      <c r="JG94" s="30"/>
      <c r="JH94" s="30"/>
      <c r="JI94" s="30"/>
      <c r="JJ94" s="30"/>
      <c r="JK94" s="30"/>
      <c r="JL94" s="30"/>
      <c r="JM94" s="30"/>
      <c r="JN94" s="30"/>
      <c r="JO94" s="30"/>
      <c r="JP94" s="30"/>
      <c r="JQ94" s="30"/>
      <c r="JR94" s="30"/>
      <c r="JS94" s="30"/>
      <c r="JT94" s="30"/>
      <c r="JU94" s="30"/>
      <c r="JV94" s="30"/>
      <c r="JW94" s="30"/>
      <c r="JX94" s="30"/>
      <c r="JY94" s="30"/>
      <c r="JZ94" s="30"/>
      <c r="KA94" s="30"/>
      <c r="KB94" s="30"/>
      <c r="KC94" s="30"/>
      <c r="KD94" s="30"/>
      <c r="KE94" s="30"/>
      <c r="KF94" s="30"/>
      <c r="KG94" s="30"/>
      <c r="KH94" s="30"/>
    </row>
    <row r="95" s="83" customFormat="true" ht="14.4" hidden="false" customHeight="false" outlineLevel="0" collapsed="false">
      <c r="A95" s="74"/>
      <c r="B95" s="30"/>
      <c r="C95" s="85" t="s">
        <v>134</v>
      </c>
      <c r="D95" s="217" t="n">
        <f aca="false">IF(AND($E$2="No",$E$3="No"),SUM(H95:K95),IF(AND($E$2="Yes", $E$3="No"), SUM(H95:K95)+M95, IF(AND($E$2="No", $E$3="Yes"),SUM(H95:K95)+L95, SUM(H95:K95)+M95+L95)))</f>
        <v>-0.151723171386758</v>
      </c>
      <c r="E95" s="89" t="n">
        <f aca="false">IF(AND($E$2="No",$E$3="No"),SUM(G95:K95,N95:O95),IF(AND($E$2="Yes",$E$3="No"), SUM(G95:K95,N95:O95)+M95, IF(AND($E$2="No", $E$3="Yes"),SUM(G95:K95,N95:O95)+L95, SUM(G95:K95,N95:O95)+M95+L95)))</f>
        <v>1.26560389937623</v>
      </c>
      <c r="F95" s="88" t="n">
        <f aca="false">SUM(Q95:S95)/(1-'Common input data'!B$127)</f>
        <v>1.71508765459367</v>
      </c>
      <c r="G95" s="87" t="n">
        <f aca="false">'Input data dairy products'!$D$18*G9*'Common input data'!D$40</f>
        <v>1.2373799351385</v>
      </c>
      <c r="H95" s="87" t="n">
        <f aca="false">'Input data dairy products'!$D$18*H9*'Common input data'!D$40</f>
        <v>0</v>
      </c>
      <c r="I95" s="87" t="n">
        <f aca="false">'Input data dairy products'!$D$18*I9*'Common input data'!D$40</f>
        <v>0</v>
      </c>
      <c r="J95" s="87" t="n">
        <f aca="false">'Input data dairy products'!$D$18*J9*'Common input data'!D$40</f>
        <v>0</v>
      </c>
      <c r="K95" s="87" t="n">
        <f aca="false">'Input data dairy products'!$D$18*K9*'Common input data'!D$40</f>
        <v>0</v>
      </c>
      <c r="L95" s="87" t="n">
        <f aca="false">'Input data dairy products'!$D$18*L9*'Common input data'!D$40</f>
        <v>-0.268704115452564</v>
      </c>
      <c r="M95" s="87" t="n">
        <f aca="false">'Input data dairy products'!$D$18*M9*'Common input data'!D$40</f>
        <v>0.116980944065806</v>
      </c>
      <c r="N95" s="87" t="n">
        <f aca="false">'Input data dairy products'!$D$18*N9*'Common input data'!D$40</f>
        <v>0.158767821407749</v>
      </c>
      <c r="O95" s="87" t="n">
        <f aca="false">'Input data dairy products'!$D$18*O9*'Common input data'!D$40</f>
        <v>0.0211793142167354</v>
      </c>
      <c r="P95" s="87" t="n">
        <f aca="false">'Input data dairy products'!G$29*'Common input data'!D$40</f>
        <v>0.282</v>
      </c>
      <c r="Q95" s="218" t="n">
        <f aca="false">IF(AND($E$2="No",$E$3="No"),SUM(G95:K95,N95:P95),IF(AND($E$2="Yes",$E$3="No"), SUM(G95:K95,N95:P95)+M95, IF(AND($E$2="No", $E$3="Yes"),SUM(G95:K95,N95:P95)+L95, SUM(G95:K95,N95:P95)+M95+L95)))</f>
        <v>1.54760389937623</v>
      </c>
      <c r="R95" s="89" t="n">
        <f aca="false">'Common input data'!B$91</f>
        <v>0.05</v>
      </c>
      <c r="S95" s="89" t="n">
        <f aca="false">'Common input data'!B$98+'Common input data'!C$98</f>
        <v>0.08</v>
      </c>
      <c r="T95" s="74"/>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c r="FR95" s="30"/>
      <c r="FS95" s="30"/>
      <c r="FT95" s="30"/>
      <c r="FU95" s="30"/>
      <c r="FV95" s="30"/>
      <c r="FW95" s="30"/>
      <c r="FX95" s="30"/>
      <c r="FY95" s="30"/>
      <c r="FZ95" s="30"/>
      <c r="GA95" s="30"/>
      <c r="GB95" s="30"/>
      <c r="GC95" s="30"/>
      <c r="GD95" s="30"/>
      <c r="GE95" s="30"/>
      <c r="GF95" s="30"/>
      <c r="GG95" s="30"/>
      <c r="GH95" s="30"/>
      <c r="GI95" s="30"/>
      <c r="GJ95" s="30"/>
      <c r="GK95" s="30"/>
      <c r="GL95" s="30"/>
      <c r="GM95" s="30"/>
      <c r="GN95" s="30"/>
      <c r="GO95" s="30"/>
      <c r="GP95" s="30"/>
      <c r="GQ95" s="30"/>
      <c r="GR95" s="30"/>
      <c r="GS95" s="30"/>
      <c r="GT95" s="30"/>
      <c r="GU95" s="30"/>
      <c r="GV95" s="30"/>
      <c r="GW95" s="30"/>
      <c r="GX95" s="30"/>
      <c r="GY95" s="30"/>
      <c r="GZ95" s="30"/>
      <c r="HA95" s="30"/>
      <c r="HB95" s="30"/>
      <c r="HC95" s="30"/>
      <c r="HD95" s="30"/>
      <c r="HE95" s="30"/>
      <c r="HF95" s="30"/>
      <c r="HG95" s="30"/>
      <c r="HH95" s="30"/>
      <c r="HI95" s="30"/>
      <c r="HJ95" s="30"/>
      <c r="HK95" s="30"/>
      <c r="HL95" s="30"/>
      <c r="HM95" s="30"/>
      <c r="HN95" s="30"/>
      <c r="HO95" s="30"/>
      <c r="HP95" s="30"/>
      <c r="HQ95" s="30"/>
      <c r="HR95" s="30"/>
      <c r="HS95" s="30"/>
      <c r="HT95" s="30"/>
      <c r="HU95" s="30"/>
      <c r="HV95" s="30"/>
      <c r="HW95" s="30"/>
      <c r="HX95" s="30"/>
      <c r="HY95" s="30"/>
      <c r="HZ95" s="30"/>
      <c r="IA95" s="30"/>
      <c r="IB95" s="30"/>
      <c r="IC95" s="30"/>
      <c r="ID95" s="30"/>
      <c r="IE95" s="30"/>
      <c r="IF95" s="30"/>
      <c r="IG95" s="30"/>
      <c r="IH95" s="30"/>
      <c r="II95" s="30"/>
      <c r="IJ95" s="30"/>
      <c r="IK95" s="30"/>
      <c r="IL95" s="30"/>
      <c r="IM95" s="30"/>
      <c r="IN95" s="30"/>
      <c r="IO95" s="30"/>
      <c r="IP95" s="30"/>
      <c r="IQ95" s="30"/>
      <c r="IR95" s="30"/>
      <c r="IS95" s="30"/>
      <c r="IT95" s="30"/>
      <c r="IU95" s="30"/>
      <c r="IV95" s="30"/>
      <c r="IW95" s="30"/>
      <c r="IX95" s="30"/>
      <c r="IY95" s="30"/>
      <c r="IZ95" s="30"/>
      <c r="JA95" s="30"/>
      <c r="JB95" s="30"/>
      <c r="JC95" s="30"/>
      <c r="JD95" s="30"/>
      <c r="JE95" s="30"/>
      <c r="JF95" s="30"/>
      <c r="JG95" s="30"/>
      <c r="JH95" s="30"/>
      <c r="JI95" s="30"/>
      <c r="JJ95" s="30"/>
      <c r="JK95" s="30"/>
      <c r="JL95" s="30"/>
      <c r="JM95" s="30"/>
      <c r="JN95" s="30"/>
      <c r="JO95" s="30"/>
      <c r="JP95" s="30"/>
      <c r="JQ95" s="30"/>
      <c r="JR95" s="30"/>
      <c r="JS95" s="30"/>
      <c r="JT95" s="30"/>
      <c r="JU95" s="30"/>
      <c r="JV95" s="30"/>
      <c r="JW95" s="30"/>
      <c r="JX95" s="30"/>
      <c r="JY95" s="30"/>
      <c r="JZ95" s="30"/>
      <c r="KA95" s="30"/>
      <c r="KB95" s="30"/>
      <c r="KC95" s="30"/>
      <c r="KD95" s="30"/>
      <c r="KE95" s="30"/>
      <c r="KF95" s="30"/>
      <c r="KG95" s="30"/>
      <c r="KH95" s="30"/>
      <c r="KI95" s="30"/>
      <c r="KJ95" s="30"/>
      <c r="KK95" s="30"/>
      <c r="KL95" s="30"/>
      <c r="KM95" s="30"/>
      <c r="KN95" s="30"/>
      <c r="KO95" s="30"/>
      <c r="KP95" s="30"/>
      <c r="KQ95" s="30"/>
      <c r="KR95" s="30"/>
      <c r="KS95" s="30"/>
      <c r="KT95" s="30"/>
      <c r="KU95" s="30"/>
      <c r="KV95" s="30"/>
      <c r="KW95" s="30"/>
      <c r="KX95" s="30"/>
      <c r="KY95" s="30"/>
      <c r="KZ95" s="30"/>
      <c r="LA95" s="30"/>
      <c r="LB95" s="30"/>
      <c r="LC95" s="30"/>
      <c r="LD95" s="30"/>
      <c r="LE95" s="30"/>
      <c r="LF95" s="30"/>
      <c r="LG95" s="30"/>
      <c r="LH95" s="30"/>
      <c r="LI95" s="30"/>
      <c r="LJ95" s="30"/>
      <c r="LK95" s="30"/>
      <c r="LL95" s="30"/>
      <c r="LM95" s="30"/>
      <c r="LN95" s="30"/>
      <c r="LO95" s="30"/>
      <c r="LP95" s="30"/>
      <c r="LQ95" s="30"/>
      <c r="LR95" s="30"/>
      <c r="LS95" s="30"/>
      <c r="LT95" s="30"/>
      <c r="LU95" s="30"/>
      <c r="LV95" s="30"/>
      <c r="LW95" s="30"/>
      <c r="LX95" s="30"/>
      <c r="LY95" s="30"/>
      <c r="LZ95" s="30"/>
      <c r="MA95" s="30"/>
      <c r="MB95" s="30"/>
      <c r="MC95" s="30"/>
      <c r="MD95" s="30"/>
      <c r="ME95" s="30"/>
      <c r="MF95" s="30"/>
      <c r="MG95" s="30"/>
      <c r="MH95" s="30"/>
      <c r="MI95" s="30"/>
      <c r="MJ95" s="30"/>
      <c r="MK95" s="30"/>
      <c r="ML95" s="30"/>
      <c r="MM95" s="30"/>
      <c r="MN95" s="30"/>
      <c r="MO95" s="30"/>
      <c r="MP95" s="30"/>
      <c r="MQ95" s="30"/>
      <c r="MR95" s="30"/>
      <c r="MS95" s="30"/>
      <c r="MT95" s="30"/>
      <c r="MU95" s="30"/>
      <c r="MV95" s="30"/>
      <c r="MW95" s="30"/>
      <c r="MX95" s="30"/>
      <c r="MY95" s="30"/>
      <c r="MZ95" s="30"/>
      <c r="NA95" s="30"/>
      <c r="NB95" s="30"/>
      <c r="NC95" s="30"/>
      <c r="ND95" s="30"/>
      <c r="NE95" s="30"/>
      <c r="NF95" s="30"/>
      <c r="NG95" s="30"/>
      <c r="NH95" s="30"/>
      <c r="NI95" s="30"/>
      <c r="NJ95" s="30"/>
      <c r="NK95" s="30"/>
      <c r="NL95" s="30"/>
      <c r="NM95" s="30"/>
      <c r="NN95" s="30"/>
      <c r="NO95" s="30"/>
      <c r="NP95" s="30"/>
      <c r="NQ95" s="30"/>
      <c r="NR95" s="30"/>
      <c r="NS95" s="30"/>
      <c r="NT95" s="30"/>
      <c r="NU95" s="30"/>
      <c r="NV95" s="30"/>
      <c r="NW95" s="30"/>
      <c r="NX95" s="30"/>
      <c r="NY95" s="30"/>
      <c r="NZ95" s="30"/>
      <c r="OA95" s="30"/>
      <c r="OB95" s="30"/>
      <c r="OC95" s="30"/>
      <c r="OD95" s="30"/>
      <c r="OE95" s="30"/>
      <c r="OF95" s="30"/>
      <c r="OG95" s="30"/>
      <c r="OH95" s="30"/>
      <c r="OI95" s="30"/>
      <c r="OJ95" s="30"/>
      <c r="OK95" s="30"/>
      <c r="OL95" s="30"/>
      <c r="OM95" s="30"/>
      <c r="ON95" s="30"/>
      <c r="OO95" s="30"/>
      <c r="OP95" s="30"/>
    </row>
    <row r="96" customFormat="false" ht="14.4" hidden="false" customHeight="false" outlineLevel="0" collapsed="false">
      <c r="A96" s="99"/>
      <c r="B96" s="31"/>
      <c r="C96" s="85" t="s">
        <v>135</v>
      </c>
      <c r="D96" s="217" t="n">
        <f aca="false">SUM(H96:K96)</f>
        <v>0.128246578163634</v>
      </c>
      <c r="E96" s="89" t="n">
        <f aca="false">SUM(G96:K96,N96:O96)</f>
        <v>0.12957707917856</v>
      </c>
      <c r="F96" s="88" t="n">
        <f aca="false">SUM(Q96:S96)/(1-'Common input data'!B$127)</f>
        <v>0.132472301059915</v>
      </c>
      <c r="G96" s="87" t="n">
        <f aca="false">'Input data dairy products'!$D$18*G10*'Common input data'!D$40</f>
        <v>0.00132476031265537</v>
      </c>
      <c r="H96" s="87" t="n">
        <f aca="false">'Input data dairy products'!$D$18*H10*'Common input data'!D$40</f>
        <v>0</v>
      </c>
      <c r="I96" s="87" t="n">
        <f aca="false">'Input data dairy products'!$D$18*I10*'Common input data'!D$40</f>
        <v>0.0083799982279018</v>
      </c>
      <c r="J96" s="87" t="n">
        <f aca="false">'Input data dairy products'!$D$18*J10*'Common input data'!D$40</f>
        <v>0</v>
      </c>
      <c r="K96" s="87" t="n">
        <f aca="false">'Input data dairy products'!$D$18*K10*'Common input data'!D$40</f>
        <v>0.119866579935732</v>
      </c>
      <c r="L96" s="87" t="n">
        <f aca="false">'Input data dairy products'!$D$18*L10*'Common input data'!D$40</f>
        <v>0</v>
      </c>
      <c r="M96" s="87" t="n">
        <f aca="false">'Input data dairy products'!$D$18*M10*'Common input data'!D$40</f>
        <v>0</v>
      </c>
      <c r="N96" s="87" t="n">
        <f aca="false">'Input data dairy products'!$D$18*N10*'Common input data'!D$40</f>
        <v>0</v>
      </c>
      <c r="O96" s="87" t="n">
        <f aca="false">'Input data dairy products'!$D$18*O10*'Common input data'!D$40</f>
        <v>5.74070227086427E-006</v>
      </c>
      <c r="P96" s="87" t="n">
        <v>0</v>
      </c>
      <c r="Q96" s="87" t="n">
        <f aca="false">SUM(G96:P96)</f>
        <v>0.12957707917856</v>
      </c>
      <c r="R96" s="89" t="n">
        <v>0</v>
      </c>
      <c r="S96" s="89" t="n">
        <v>0</v>
      </c>
      <c r="T96" s="74"/>
    </row>
    <row r="97" customFormat="false" ht="14.4" hidden="false" customHeight="false" outlineLevel="0" collapsed="false">
      <c r="A97" s="99"/>
      <c r="B97" s="87"/>
      <c r="C97" s="31" t="s">
        <v>136</v>
      </c>
      <c r="D97" s="217" t="n">
        <f aca="false">SUM(H97:K97)</f>
        <v>0.00492406115613001</v>
      </c>
      <c r="E97" s="89" t="n">
        <f aca="false">SUM(G97:K97,N97:O97)</f>
        <v>0.00617642193743492</v>
      </c>
      <c r="F97" s="88" t="n">
        <f aca="false">SUM(Q97:S97)/(1-'Common input data'!B$127)</f>
        <v>0.00631442560332323</v>
      </c>
      <c r="G97" s="87" t="n">
        <f aca="false">'Input data dairy products'!$D$18*G11*'Common input data'!D$40</f>
        <v>0.0012518256202821</v>
      </c>
      <c r="H97" s="87" t="n">
        <f aca="false">'Input data dairy products'!$D$18*H11*'Common input data'!D$40</f>
        <v>0.0031641106010842</v>
      </c>
      <c r="I97" s="87" t="n">
        <f aca="false">'Input data dairy products'!$D$18*I11*'Common input data'!D$40</f>
        <v>0.00162237570777023</v>
      </c>
      <c r="J97" s="87" t="n">
        <f aca="false">'Input data dairy products'!$D$18*J11*'Common input data'!D$40</f>
        <v>0.000137574847275577</v>
      </c>
      <c r="K97" s="87" t="n">
        <f aca="false">'Input data dairy products'!$D$18*K11*'Common input data'!D$40</f>
        <v>0</v>
      </c>
      <c r="L97" s="87" t="n">
        <f aca="false">'Input data dairy products'!$D$18*L11*'Common input data'!D$40</f>
        <v>0</v>
      </c>
      <c r="M97" s="87" t="n">
        <f aca="false">'Input data dairy products'!$D$18*M11*'Common input data'!D$40</f>
        <v>0</v>
      </c>
      <c r="N97" s="87" t="n">
        <f aca="false">'Input data dairy products'!$D$18*N11*'Common input data'!D$40</f>
        <v>0</v>
      </c>
      <c r="O97" s="87" t="n">
        <f aca="false">'Input data dairy products'!$D$18*O11*'Common input data'!D$40</f>
        <v>5.35161022806125E-007</v>
      </c>
      <c r="P97" s="87" t="n">
        <v>0</v>
      </c>
      <c r="Q97" s="87" t="n">
        <f aca="false">SUM(G97:P97)</f>
        <v>0.00617642193743492</v>
      </c>
      <c r="R97" s="102" t="n">
        <v>0</v>
      </c>
      <c r="S97" s="89" t="n">
        <v>0</v>
      </c>
      <c r="T97" s="74"/>
    </row>
    <row r="98" s="83" customFormat="true" ht="14.4" hidden="false" customHeight="false" outlineLevel="0" collapsed="false">
      <c r="A98" s="75" t="s">
        <v>187</v>
      </c>
      <c r="B98" s="188" t="n">
        <f aca="false">'Input data dairy products'!C19</f>
        <v>0.11</v>
      </c>
      <c r="C98" s="78" t="s">
        <v>133</v>
      </c>
      <c r="D98" s="94" t="n">
        <f aca="false">IF($E$1="GWP100 without fb",D99+D100*'Common input data'!$C$5+D101*'Common input data'!$D$5,IF($E$1="GWP100 with fb",D99+D100*'Common input data'!$C$6+D101*'Common input data'!$D$6,IF($E$1="GTP100 without fb",D99+D100*'Common input data'!$C$7+D101*'Common input data'!$D$7,IF($E$1="GTP100 with fb",D99+D100*'Common input data'!$C$8+D101*'Common input data'!$D$8,D99+D100*'Common input data'!$C$9+D101*'Common input data'!$D$9))))</f>
        <v>5.67603071070355</v>
      </c>
      <c r="E98" s="95" t="n">
        <f aca="false">IF($E$1="GWP100 without fb",E99+E100*'Common input data'!$C$5+E101*'Common input data'!$D$5,IF($E$1="GWP100 with fb",E99+E100*'Common input data'!$C$6+E101*'Common input data'!$D$6,IF($E$1="GTP100 without fb",E99+E100*'Common input data'!$C$7+E101*'Common input data'!$D$7,IF($E$1="GTP100 with fb",E99+E100*'Common input data'!$C$8+E101*'Common input data'!$D$8,E99+E100*'Common input data'!$C$9+E101*'Common input data'!$D$9))))</f>
        <v>7.87983704944542</v>
      </c>
      <c r="F98" s="96" t="n">
        <f aca="false">IF($E$1="GWP100 without fb",F99+F100*'Common input data'!$C$5+F101*'Common input data'!$D$5,IF($E$1="GWP100 with fb",F99+F100*'Common input data'!$C$6+F101*'Common input data'!$D$6,IF($E$1="GTP100 without fb",F99+F100*'Common input data'!$C$7+F101*'Common input data'!$D$7,IF($E$1="GTP100 with fb",F99+F100*'Common input data'!$C$8+F101*'Common input data'!$D$8,F99+F100*'Common input data'!$C$9+F101*'Common input data'!$D$9))))</f>
        <v>8.91262514579429</v>
      </c>
      <c r="G98" s="97"/>
      <c r="P98" s="97"/>
      <c r="Q98" s="97"/>
      <c r="R98" s="98"/>
      <c r="S98" s="98"/>
      <c r="T98" s="74"/>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c r="FQ98" s="30"/>
      <c r="FR98" s="30"/>
      <c r="FS98" s="30"/>
      <c r="FT98" s="30"/>
      <c r="FU98" s="30"/>
      <c r="FV98" s="30"/>
      <c r="FW98" s="30"/>
      <c r="FX98" s="30"/>
      <c r="FY98" s="30"/>
      <c r="FZ98" s="30"/>
      <c r="GA98" s="30"/>
      <c r="GB98" s="30"/>
      <c r="GC98" s="30"/>
      <c r="GD98" s="30"/>
      <c r="GE98" s="30"/>
      <c r="GF98" s="30"/>
      <c r="GG98" s="30"/>
      <c r="GH98" s="30"/>
      <c r="GI98" s="30"/>
      <c r="GJ98" s="30"/>
      <c r="GK98" s="30"/>
      <c r="GL98" s="30"/>
      <c r="GM98" s="30"/>
      <c r="GN98" s="30"/>
      <c r="GO98" s="30"/>
      <c r="GP98" s="30"/>
      <c r="GQ98" s="30"/>
      <c r="GR98" s="30"/>
      <c r="GS98" s="30"/>
      <c r="GT98" s="30"/>
      <c r="GU98" s="30"/>
      <c r="GV98" s="30"/>
      <c r="GW98" s="30"/>
      <c r="GX98" s="30"/>
      <c r="GY98" s="30"/>
      <c r="GZ98" s="30"/>
      <c r="HA98" s="30"/>
      <c r="HB98" s="30"/>
      <c r="HC98" s="30"/>
      <c r="HD98" s="30"/>
      <c r="HE98" s="30"/>
      <c r="HF98" s="30"/>
      <c r="HG98" s="30"/>
      <c r="HH98" s="30"/>
      <c r="HI98" s="30"/>
      <c r="HJ98" s="30"/>
      <c r="HK98" s="30"/>
      <c r="HL98" s="30"/>
      <c r="HM98" s="30"/>
      <c r="HN98" s="30"/>
      <c r="HO98" s="30"/>
      <c r="HP98" s="30"/>
      <c r="HQ98" s="30"/>
      <c r="HR98" s="30"/>
      <c r="HS98" s="30"/>
      <c r="HT98" s="30"/>
      <c r="HU98" s="30"/>
      <c r="HV98" s="30"/>
      <c r="HW98" s="30"/>
      <c r="HX98" s="30"/>
      <c r="HY98" s="30"/>
      <c r="HZ98" s="30"/>
      <c r="IA98" s="30"/>
      <c r="IB98" s="30"/>
      <c r="IC98" s="30"/>
      <c r="ID98" s="30"/>
      <c r="IE98" s="30"/>
      <c r="IF98" s="30"/>
      <c r="IG98" s="30"/>
      <c r="IH98" s="30"/>
      <c r="II98" s="30"/>
      <c r="IJ98" s="30"/>
      <c r="IK98" s="30"/>
      <c r="IL98" s="30"/>
      <c r="IM98" s="30"/>
      <c r="IN98" s="30"/>
      <c r="IO98" s="30"/>
      <c r="IP98" s="30"/>
      <c r="IQ98" s="30"/>
      <c r="IR98" s="30"/>
      <c r="IS98" s="30"/>
      <c r="IT98" s="30"/>
      <c r="IU98" s="30"/>
      <c r="IV98" s="30"/>
      <c r="IW98" s="30"/>
      <c r="IX98" s="30"/>
      <c r="IY98" s="30"/>
      <c r="IZ98" s="30"/>
      <c r="JA98" s="30"/>
      <c r="JB98" s="30"/>
      <c r="JC98" s="30"/>
      <c r="JD98" s="30"/>
      <c r="JE98" s="30"/>
      <c r="JF98" s="30"/>
      <c r="JG98" s="30"/>
      <c r="JH98" s="30"/>
      <c r="JI98" s="30"/>
      <c r="JJ98" s="30"/>
      <c r="JK98" s="30"/>
      <c r="JL98" s="30"/>
      <c r="JM98" s="30"/>
      <c r="JN98" s="30"/>
      <c r="JO98" s="30"/>
      <c r="JP98" s="30"/>
      <c r="JQ98" s="30"/>
      <c r="JR98" s="30"/>
      <c r="JS98" s="30"/>
      <c r="JT98" s="30"/>
      <c r="JU98" s="30"/>
      <c r="JV98" s="30"/>
      <c r="JW98" s="30"/>
      <c r="JX98" s="30"/>
      <c r="JY98" s="30"/>
      <c r="JZ98" s="30"/>
      <c r="KA98" s="30"/>
      <c r="KB98" s="30"/>
      <c r="KC98" s="30"/>
      <c r="KD98" s="30"/>
      <c r="KE98" s="30"/>
      <c r="KF98" s="30"/>
      <c r="KG98" s="30"/>
      <c r="KH98" s="30"/>
    </row>
    <row r="99" s="83" customFormat="true" ht="14.4" hidden="false" customHeight="false" outlineLevel="0" collapsed="false">
      <c r="A99" s="74"/>
      <c r="B99" s="30"/>
      <c r="C99" s="85" t="s">
        <v>134</v>
      </c>
      <c r="D99" s="217" t="n">
        <f aca="false">IF(AND($E$2="No",$E$3="No"),SUM(H99:K99),IF(AND($E$2="Yes", $E$3="No"), SUM(H99:K99)+M99, IF(AND($E$2="No", $E$3="Yes"),SUM(H99:K99)+L99, SUM(H99:K99)+M99+L99)))</f>
        <v>-0.151723171386758</v>
      </c>
      <c r="E99" s="89" t="n">
        <f aca="false">IF(AND($E$2="No",$E$3="No"),SUM(G99:K99,N99:O99),IF(AND($E$2="Yes",$E$3="No"), SUM(G99:K99,N99:O99)+M99, IF(AND($E$2="No", $E$3="Yes"),SUM(G99:K99,N99:O99)+L99, SUM(G99:K99,N99:O99)+M99+L99)))</f>
        <v>1.63291867106332</v>
      </c>
      <c r="F99" s="88" t="n">
        <f aca="false">SUM(Q99:S99)/(1-'Common input data'!B$127)</f>
        <v>2.52612795536624</v>
      </c>
      <c r="G99" s="87" t="n">
        <f aca="false">'Input data dairy products'!$D$19*G13*'Common input data'!D$40</f>
        <v>1.2373799351385</v>
      </c>
      <c r="H99" s="87" t="n">
        <f aca="false">'Input data dairy products'!$D$19*H13*'Common input data'!D$40</f>
        <v>0</v>
      </c>
      <c r="I99" s="87" t="n">
        <f aca="false">'Input data dairy products'!$D$19*I13*'Common input data'!D$40</f>
        <v>0</v>
      </c>
      <c r="J99" s="87" t="n">
        <f aca="false">'Input data dairy products'!$D$19*J13*'Common input data'!D$40</f>
        <v>0</v>
      </c>
      <c r="K99" s="87" t="n">
        <f aca="false">'Input data dairy products'!$D$19*K13*'Common input data'!D$40</f>
        <v>0</v>
      </c>
      <c r="L99" s="87" t="n">
        <f aca="false">'Input data dairy products'!$D$19*L13*'Common input data'!D$40</f>
        <v>-0.268704115452564</v>
      </c>
      <c r="M99" s="87" t="n">
        <f aca="false">'Input data dairy products'!$D$19*M13*'Common input data'!D$40</f>
        <v>0.116980944065806</v>
      </c>
      <c r="N99" s="87" t="n">
        <f aca="false">'Input data dairy products'!$D$19*N13*'Common input data'!D$40</f>
        <v>0.482850590879237</v>
      </c>
      <c r="O99" s="87" t="n">
        <f aca="false">'Input data dairy products'!$D$19*O13*'Common input data'!D$40</f>
        <v>0.0644113164323397</v>
      </c>
      <c r="P99" s="87" t="n">
        <f aca="false">'Input data dairy products'!G$30*'Common input data'!D$40</f>
        <v>0.658</v>
      </c>
      <c r="Q99" s="218" t="n">
        <f aca="false">IF(AND($E$2="No",$E$3="No"),SUM(G99:K99,N99:P99),IF(AND($E$2="Yes",$E$3="No"), SUM(G99:K99,N99:P99)+M99, IF(AND($E$2="No", $E$3="Yes"),SUM(G99:K99,N99:P99)+L99, SUM(G99:K99,N99:P99)+M99+L99)))</f>
        <v>2.29091867106332</v>
      </c>
      <c r="R99" s="89" t="n">
        <f aca="false">'Common input data'!B$91</f>
        <v>0.05</v>
      </c>
      <c r="S99" s="89" t="n">
        <f aca="false">'Common input data'!B$99+'Common input data'!C$99</f>
        <v>0.13</v>
      </c>
      <c r="T99" s="74"/>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c r="FR99" s="30"/>
      <c r="FS99" s="30"/>
      <c r="FT99" s="30"/>
      <c r="FU99" s="30"/>
      <c r="FV99" s="30"/>
      <c r="FW99" s="30"/>
      <c r="FX99" s="30"/>
      <c r="FY99" s="30"/>
      <c r="FZ99" s="30"/>
      <c r="GA99" s="30"/>
      <c r="GB99" s="30"/>
      <c r="GC99" s="30"/>
      <c r="GD99" s="30"/>
      <c r="GE99" s="30"/>
      <c r="GF99" s="30"/>
      <c r="GG99" s="30"/>
      <c r="GH99" s="30"/>
      <c r="GI99" s="30"/>
      <c r="GJ99" s="30"/>
      <c r="GK99" s="30"/>
      <c r="GL99" s="30"/>
      <c r="GM99" s="30"/>
      <c r="GN99" s="30"/>
      <c r="GO99" s="30"/>
      <c r="GP99" s="30"/>
      <c r="GQ99" s="30"/>
      <c r="GR99" s="30"/>
      <c r="GS99" s="30"/>
      <c r="GT99" s="30"/>
      <c r="GU99" s="30"/>
      <c r="GV99" s="30"/>
      <c r="GW99" s="30"/>
      <c r="GX99" s="30"/>
      <c r="GY99" s="30"/>
      <c r="GZ99" s="30"/>
      <c r="HA99" s="30"/>
      <c r="HB99" s="30"/>
      <c r="HC99" s="30"/>
      <c r="HD99" s="30"/>
      <c r="HE99" s="30"/>
      <c r="HF99" s="30"/>
      <c r="HG99" s="30"/>
      <c r="HH99" s="30"/>
      <c r="HI99" s="30"/>
      <c r="HJ99" s="30"/>
      <c r="HK99" s="30"/>
      <c r="HL99" s="30"/>
      <c r="HM99" s="30"/>
      <c r="HN99" s="30"/>
      <c r="HO99" s="30"/>
      <c r="HP99" s="30"/>
      <c r="HQ99" s="30"/>
      <c r="HR99" s="30"/>
      <c r="HS99" s="30"/>
      <c r="HT99" s="30"/>
      <c r="HU99" s="30"/>
      <c r="HV99" s="30"/>
      <c r="HW99" s="30"/>
      <c r="HX99" s="30"/>
      <c r="HY99" s="30"/>
      <c r="HZ99" s="30"/>
      <c r="IA99" s="30"/>
      <c r="IB99" s="30"/>
      <c r="IC99" s="30"/>
      <c r="ID99" s="30"/>
      <c r="IE99" s="30"/>
      <c r="IF99" s="30"/>
      <c r="IG99" s="30"/>
      <c r="IH99" s="30"/>
      <c r="II99" s="30"/>
      <c r="IJ99" s="30"/>
      <c r="IK99" s="30"/>
      <c r="IL99" s="30"/>
      <c r="IM99" s="30"/>
      <c r="IN99" s="30"/>
      <c r="IO99" s="30"/>
      <c r="IP99" s="30"/>
      <c r="IQ99" s="30"/>
      <c r="IR99" s="30"/>
      <c r="IS99" s="30"/>
      <c r="IT99" s="30"/>
      <c r="IU99" s="30"/>
      <c r="IV99" s="30"/>
      <c r="IW99" s="30"/>
      <c r="IX99" s="30"/>
      <c r="IY99" s="30"/>
      <c r="IZ99" s="30"/>
      <c r="JA99" s="30"/>
      <c r="JB99" s="30"/>
      <c r="JC99" s="30"/>
      <c r="JD99" s="30"/>
      <c r="JE99" s="30"/>
      <c r="JF99" s="30"/>
      <c r="JG99" s="30"/>
      <c r="JH99" s="30"/>
      <c r="JI99" s="30"/>
      <c r="JJ99" s="30"/>
      <c r="JK99" s="30"/>
      <c r="JL99" s="30"/>
      <c r="JM99" s="30"/>
      <c r="JN99" s="30"/>
      <c r="JO99" s="30"/>
      <c r="JP99" s="30"/>
      <c r="JQ99" s="30"/>
      <c r="JR99" s="30"/>
      <c r="JS99" s="30"/>
      <c r="JT99" s="30"/>
      <c r="JU99" s="30"/>
      <c r="JV99" s="30"/>
      <c r="JW99" s="30"/>
      <c r="JX99" s="30"/>
      <c r="JY99" s="30"/>
      <c r="JZ99" s="30"/>
      <c r="KA99" s="30"/>
      <c r="KB99" s="30"/>
      <c r="KC99" s="30"/>
      <c r="KD99" s="30"/>
      <c r="KE99" s="30"/>
      <c r="KF99" s="30"/>
      <c r="KG99" s="30"/>
      <c r="KH99" s="30"/>
      <c r="KI99" s="30"/>
      <c r="KJ99" s="30"/>
      <c r="KK99" s="30"/>
      <c r="KL99" s="30"/>
      <c r="KM99" s="30"/>
      <c r="KN99" s="30"/>
      <c r="KO99" s="30"/>
      <c r="KP99" s="30"/>
      <c r="KQ99" s="30"/>
      <c r="KR99" s="30"/>
      <c r="KS99" s="30"/>
      <c r="KT99" s="30"/>
      <c r="KU99" s="30"/>
      <c r="KV99" s="30"/>
      <c r="KW99" s="30"/>
      <c r="KX99" s="30"/>
      <c r="KY99" s="30"/>
      <c r="KZ99" s="30"/>
      <c r="LA99" s="30"/>
      <c r="LB99" s="30"/>
      <c r="LC99" s="30"/>
      <c r="LD99" s="30"/>
      <c r="LE99" s="30"/>
      <c r="LF99" s="30"/>
      <c r="LG99" s="30"/>
      <c r="LH99" s="30"/>
      <c r="LI99" s="30"/>
      <c r="LJ99" s="30"/>
      <c r="LK99" s="30"/>
      <c r="LL99" s="30"/>
      <c r="LM99" s="30"/>
      <c r="LN99" s="30"/>
      <c r="LO99" s="30"/>
      <c r="LP99" s="30"/>
      <c r="LQ99" s="30"/>
      <c r="LR99" s="30"/>
      <c r="LS99" s="30"/>
      <c r="LT99" s="30"/>
      <c r="LU99" s="30"/>
      <c r="LV99" s="30"/>
      <c r="LW99" s="30"/>
      <c r="LX99" s="30"/>
      <c r="LY99" s="30"/>
      <c r="LZ99" s="30"/>
      <c r="MA99" s="30"/>
      <c r="MB99" s="30"/>
      <c r="MC99" s="30"/>
      <c r="MD99" s="30"/>
      <c r="ME99" s="30"/>
      <c r="MF99" s="30"/>
      <c r="MG99" s="30"/>
      <c r="MH99" s="30"/>
      <c r="MI99" s="30"/>
      <c r="MJ99" s="30"/>
      <c r="MK99" s="30"/>
      <c r="ML99" s="30"/>
      <c r="MM99" s="30"/>
      <c r="MN99" s="30"/>
      <c r="MO99" s="30"/>
      <c r="MP99" s="30"/>
      <c r="MQ99" s="30"/>
      <c r="MR99" s="30"/>
      <c r="MS99" s="30"/>
      <c r="MT99" s="30"/>
      <c r="MU99" s="30"/>
      <c r="MV99" s="30"/>
      <c r="MW99" s="30"/>
      <c r="MX99" s="30"/>
      <c r="MY99" s="30"/>
      <c r="MZ99" s="30"/>
      <c r="NA99" s="30"/>
      <c r="NB99" s="30"/>
      <c r="NC99" s="30"/>
      <c r="ND99" s="30"/>
      <c r="NE99" s="30"/>
      <c r="NF99" s="30"/>
      <c r="NG99" s="30"/>
      <c r="NH99" s="30"/>
      <c r="NI99" s="30"/>
      <c r="NJ99" s="30"/>
      <c r="NK99" s="30"/>
      <c r="NL99" s="30"/>
      <c r="NM99" s="30"/>
      <c r="NN99" s="30"/>
      <c r="NO99" s="30"/>
      <c r="NP99" s="30"/>
      <c r="NQ99" s="30"/>
      <c r="NR99" s="30"/>
      <c r="NS99" s="30"/>
      <c r="NT99" s="30"/>
      <c r="NU99" s="30"/>
      <c r="NV99" s="30"/>
      <c r="NW99" s="30"/>
      <c r="NX99" s="30"/>
      <c r="NY99" s="30"/>
      <c r="NZ99" s="30"/>
      <c r="OA99" s="30"/>
      <c r="OB99" s="30"/>
      <c r="OC99" s="30"/>
      <c r="OD99" s="30"/>
      <c r="OE99" s="30"/>
      <c r="OF99" s="30"/>
      <c r="OG99" s="30"/>
      <c r="OH99" s="30"/>
      <c r="OI99" s="30"/>
      <c r="OJ99" s="30"/>
      <c r="OK99" s="30"/>
      <c r="OL99" s="30"/>
      <c r="OM99" s="30"/>
      <c r="ON99" s="30"/>
      <c r="OO99" s="30"/>
      <c r="OP99" s="30"/>
    </row>
    <row r="100" customFormat="false" ht="14.4" hidden="false" customHeight="false" outlineLevel="0" collapsed="false">
      <c r="A100" s="99"/>
      <c r="B100" s="93"/>
      <c r="C100" s="85" t="s">
        <v>135</v>
      </c>
      <c r="D100" s="217" t="n">
        <f aca="false">SUM(H100:K100)</f>
        <v>0.128246578163634</v>
      </c>
      <c r="E100" s="89" t="n">
        <f aca="false">SUM(G100:K100,N100:O100)</f>
        <v>0.129588797313093</v>
      </c>
      <c r="F100" s="88" t="n">
        <f aca="false">SUM(Q100:S100)/(1-'Common input data'!B$127)</f>
        <v>0.132484281020071</v>
      </c>
      <c r="G100" s="87" t="n">
        <f aca="false">'Input data dairy products'!$D$19*G14*'Common input data'!D$40</f>
        <v>0.00132476031265537</v>
      </c>
      <c r="H100" s="87" t="n">
        <f aca="false">'Input data dairy products'!$D$19*H14*'Common input data'!D$40</f>
        <v>0</v>
      </c>
      <c r="I100" s="87" t="n">
        <f aca="false">'Input data dairy products'!$D$19*I14*'Common input data'!D$40</f>
        <v>0.0083799982279018</v>
      </c>
      <c r="J100" s="87" t="n">
        <f aca="false">'Input data dairy products'!$D$19*J14*'Common input data'!D$40</f>
        <v>0</v>
      </c>
      <c r="K100" s="87" t="n">
        <f aca="false">'Input data dairy products'!$D$19*K14*'Common input data'!D$40</f>
        <v>0.119866579935732</v>
      </c>
      <c r="L100" s="87" t="n">
        <f aca="false">'Input data dairy products'!$D$19*L14*'Common input data'!D$40</f>
        <v>0</v>
      </c>
      <c r="M100" s="87" t="n">
        <f aca="false">'Input data dairy products'!$D$19*M14*'Common input data'!D$40</f>
        <v>0</v>
      </c>
      <c r="N100" s="87" t="n">
        <f aca="false">'Input data dairy products'!$D$19*N14*'Common input data'!D$40</f>
        <v>0</v>
      </c>
      <c r="O100" s="87" t="n">
        <f aca="false">'Input data dairy products'!$D$19*O14*'Common input data'!D$40</f>
        <v>1.74588368031439E-005</v>
      </c>
      <c r="P100" s="87" t="n">
        <v>0</v>
      </c>
      <c r="Q100" s="87" t="n">
        <f aca="false">SUM(G100:P100)</f>
        <v>0.129588797313093</v>
      </c>
      <c r="R100" s="89" t="n">
        <v>0</v>
      </c>
      <c r="S100" s="89" t="n">
        <v>0</v>
      </c>
      <c r="T100" s="74"/>
    </row>
    <row r="101" customFormat="false" ht="14.4" hidden="false" customHeight="false" outlineLevel="0" collapsed="false">
      <c r="A101" s="100"/>
      <c r="B101" s="87"/>
      <c r="C101" s="31" t="s">
        <v>136</v>
      </c>
      <c r="D101" s="217" t="n">
        <f aca="false">SUM(H101:K101)</f>
        <v>0.00492406115613001</v>
      </c>
      <c r="E101" s="89" t="n">
        <f aca="false">SUM(G101:K101,N101:O101)</f>
        <v>0.00617751432797631</v>
      </c>
      <c r="F101" s="88" t="n">
        <f aca="false">SUM(Q101:S101)/(1-'Common input data'!B$127)</f>
        <v>0.00631554240183105</v>
      </c>
      <c r="G101" s="87" t="n">
        <f aca="false">'Input data dairy products'!$D$19*G15*'Common input data'!D$40</f>
        <v>0.0012518256202821</v>
      </c>
      <c r="H101" s="87" t="n">
        <f aca="false">'Input data dairy products'!$D$19*H15*'Common input data'!D$40</f>
        <v>0.0031641106010842</v>
      </c>
      <c r="I101" s="87" t="n">
        <f aca="false">'Input data dairy products'!$D$19*I15*'Common input data'!D$40</f>
        <v>0.00162237570777023</v>
      </c>
      <c r="J101" s="87" t="n">
        <f aca="false">'Input data dairy products'!$D$19*J15*'Common input data'!D$40</f>
        <v>0.000137574847275577</v>
      </c>
      <c r="K101" s="87" t="n">
        <f aca="false">'Input data dairy products'!$D$19*K15*'Common input data'!D$40</f>
        <v>0</v>
      </c>
      <c r="L101" s="87" t="n">
        <f aca="false">'Input data dairy products'!$D$19*L15*'Common input data'!D$40</f>
        <v>0</v>
      </c>
      <c r="M101" s="87" t="n">
        <f aca="false">'Input data dairy products'!$D$19*M15*'Common input data'!D$40</f>
        <v>0</v>
      </c>
      <c r="N101" s="87" t="n">
        <f aca="false">'Input data dairy products'!$D$19*N15*'Common input data'!D$40</f>
        <v>0</v>
      </c>
      <c r="O101" s="87" t="n">
        <f aca="false">'Input data dairy products'!$D$19*O15*'Common input data'!D$40</f>
        <v>1.62755156420419E-006</v>
      </c>
      <c r="P101" s="87" t="n">
        <v>0</v>
      </c>
      <c r="Q101" s="87" t="n">
        <f aca="false">SUM(G101:P101)</f>
        <v>0.00617751432797631</v>
      </c>
      <c r="R101" s="89" t="n">
        <v>0</v>
      </c>
      <c r="S101" s="89" t="n">
        <v>0</v>
      </c>
      <c r="T101" s="74"/>
    </row>
    <row r="102" s="83" customFormat="true" ht="14.4" hidden="false" customHeight="false" outlineLevel="0" collapsed="false">
      <c r="A102" s="75" t="s">
        <v>141</v>
      </c>
      <c r="B102" s="188" t="n">
        <f aca="false">'Input data dairy products'!C20</f>
        <v>0.218</v>
      </c>
      <c r="C102" s="78" t="s">
        <v>133</v>
      </c>
      <c r="D102" s="94" t="n">
        <f aca="false">IF($E$1="GWP100 without fb",D103+D104*'Common input data'!$C$5+D105*'Common input data'!$D$5,IF($E$1="GWP100 with fb",D103+D104*'Common input data'!$C$6+D105*'Common input data'!$D$6,IF($E$1="GTP100 without fb",D103+D104*'Common input data'!$C$7+D105*'Common input data'!$D$7,IF($E$1="GTP100 with fb",D103+D104*'Common input data'!$C$8+D105*'Common input data'!$D$8,D103+D104*'Common input data'!$C$9+D105*'Common input data'!$D$9))))</f>
        <v>5.67603071070355</v>
      </c>
      <c r="E102" s="95" t="n">
        <f aca="false">IF($E$1="GWP100 without fb",E103+E104*'Common input data'!$C$5+E105*'Common input data'!$D$5,IF($E$1="GWP100 with fb",E103+E104*'Common input data'!$C$6+E105*'Common input data'!$D$6,IF($E$1="GTP100 without fb",E103+E104*'Common input data'!$C$7+E105*'Common input data'!$D$7,IF($E$1="GTP100 with fb",E103+E104*'Common input data'!$C$8+E105*'Common input data'!$D$8,E103+E104*'Common input data'!$C$9+E105*'Common input data'!$D$9))))</f>
        <v>7.87983704944542</v>
      </c>
      <c r="F102" s="96" t="n">
        <f aca="false">IF($E$1="GWP100 without fb",F103+F104*'Common input data'!$C$5+F105*'Common input data'!$D$5,IF($E$1="GWP100 with fb",F103+F104*'Common input data'!$C$6+F105*'Common input data'!$D$6,IF($E$1="GTP100 without fb",F103+F104*'Common input data'!$C$7+F105*'Common input data'!$D$7,IF($E$1="GTP100 with fb",F103+F104*'Common input data'!$C$8+F105*'Common input data'!$D$8,F103+F104*'Common input data'!$C$9+F105*'Common input data'!$D$9))))</f>
        <v>9.01485950846068</v>
      </c>
      <c r="G102" s="97"/>
      <c r="P102" s="97"/>
      <c r="Q102" s="97"/>
      <c r="R102" s="98"/>
      <c r="S102" s="98"/>
      <c r="T102" s="74"/>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c r="FQ102" s="30"/>
      <c r="FR102" s="30"/>
      <c r="FS102" s="30"/>
      <c r="FT102" s="30"/>
      <c r="FU102" s="30"/>
      <c r="FV102" s="30"/>
      <c r="FW102" s="30"/>
      <c r="FX102" s="30"/>
      <c r="FY102" s="30"/>
      <c r="FZ102" s="30"/>
      <c r="GA102" s="30"/>
      <c r="GB102" s="30"/>
      <c r="GC102" s="30"/>
      <c r="GD102" s="30"/>
      <c r="GE102" s="30"/>
      <c r="GF102" s="30"/>
      <c r="GG102" s="30"/>
      <c r="GH102" s="30"/>
      <c r="GI102" s="30"/>
      <c r="GJ102" s="30"/>
      <c r="GK102" s="30"/>
      <c r="GL102" s="30"/>
      <c r="GM102" s="30"/>
      <c r="GN102" s="30"/>
      <c r="GO102" s="30"/>
      <c r="GP102" s="30"/>
      <c r="GQ102" s="30"/>
      <c r="GR102" s="30"/>
      <c r="GS102" s="30"/>
      <c r="GT102" s="30"/>
      <c r="GU102" s="30"/>
      <c r="GV102" s="30"/>
      <c r="GW102" s="30"/>
      <c r="GX102" s="30"/>
      <c r="GY102" s="30"/>
      <c r="GZ102" s="30"/>
      <c r="HA102" s="30"/>
      <c r="HB102" s="30"/>
      <c r="HC102" s="30"/>
      <c r="HD102" s="30"/>
      <c r="HE102" s="30"/>
      <c r="HF102" s="30"/>
      <c r="HG102" s="30"/>
      <c r="HH102" s="30"/>
      <c r="HI102" s="30"/>
      <c r="HJ102" s="30"/>
      <c r="HK102" s="30"/>
      <c r="HL102" s="30"/>
      <c r="HM102" s="30"/>
      <c r="HN102" s="30"/>
      <c r="HO102" s="30"/>
      <c r="HP102" s="30"/>
      <c r="HQ102" s="30"/>
      <c r="HR102" s="30"/>
      <c r="HS102" s="30"/>
      <c r="HT102" s="30"/>
      <c r="HU102" s="30"/>
      <c r="HV102" s="30"/>
      <c r="HW102" s="30"/>
      <c r="HX102" s="30"/>
      <c r="HY102" s="30"/>
      <c r="HZ102" s="30"/>
      <c r="IA102" s="30"/>
      <c r="IB102" s="30"/>
      <c r="IC102" s="30"/>
      <c r="ID102" s="30"/>
      <c r="IE102" s="30"/>
      <c r="IF102" s="30"/>
      <c r="IG102" s="30"/>
      <c r="IH102" s="30"/>
      <c r="II102" s="30"/>
      <c r="IJ102" s="30"/>
      <c r="IK102" s="30"/>
      <c r="IL102" s="30"/>
      <c r="IM102" s="30"/>
      <c r="IN102" s="30"/>
      <c r="IO102" s="30"/>
      <c r="IP102" s="30"/>
      <c r="IQ102" s="30"/>
      <c r="IR102" s="30"/>
      <c r="IS102" s="30"/>
      <c r="IT102" s="30"/>
      <c r="IU102" s="30"/>
      <c r="IV102" s="30"/>
      <c r="IW102" s="30"/>
      <c r="IX102" s="30"/>
      <c r="IY102" s="30"/>
      <c r="IZ102" s="30"/>
      <c r="JA102" s="30"/>
      <c r="JB102" s="30"/>
      <c r="JC102" s="30"/>
      <c r="JD102" s="30"/>
      <c r="JE102" s="30"/>
      <c r="JF102" s="30"/>
      <c r="JG102" s="30"/>
      <c r="JH102" s="30"/>
      <c r="JI102" s="30"/>
      <c r="JJ102" s="30"/>
      <c r="JK102" s="30"/>
      <c r="JL102" s="30"/>
      <c r="JM102" s="30"/>
      <c r="JN102" s="30"/>
      <c r="JO102" s="30"/>
      <c r="JP102" s="30"/>
      <c r="JQ102" s="30"/>
      <c r="JR102" s="30"/>
      <c r="JS102" s="30"/>
      <c r="JT102" s="30"/>
      <c r="JU102" s="30"/>
      <c r="JV102" s="30"/>
      <c r="JW102" s="30"/>
      <c r="JX102" s="30"/>
      <c r="JY102" s="30"/>
      <c r="JZ102" s="30"/>
      <c r="KA102" s="30"/>
      <c r="KB102" s="30"/>
      <c r="KC102" s="30"/>
      <c r="KD102" s="30"/>
      <c r="KE102" s="30"/>
      <c r="KF102" s="30"/>
      <c r="KG102" s="30"/>
      <c r="KH102" s="30"/>
    </row>
    <row r="103" s="83" customFormat="true" ht="14.4" hidden="false" customHeight="false" outlineLevel="0" collapsed="false">
      <c r="A103" s="74"/>
      <c r="B103" s="30"/>
      <c r="C103" s="85" t="s">
        <v>134</v>
      </c>
      <c r="D103" s="217" t="n">
        <f aca="false">IF(AND($E$2="No",$E$3="No"),SUM(H103:K103),IF(AND($E$2="Yes", $E$3="No"), SUM(H103:K103)+M103, IF(AND($E$2="No", $E$3="Yes"),SUM(H103:K103)+L103, SUM(H103:K103)+M103+L103)))</f>
        <v>-0.151723171386758</v>
      </c>
      <c r="E103" s="89" t="n">
        <f aca="false">IF(AND($E$2="No",$E$3="No"),SUM(G103:K103,N103:O103),IF(AND($E$2="Yes",$E$3="No"), SUM(G103:K103,N103:O103)+M103, IF(AND($E$2="No", $E$3="Yes"),SUM(G103:K103,N103:O103)+L103, SUM(G103:K103,N103:O103)+M103+L103)))</f>
        <v>1.63291867106332</v>
      </c>
      <c r="F103" s="88" t="n">
        <f aca="false">SUM(Q103:S103)/(1-'Common input data'!B$127)</f>
        <v>2.62836231803262</v>
      </c>
      <c r="G103" s="87" t="n">
        <f aca="false">'Input data dairy products'!$D$20*G13*'Common input data'!D$40</f>
        <v>1.2373799351385</v>
      </c>
      <c r="H103" s="87" t="n">
        <f aca="false">'Input data dairy products'!$D$20*H13*'Common input data'!D$40</f>
        <v>0</v>
      </c>
      <c r="I103" s="87" t="n">
        <f aca="false">'Input data dairy products'!$D$20*I13*'Common input data'!D$40</f>
        <v>0</v>
      </c>
      <c r="J103" s="87" t="n">
        <f aca="false">'Input data dairy products'!$D$20*J13*'Common input data'!D$40</f>
        <v>0</v>
      </c>
      <c r="K103" s="87" t="n">
        <f aca="false">'Input data dairy products'!$D$20*K13*'Common input data'!D$40</f>
        <v>0</v>
      </c>
      <c r="L103" s="87" t="n">
        <f aca="false">'Input data dairy products'!$D$20*L13*'Common input data'!D$40</f>
        <v>-0.268704115452564</v>
      </c>
      <c r="M103" s="87" t="n">
        <f aca="false">'Input data dairy products'!$D$20*M13*'Common input data'!D$40</f>
        <v>0.116980944065806</v>
      </c>
      <c r="N103" s="87" t="n">
        <f aca="false">'Input data dairy products'!$D$20*N13*'Common input data'!D$40</f>
        <v>0.482850590879237</v>
      </c>
      <c r="O103" s="87" t="n">
        <f aca="false">'Input data dairy products'!$D$20*O13*'Common input data'!D$40</f>
        <v>0.0644113164323397</v>
      </c>
      <c r="P103" s="87" t="n">
        <f aca="false">'Input data dairy products'!G$30*'Common input data'!D$40</f>
        <v>0.658</v>
      </c>
      <c r="Q103" s="218" t="n">
        <f aca="false">IF(AND($E$2="No",$E$3="No"),SUM(G103:K103,N103:P103),IF(AND($E$2="Yes",$E$3="No"), SUM(G103:K103,N103:P103)+M103, IF(AND($E$2="No", $E$3="Yes"),SUM(G103:K103,N103:P103)+L103, SUM(G103:K103,N103:P103)+M103+L103)))</f>
        <v>2.29091867106332</v>
      </c>
      <c r="R103" s="89" t="n">
        <f aca="false">'Common input data'!B$91</f>
        <v>0.05</v>
      </c>
      <c r="S103" s="89" t="n">
        <f aca="false">'Common input data'!B$102+'Common input data'!C$102</f>
        <v>0.23</v>
      </c>
      <c r="T103" s="74"/>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c r="FQ103" s="30"/>
      <c r="FR103" s="30"/>
      <c r="FS103" s="30"/>
      <c r="FT103" s="30"/>
      <c r="FU103" s="30"/>
      <c r="FV103" s="30"/>
      <c r="FW103" s="30"/>
      <c r="FX103" s="30"/>
      <c r="FY103" s="30"/>
      <c r="FZ103" s="30"/>
      <c r="GA103" s="30"/>
      <c r="GB103" s="30"/>
      <c r="GC103" s="30"/>
      <c r="GD103" s="30"/>
      <c r="GE103" s="30"/>
      <c r="GF103" s="30"/>
      <c r="GG103" s="30"/>
      <c r="GH103" s="30"/>
      <c r="GI103" s="30"/>
      <c r="GJ103" s="30"/>
      <c r="GK103" s="30"/>
      <c r="GL103" s="30"/>
      <c r="GM103" s="30"/>
      <c r="GN103" s="30"/>
      <c r="GO103" s="30"/>
      <c r="GP103" s="30"/>
      <c r="GQ103" s="30"/>
      <c r="GR103" s="30"/>
      <c r="GS103" s="30"/>
      <c r="GT103" s="30"/>
      <c r="GU103" s="30"/>
      <c r="GV103" s="30"/>
      <c r="GW103" s="30"/>
      <c r="GX103" s="30"/>
      <c r="GY103" s="30"/>
      <c r="GZ103" s="30"/>
      <c r="HA103" s="30"/>
      <c r="HB103" s="30"/>
      <c r="HC103" s="30"/>
      <c r="HD103" s="30"/>
      <c r="HE103" s="30"/>
      <c r="HF103" s="30"/>
      <c r="HG103" s="30"/>
      <c r="HH103" s="30"/>
      <c r="HI103" s="30"/>
      <c r="HJ103" s="30"/>
      <c r="HK103" s="30"/>
      <c r="HL103" s="30"/>
      <c r="HM103" s="30"/>
      <c r="HN103" s="30"/>
      <c r="HO103" s="30"/>
      <c r="HP103" s="30"/>
      <c r="HQ103" s="30"/>
      <c r="HR103" s="30"/>
      <c r="HS103" s="30"/>
      <c r="HT103" s="30"/>
      <c r="HU103" s="30"/>
      <c r="HV103" s="30"/>
      <c r="HW103" s="30"/>
      <c r="HX103" s="30"/>
      <c r="HY103" s="30"/>
      <c r="HZ103" s="30"/>
      <c r="IA103" s="30"/>
      <c r="IB103" s="30"/>
      <c r="IC103" s="30"/>
      <c r="ID103" s="30"/>
      <c r="IE103" s="30"/>
      <c r="IF103" s="30"/>
      <c r="IG103" s="30"/>
      <c r="IH103" s="30"/>
      <c r="II103" s="30"/>
      <c r="IJ103" s="30"/>
      <c r="IK103" s="30"/>
      <c r="IL103" s="30"/>
      <c r="IM103" s="30"/>
      <c r="IN103" s="30"/>
      <c r="IO103" s="30"/>
      <c r="IP103" s="30"/>
      <c r="IQ103" s="30"/>
      <c r="IR103" s="30"/>
      <c r="IS103" s="30"/>
      <c r="IT103" s="30"/>
      <c r="IU103" s="30"/>
      <c r="IV103" s="30"/>
      <c r="IW103" s="30"/>
      <c r="IX103" s="30"/>
      <c r="IY103" s="30"/>
      <c r="IZ103" s="30"/>
      <c r="JA103" s="30"/>
      <c r="JB103" s="30"/>
      <c r="JC103" s="30"/>
      <c r="JD103" s="30"/>
      <c r="JE103" s="30"/>
      <c r="JF103" s="30"/>
      <c r="JG103" s="30"/>
      <c r="JH103" s="30"/>
      <c r="JI103" s="30"/>
      <c r="JJ103" s="30"/>
      <c r="JK103" s="30"/>
      <c r="JL103" s="30"/>
      <c r="JM103" s="30"/>
      <c r="JN103" s="30"/>
      <c r="JO103" s="30"/>
      <c r="JP103" s="30"/>
      <c r="JQ103" s="30"/>
      <c r="JR103" s="30"/>
      <c r="JS103" s="30"/>
      <c r="JT103" s="30"/>
      <c r="JU103" s="30"/>
      <c r="JV103" s="30"/>
      <c r="JW103" s="30"/>
      <c r="JX103" s="30"/>
      <c r="JY103" s="30"/>
      <c r="JZ103" s="30"/>
      <c r="KA103" s="30"/>
      <c r="KB103" s="30"/>
      <c r="KC103" s="30"/>
      <c r="KD103" s="30"/>
      <c r="KE103" s="30"/>
      <c r="KF103" s="30"/>
      <c r="KG103" s="30"/>
      <c r="KH103" s="30"/>
      <c r="KI103" s="30"/>
      <c r="KJ103" s="30"/>
      <c r="KK103" s="30"/>
      <c r="KL103" s="30"/>
      <c r="KM103" s="30"/>
      <c r="KN103" s="30"/>
      <c r="KO103" s="30"/>
      <c r="KP103" s="30"/>
      <c r="KQ103" s="30"/>
      <c r="KR103" s="30"/>
      <c r="KS103" s="30"/>
      <c r="KT103" s="30"/>
      <c r="KU103" s="30"/>
      <c r="KV103" s="30"/>
      <c r="KW103" s="30"/>
      <c r="KX103" s="30"/>
      <c r="KY103" s="30"/>
      <c r="KZ103" s="30"/>
      <c r="LA103" s="30"/>
      <c r="LB103" s="30"/>
      <c r="LC103" s="30"/>
      <c r="LD103" s="30"/>
      <c r="LE103" s="30"/>
      <c r="LF103" s="30"/>
      <c r="LG103" s="30"/>
      <c r="LH103" s="30"/>
      <c r="LI103" s="30"/>
      <c r="LJ103" s="30"/>
      <c r="LK103" s="30"/>
      <c r="LL103" s="30"/>
      <c r="LM103" s="30"/>
      <c r="LN103" s="30"/>
      <c r="LO103" s="30"/>
      <c r="LP103" s="30"/>
      <c r="LQ103" s="30"/>
      <c r="LR103" s="30"/>
      <c r="LS103" s="30"/>
      <c r="LT103" s="30"/>
      <c r="LU103" s="30"/>
      <c r="LV103" s="30"/>
      <c r="LW103" s="30"/>
      <c r="LX103" s="30"/>
      <c r="LY103" s="30"/>
      <c r="LZ103" s="30"/>
      <c r="MA103" s="30"/>
      <c r="MB103" s="30"/>
      <c r="MC103" s="30"/>
      <c r="MD103" s="30"/>
      <c r="ME103" s="30"/>
      <c r="MF103" s="30"/>
      <c r="MG103" s="30"/>
      <c r="MH103" s="30"/>
      <c r="MI103" s="30"/>
      <c r="MJ103" s="30"/>
      <c r="MK103" s="30"/>
      <c r="ML103" s="30"/>
      <c r="MM103" s="30"/>
      <c r="MN103" s="30"/>
      <c r="MO103" s="30"/>
      <c r="MP103" s="30"/>
      <c r="MQ103" s="30"/>
      <c r="MR103" s="30"/>
      <c r="MS103" s="30"/>
      <c r="MT103" s="30"/>
      <c r="MU103" s="30"/>
      <c r="MV103" s="30"/>
      <c r="MW103" s="30"/>
      <c r="MX103" s="30"/>
      <c r="MY103" s="30"/>
      <c r="MZ103" s="30"/>
      <c r="NA103" s="30"/>
      <c r="NB103" s="30"/>
      <c r="NC103" s="30"/>
      <c r="ND103" s="30"/>
      <c r="NE103" s="30"/>
      <c r="NF103" s="30"/>
      <c r="NG103" s="30"/>
      <c r="NH103" s="30"/>
      <c r="NI103" s="30"/>
      <c r="NJ103" s="30"/>
      <c r="NK103" s="30"/>
      <c r="NL103" s="30"/>
      <c r="NM103" s="30"/>
      <c r="NN103" s="30"/>
      <c r="NO103" s="30"/>
      <c r="NP103" s="30"/>
      <c r="NQ103" s="30"/>
      <c r="NR103" s="30"/>
      <c r="NS103" s="30"/>
      <c r="NT103" s="30"/>
      <c r="NU103" s="30"/>
      <c r="NV103" s="30"/>
      <c r="NW103" s="30"/>
      <c r="NX103" s="30"/>
      <c r="NY103" s="30"/>
      <c r="NZ103" s="30"/>
      <c r="OA103" s="30"/>
      <c r="OB103" s="30"/>
      <c r="OC103" s="30"/>
      <c r="OD103" s="30"/>
      <c r="OE103" s="30"/>
      <c r="OF103" s="30"/>
      <c r="OG103" s="30"/>
      <c r="OH103" s="30"/>
      <c r="OI103" s="30"/>
      <c r="OJ103" s="30"/>
      <c r="OK103" s="30"/>
      <c r="OL103" s="30"/>
      <c r="OM103" s="30"/>
      <c r="ON103" s="30"/>
      <c r="OO103" s="30"/>
      <c r="OP103" s="30"/>
    </row>
    <row r="104" customFormat="false" ht="14.4" hidden="false" customHeight="false" outlineLevel="0" collapsed="false">
      <c r="A104" s="99"/>
      <c r="B104" s="31"/>
      <c r="C104" s="85" t="s">
        <v>135</v>
      </c>
      <c r="D104" s="217" t="n">
        <f aca="false">SUM(H104:K104)</f>
        <v>0.128246578163634</v>
      </c>
      <c r="E104" s="89" t="n">
        <f aca="false">SUM(G104:K104,N104:O104)</f>
        <v>0.129588797313093</v>
      </c>
      <c r="F104" s="88" t="n">
        <f aca="false">SUM(Q104:S104)/(1-'Common input data'!B$127)</f>
        <v>0.132484281020071</v>
      </c>
      <c r="G104" s="87" t="n">
        <f aca="false">'Input data dairy products'!$D$20*G14*'Common input data'!D$40</f>
        <v>0.00132476031265537</v>
      </c>
      <c r="H104" s="87" t="n">
        <f aca="false">'Input data dairy products'!$D$20*H14*'Common input data'!D$40</f>
        <v>0</v>
      </c>
      <c r="I104" s="87" t="n">
        <f aca="false">'Input data dairy products'!$D$20*I14*'Common input data'!D$40</f>
        <v>0.0083799982279018</v>
      </c>
      <c r="J104" s="87" t="n">
        <f aca="false">'Input data dairy products'!$D$20*J14*'Common input data'!D$40</f>
        <v>0</v>
      </c>
      <c r="K104" s="87" t="n">
        <f aca="false">'Input data dairy products'!$D$20*K14*'Common input data'!D$40</f>
        <v>0.119866579935732</v>
      </c>
      <c r="L104" s="87" t="n">
        <f aca="false">'Input data dairy products'!$D$20*L14*'Common input data'!D$40</f>
        <v>0</v>
      </c>
      <c r="M104" s="87" t="n">
        <f aca="false">'Input data dairy products'!$D$20*M14*'Common input data'!D$40</f>
        <v>0</v>
      </c>
      <c r="N104" s="87" t="n">
        <f aca="false">'Input data dairy products'!$D$20*N14*'Common input data'!D$40</f>
        <v>0</v>
      </c>
      <c r="O104" s="87" t="n">
        <f aca="false">'Input data dairy products'!$D$20*O14*'Common input data'!D$40</f>
        <v>1.74588368031439E-005</v>
      </c>
      <c r="P104" s="87" t="n">
        <v>0</v>
      </c>
      <c r="Q104" s="87" t="n">
        <f aca="false">SUM(G104:P104)</f>
        <v>0.129588797313093</v>
      </c>
      <c r="R104" s="89" t="n">
        <v>0</v>
      </c>
      <c r="S104" s="89" t="n">
        <v>0</v>
      </c>
      <c r="T104" s="74"/>
    </row>
    <row r="105" customFormat="false" ht="14.4" hidden="false" customHeight="false" outlineLevel="0" collapsed="false">
      <c r="A105" s="99"/>
      <c r="B105" s="87"/>
      <c r="C105" s="31" t="s">
        <v>136</v>
      </c>
      <c r="D105" s="219" t="n">
        <f aca="false">SUM(H105:K105)</f>
        <v>0.00492406115613001</v>
      </c>
      <c r="E105" s="126" t="n">
        <f aca="false">SUM(G105:K105,N105:O105)</f>
        <v>0.00617751432797631</v>
      </c>
      <c r="F105" s="106" t="n">
        <f aca="false">SUM(Q105:S105)/(1-'Common input data'!B$127)</f>
        <v>0.00631554240183105</v>
      </c>
      <c r="G105" s="87" t="n">
        <f aca="false">'Input data dairy products'!$D$20*G15*'Common input data'!D$40</f>
        <v>0.0012518256202821</v>
      </c>
      <c r="H105" s="87" t="n">
        <f aca="false">'Input data dairy products'!$D$20*H15*'Common input data'!D$40</f>
        <v>0.0031641106010842</v>
      </c>
      <c r="I105" s="87" t="n">
        <f aca="false">'Input data dairy products'!$D$20*I15*'Common input data'!D$40</f>
        <v>0.00162237570777023</v>
      </c>
      <c r="J105" s="87" t="n">
        <f aca="false">'Input data dairy products'!$D$20*J15*'Common input data'!D$40</f>
        <v>0.000137574847275577</v>
      </c>
      <c r="K105" s="87" t="n">
        <f aca="false">'Input data dairy products'!$D$20*K15*'Common input data'!D$40</f>
        <v>0</v>
      </c>
      <c r="L105" s="87" t="n">
        <f aca="false">'Input data dairy products'!$D$20*L15*'Common input data'!D$40</f>
        <v>0</v>
      </c>
      <c r="M105" s="87" t="n">
        <f aca="false">'Input data dairy products'!$D$20*M15*'Common input data'!D$40</f>
        <v>0</v>
      </c>
      <c r="N105" s="87" t="n">
        <f aca="false">'Input data dairy products'!$D$20*N15*'Common input data'!D$40</f>
        <v>0</v>
      </c>
      <c r="O105" s="87" t="n">
        <f aca="false">'Input data dairy products'!$D$20*O15*'Common input data'!D$40</f>
        <v>1.62755156420419E-006</v>
      </c>
      <c r="P105" s="87" t="n">
        <v>0</v>
      </c>
      <c r="Q105" s="87" t="n">
        <f aca="false">SUM(G105:P105)</f>
        <v>0.00617751432797631</v>
      </c>
      <c r="R105" s="102" t="n">
        <v>0</v>
      </c>
      <c r="S105" s="89" t="n">
        <v>0</v>
      </c>
      <c r="T105" s="74"/>
    </row>
    <row r="106" s="113" customFormat="true" ht="14.4" hidden="false" customHeight="false" outlineLevel="0" collapsed="false">
      <c r="A106" s="107" t="s">
        <v>190</v>
      </c>
      <c r="B106" s="69"/>
      <c r="C106" s="109"/>
      <c r="D106" s="221" t="s">
        <v>191</v>
      </c>
      <c r="E106" s="222" t="s">
        <v>191</v>
      </c>
      <c r="F106" s="223" t="s">
        <v>191</v>
      </c>
      <c r="G106" s="69"/>
      <c r="P106" s="69"/>
      <c r="Q106" s="69"/>
      <c r="R106" s="224"/>
      <c r="S106" s="70"/>
      <c r="T106" s="74"/>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c r="FQ106" s="30"/>
      <c r="FR106" s="30"/>
      <c r="FS106" s="30"/>
      <c r="FT106" s="30"/>
      <c r="FU106" s="30"/>
      <c r="FV106" s="30"/>
      <c r="FW106" s="30"/>
      <c r="FX106" s="30"/>
      <c r="FY106" s="30"/>
      <c r="FZ106" s="30"/>
      <c r="GA106" s="30"/>
      <c r="GB106" s="30"/>
      <c r="GC106" s="30"/>
      <c r="GD106" s="30"/>
      <c r="GE106" s="30"/>
      <c r="GF106" s="30"/>
      <c r="GG106" s="30"/>
      <c r="GH106" s="30"/>
      <c r="GI106" s="30"/>
      <c r="GJ106" s="30"/>
      <c r="GK106" s="30"/>
      <c r="GL106" s="30"/>
      <c r="GM106" s="30"/>
      <c r="GN106" s="30"/>
      <c r="GO106" s="30"/>
      <c r="GP106" s="30"/>
      <c r="GQ106" s="30"/>
      <c r="GR106" s="30"/>
      <c r="GS106" s="30"/>
      <c r="GT106" s="30"/>
      <c r="GU106" s="30"/>
      <c r="GV106" s="30"/>
      <c r="GW106" s="30"/>
      <c r="GX106" s="30"/>
      <c r="GY106" s="30"/>
      <c r="GZ106" s="30"/>
      <c r="HA106" s="30"/>
      <c r="HB106" s="30"/>
      <c r="HC106" s="30"/>
      <c r="HD106" s="30"/>
      <c r="HE106" s="30"/>
      <c r="HF106" s="30"/>
      <c r="HG106" s="30"/>
      <c r="HH106" s="30"/>
      <c r="HI106" s="30"/>
      <c r="HJ106" s="30"/>
      <c r="HK106" s="30"/>
      <c r="HL106" s="30"/>
      <c r="HM106" s="30"/>
      <c r="HN106" s="30"/>
      <c r="HO106" s="30"/>
      <c r="HP106" s="30"/>
      <c r="HQ106" s="30"/>
      <c r="HR106" s="30"/>
      <c r="HS106" s="30"/>
      <c r="HT106" s="30"/>
      <c r="HU106" s="30"/>
      <c r="HV106" s="30"/>
      <c r="HW106" s="30"/>
      <c r="HX106" s="30"/>
      <c r="HY106" s="30"/>
      <c r="HZ106" s="30"/>
      <c r="IA106" s="30"/>
      <c r="IB106" s="30"/>
      <c r="IC106" s="30"/>
      <c r="ID106" s="30"/>
      <c r="IE106" s="30"/>
      <c r="IF106" s="30"/>
      <c r="IG106" s="30"/>
      <c r="IH106" s="30"/>
      <c r="II106" s="30"/>
      <c r="IJ106" s="30"/>
      <c r="IK106" s="30"/>
      <c r="IL106" s="30"/>
      <c r="IM106" s="30"/>
      <c r="IN106" s="30"/>
      <c r="IO106" s="30"/>
      <c r="IP106" s="30"/>
      <c r="IQ106" s="30"/>
      <c r="IR106" s="30"/>
      <c r="IS106" s="30"/>
      <c r="IT106" s="30"/>
      <c r="IU106" s="30"/>
      <c r="IV106" s="30"/>
      <c r="IW106" s="30"/>
      <c r="IX106" s="30"/>
      <c r="IY106" s="30"/>
      <c r="IZ106" s="30"/>
      <c r="JA106" s="30"/>
      <c r="JB106" s="30"/>
      <c r="JC106" s="30"/>
      <c r="JD106" s="30"/>
      <c r="JE106" s="30"/>
      <c r="JF106" s="30"/>
      <c r="JG106" s="30"/>
      <c r="JH106" s="30"/>
      <c r="JI106" s="30"/>
      <c r="JJ106" s="30"/>
      <c r="JK106" s="30"/>
      <c r="JL106" s="30"/>
      <c r="JM106" s="30"/>
      <c r="JN106" s="30"/>
      <c r="JO106" s="30"/>
      <c r="JP106" s="30"/>
      <c r="JQ106" s="30"/>
      <c r="JR106" s="30"/>
      <c r="JS106" s="30"/>
      <c r="JT106" s="30"/>
      <c r="JU106" s="30"/>
      <c r="JV106" s="30"/>
      <c r="JW106" s="30"/>
      <c r="JX106" s="30"/>
      <c r="JY106" s="30"/>
      <c r="JZ106" s="30"/>
      <c r="KA106" s="30"/>
      <c r="KB106" s="30"/>
      <c r="KC106" s="30"/>
      <c r="KD106" s="30"/>
      <c r="KE106" s="30"/>
      <c r="KF106" s="30"/>
      <c r="KG106" s="30"/>
      <c r="KH106" s="30"/>
    </row>
    <row r="107" s="83" customFormat="true" ht="14.4" hidden="false" customHeight="false" outlineLevel="0" collapsed="false">
      <c r="A107" s="75" t="s">
        <v>132</v>
      </c>
      <c r="B107" s="188" t="n">
        <f aca="false">SUM(B111:B115)</f>
        <v>1</v>
      </c>
      <c r="C107" s="78" t="s">
        <v>133</v>
      </c>
      <c r="D107" s="79" t="n">
        <f aca="false">IF($E$1="GWP100 without fb",D108+D109*'Common input data'!$C$5+D110*'Common input data'!$D$5,IF($E$1="GWP100 with fb",D108+D109*'Common input data'!$C$6+D110*'Common input data'!$D$6,IF($E$1="GTP100 without fb",D108+D109*'Common input data'!$C$7+D110*'Common input data'!$D$7,IF($E$1="GTP100 with fb",D108+D109*'Common input data'!$C$8+D110*'Common input data'!$D$8,D108+D109*'Common input data'!$C$9+D110*'Common input data'!$D$9))))</f>
        <v>4.02710198541733</v>
      </c>
      <c r="E107" s="80" t="n">
        <f aca="false">IF($E$1="GWP100 without fb",E108+E109*'Common input data'!$C$5+E110*'Common input data'!$D$5,IF($E$1="GWP100 with fb",E108+E109*'Common input data'!$C$6+E110*'Common input data'!$D$6,IF($E$1="GTP100 without fb",E108+E109*'Common input data'!$C$7+E110*'Common input data'!$D$7,IF($E$1="GTP100 with fb",E108+E109*'Common input data'!$C$8+E110*'Common input data'!$D$8,E108+E109*'Common input data'!$C$9+E110*'Common input data'!$D$9))))</f>
        <v>5.39014560678971</v>
      </c>
      <c r="F107" s="81" t="n">
        <f aca="false">IF($E$1="GWP100 without fb",F108+F109*'Common input data'!$C$5+F110*'Common input data'!$D$5,IF($E$1="GWP100 with fb",F108+F109*'Common input data'!$C$6+F110*'Common input data'!$D$6,IF($E$1="GTP100 without fb",F108+F109*'Common input data'!$C$7+F110*'Common input data'!$D$7,IF($E$1="GTP100 with fb",F108+F109*'Common input data'!$C$8+F110*'Common input data'!$D$8,F108+F109*'Common input data'!$C$9+F110*'Common input data'!$D$9))))</f>
        <v>5.71008932194767</v>
      </c>
      <c r="G107" s="82"/>
      <c r="P107" s="82"/>
      <c r="Q107" s="82"/>
      <c r="R107" s="78"/>
      <c r="S107" s="78"/>
      <c r="T107" s="74"/>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c r="GL107" s="30"/>
      <c r="GM107" s="30"/>
      <c r="GN107" s="30"/>
      <c r="GO107" s="30"/>
      <c r="GP107" s="30"/>
      <c r="GQ107" s="30"/>
      <c r="GR107" s="30"/>
      <c r="GS107" s="30"/>
      <c r="GT107" s="30"/>
      <c r="GU107" s="30"/>
      <c r="GV107" s="30"/>
      <c r="GW107" s="30"/>
      <c r="GX107" s="30"/>
      <c r="GY107" s="30"/>
      <c r="GZ107" s="30"/>
      <c r="HA107" s="30"/>
      <c r="HB107" s="30"/>
      <c r="HC107" s="30"/>
      <c r="HD107" s="30"/>
      <c r="HE107" s="30"/>
      <c r="HF107" s="30"/>
      <c r="HG107" s="30"/>
      <c r="HH107" s="30"/>
      <c r="HI107" s="30"/>
      <c r="HJ107" s="30"/>
      <c r="HK107" s="30"/>
      <c r="HL107" s="30"/>
      <c r="HM107" s="30"/>
      <c r="HN107" s="30"/>
      <c r="HO107" s="30"/>
      <c r="HP107" s="30"/>
      <c r="HQ107" s="30"/>
      <c r="HR107" s="30"/>
      <c r="HS107" s="30"/>
      <c r="HT107" s="30"/>
      <c r="HU107" s="30"/>
      <c r="HV107" s="30"/>
      <c r="HW107" s="30"/>
      <c r="HX107" s="30"/>
      <c r="HY107" s="30"/>
      <c r="HZ107" s="30"/>
      <c r="IA107" s="30"/>
      <c r="IB107" s="30"/>
      <c r="IC107" s="30"/>
      <c r="ID107" s="30"/>
      <c r="IE107" s="30"/>
      <c r="IF107" s="30"/>
      <c r="IG107" s="30"/>
      <c r="IH107" s="30"/>
      <c r="II107" s="30"/>
      <c r="IJ107" s="30"/>
      <c r="IK107" s="30"/>
      <c r="IL107" s="30"/>
      <c r="IM107" s="30"/>
      <c r="IN107" s="30"/>
      <c r="IO107" s="30"/>
      <c r="IP107" s="30"/>
      <c r="IQ107" s="30"/>
      <c r="IR107" s="30"/>
      <c r="IS107" s="30"/>
      <c r="IT107" s="30"/>
      <c r="IU107" s="30"/>
      <c r="IV107" s="30"/>
      <c r="IW107" s="30"/>
      <c r="IX107" s="30"/>
      <c r="IY107" s="30"/>
      <c r="IZ107" s="30"/>
      <c r="JA107" s="30"/>
      <c r="JB107" s="30"/>
      <c r="JC107" s="30"/>
      <c r="JD107" s="30"/>
      <c r="JE107" s="30"/>
      <c r="JF107" s="30"/>
      <c r="JG107" s="30"/>
      <c r="JH107" s="30"/>
      <c r="JI107" s="30"/>
      <c r="JJ107" s="30"/>
      <c r="JK107" s="30"/>
      <c r="JL107" s="30"/>
      <c r="JM107" s="30"/>
      <c r="JN107" s="30"/>
      <c r="JO107" s="30"/>
      <c r="JP107" s="30"/>
      <c r="JQ107" s="30"/>
      <c r="JR107" s="30"/>
      <c r="JS107" s="30"/>
      <c r="JT107" s="30"/>
      <c r="JU107" s="30"/>
      <c r="JV107" s="30"/>
      <c r="JW107" s="30"/>
      <c r="JX107" s="30"/>
      <c r="JY107" s="30"/>
      <c r="JZ107" s="30"/>
      <c r="KA107" s="30"/>
      <c r="KB107" s="30"/>
      <c r="KC107" s="30"/>
      <c r="KD107" s="30"/>
      <c r="KE107" s="30"/>
      <c r="KF107" s="30"/>
      <c r="KG107" s="30"/>
      <c r="KH107" s="30"/>
    </row>
    <row r="108" s="83" customFormat="true" ht="14.4" hidden="false" customHeight="false" outlineLevel="0" collapsed="false">
      <c r="A108" s="74"/>
      <c r="B108" s="30"/>
      <c r="C108" s="85" t="s">
        <v>134</v>
      </c>
      <c r="D108" s="217" t="n">
        <f aca="false">$B$111*D112+$B$115*D116</f>
        <v>-0.107646472661472</v>
      </c>
      <c r="E108" s="89" t="n">
        <f aca="false">$B$111*E112+$B$115*E116</f>
        <v>0.958397498523258</v>
      </c>
      <c r="F108" s="88" t="n">
        <f aca="false">$B$111*F112+$B$115*F116</f>
        <v>1.179319888482</v>
      </c>
      <c r="G108" s="89" t="n">
        <f aca="false">$B$111*G112+$B$115*G116</f>
        <v>0.877911950707924</v>
      </c>
      <c r="H108" s="89" t="n">
        <f aca="false">$B$111*H112+$B$115*H116</f>
        <v>0</v>
      </c>
      <c r="I108" s="89" t="n">
        <f aca="false">$B$111*I112+$B$115*I116</f>
        <v>0</v>
      </c>
      <c r="J108" s="89" t="n">
        <f aca="false">$B$111*J112+$B$115*J116</f>
        <v>0</v>
      </c>
      <c r="K108" s="89" t="n">
        <f aca="false">$B$111*K112+$B$115*K116</f>
        <v>0</v>
      </c>
      <c r="L108" s="89" t="n">
        <f aca="false">$B$111*L112+$B$115*L116</f>
        <v>-0.19064359091438</v>
      </c>
      <c r="M108" s="89" t="n">
        <f aca="false">$B$111*M112+$B$115*M116</f>
        <v>0.0829971182529082</v>
      </c>
      <c r="N108" s="89" t="n">
        <f aca="false">$B$111*N112+$B$115*N116</f>
        <v>0.165989366401875</v>
      </c>
      <c r="O108" s="89" t="n">
        <f aca="false">$B$111*O112+$B$115*O116</f>
        <v>0.0221426540749305</v>
      </c>
      <c r="P108" s="89" t="n">
        <f aca="false">$B$111*P112+$B$115*P116</f>
        <v>0.068748</v>
      </c>
      <c r="Q108" s="89" t="n">
        <f aca="false">$B$111*Q112+$B$115*Q116</f>
        <v>1.02714549852326</v>
      </c>
      <c r="R108" s="89" t="n">
        <f aca="false">$B$111*R112+$B$115*R116</f>
        <v>0.05</v>
      </c>
      <c r="S108" s="89" t="n">
        <f aca="false">$B$111*S112+$B$115*S116</f>
        <v>0.0764</v>
      </c>
      <c r="T108" s="74"/>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c r="FQ108" s="30"/>
      <c r="FR108" s="30"/>
      <c r="FS108" s="30"/>
      <c r="FT108" s="30"/>
      <c r="FU108" s="30"/>
      <c r="FV108" s="30"/>
      <c r="FW108" s="30"/>
      <c r="FX108" s="30"/>
      <c r="FY108" s="30"/>
      <c r="FZ108" s="30"/>
      <c r="GA108" s="30"/>
      <c r="GB108" s="30"/>
      <c r="GC108" s="30"/>
      <c r="GD108" s="30"/>
      <c r="GE108" s="30"/>
      <c r="GF108" s="30"/>
      <c r="GG108" s="30"/>
      <c r="GH108" s="30"/>
      <c r="GI108" s="30"/>
      <c r="GJ108" s="30"/>
      <c r="GK108" s="30"/>
      <c r="GL108" s="30"/>
      <c r="GM108" s="30"/>
      <c r="GN108" s="30"/>
      <c r="GO108" s="30"/>
      <c r="GP108" s="30"/>
      <c r="GQ108" s="30"/>
      <c r="GR108" s="30"/>
      <c r="GS108" s="30"/>
      <c r="GT108" s="30"/>
      <c r="GU108" s="30"/>
      <c r="GV108" s="30"/>
      <c r="GW108" s="30"/>
      <c r="GX108" s="30"/>
      <c r="GY108" s="30"/>
      <c r="GZ108" s="30"/>
      <c r="HA108" s="30"/>
      <c r="HB108" s="30"/>
      <c r="HC108" s="30"/>
      <c r="HD108" s="30"/>
      <c r="HE108" s="30"/>
      <c r="HF108" s="30"/>
      <c r="HG108" s="30"/>
      <c r="HH108" s="30"/>
      <c r="HI108" s="30"/>
      <c r="HJ108" s="30"/>
      <c r="HK108" s="30"/>
      <c r="HL108" s="30"/>
      <c r="HM108" s="30"/>
      <c r="HN108" s="30"/>
      <c r="HO108" s="30"/>
      <c r="HP108" s="30"/>
      <c r="HQ108" s="30"/>
      <c r="HR108" s="30"/>
      <c r="HS108" s="30"/>
      <c r="HT108" s="30"/>
      <c r="HU108" s="30"/>
      <c r="HV108" s="30"/>
      <c r="HW108" s="30"/>
      <c r="HX108" s="30"/>
      <c r="HY108" s="30"/>
      <c r="HZ108" s="30"/>
      <c r="IA108" s="30"/>
      <c r="IB108" s="30"/>
      <c r="IC108" s="30"/>
      <c r="ID108" s="30"/>
      <c r="IE108" s="30"/>
      <c r="IF108" s="30"/>
      <c r="IG108" s="30"/>
      <c r="IH108" s="30"/>
      <c r="II108" s="30"/>
      <c r="IJ108" s="30"/>
      <c r="IK108" s="30"/>
      <c r="IL108" s="30"/>
      <c r="IM108" s="30"/>
      <c r="IN108" s="30"/>
      <c r="IO108" s="30"/>
      <c r="IP108" s="30"/>
      <c r="IQ108" s="30"/>
      <c r="IR108" s="30"/>
      <c r="IS108" s="30"/>
      <c r="IT108" s="30"/>
      <c r="IU108" s="30"/>
      <c r="IV108" s="30"/>
      <c r="IW108" s="30"/>
      <c r="IX108" s="30"/>
      <c r="IY108" s="30"/>
      <c r="IZ108" s="30"/>
      <c r="JA108" s="30"/>
      <c r="JB108" s="30"/>
      <c r="JC108" s="30"/>
      <c r="JD108" s="30"/>
      <c r="JE108" s="30"/>
      <c r="JF108" s="30"/>
      <c r="JG108" s="30"/>
      <c r="JH108" s="30"/>
      <c r="JI108" s="30"/>
      <c r="JJ108" s="30"/>
      <c r="JK108" s="30"/>
      <c r="JL108" s="30"/>
      <c r="JM108" s="30"/>
      <c r="JN108" s="30"/>
      <c r="JO108" s="30"/>
      <c r="JP108" s="30"/>
      <c r="JQ108" s="30"/>
      <c r="JR108" s="30"/>
      <c r="JS108" s="30"/>
      <c r="JT108" s="30"/>
      <c r="JU108" s="30"/>
      <c r="JV108" s="30"/>
      <c r="JW108" s="30"/>
      <c r="JX108" s="30"/>
      <c r="JY108" s="30"/>
      <c r="JZ108" s="30"/>
      <c r="KA108" s="30"/>
      <c r="KB108" s="30"/>
      <c r="KC108" s="30"/>
      <c r="KD108" s="30"/>
      <c r="KE108" s="30"/>
      <c r="KF108" s="30"/>
      <c r="KG108" s="30"/>
      <c r="KH108" s="30"/>
      <c r="KI108" s="30"/>
      <c r="KJ108" s="30"/>
      <c r="KK108" s="30"/>
      <c r="KL108" s="30"/>
      <c r="KM108" s="30"/>
      <c r="KN108" s="30"/>
      <c r="KO108" s="30"/>
      <c r="KP108" s="30"/>
      <c r="KQ108" s="30"/>
      <c r="KR108" s="30"/>
      <c r="KS108" s="30"/>
      <c r="KT108" s="30"/>
      <c r="KU108" s="30"/>
      <c r="KV108" s="30"/>
      <c r="KW108" s="30"/>
      <c r="KX108" s="30"/>
      <c r="KY108" s="30"/>
      <c r="KZ108" s="30"/>
      <c r="LA108" s="30"/>
      <c r="LB108" s="30"/>
      <c r="LC108" s="30"/>
      <c r="LD108" s="30"/>
      <c r="LE108" s="30"/>
      <c r="LF108" s="30"/>
      <c r="LG108" s="30"/>
      <c r="LH108" s="30"/>
      <c r="LI108" s="30"/>
      <c r="LJ108" s="30"/>
      <c r="LK108" s="30"/>
      <c r="LL108" s="30"/>
      <c r="LM108" s="30"/>
      <c r="LN108" s="30"/>
      <c r="LO108" s="30"/>
      <c r="LP108" s="30"/>
      <c r="LQ108" s="30"/>
      <c r="LR108" s="30"/>
      <c r="LS108" s="30"/>
      <c r="LT108" s="30"/>
      <c r="LU108" s="30"/>
      <c r="LV108" s="30"/>
      <c r="LW108" s="30"/>
      <c r="LX108" s="30"/>
      <c r="LY108" s="30"/>
      <c r="LZ108" s="30"/>
      <c r="MA108" s="30"/>
      <c r="MB108" s="30"/>
      <c r="MC108" s="30"/>
      <c r="MD108" s="30"/>
      <c r="ME108" s="30"/>
      <c r="MF108" s="30"/>
      <c r="MG108" s="30"/>
      <c r="MH108" s="30"/>
      <c r="MI108" s="30"/>
      <c r="MJ108" s="30"/>
      <c r="MK108" s="30"/>
      <c r="ML108" s="30"/>
      <c r="MM108" s="30"/>
      <c r="MN108" s="30"/>
      <c r="MO108" s="30"/>
      <c r="MP108" s="30"/>
      <c r="MQ108" s="30"/>
      <c r="MR108" s="30"/>
      <c r="MS108" s="30"/>
      <c r="MT108" s="30"/>
      <c r="MU108" s="30"/>
      <c r="MV108" s="30"/>
      <c r="MW108" s="30"/>
      <c r="MX108" s="30"/>
      <c r="MY108" s="30"/>
      <c r="MZ108" s="30"/>
      <c r="NA108" s="30"/>
      <c r="NB108" s="30"/>
      <c r="NC108" s="30"/>
      <c r="ND108" s="30"/>
      <c r="NE108" s="30"/>
      <c r="NF108" s="30"/>
      <c r="NG108" s="30"/>
      <c r="NH108" s="30"/>
      <c r="NI108" s="30"/>
      <c r="NJ108" s="30"/>
      <c r="NK108" s="30"/>
      <c r="NL108" s="30"/>
      <c r="NM108" s="30"/>
      <c r="NN108" s="30"/>
      <c r="NO108" s="30"/>
      <c r="NP108" s="30"/>
      <c r="NQ108" s="30"/>
      <c r="NR108" s="30"/>
      <c r="NS108" s="30"/>
      <c r="NT108" s="30"/>
      <c r="NU108" s="30"/>
      <c r="NV108" s="30"/>
      <c r="NW108" s="30"/>
      <c r="NX108" s="30"/>
      <c r="NY108" s="30"/>
      <c r="NZ108" s="30"/>
      <c r="OA108" s="30"/>
      <c r="OB108" s="30"/>
      <c r="OC108" s="30"/>
      <c r="OD108" s="30"/>
      <c r="OE108" s="30"/>
      <c r="OF108" s="30"/>
      <c r="OG108" s="30"/>
      <c r="OH108" s="30"/>
      <c r="OI108" s="30"/>
      <c r="OJ108" s="30"/>
      <c r="OK108" s="30"/>
      <c r="OL108" s="30"/>
      <c r="OM108" s="30"/>
      <c r="ON108" s="30"/>
      <c r="OO108" s="30"/>
      <c r="OP108" s="30"/>
    </row>
    <row r="109" customFormat="false" ht="14.4" hidden="false" customHeight="false" outlineLevel="0" collapsed="false">
      <c r="A109" s="91"/>
      <c r="B109" s="93"/>
      <c r="C109" s="85" t="s">
        <v>135</v>
      </c>
      <c r="D109" s="217" t="n">
        <f aca="false">$B$111*D113+$B$115*D117</f>
        <v>0.0909900026741987</v>
      </c>
      <c r="E109" s="89" t="n">
        <f aca="false">$B$111*E113+$B$115*E117</f>
        <v>0.0919359121769757</v>
      </c>
      <c r="F109" s="88" t="n">
        <f aca="false">$B$111*F113+$B$115*F117</f>
        <v>0.0939900938756563</v>
      </c>
      <c r="G109" s="89" t="n">
        <f aca="false">$B$111*G113+$B$115*G117</f>
        <v>0.000939907685001803</v>
      </c>
      <c r="H109" s="89" t="n">
        <f aca="false">$B$111*H113+$B$115*H117</f>
        <v>0</v>
      </c>
      <c r="I109" s="89" t="n">
        <f aca="false">$B$111*I113+$B$115*I117</f>
        <v>0.00594554702421511</v>
      </c>
      <c r="J109" s="89" t="n">
        <f aca="false">$B$111*J113+$B$115*J117</f>
        <v>0</v>
      </c>
      <c r="K109" s="89" t="n">
        <f aca="false">$B$111*K113+$B$115*K117</f>
        <v>0.0850444556499836</v>
      </c>
      <c r="L109" s="89" t="n">
        <f aca="false">$B$111*L113+$B$115*L117</f>
        <v>0</v>
      </c>
      <c r="M109" s="89" t="n">
        <f aca="false">$B$111*M113+$B$115*M117</f>
        <v>0</v>
      </c>
      <c r="N109" s="89" t="n">
        <f aca="false">$B$111*N113+$B$115*N117</f>
        <v>0</v>
      </c>
      <c r="O109" s="89" t="n">
        <f aca="false">$B$111*O113+$B$115*O117</f>
        <v>6.0018177751229E-006</v>
      </c>
      <c r="P109" s="89" t="n">
        <f aca="false">$B$111*P113+$B$115*P117</f>
        <v>0</v>
      </c>
      <c r="Q109" s="89" t="n">
        <f aca="false">$B$111*Q113+$B$115*Q117</f>
        <v>0.0919359121769757</v>
      </c>
      <c r="R109" s="89" t="n">
        <f aca="false">$B$111*R113+$B$115*R117</f>
        <v>0</v>
      </c>
      <c r="S109" s="89" t="n">
        <f aca="false">$B$111*S113+$B$115*S117</f>
        <v>0</v>
      </c>
      <c r="T109" s="74"/>
    </row>
    <row r="110" customFormat="false" ht="14.4" hidden="false" customHeight="false" outlineLevel="0" collapsed="false">
      <c r="A110" s="91"/>
      <c r="B110" s="87"/>
      <c r="C110" s="31" t="s">
        <v>136</v>
      </c>
      <c r="D110" s="217" t="n">
        <f aca="false">$B$111*D114+$B$115*D118</f>
        <v>0.00349358512468471</v>
      </c>
      <c r="E110" s="89" t="n">
        <f aca="false">$B$111*E114+$B$115*E118</f>
        <v>0.00438230568540027</v>
      </c>
      <c r="F110" s="88" t="n">
        <f aca="false">$B$111*F114+$B$115*F118</f>
        <v>0.00448022228756162</v>
      </c>
      <c r="G110" s="89" t="n">
        <f aca="false">$B$111*G114+$B$115*G118</f>
        <v>0.000888161057925189</v>
      </c>
      <c r="H110" s="89" t="n">
        <f aca="false">$B$111*H114+$B$115*H118</f>
        <v>0.00224491316787235</v>
      </c>
      <c r="I110" s="89" t="n">
        <f aca="false">$B$111*I114+$B$115*I118</f>
        <v>0.00115106361590572</v>
      </c>
      <c r="J110" s="89" t="n">
        <f aca="false">$B$111*J114+$B$115*J118</f>
        <v>9.76083409066495E-005</v>
      </c>
      <c r="K110" s="89" t="n">
        <f aca="false">$B$111*K114+$B$115*K118</f>
        <v>0</v>
      </c>
      <c r="L110" s="89" t="n">
        <f aca="false">$B$111*L114+$B$115*L118</f>
        <v>0</v>
      </c>
      <c r="M110" s="89" t="n">
        <f aca="false">$B$111*M114+$B$115*M118</f>
        <v>0</v>
      </c>
      <c r="N110" s="89" t="n">
        <f aca="false">$B$111*N114+$B$115*N118</f>
        <v>0</v>
      </c>
      <c r="O110" s="89" t="n">
        <f aca="false">$B$111*O114+$B$115*O118</f>
        <v>5.5950279036979E-007</v>
      </c>
      <c r="P110" s="89" t="n">
        <f aca="false">$B$111*P114+$B$115*P118</f>
        <v>0</v>
      </c>
      <c r="Q110" s="89" t="n">
        <f aca="false">$B$111*Q114+$B$115*Q118</f>
        <v>0.00438230568540027</v>
      </c>
      <c r="R110" s="89" t="n">
        <f aca="false">$B$111*R114+$B$115*R118</f>
        <v>0</v>
      </c>
      <c r="S110" s="89" t="n">
        <f aca="false">$B$111*S114+$B$115*S118</f>
        <v>0</v>
      </c>
      <c r="T110" s="74"/>
    </row>
    <row r="111" s="83" customFormat="true" ht="14.4" hidden="false" customHeight="false" outlineLevel="0" collapsed="false">
      <c r="A111" s="75" t="s">
        <v>137</v>
      </c>
      <c r="B111" s="188" t="n">
        <f aca="false">'Input data dairy products'!C21</f>
        <v>0.768</v>
      </c>
      <c r="C111" s="78" t="s">
        <v>133</v>
      </c>
      <c r="D111" s="94" t="n">
        <f aca="false">IF($E$1="GWP100 without fb",D112+D113*'Common input data'!$C$5+D114*'Common input data'!$D$5,IF($E$1="GWP100 with fb",D112+D113*'Common input data'!$C$6+D114*'Common input data'!$D$6,IF($E$1="GTP100 without fb",D112+D113*'Common input data'!$C$7+D114*'Common input data'!$D$7,IF($E$1="GTP100 with fb",D112+D113*'Common input data'!$C$8+D114*'Common input data'!$D$8,D112+D113*'Common input data'!$C$9+D114*'Common input data'!$D$9))))</f>
        <v>4.02710198541733</v>
      </c>
      <c r="E111" s="95" t="n">
        <f aca="false">IF($E$1="GWP100 without fb",E112+E113*'Common input data'!$C$5+E114*'Common input data'!$D$5,IF($E$1="GWP100 with fb",E112+E113*'Common input data'!$C$6+E114*'Common input data'!$D$6,IF($E$1="GTP100 without fb",E112+E113*'Common input data'!$C$7+E114*'Common input data'!$D$7,IF($E$1="GTP100 with fb",E112+E113*'Common input data'!$C$8+E114*'Common input data'!$D$8,E112+E113*'Common input data'!$C$9+E114*'Common input data'!$D$9))))</f>
        <v>5.32956559007537</v>
      </c>
      <c r="F111" s="96" t="n">
        <f aca="false">IF($E$1="GWP100 without fb",F112+F113*'Common input data'!$C$5+F114*'Common input data'!$D$5,IF($E$1="GWP100 with fb",F112+F113*'Common input data'!$C$6+F114*'Common input data'!$D$6,IF($E$1="GTP100 without fb",F112+F113*'Common input data'!$C$7+F114*'Common input data'!$D$7,IF($E$1="GTP100 with fb",F112+F113*'Common input data'!$C$8+F114*'Common input data'!$D$8,F112+F113*'Common input data'!$C$9+F114*'Common input data'!$D$9))))</f>
        <v>5.58257442899335</v>
      </c>
      <c r="G111" s="97"/>
      <c r="P111" s="97"/>
      <c r="Q111" s="97"/>
      <c r="R111" s="98"/>
      <c r="S111" s="98"/>
      <c r="T111" s="74"/>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c r="GL111" s="30"/>
      <c r="GM111" s="30"/>
      <c r="GN111" s="30"/>
      <c r="GO111" s="30"/>
      <c r="GP111" s="30"/>
      <c r="GQ111" s="30"/>
      <c r="GR111" s="30"/>
      <c r="GS111" s="30"/>
      <c r="GT111" s="30"/>
      <c r="GU111" s="30"/>
      <c r="GV111" s="30"/>
      <c r="GW111" s="30"/>
      <c r="GX111" s="30"/>
      <c r="GY111" s="30"/>
      <c r="GZ111" s="30"/>
      <c r="HA111" s="30"/>
      <c r="HB111" s="30"/>
      <c r="HC111" s="30"/>
      <c r="HD111" s="30"/>
      <c r="HE111" s="30"/>
      <c r="HF111" s="30"/>
      <c r="HG111" s="30"/>
      <c r="HH111" s="30"/>
      <c r="HI111" s="30"/>
      <c r="HJ111" s="30"/>
      <c r="HK111" s="30"/>
      <c r="HL111" s="30"/>
      <c r="HM111" s="30"/>
      <c r="HN111" s="30"/>
      <c r="HO111" s="30"/>
      <c r="HP111" s="30"/>
      <c r="HQ111" s="30"/>
      <c r="HR111" s="30"/>
      <c r="HS111" s="30"/>
      <c r="HT111" s="30"/>
      <c r="HU111" s="30"/>
      <c r="HV111" s="30"/>
      <c r="HW111" s="30"/>
      <c r="HX111" s="30"/>
      <c r="HY111" s="30"/>
      <c r="HZ111" s="30"/>
      <c r="IA111" s="30"/>
      <c r="IB111" s="30"/>
      <c r="IC111" s="30"/>
      <c r="ID111" s="30"/>
      <c r="IE111" s="30"/>
      <c r="IF111" s="30"/>
      <c r="IG111" s="30"/>
      <c r="IH111" s="30"/>
      <c r="II111" s="30"/>
      <c r="IJ111" s="30"/>
      <c r="IK111" s="30"/>
      <c r="IL111" s="30"/>
      <c r="IM111" s="30"/>
      <c r="IN111" s="30"/>
      <c r="IO111" s="30"/>
      <c r="IP111" s="30"/>
      <c r="IQ111" s="30"/>
      <c r="IR111" s="30"/>
      <c r="IS111" s="30"/>
      <c r="IT111" s="30"/>
      <c r="IU111" s="30"/>
      <c r="IV111" s="30"/>
      <c r="IW111" s="30"/>
      <c r="IX111" s="30"/>
      <c r="IY111" s="30"/>
      <c r="IZ111" s="30"/>
      <c r="JA111" s="30"/>
      <c r="JB111" s="30"/>
      <c r="JC111" s="30"/>
      <c r="JD111" s="30"/>
      <c r="JE111" s="30"/>
      <c r="JF111" s="30"/>
      <c r="JG111" s="30"/>
      <c r="JH111" s="30"/>
      <c r="JI111" s="30"/>
      <c r="JJ111" s="30"/>
      <c r="JK111" s="30"/>
      <c r="JL111" s="30"/>
      <c r="JM111" s="30"/>
      <c r="JN111" s="30"/>
      <c r="JO111" s="30"/>
      <c r="JP111" s="30"/>
      <c r="JQ111" s="30"/>
      <c r="JR111" s="30"/>
      <c r="JS111" s="30"/>
      <c r="JT111" s="30"/>
      <c r="JU111" s="30"/>
      <c r="JV111" s="30"/>
      <c r="JW111" s="30"/>
      <c r="JX111" s="30"/>
      <c r="JY111" s="30"/>
      <c r="JZ111" s="30"/>
      <c r="KA111" s="30"/>
      <c r="KB111" s="30"/>
      <c r="KC111" s="30"/>
      <c r="KD111" s="30"/>
      <c r="KE111" s="30"/>
      <c r="KF111" s="30"/>
      <c r="KG111" s="30"/>
      <c r="KH111" s="30"/>
    </row>
    <row r="112" s="83" customFormat="true" ht="14.4" hidden="false" customHeight="false" outlineLevel="0" collapsed="false">
      <c r="A112" s="74"/>
      <c r="B112" s="30"/>
      <c r="C112" s="85" t="s">
        <v>134</v>
      </c>
      <c r="D112" s="217" t="n">
        <f aca="false">IF(AND($E$2="No",$E$3="No"),SUM(H112:K112),IF(AND($E$2="Yes", $E$3="No"), SUM(H112:K112)+M112, IF(AND($E$2="No", $E$3="Yes"),SUM(H112:K112)+L112, SUM(H112:K112)+M112+L112)))</f>
        <v>-0.107646472661472</v>
      </c>
      <c r="E112" s="89" t="n">
        <f aca="false">IF(AND($E$2="No",$E$3="No"),SUM(G112:K112,N112:O112),IF(AND($E$2="Yes",$E$3="No"), SUM(G112:K112,N112:O112)+M112, IF(AND($E$2="No", $E$3="Yes"),SUM(G112:K112,N112:O112)+L112, SUM(G112:K112,N112:O112)+M112+L112)))</f>
        <v>0.897936645465787</v>
      </c>
      <c r="F112" s="88" t="n">
        <f aca="false">SUM(Q112:S112)/(1-'Common input data'!B$127)</f>
        <v>1.0519268217328</v>
      </c>
      <c r="G112" s="87" t="n">
        <f aca="false">'Input data dairy products'!$D$21*G9*'Common input data'!D$41</f>
        <v>0.877911950707924</v>
      </c>
      <c r="H112" s="87" t="n">
        <f aca="false">'Input data dairy products'!$D$21*H9*'Common input data'!D$41</f>
        <v>0</v>
      </c>
      <c r="I112" s="87" t="n">
        <f aca="false">'Input data dairy products'!$D$21*I9*'Common input data'!D$41</f>
        <v>0</v>
      </c>
      <c r="J112" s="87" t="n">
        <f aca="false">'Input data dairy products'!$D$21*J9*'Common input data'!D$41</f>
        <v>0</v>
      </c>
      <c r="K112" s="87" t="n">
        <f aca="false">'Input data dairy products'!$D$21*K9*'Common input data'!D$41</f>
        <v>0</v>
      </c>
      <c r="L112" s="87" t="n">
        <f aca="false">'Input data dairy products'!$D$21*L9*'Common input data'!D$41</f>
        <v>-0.19064359091438</v>
      </c>
      <c r="M112" s="87" t="n">
        <f aca="false">'Input data dairy products'!$D$21*M9*'Common input data'!D$41</f>
        <v>0.0829971182529082</v>
      </c>
      <c r="N112" s="87" t="n">
        <f aca="false">'Input data dairy products'!$D$21*N9*'Common input data'!D$41</f>
        <v>0.112644599967691</v>
      </c>
      <c r="O112" s="87" t="n">
        <f aca="false">'Input data dairy products'!$D$21*O9*'Common input data'!D$41</f>
        <v>0.0150265674516445</v>
      </c>
      <c r="P112" s="87" t="n">
        <f aca="false">'Input data dairy products'!H$29*'Common input data'!D$41</f>
        <v>0.051</v>
      </c>
      <c r="Q112" s="218" t="n">
        <f aca="false">IF(AND($E$2="No",$E$3="No"),SUM(G112:K112,N112:P112),IF(AND($E$2="Yes",$E$3="No"), SUM(G112:K112,N112:P112)+M112, IF(AND($E$2="No", $E$3="Yes"),SUM(G112:K112,N112:P112)+L112, SUM(G112:K112,N112:P112)+M112+L112)))</f>
        <v>0.948936645465787</v>
      </c>
      <c r="R112" s="89" t="n">
        <f aca="false">'Common input data'!B$91</f>
        <v>0.05</v>
      </c>
      <c r="S112" s="89" t="n">
        <f aca="false">'Common input data'!C$98</f>
        <v>0.03</v>
      </c>
      <c r="T112" s="74"/>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c r="FQ112" s="30"/>
      <c r="FR112" s="30"/>
      <c r="FS112" s="30"/>
      <c r="FT112" s="30"/>
      <c r="FU112" s="30"/>
      <c r="FV112" s="30"/>
      <c r="FW112" s="30"/>
      <c r="FX112" s="30"/>
      <c r="FY112" s="30"/>
      <c r="FZ112" s="30"/>
      <c r="GA112" s="30"/>
      <c r="GB112" s="30"/>
      <c r="GC112" s="30"/>
      <c r="GD112" s="30"/>
      <c r="GE112" s="30"/>
      <c r="GF112" s="30"/>
      <c r="GG112" s="30"/>
      <c r="GH112" s="30"/>
      <c r="GI112" s="30"/>
      <c r="GJ112" s="30"/>
      <c r="GK112" s="30"/>
      <c r="GL112" s="30"/>
      <c r="GM112" s="30"/>
      <c r="GN112" s="30"/>
      <c r="GO112" s="30"/>
      <c r="GP112" s="30"/>
      <c r="GQ112" s="30"/>
      <c r="GR112" s="30"/>
      <c r="GS112" s="30"/>
      <c r="GT112" s="30"/>
      <c r="GU112" s="30"/>
      <c r="GV112" s="30"/>
      <c r="GW112" s="30"/>
      <c r="GX112" s="30"/>
      <c r="GY112" s="30"/>
      <c r="GZ112" s="30"/>
      <c r="HA112" s="30"/>
      <c r="HB112" s="30"/>
      <c r="HC112" s="30"/>
      <c r="HD112" s="30"/>
      <c r="HE112" s="30"/>
      <c r="HF112" s="30"/>
      <c r="HG112" s="30"/>
      <c r="HH112" s="30"/>
      <c r="HI112" s="30"/>
      <c r="HJ112" s="30"/>
      <c r="HK112" s="30"/>
      <c r="HL112" s="30"/>
      <c r="HM112" s="30"/>
      <c r="HN112" s="30"/>
      <c r="HO112" s="30"/>
      <c r="HP112" s="30"/>
      <c r="HQ112" s="30"/>
      <c r="HR112" s="30"/>
      <c r="HS112" s="30"/>
      <c r="HT112" s="30"/>
      <c r="HU112" s="30"/>
      <c r="HV112" s="30"/>
      <c r="HW112" s="30"/>
      <c r="HX112" s="30"/>
      <c r="HY112" s="30"/>
      <c r="HZ112" s="30"/>
      <c r="IA112" s="30"/>
      <c r="IB112" s="30"/>
      <c r="IC112" s="30"/>
      <c r="ID112" s="30"/>
      <c r="IE112" s="30"/>
      <c r="IF112" s="30"/>
      <c r="IG112" s="30"/>
      <c r="IH112" s="30"/>
      <c r="II112" s="30"/>
      <c r="IJ112" s="30"/>
      <c r="IK112" s="30"/>
      <c r="IL112" s="30"/>
      <c r="IM112" s="30"/>
      <c r="IN112" s="30"/>
      <c r="IO112" s="30"/>
      <c r="IP112" s="30"/>
      <c r="IQ112" s="30"/>
      <c r="IR112" s="30"/>
      <c r="IS112" s="30"/>
      <c r="IT112" s="30"/>
      <c r="IU112" s="30"/>
      <c r="IV112" s="30"/>
      <c r="IW112" s="30"/>
      <c r="IX112" s="30"/>
      <c r="IY112" s="30"/>
      <c r="IZ112" s="30"/>
      <c r="JA112" s="30"/>
      <c r="JB112" s="30"/>
      <c r="JC112" s="30"/>
      <c r="JD112" s="30"/>
      <c r="JE112" s="30"/>
      <c r="JF112" s="30"/>
      <c r="JG112" s="30"/>
      <c r="JH112" s="30"/>
      <c r="JI112" s="30"/>
      <c r="JJ112" s="30"/>
      <c r="JK112" s="30"/>
      <c r="JL112" s="30"/>
      <c r="JM112" s="30"/>
      <c r="JN112" s="30"/>
      <c r="JO112" s="30"/>
      <c r="JP112" s="30"/>
      <c r="JQ112" s="30"/>
      <c r="JR112" s="30"/>
      <c r="JS112" s="30"/>
      <c r="JT112" s="30"/>
      <c r="JU112" s="30"/>
      <c r="JV112" s="30"/>
      <c r="JW112" s="30"/>
      <c r="JX112" s="30"/>
      <c r="JY112" s="30"/>
      <c r="JZ112" s="30"/>
      <c r="KA112" s="30"/>
      <c r="KB112" s="30"/>
      <c r="KC112" s="30"/>
      <c r="KD112" s="30"/>
      <c r="KE112" s="30"/>
      <c r="KF112" s="30"/>
      <c r="KG112" s="30"/>
      <c r="KH112" s="30"/>
      <c r="KI112" s="30"/>
      <c r="KJ112" s="30"/>
      <c r="KK112" s="30"/>
      <c r="KL112" s="30"/>
      <c r="KM112" s="30"/>
      <c r="KN112" s="30"/>
      <c r="KO112" s="30"/>
      <c r="KP112" s="30"/>
      <c r="KQ112" s="30"/>
      <c r="KR112" s="30"/>
      <c r="KS112" s="30"/>
      <c r="KT112" s="30"/>
      <c r="KU112" s="30"/>
      <c r="KV112" s="30"/>
      <c r="KW112" s="30"/>
      <c r="KX112" s="30"/>
      <c r="KY112" s="30"/>
      <c r="KZ112" s="30"/>
      <c r="LA112" s="30"/>
      <c r="LB112" s="30"/>
      <c r="LC112" s="30"/>
      <c r="LD112" s="30"/>
      <c r="LE112" s="30"/>
      <c r="LF112" s="30"/>
      <c r="LG112" s="30"/>
      <c r="LH112" s="30"/>
      <c r="LI112" s="30"/>
      <c r="LJ112" s="30"/>
      <c r="LK112" s="30"/>
      <c r="LL112" s="30"/>
      <c r="LM112" s="30"/>
      <c r="LN112" s="30"/>
      <c r="LO112" s="30"/>
      <c r="LP112" s="30"/>
      <c r="LQ112" s="30"/>
      <c r="LR112" s="30"/>
      <c r="LS112" s="30"/>
      <c r="LT112" s="30"/>
      <c r="LU112" s="30"/>
      <c r="LV112" s="30"/>
      <c r="LW112" s="30"/>
      <c r="LX112" s="30"/>
      <c r="LY112" s="30"/>
      <c r="LZ112" s="30"/>
      <c r="MA112" s="30"/>
      <c r="MB112" s="30"/>
      <c r="MC112" s="30"/>
      <c r="MD112" s="30"/>
      <c r="ME112" s="30"/>
      <c r="MF112" s="30"/>
      <c r="MG112" s="30"/>
      <c r="MH112" s="30"/>
      <c r="MI112" s="30"/>
      <c r="MJ112" s="30"/>
      <c r="MK112" s="30"/>
      <c r="ML112" s="30"/>
      <c r="MM112" s="30"/>
      <c r="MN112" s="30"/>
      <c r="MO112" s="30"/>
      <c r="MP112" s="30"/>
      <c r="MQ112" s="30"/>
      <c r="MR112" s="30"/>
      <c r="MS112" s="30"/>
      <c r="MT112" s="30"/>
      <c r="MU112" s="30"/>
      <c r="MV112" s="30"/>
      <c r="MW112" s="30"/>
      <c r="MX112" s="30"/>
      <c r="MY112" s="30"/>
      <c r="MZ112" s="30"/>
      <c r="NA112" s="30"/>
      <c r="NB112" s="30"/>
      <c r="NC112" s="30"/>
      <c r="ND112" s="30"/>
      <c r="NE112" s="30"/>
      <c r="NF112" s="30"/>
      <c r="NG112" s="30"/>
      <c r="NH112" s="30"/>
      <c r="NI112" s="30"/>
      <c r="NJ112" s="30"/>
      <c r="NK112" s="30"/>
      <c r="NL112" s="30"/>
      <c r="NM112" s="30"/>
      <c r="NN112" s="30"/>
      <c r="NO112" s="30"/>
      <c r="NP112" s="30"/>
      <c r="NQ112" s="30"/>
      <c r="NR112" s="30"/>
      <c r="NS112" s="30"/>
      <c r="NT112" s="30"/>
      <c r="NU112" s="30"/>
      <c r="NV112" s="30"/>
      <c r="NW112" s="30"/>
      <c r="NX112" s="30"/>
      <c r="NY112" s="30"/>
      <c r="NZ112" s="30"/>
      <c r="OA112" s="30"/>
      <c r="OB112" s="30"/>
      <c r="OC112" s="30"/>
      <c r="OD112" s="30"/>
      <c r="OE112" s="30"/>
      <c r="OF112" s="30"/>
      <c r="OG112" s="30"/>
      <c r="OH112" s="30"/>
      <c r="OI112" s="30"/>
      <c r="OJ112" s="30"/>
      <c r="OK112" s="30"/>
      <c r="OL112" s="30"/>
      <c r="OM112" s="30"/>
      <c r="ON112" s="30"/>
      <c r="OO112" s="30"/>
      <c r="OP112" s="30"/>
    </row>
    <row r="113" customFormat="false" ht="14.4" hidden="false" customHeight="false" outlineLevel="0" collapsed="false">
      <c r="A113" s="99"/>
      <c r="B113" s="93"/>
      <c r="C113" s="85" t="s">
        <v>135</v>
      </c>
      <c r="D113" s="217" t="n">
        <f aca="false">SUM(H113:K113)</f>
        <v>0.0909900026741987</v>
      </c>
      <c r="E113" s="89" t="n">
        <f aca="false">SUM(G113:K113,N113:O113)</f>
        <v>0.0919339833451816</v>
      </c>
      <c r="F113" s="88" t="n">
        <f aca="false">SUM(Q113:S113)/(1-'Common input data'!B$127)</f>
        <v>0.0939881219467647</v>
      </c>
      <c r="G113" s="87" t="n">
        <f aca="false">'Input data dairy products'!$D$21*G10*'Common input data'!D$41</f>
        <v>0.000939907685001803</v>
      </c>
      <c r="H113" s="87" t="n">
        <f aca="false">'Input data dairy products'!$D$21*H10*'Common input data'!D$41</f>
        <v>0</v>
      </c>
      <c r="I113" s="87" t="n">
        <f aca="false">'Input data dairy products'!$D$21*I10*'Common input data'!D$41</f>
        <v>0.00594554702421511</v>
      </c>
      <c r="J113" s="87" t="n">
        <f aca="false">'Input data dairy products'!$D$21*J10*'Common input data'!D$41</f>
        <v>0</v>
      </c>
      <c r="K113" s="87" t="n">
        <f aca="false">'Input data dairy products'!$D$21*K10*'Common input data'!D$41</f>
        <v>0.0850444556499836</v>
      </c>
      <c r="L113" s="87" t="n">
        <f aca="false">'Input data dairy products'!$D$21*L10*'Common input data'!D$41</f>
        <v>0</v>
      </c>
      <c r="M113" s="87" t="n">
        <f aca="false">'Input data dairy products'!$D$21*M10*'Common input data'!D$41</f>
        <v>0</v>
      </c>
      <c r="N113" s="87" t="n">
        <f aca="false">'Input data dairy products'!$D$21*N10*'Common input data'!D$41</f>
        <v>0</v>
      </c>
      <c r="O113" s="87" t="n">
        <f aca="false">'Input data dairy products'!$D$21*O10*'Common input data'!D$41</f>
        <v>4.07298598104691E-006</v>
      </c>
      <c r="P113" s="87" t="n">
        <v>0</v>
      </c>
      <c r="Q113" s="87" t="n">
        <f aca="false">SUM(G113:P113)</f>
        <v>0.0919339833451816</v>
      </c>
      <c r="R113" s="89" t="n">
        <v>0</v>
      </c>
      <c r="S113" s="89" t="n">
        <v>0</v>
      </c>
      <c r="T113" s="74"/>
    </row>
    <row r="114" customFormat="false" ht="14.4" hidden="false" customHeight="false" outlineLevel="0" collapsed="false">
      <c r="A114" s="100"/>
      <c r="B114" s="87"/>
      <c r="C114" s="31" t="s">
        <v>136</v>
      </c>
      <c r="D114" s="217" t="n">
        <f aca="false">SUM(H114:K114)</f>
        <v>0.00349358512468471</v>
      </c>
      <c r="E114" s="89" t="n">
        <f aca="false">SUM(G114:K114,N114:O114)</f>
        <v>0.00438212587541413</v>
      </c>
      <c r="F114" s="88" t="n">
        <f aca="false">SUM(Q114:S114)/(1-'Common input data'!B$127)</f>
        <v>0.00448003845996828</v>
      </c>
      <c r="G114" s="87" t="n">
        <f aca="false">'Input data dairy products'!$D$21*G11*'Common input data'!D$41</f>
        <v>0.000888161057925189</v>
      </c>
      <c r="H114" s="87" t="n">
        <f aca="false">'Input data dairy products'!$D$21*H11*'Common input data'!D$41</f>
        <v>0.00224491316787235</v>
      </c>
      <c r="I114" s="87" t="n">
        <f aca="false">'Input data dairy products'!$D$21*I11*'Common input data'!D$41</f>
        <v>0.00115106361590572</v>
      </c>
      <c r="J114" s="87" t="n">
        <f aca="false">'Input data dairy products'!$D$21*J11*'Common input data'!D$41</f>
        <v>9.76083409066495E-005</v>
      </c>
      <c r="K114" s="87" t="n">
        <f aca="false">'Input data dairy products'!$D$21*K11*'Common input data'!D$41</f>
        <v>0</v>
      </c>
      <c r="L114" s="87" t="n">
        <f aca="false">'Input data dairy products'!$D$21*L11*'Common input data'!D$41</f>
        <v>0</v>
      </c>
      <c r="M114" s="87" t="n">
        <f aca="false">'Input data dairy products'!$D$21*M11*'Common input data'!D$41</f>
        <v>0</v>
      </c>
      <c r="N114" s="87" t="n">
        <f aca="false">'Input data dairy products'!$D$21*N11*'Common input data'!D$41</f>
        <v>0</v>
      </c>
      <c r="O114" s="87" t="n">
        <f aca="false">'Input data dairy products'!$D$21*O11*'Common input data'!D$41</f>
        <v>3.79692804233151E-007</v>
      </c>
      <c r="P114" s="87" t="n">
        <v>0</v>
      </c>
      <c r="Q114" s="87" t="n">
        <f aca="false">SUM(G114:P114)</f>
        <v>0.00438212587541413</v>
      </c>
      <c r="R114" s="89" t="n">
        <v>0</v>
      </c>
      <c r="S114" s="89" t="n">
        <v>0</v>
      </c>
      <c r="T114" s="74"/>
    </row>
    <row r="115" s="83" customFormat="true" ht="14.4" hidden="false" customHeight="false" outlineLevel="0" collapsed="false">
      <c r="A115" s="75" t="s">
        <v>141</v>
      </c>
      <c r="B115" s="188" t="n">
        <f aca="false">'Input data dairy products'!C22</f>
        <v>0.232</v>
      </c>
      <c r="C115" s="78" t="s">
        <v>133</v>
      </c>
      <c r="D115" s="94" t="n">
        <f aca="false">IF($E$1="GWP100 without fb",D116+D117*'Common input data'!$C$5+D118*'Common input data'!$D$5,IF($E$1="GWP100 with fb",D116+D117*'Common input data'!$C$6+D118*'Common input data'!$D$6,IF($E$1="GTP100 without fb",D116+D117*'Common input data'!$C$7+D118*'Common input data'!$D$7,IF($E$1="GTP100 with fb",D116+D117*'Common input data'!$C$8+D118*'Common input data'!$D$8,D116+D117*'Common input data'!$C$9+D118*'Common input data'!$D$9))))</f>
        <v>4.02710198541733</v>
      </c>
      <c r="E115" s="95" t="n">
        <f aca="false">IF($E$1="GWP100 without fb",E116+E117*'Common input data'!$C$5+E118*'Common input data'!$D$5,IF($E$1="GWP100 with fb",E116+E117*'Common input data'!$C$6+E118*'Common input data'!$D$6,IF($E$1="GTP100 without fb",E116+E117*'Common input data'!$C$7+E118*'Common input data'!$D$7,IF($E$1="GTP100 with fb",E116+E117*'Common input data'!$C$8+E118*'Common input data'!$D$8,E116+E117*'Common input data'!$C$9+E118*'Common input data'!$D$9))))</f>
        <v>5.5906863517751</v>
      </c>
      <c r="F115" s="96" t="n">
        <f aca="false">IF($E$1="GWP100 without fb",F116+F117*'Common input data'!$C$5+F118*'Common input data'!$D$5,IF($E$1="GWP100 with fb",F116+F117*'Common input data'!$C$6+F118*'Common input data'!$D$6,IF($E$1="GTP100 without fb",F116+F117*'Common input data'!$C$7+F118*'Common input data'!$D$7,IF($E$1="GTP100 with fb",F116+F117*'Common input data'!$C$8+F118*'Common input data'!$D$8,F116+F117*'Common input data'!$C$9+F118*'Common input data'!$D$9))))</f>
        <v>6.13220758827922</v>
      </c>
      <c r="G115" s="97"/>
      <c r="P115" s="97"/>
      <c r="Q115" s="97"/>
      <c r="R115" s="98"/>
      <c r="S115" s="98"/>
      <c r="T115" s="74"/>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c r="GL115" s="30"/>
      <c r="GM115" s="30"/>
      <c r="GN115" s="30"/>
      <c r="GO115" s="30"/>
      <c r="GP115" s="30"/>
      <c r="GQ115" s="30"/>
      <c r="GR115" s="30"/>
      <c r="GS115" s="30"/>
      <c r="GT115" s="30"/>
      <c r="GU115" s="30"/>
      <c r="GV115" s="30"/>
      <c r="GW115" s="30"/>
      <c r="GX115" s="30"/>
      <c r="GY115" s="30"/>
      <c r="GZ115" s="30"/>
      <c r="HA115" s="30"/>
      <c r="HB115" s="30"/>
      <c r="HC115" s="30"/>
      <c r="HD115" s="30"/>
      <c r="HE115" s="30"/>
      <c r="HF115" s="30"/>
      <c r="HG115" s="30"/>
      <c r="HH115" s="30"/>
      <c r="HI115" s="30"/>
      <c r="HJ115" s="30"/>
      <c r="HK115" s="30"/>
      <c r="HL115" s="30"/>
      <c r="HM115" s="30"/>
      <c r="HN115" s="30"/>
      <c r="HO115" s="30"/>
      <c r="HP115" s="30"/>
      <c r="HQ115" s="30"/>
      <c r="HR115" s="30"/>
      <c r="HS115" s="30"/>
      <c r="HT115" s="30"/>
      <c r="HU115" s="30"/>
      <c r="HV115" s="30"/>
      <c r="HW115" s="30"/>
      <c r="HX115" s="30"/>
      <c r="HY115" s="30"/>
      <c r="HZ115" s="30"/>
      <c r="IA115" s="30"/>
      <c r="IB115" s="30"/>
      <c r="IC115" s="30"/>
      <c r="ID115" s="30"/>
      <c r="IE115" s="30"/>
      <c r="IF115" s="30"/>
      <c r="IG115" s="30"/>
      <c r="IH115" s="30"/>
      <c r="II115" s="30"/>
      <c r="IJ115" s="30"/>
      <c r="IK115" s="30"/>
      <c r="IL115" s="30"/>
      <c r="IM115" s="30"/>
      <c r="IN115" s="30"/>
      <c r="IO115" s="30"/>
      <c r="IP115" s="30"/>
      <c r="IQ115" s="30"/>
      <c r="IR115" s="30"/>
      <c r="IS115" s="30"/>
      <c r="IT115" s="30"/>
      <c r="IU115" s="30"/>
      <c r="IV115" s="30"/>
      <c r="IW115" s="30"/>
      <c r="IX115" s="30"/>
      <c r="IY115" s="30"/>
      <c r="IZ115" s="30"/>
      <c r="JA115" s="30"/>
      <c r="JB115" s="30"/>
      <c r="JC115" s="30"/>
      <c r="JD115" s="30"/>
      <c r="JE115" s="30"/>
      <c r="JF115" s="30"/>
      <c r="JG115" s="30"/>
      <c r="JH115" s="30"/>
      <c r="JI115" s="30"/>
      <c r="JJ115" s="30"/>
      <c r="JK115" s="30"/>
      <c r="JL115" s="30"/>
      <c r="JM115" s="30"/>
      <c r="JN115" s="30"/>
      <c r="JO115" s="30"/>
      <c r="JP115" s="30"/>
      <c r="JQ115" s="30"/>
      <c r="JR115" s="30"/>
      <c r="JS115" s="30"/>
      <c r="JT115" s="30"/>
      <c r="JU115" s="30"/>
      <c r="JV115" s="30"/>
      <c r="JW115" s="30"/>
      <c r="JX115" s="30"/>
      <c r="JY115" s="30"/>
      <c r="JZ115" s="30"/>
      <c r="KA115" s="30"/>
      <c r="KB115" s="30"/>
      <c r="KC115" s="30"/>
      <c r="KD115" s="30"/>
      <c r="KE115" s="30"/>
      <c r="KF115" s="30"/>
      <c r="KG115" s="30"/>
      <c r="KH115" s="30"/>
    </row>
    <row r="116" s="83" customFormat="true" ht="14.4" hidden="false" customHeight="false" outlineLevel="0" collapsed="false">
      <c r="A116" s="74"/>
      <c r="B116" s="30"/>
      <c r="C116" s="85" t="s">
        <v>134</v>
      </c>
      <c r="D116" s="217" t="n">
        <f aca="false">IF(AND($E$2="No",$E$3="No"),SUM(H116:K116),IF(AND($E$2="Yes", $E$3="No"), SUM(H116:K116)+M116, IF(AND($E$2="No", $E$3="Yes"),SUM(H116:K116)+L116, SUM(H116:K116)+M116+L116)))</f>
        <v>-0.107646472661472</v>
      </c>
      <c r="E116" s="89" t="n">
        <f aca="false">IF(AND($E$2="No",$E$3="No"),SUM(G116:K116,N116:O116),IF(AND($E$2="Yes",$E$3="No"), SUM(G116:K116,N116:O116)+M116, IF(AND($E$2="No", $E$3="Yes"),SUM(G116:K116,N116:O116)+L116, SUM(G116:K116,N116:O116)+M116+L116)))</f>
        <v>1.1585437707135</v>
      </c>
      <c r="F116" s="88" t="n">
        <f aca="false">SUM(Q116:S116)/(1-'Common input data'!B$127)</f>
        <v>1.60103486806554</v>
      </c>
      <c r="G116" s="87" t="n">
        <f aca="false">'Input data dairy products'!$D$22*G13*'Common input data'!D$41</f>
        <v>0.877911950707924</v>
      </c>
      <c r="H116" s="87" t="n">
        <f aca="false">'Input data dairy products'!$D$22*H13*'Common input data'!D$41</f>
        <v>0</v>
      </c>
      <c r="I116" s="87" t="n">
        <f aca="false">'Input data dairy products'!$D$22*I13*'Common input data'!D$41</f>
        <v>0</v>
      </c>
      <c r="J116" s="87" t="n">
        <f aca="false">'Input data dairy products'!$D$22*J13*'Common input data'!D$41</f>
        <v>0</v>
      </c>
      <c r="K116" s="87" t="n">
        <f aca="false">'Input data dairy products'!$D$22*K13*'Common input data'!D$41</f>
        <v>0</v>
      </c>
      <c r="L116" s="87" t="n">
        <f aca="false">'Input data dairy products'!$D$22*L13*'Common input data'!D$41</f>
        <v>-0.19064359091438</v>
      </c>
      <c r="M116" s="87" t="n">
        <f aca="false">'Input data dairy products'!$D$22*M13*'Common input data'!D$41</f>
        <v>0.0829971182529082</v>
      </c>
      <c r="N116" s="87" t="n">
        <f aca="false">'Input data dairy products'!$D$22*N13*'Common input data'!D$41</f>
        <v>0.342578938046071</v>
      </c>
      <c r="O116" s="87" t="n">
        <f aca="false">'Input data dairy products'!$D$22*O13*'Common input data'!D$41</f>
        <v>0.0456993546209808</v>
      </c>
      <c r="P116" s="87" t="n">
        <f aca="false">'Input data dairy products'!H$30*'Common input data'!D$41</f>
        <v>0.1275</v>
      </c>
      <c r="Q116" s="218" t="n">
        <f aca="false">IF(AND($E$2="No",$E$3="No"),SUM(G116:K116,N116:P116),IF(AND($E$2="Yes",$E$3="No"), SUM(G116:K116,N116:P116)+M116, IF(AND($E$2="No", $E$3="Yes"),SUM(G116:K116,N116:P116)+L116, SUM(G116:K116,N116:P116)+M116+L116)))</f>
        <v>1.2860437707135</v>
      </c>
      <c r="R116" s="89" t="n">
        <f aca="false">'Common input data'!B$91</f>
        <v>0.05</v>
      </c>
      <c r="S116" s="89" t="n">
        <f aca="false">'Common input data'!B$102+'Common input data'!C$102</f>
        <v>0.23</v>
      </c>
      <c r="T116" s="74"/>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c r="FQ116" s="30"/>
      <c r="FR116" s="30"/>
      <c r="FS116" s="30"/>
      <c r="FT116" s="30"/>
      <c r="FU116" s="30"/>
      <c r="FV116" s="30"/>
      <c r="FW116" s="30"/>
      <c r="FX116" s="30"/>
      <c r="FY116" s="30"/>
      <c r="FZ116" s="30"/>
      <c r="GA116" s="30"/>
      <c r="GB116" s="30"/>
      <c r="GC116" s="30"/>
      <c r="GD116" s="30"/>
      <c r="GE116" s="30"/>
      <c r="GF116" s="30"/>
      <c r="GG116" s="30"/>
      <c r="GH116" s="30"/>
      <c r="GI116" s="30"/>
      <c r="GJ116" s="30"/>
      <c r="GK116" s="30"/>
      <c r="GL116" s="30"/>
      <c r="GM116" s="30"/>
      <c r="GN116" s="30"/>
      <c r="GO116" s="30"/>
      <c r="GP116" s="30"/>
      <c r="GQ116" s="30"/>
      <c r="GR116" s="30"/>
      <c r="GS116" s="30"/>
      <c r="GT116" s="30"/>
      <c r="GU116" s="30"/>
      <c r="GV116" s="30"/>
      <c r="GW116" s="30"/>
      <c r="GX116" s="30"/>
      <c r="GY116" s="30"/>
      <c r="GZ116" s="30"/>
      <c r="HA116" s="30"/>
      <c r="HB116" s="30"/>
      <c r="HC116" s="30"/>
      <c r="HD116" s="30"/>
      <c r="HE116" s="30"/>
      <c r="HF116" s="30"/>
      <c r="HG116" s="30"/>
      <c r="HH116" s="30"/>
      <c r="HI116" s="30"/>
      <c r="HJ116" s="30"/>
      <c r="HK116" s="30"/>
      <c r="HL116" s="30"/>
      <c r="HM116" s="30"/>
      <c r="HN116" s="30"/>
      <c r="HO116" s="30"/>
      <c r="HP116" s="30"/>
      <c r="HQ116" s="30"/>
      <c r="HR116" s="30"/>
      <c r="HS116" s="30"/>
      <c r="HT116" s="30"/>
      <c r="HU116" s="30"/>
      <c r="HV116" s="30"/>
      <c r="HW116" s="30"/>
      <c r="HX116" s="30"/>
      <c r="HY116" s="30"/>
      <c r="HZ116" s="30"/>
      <c r="IA116" s="30"/>
      <c r="IB116" s="30"/>
      <c r="IC116" s="30"/>
      <c r="ID116" s="30"/>
      <c r="IE116" s="30"/>
      <c r="IF116" s="30"/>
      <c r="IG116" s="30"/>
      <c r="IH116" s="30"/>
      <c r="II116" s="30"/>
      <c r="IJ116" s="30"/>
      <c r="IK116" s="30"/>
      <c r="IL116" s="30"/>
      <c r="IM116" s="30"/>
      <c r="IN116" s="30"/>
      <c r="IO116" s="30"/>
      <c r="IP116" s="30"/>
      <c r="IQ116" s="30"/>
      <c r="IR116" s="30"/>
      <c r="IS116" s="30"/>
      <c r="IT116" s="30"/>
      <c r="IU116" s="30"/>
      <c r="IV116" s="30"/>
      <c r="IW116" s="30"/>
      <c r="IX116" s="30"/>
      <c r="IY116" s="30"/>
      <c r="IZ116" s="30"/>
      <c r="JA116" s="30"/>
      <c r="JB116" s="30"/>
      <c r="JC116" s="30"/>
      <c r="JD116" s="30"/>
      <c r="JE116" s="30"/>
      <c r="JF116" s="30"/>
      <c r="JG116" s="30"/>
      <c r="JH116" s="30"/>
      <c r="JI116" s="30"/>
      <c r="JJ116" s="30"/>
      <c r="JK116" s="30"/>
      <c r="JL116" s="30"/>
      <c r="JM116" s="30"/>
      <c r="JN116" s="30"/>
      <c r="JO116" s="30"/>
      <c r="JP116" s="30"/>
      <c r="JQ116" s="30"/>
      <c r="JR116" s="30"/>
      <c r="JS116" s="30"/>
      <c r="JT116" s="30"/>
      <c r="JU116" s="30"/>
      <c r="JV116" s="30"/>
      <c r="JW116" s="30"/>
      <c r="JX116" s="30"/>
      <c r="JY116" s="30"/>
      <c r="JZ116" s="30"/>
      <c r="KA116" s="30"/>
      <c r="KB116" s="30"/>
      <c r="KC116" s="30"/>
      <c r="KD116" s="30"/>
      <c r="KE116" s="30"/>
      <c r="KF116" s="30"/>
      <c r="KG116" s="30"/>
      <c r="KH116" s="30"/>
      <c r="KI116" s="30"/>
      <c r="KJ116" s="30"/>
      <c r="KK116" s="30"/>
      <c r="KL116" s="30"/>
      <c r="KM116" s="30"/>
      <c r="KN116" s="30"/>
      <c r="KO116" s="30"/>
      <c r="KP116" s="30"/>
      <c r="KQ116" s="30"/>
      <c r="KR116" s="30"/>
      <c r="KS116" s="30"/>
      <c r="KT116" s="30"/>
      <c r="KU116" s="30"/>
      <c r="KV116" s="30"/>
      <c r="KW116" s="30"/>
      <c r="KX116" s="30"/>
      <c r="KY116" s="30"/>
      <c r="KZ116" s="30"/>
      <c r="LA116" s="30"/>
      <c r="LB116" s="30"/>
      <c r="LC116" s="30"/>
      <c r="LD116" s="30"/>
      <c r="LE116" s="30"/>
      <c r="LF116" s="30"/>
      <c r="LG116" s="30"/>
      <c r="LH116" s="30"/>
      <c r="LI116" s="30"/>
      <c r="LJ116" s="30"/>
      <c r="LK116" s="30"/>
      <c r="LL116" s="30"/>
      <c r="LM116" s="30"/>
      <c r="LN116" s="30"/>
      <c r="LO116" s="30"/>
      <c r="LP116" s="30"/>
      <c r="LQ116" s="30"/>
      <c r="LR116" s="30"/>
      <c r="LS116" s="30"/>
      <c r="LT116" s="30"/>
      <c r="LU116" s="30"/>
      <c r="LV116" s="30"/>
      <c r="LW116" s="30"/>
      <c r="LX116" s="30"/>
      <c r="LY116" s="30"/>
      <c r="LZ116" s="30"/>
      <c r="MA116" s="30"/>
      <c r="MB116" s="30"/>
      <c r="MC116" s="30"/>
      <c r="MD116" s="30"/>
      <c r="ME116" s="30"/>
      <c r="MF116" s="30"/>
      <c r="MG116" s="30"/>
      <c r="MH116" s="30"/>
      <c r="MI116" s="30"/>
      <c r="MJ116" s="30"/>
      <c r="MK116" s="30"/>
      <c r="ML116" s="30"/>
      <c r="MM116" s="30"/>
      <c r="MN116" s="30"/>
      <c r="MO116" s="30"/>
      <c r="MP116" s="30"/>
      <c r="MQ116" s="30"/>
      <c r="MR116" s="30"/>
      <c r="MS116" s="30"/>
      <c r="MT116" s="30"/>
      <c r="MU116" s="30"/>
      <c r="MV116" s="30"/>
      <c r="MW116" s="30"/>
      <c r="MX116" s="30"/>
      <c r="MY116" s="30"/>
      <c r="MZ116" s="30"/>
      <c r="NA116" s="30"/>
      <c r="NB116" s="30"/>
      <c r="NC116" s="30"/>
      <c r="ND116" s="30"/>
      <c r="NE116" s="30"/>
      <c r="NF116" s="30"/>
      <c r="NG116" s="30"/>
      <c r="NH116" s="30"/>
      <c r="NI116" s="30"/>
      <c r="NJ116" s="30"/>
      <c r="NK116" s="30"/>
      <c r="NL116" s="30"/>
      <c r="NM116" s="30"/>
      <c r="NN116" s="30"/>
      <c r="NO116" s="30"/>
      <c r="NP116" s="30"/>
      <c r="NQ116" s="30"/>
      <c r="NR116" s="30"/>
      <c r="NS116" s="30"/>
      <c r="NT116" s="30"/>
      <c r="NU116" s="30"/>
      <c r="NV116" s="30"/>
      <c r="NW116" s="30"/>
      <c r="NX116" s="30"/>
      <c r="NY116" s="30"/>
      <c r="NZ116" s="30"/>
      <c r="OA116" s="30"/>
      <c r="OB116" s="30"/>
      <c r="OC116" s="30"/>
      <c r="OD116" s="30"/>
      <c r="OE116" s="30"/>
      <c r="OF116" s="30"/>
      <c r="OG116" s="30"/>
      <c r="OH116" s="30"/>
      <c r="OI116" s="30"/>
      <c r="OJ116" s="30"/>
      <c r="OK116" s="30"/>
      <c r="OL116" s="30"/>
      <c r="OM116" s="30"/>
      <c r="ON116" s="30"/>
      <c r="OO116" s="30"/>
      <c r="OP116" s="30"/>
    </row>
    <row r="117" customFormat="false" ht="14.4" hidden="false" customHeight="false" outlineLevel="0" collapsed="false">
      <c r="A117" s="99"/>
      <c r="B117" s="31"/>
      <c r="C117" s="85" t="s">
        <v>135</v>
      </c>
      <c r="D117" s="217" t="n">
        <f aca="false">SUM(H117:K117)</f>
        <v>0.0909900026741987</v>
      </c>
      <c r="E117" s="89" t="n">
        <f aca="false">SUM(G117:K117,N117:O117)</f>
        <v>0.0919422972753285</v>
      </c>
      <c r="F117" s="88" t="n">
        <f aca="false">SUM(Q117:S117)/(1-'Common input data'!B$127)</f>
        <v>0.0939966216402629</v>
      </c>
      <c r="G117" s="87" t="n">
        <f aca="false">'Input data dairy products'!$D$22*G14*'Common input data'!D$41</f>
        <v>0.000939907685001803</v>
      </c>
      <c r="H117" s="87" t="n">
        <f aca="false">'Input data dairy products'!$D$22*H14*'Common input data'!D$41</f>
        <v>0</v>
      </c>
      <c r="I117" s="87" t="n">
        <f aca="false">'Input data dairy products'!$D$22*I14*'Common input data'!D$41</f>
        <v>0.00594554702421511</v>
      </c>
      <c r="J117" s="87" t="n">
        <f aca="false">'Input data dairy products'!$D$22*J14*'Common input data'!D$41</f>
        <v>0</v>
      </c>
      <c r="K117" s="87" t="n">
        <f aca="false">'Input data dairy products'!$D$22*K14*'Common input data'!D$41</f>
        <v>0.0850444556499836</v>
      </c>
      <c r="L117" s="87" t="n">
        <f aca="false">'Input data dairy products'!$D$22*L14*'Common input data'!D$41</f>
        <v>0</v>
      </c>
      <c r="M117" s="87" t="n">
        <f aca="false">'Input data dairy products'!$D$22*M14*'Common input data'!D$41</f>
        <v>0</v>
      </c>
      <c r="N117" s="87" t="n">
        <f aca="false">'Input data dairy products'!$D$22*N14*'Common input data'!D$41</f>
        <v>0</v>
      </c>
      <c r="O117" s="87" t="n">
        <f aca="false">'Input data dairy products'!$D$22*O14*'Common input data'!D$41</f>
        <v>1.23869161279262E-005</v>
      </c>
      <c r="P117" s="87" t="n">
        <v>0</v>
      </c>
      <c r="Q117" s="87" t="n">
        <f aca="false">SUM(G117:P117)</f>
        <v>0.0919422972753285</v>
      </c>
      <c r="R117" s="89" t="n">
        <v>0</v>
      </c>
      <c r="S117" s="89" t="n">
        <v>0</v>
      </c>
      <c r="T117" s="74"/>
    </row>
    <row r="118" customFormat="false" ht="14.4" hidden="false" customHeight="false" outlineLevel="0" collapsed="false">
      <c r="A118" s="99"/>
      <c r="B118" s="87"/>
      <c r="C118" s="31" t="s">
        <v>136</v>
      </c>
      <c r="D118" s="219" t="n">
        <f aca="false">SUM(H118:K118)</f>
        <v>0.00349358512468471</v>
      </c>
      <c r="E118" s="126" t="n">
        <f aca="false">SUM(G118:K118,N118:O118)</f>
        <v>0.00438290091845783</v>
      </c>
      <c r="F118" s="106" t="n">
        <f aca="false">SUM(Q118:S118)/(1-'Common input data'!B$127)</f>
        <v>0.00448083082028439</v>
      </c>
      <c r="G118" s="87" t="n">
        <f aca="false">'Input data dairy products'!$D$22*G15*'Common input data'!D$41</f>
        <v>0.000888161057925189</v>
      </c>
      <c r="H118" s="87" t="n">
        <f aca="false">'Input data dairy products'!$D$22*H15*'Common input data'!D$41</f>
        <v>0.00224491316787235</v>
      </c>
      <c r="I118" s="87" t="n">
        <f aca="false">'Input data dairy products'!$D$22*I15*'Common input data'!D$41</f>
        <v>0.00115106361590572</v>
      </c>
      <c r="J118" s="87" t="n">
        <f aca="false">'Input data dairy products'!$D$22*J15*'Common input data'!D$41</f>
        <v>9.76083409066495E-005</v>
      </c>
      <c r="K118" s="87" t="n">
        <f aca="false">'Input data dairy products'!$D$22*K15*'Common input data'!D$41</f>
        <v>0</v>
      </c>
      <c r="L118" s="87" t="n">
        <f aca="false">'Input data dairy products'!$D$22*L15*'Common input data'!D$41</f>
        <v>0</v>
      </c>
      <c r="M118" s="87" t="n">
        <f aca="false">'Input data dairy products'!$D$22*M15*'Common input data'!D$41</f>
        <v>0</v>
      </c>
      <c r="N118" s="87" t="n">
        <f aca="false">'Input data dairy products'!$D$22*N15*'Common input data'!D$41</f>
        <v>0</v>
      </c>
      <c r="O118" s="87" t="n">
        <f aca="false">'Input data dairy products'!$D$22*O15*'Common input data'!D$41</f>
        <v>1.15473584792556E-006</v>
      </c>
      <c r="P118" s="87" t="n">
        <v>0</v>
      </c>
      <c r="Q118" s="87" t="n">
        <f aca="false">SUM(G118:P118)</f>
        <v>0.00438290091845783</v>
      </c>
      <c r="R118" s="102" t="n">
        <v>0</v>
      </c>
      <c r="S118" s="89" t="n">
        <v>0</v>
      </c>
      <c r="T118" s="74"/>
    </row>
    <row r="119" s="113" customFormat="true" ht="14.4" hidden="false" customHeight="false" outlineLevel="0" collapsed="false">
      <c r="A119" s="107" t="s">
        <v>192</v>
      </c>
      <c r="B119" s="69"/>
      <c r="C119" s="109"/>
      <c r="D119" s="221" t="s">
        <v>193</v>
      </c>
      <c r="E119" s="222" t="s">
        <v>193</v>
      </c>
      <c r="F119" s="223" t="s">
        <v>193</v>
      </c>
      <c r="G119" s="69"/>
      <c r="P119" s="69"/>
      <c r="Q119" s="69"/>
      <c r="R119" s="224"/>
      <c r="S119" s="70"/>
      <c r="T119" s="74"/>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c r="GL119" s="30"/>
      <c r="GM119" s="30"/>
      <c r="GN119" s="30"/>
      <c r="GO119" s="30"/>
      <c r="GP119" s="30"/>
      <c r="GQ119" s="30"/>
      <c r="GR119" s="30"/>
      <c r="GS119" s="30"/>
      <c r="GT119" s="30"/>
      <c r="GU119" s="30"/>
      <c r="GV119" s="30"/>
      <c r="GW119" s="30"/>
      <c r="GX119" s="30"/>
      <c r="GY119" s="30"/>
      <c r="GZ119" s="30"/>
      <c r="HA119" s="30"/>
      <c r="HB119" s="30"/>
      <c r="HC119" s="30"/>
      <c r="HD119" s="30"/>
      <c r="HE119" s="30"/>
      <c r="HF119" s="30"/>
      <c r="HG119" s="30"/>
      <c r="HH119" s="30"/>
      <c r="HI119" s="30"/>
      <c r="HJ119" s="30"/>
      <c r="HK119" s="30"/>
      <c r="HL119" s="30"/>
      <c r="HM119" s="30"/>
      <c r="HN119" s="30"/>
      <c r="HO119" s="30"/>
      <c r="HP119" s="30"/>
      <c r="HQ119" s="30"/>
      <c r="HR119" s="30"/>
      <c r="HS119" s="30"/>
      <c r="HT119" s="30"/>
      <c r="HU119" s="30"/>
      <c r="HV119" s="30"/>
      <c r="HW119" s="30"/>
      <c r="HX119" s="30"/>
      <c r="HY119" s="30"/>
      <c r="HZ119" s="30"/>
      <c r="IA119" s="30"/>
      <c r="IB119" s="30"/>
      <c r="IC119" s="30"/>
      <c r="ID119" s="30"/>
      <c r="IE119" s="30"/>
      <c r="IF119" s="30"/>
      <c r="IG119" s="30"/>
      <c r="IH119" s="30"/>
      <c r="II119" s="30"/>
      <c r="IJ119" s="30"/>
      <c r="IK119" s="30"/>
      <c r="IL119" s="30"/>
      <c r="IM119" s="30"/>
      <c r="IN119" s="30"/>
      <c r="IO119" s="30"/>
      <c r="IP119" s="30"/>
      <c r="IQ119" s="30"/>
      <c r="IR119" s="30"/>
      <c r="IS119" s="30"/>
      <c r="IT119" s="30"/>
      <c r="IU119" s="30"/>
      <c r="IV119" s="30"/>
      <c r="IW119" s="30"/>
      <c r="IX119" s="30"/>
      <c r="IY119" s="30"/>
      <c r="IZ119" s="30"/>
      <c r="JA119" s="30"/>
      <c r="JB119" s="30"/>
      <c r="JC119" s="30"/>
      <c r="JD119" s="30"/>
      <c r="JE119" s="30"/>
      <c r="JF119" s="30"/>
      <c r="JG119" s="30"/>
      <c r="JH119" s="30"/>
      <c r="JI119" s="30"/>
      <c r="JJ119" s="30"/>
      <c r="JK119" s="30"/>
      <c r="JL119" s="30"/>
      <c r="JM119" s="30"/>
      <c r="JN119" s="30"/>
      <c r="JO119" s="30"/>
      <c r="JP119" s="30"/>
      <c r="JQ119" s="30"/>
      <c r="JR119" s="30"/>
      <c r="JS119" s="30"/>
      <c r="JT119" s="30"/>
      <c r="JU119" s="30"/>
      <c r="JV119" s="30"/>
      <c r="JW119" s="30"/>
      <c r="JX119" s="30"/>
      <c r="JY119" s="30"/>
      <c r="JZ119" s="30"/>
      <c r="KA119" s="30"/>
      <c r="KB119" s="30"/>
      <c r="KC119" s="30"/>
      <c r="KD119" s="30"/>
      <c r="KE119" s="30"/>
      <c r="KF119" s="30"/>
      <c r="KG119" s="30"/>
      <c r="KH119" s="30"/>
    </row>
    <row r="120" s="83" customFormat="true" ht="14.4" hidden="false" customHeight="false" outlineLevel="0" collapsed="false">
      <c r="A120" s="75" t="s">
        <v>132</v>
      </c>
      <c r="B120" s="188" t="n">
        <f aca="false">SUM(B124:B128)</f>
        <v>1</v>
      </c>
      <c r="C120" s="78" t="s">
        <v>133</v>
      </c>
      <c r="D120" s="79" t="n">
        <f aca="false">IF($E$1="GWP100 without fb",D121+D122*'Common input data'!$C$5+D123*'Common input data'!$D$5,IF($E$1="GWP100 with fb",D121+D122*'Common input data'!$C$6+D123*'Common input data'!$D$6,IF($E$1="GTP100 without fb",D121+D122*'Common input data'!$C$7+D123*'Common input data'!$D$7,IF($E$1="GTP100 with fb",D121+D122*'Common input data'!$C$8+D123*'Common input data'!$D$8,D121+D122*'Common input data'!$C$9+D123*'Common input data'!$D$9))))</f>
        <v>8.36076536764843</v>
      </c>
      <c r="E120" s="80" t="n">
        <f aca="false">IF($E$1="GWP100 without fb",E121+E122*'Common input data'!$C$5+E123*'Common input data'!$D$5,IF($E$1="GWP100 with fb",E121+E122*'Common input data'!$C$6+E123*'Common input data'!$D$6,IF($E$1="GTP100 without fb",E121+E122*'Common input data'!$C$7+E123*'Common input data'!$D$7,IF($E$1="GTP100 with fb",E121+E122*'Common input data'!$C$8+E123*'Common input data'!$D$8,E121+E122*'Common input data'!$C$9+E123*'Common input data'!$D$9))))</f>
        <v>11.1515811320706</v>
      </c>
      <c r="F120" s="81" t="n">
        <f aca="false">IF($E$1="GWP100 without fb",F121+F122*'Common input data'!$C$5+F123*'Common input data'!$D$5,IF($E$1="GWP100 with fb",F121+F122*'Common input data'!$C$6+F123*'Common input data'!$D$6,IF($E$1="GTP100 without fb",F121+F122*'Common input data'!$C$7+F123*'Common input data'!$D$7,IF($E$1="GTP100 with fb",F121+F122*'Common input data'!$C$8+F123*'Common input data'!$D$8,F121+F122*'Common input data'!$C$9+F123*'Common input data'!$D$9))))</f>
        <v>11.7851491012225</v>
      </c>
      <c r="G120" s="82"/>
      <c r="P120" s="82"/>
      <c r="Q120" s="82"/>
      <c r="R120" s="78"/>
      <c r="S120" s="78"/>
      <c r="T120" s="74"/>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c r="FQ120" s="30"/>
      <c r="FR120" s="30"/>
      <c r="FS120" s="30"/>
      <c r="FT120" s="30"/>
      <c r="FU120" s="30"/>
      <c r="FV120" s="30"/>
      <c r="FW120" s="30"/>
      <c r="FX120" s="30"/>
      <c r="FY120" s="30"/>
      <c r="FZ120" s="30"/>
      <c r="GA120" s="30"/>
      <c r="GB120" s="30"/>
      <c r="GC120" s="30"/>
      <c r="GD120" s="30"/>
      <c r="GE120" s="30"/>
      <c r="GF120" s="30"/>
      <c r="GG120" s="30"/>
      <c r="GH120" s="30"/>
      <c r="GI120" s="30"/>
      <c r="GJ120" s="30"/>
      <c r="GK120" s="30"/>
      <c r="GL120" s="30"/>
      <c r="GM120" s="30"/>
      <c r="GN120" s="30"/>
      <c r="GO120" s="30"/>
      <c r="GP120" s="30"/>
      <c r="GQ120" s="30"/>
      <c r="GR120" s="30"/>
      <c r="GS120" s="30"/>
      <c r="GT120" s="30"/>
      <c r="GU120" s="30"/>
      <c r="GV120" s="30"/>
      <c r="GW120" s="30"/>
      <c r="GX120" s="30"/>
      <c r="GY120" s="30"/>
      <c r="GZ120" s="30"/>
      <c r="HA120" s="30"/>
      <c r="HB120" s="30"/>
      <c r="HC120" s="30"/>
      <c r="HD120" s="30"/>
      <c r="HE120" s="30"/>
      <c r="HF120" s="30"/>
      <c r="HG120" s="30"/>
      <c r="HH120" s="30"/>
      <c r="HI120" s="30"/>
      <c r="HJ120" s="30"/>
      <c r="HK120" s="30"/>
      <c r="HL120" s="30"/>
      <c r="HM120" s="30"/>
      <c r="HN120" s="30"/>
      <c r="HO120" s="30"/>
      <c r="HP120" s="30"/>
      <c r="HQ120" s="30"/>
      <c r="HR120" s="30"/>
      <c r="HS120" s="30"/>
      <c r="HT120" s="30"/>
      <c r="HU120" s="30"/>
      <c r="HV120" s="30"/>
      <c r="HW120" s="30"/>
      <c r="HX120" s="30"/>
      <c r="HY120" s="30"/>
      <c r="HZ120" s="30"/>
      <c r="IA120" s="30"/>
      <c r="IB120" s="30"/>
      <c r="IC120" s="30"/>
      <c r="ID120" s="30"/>
      <c r="IE120" s="30"/>
      <c r="IF120" s="30"/>
      <c r="IG120" s="30"/>
      <c r="IH120" s="30"/>
      <c r="II120" s="30"/>
      <c r="IJ120" s="30"/>
      <c r="IK120" s="30"/>
      <c r="IL120" s="30"/>
      <c r="IM120" s="30"/>
      <c r="IN120" s="30"/>
      <c r="IO120" s="30"/>
      <c r="IP120" s="30"/>
      <c r="IQ120" s="30"/>
      <c r="IR120" s="30"/>
      <c r="IS120" s="30"/>
      <c r="IT120" s="30"/>
      <c r="IU120" s="30"/>
      <c r="IV120" s="30"/>
      <c r="IW120" s="30"/>
      <c r="IX120" s="30"/>
      <c r="IY120" s="30"/>
      <c r="IZ120" s="30"/>
      <c r="JA120" s="30"/>
      <c r="JB120" s="30"/>
      <c r="JC120" s="30"/>
      <c r="JD120" s="30"/>
      <c r="JE120" s="30"/>
      <c r="JF120" s="30"/>
      <c r="JG120" s="30"/>
      <c r="JH120" s="30"/>
      <c r="JI120" s="30"/>
      <c r="JJ120" s="30"/>
      <c r="JK120" s="30"/>
      <c r="JL120" s="30"/>
      <c r="JM120" s="30"/>
      <c r="JN120" s="30"/>
      <c r="JO120" s="30"/>
      <c r="JP120" s="30"/>
      <c r="JQ120" s="30"/>
      <c r="JR120" s="30"/>
      <c r="JS120" s="30"/>
      <c r="JT120" s="30"/>
      <c r="JU120" s="30"/>
      <c r="JV120" s="30"/>
      <c r="JW120" s="30"/>
      <c r="JX120" s="30"/>
      <c r="JY120" s="30"/>
      <c r="JZ120" s="30"/>
      <c r="KA120" s="30"/>
      <c r="KB120" s="30"/>
      <c r="KC120" s="30"/>
      <c r="KD120" s="30"/>
      <c r="KE120" s="30"/>
      <c r="KF120" s="30"/>
      <c r="KG120" s="30"/>
      <c r="KH120" s="30"/>
    </row>
    <row r="121" s="83" customFormat="true" ht="14.4" hidden="false" customHeight="false" outlineLevel="0" collapsed="false">
      <c r="A121" s="74"/>
      <c r="B121" s="30"/>
      <c r="C121" s="85" t="s">
        <v>134</v>
      </c>
      <c r="D121" s="217" t="n">
        <f aca="false">$B$124*D125+$B$128*D129</f>
        <v>-0.223487486494406</v>
      </c>
      <c r="E121" s="89" t="n">
        <f aca="false">$B$124*E125+$B$128*E129</f>
        <v>1.95079678651645</v>
      </c>
      <c r="F121" s="88" t="n">
        <f aca="false">$B$124*F125+$B$128*F129</f>
        <v>2.37878586523696</v>
      </c>
      <c r="G121" s="89" t="n">
        <f aca="false">$B$124*G125+$B$128*G129</f>
        <v>1.82265456894379</v>
      </c>
      <c r="H121" s="89" t="n">
        <f aca="false">$B$124*H125+$B$128*H129</f>
        <v>0</v>
      </c>
      <c r="I121" s="89" t="n">
        <f aca="false">$B$124*I125+$B$128*I129</f>
        <v>0</v>
      </c>
      <c r="J121" s="89" t="n">
        <f aca="false">$B$124*J125+$B$128*J129</f>
        <v>0</v>
      </c>
      <c r="K121" s="89" t="n">
        <f aca="false">$B$124*K125+$B$128*K129</f>
        <v>0</v>
      </c>
      <c r="L121" s="89" t="n">
        <f aca="false">$B$124*L125+$B$128*L129</f>
        <v>-0.395799842728818</v>
      </c>
      <c r="M121" s="89" t="n">
        <f aca="false">$B$124*M125+$B$128*M129</f>
        <v>0.172312356234412</v>
      </c>
      <c r="N121" s="89" t="n">
        <f aca="false">$B$124*N125+$B$128*N129</f>
        <v>0.310243793896675</v>
      </c>
      <c r="O121" s="89" t="n">
        <f aca="false">$B$124*O125+$B$128*O129</f>
        <v>0.041385910170391</v>
      </c>
      <c r="P121" s="89" t="n">
        <f aca="false">$B$124*P125+$B$128*P129</f>
        <v>0.264</v>
      </c>
      <c r="Q121" s="89" t="n">
        <f aca="false">$B$124*Q125+$B$128*Q129</f>
        <v>2.21479678651645</v>
      </c>
      <c r="R121" s="89" t="n">
        <f aca="false">$B$124*R125+$B$128*R129</f>
        <v>0.05</v>
      </c>
      <c r="S121" s="89" t="n">
        <f aca="false">$B$124*S125+$B$128*S129</f>
        <v>0.062</v>
      </c>
      <c r="T121" s="74"/>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c r="GL121" s="30"/>
      <c r="GM121" s="30"/>
      <c r="GN121" s="30"/>
      <c r="GO121" s="30"/>
      <c r="GP121" s="30"/>
      <c r="GQ121" s="30"/>
      <c r="GR121" s="30"/>
      <c r="GS121" s="30"/>
      <c r="GT121" s="30"/>
      <c r="GU121" s="30"/>
      <c r="GV121" s="30"/>
      <c r="GW121" s="30"/>
      <c r="GX121" s="30"/>
      <c r="GY121" s="30"/>
      <c r="GZ121" s="30"/>
      <c r="HA121" s="30"/>
      <c r="HB121" s="30"/>
      <c r="HC121" s="30"/>
      <c r="HD121" s="30"/>
      <c r="HE121" s="30"/>
      <c r="HF121" s="30"/>
      <c r="HG121" s="30"/>
      <c r="HH121" s="30"/>
      <c r="HI121" s="30"/>
      <c r="HJ121" s="30"/>
      <c r="HK121" s="30"/>
      <c r="HL121" s="30"/>
      <c r="HM121" s="30"/>
      <c r="HN121" s="30"/>
      <c r="HO121" s="30"/>
      <c r="HP121" s="30"/>
      <c r="HQ121" s="30"/>
      <c r="HR121" s="30"/>
      <c r="HS121" s="30"/>
      <c r="HT121" s="30"/>
      <c r="HU121" s="30"/>
      <c r="HV121" s="30"/>
      <c r="HW121" s="30"/>
      <c r="HX121" s="30"/>
      <c r="HY121" s="30"/>
      <c r="HZ121" s="30"/>
      <c r="IA121" s="30"/>
      <c r="IB121" s="30"/>
      <c r="IC121" s="30"/>
      <c r="ID121" s="30"/>
      <c r="IE121" s="30"/>
      <c r="IF121" s="30"/>
      <c r="IG121" s="30"/>
      <c r="IH121" s="30"/>
      <c r="II121" s="30"/>
      <c r="IJ121" s="30"/>
      <c r="IK121" s="30"/>
      <c r="IL121" s="30"/>
      <c r="IM121" s="30"/>
      <c r="IN121" s="30"/>
      <c r="IO121" s="30"/>
      <c r="IP121" s="30"/>
      <c r="IQ121" s="30"/>
      <c r="IR121" s="30"/>
      <c r="IS121" s="30"/>
      <c r="IT121" s="30"/>
      <c r="IU121" s="30"/>
      <c r="IV121" s="30"/>
      <c r="IW121" s="30"/>
      <c r="IX121" s="30"/>
      <c r="IY121" s="30"/>
      <c r="IZ121" s="30"/>
      <c r="JA121" s="30"/>
      <c r="JB121" s="30"/>
      <c r="JC121" s="30"/>
      <c r="JD121" s="30"/>
      <c r="JE121" s="30"/>
      <c r="JF121" s="30"/>
      <c r="JG121" s="30"/>
      <c r="JH121" s="30"/>
      <c r="JI121" s="30"/>
      <c r="JJ121" s="30"/>
      <c r="JK121" s="30"/>
      <c r="JL121" s="30"/>
      <c r="JM121" s="30"/>
      <c r="JN121" s="30"/>
      <c r="JO121" s="30"/>
      <c r="JP121" s="30"/>
      <c r="JQ121" s="30"/>
      <c r="JR121" s="30"/>
      <c r="JS121" s="30"/>
      <c r="JT121" s="30"/>
      <c r="JU121" s="30"/>
      <c r="JV121" s="30"/>
      <c r="JW121" s="30"/>
      <c r="JX121" s="30"/>
      <c r="JY121" s="30"/>
      <c r="JZ121" s="30"/>
      <c r="KA121" s="30"/>
      <c r="KB121" s="30"/>
      <c r="KC121" s="30"/>
      <c r="KD121" s="30"/>
      <c r="KE121" s="30"/>
      <c r="KF121" s="30"/>
      <c r="KG121" s="30"/>
      <c r="KH121" s="30"/>
      <c r="KI121" s="30"/>
      <c r="KJ121" s="30"/>
      <c r="KK121" s="30"/>
      <c r="KL121" s="30"/>
      <c r="KM121" s="30"/>
      <c r="KN121" s="30"/>
      <c r="KO121" s="30"/>
      <c r="KP121" s="30"/>
      <c r="KQ121" s="30"/>
      <c r="KR121" s="30"/>
      <c r="KS121" s="30"/>
      <c r="KT121" s="30"/>
      <c r="KU121" s="30"/>
      <c r="KV121" s="30"/>
      <c r="KW121" s="30"/>
      <c r="KX121" s="30"/>
      <c r="KY121" s="30"/>
      <c r="KZ121" s="30"/>
      <c r="LA121" s="30"/>
      <c r="LB121" s="30"/>
      <c r="LC121" s="30"/>
      <c r="LD121" s="30"/>
      <c r="LE121" s="30"/>
      <c r="LF121" s="30"/>
      <c r="LG121" s="30"/>
      <c r="LH121" s="30"/>
      <c r="LI121" s="30"/>
      <c r="LJ121" s="30"/>
      <c r="LK121" s="30"/>
      <c r="LL121" s="30"/>
      <c r="LM121" s="30"/>
      <c r="LN121" s="30"/>
      <c r="LO121" s="30"/>
      <c r="LP121" s="30"/>
      <c r="LQ121" s="30"/>
      <c r="LR121" s="30"/>
      <c r="LS121" s="30"/>
      <c r="LT121" s="30"/>
      <c r="LU121" s="30"/>
      <c r="LV121" s="30"/>
      <c r="LW121" s="30"/>
      <c r="LX121" s="30"/>
      <c r="LY121" s="30"/>
      <c r="LZ121" s="30"/>
      <c r="MA121" s="30"/>
      <c r="MB121" s="30"/>
      <c r="MC121" s="30"/>
      <c r="MD121" s="30"/>
      <c r="ME121" s="30"/>
      <c r="MF121" s="30"/>
      <c r="MG121" s="30"/>
      <c r="MH121" s="30"/>
      <c r="MI121" s="30"/>
      <c r="MJ121" s="30"/>
      <c r="MK121" s="30"/>
      <c r="ML121" s="30"/>
      <c r="MM121" s="30"/>
      <c r="MN121" s="30"/>
      <c r="MO121" s="30"/>
      <c r="MP121" s="30"/>
      <c r="MQ121" s="30"/>
      <c r="MR121" s="30"/>
      <c r="MS121" s="30"/>
      <c r="MT121" s="30"/>
      <c r="MU121" s="30"/>
      <c r="MV121" s="30"/>
      <c r="MW121" s="30"/>
      <c r="MX121" s="30"/>
      <c r="MY121" s="30"/>
      <c r="MZ121" s="30"/>
      <c r="NA121" s="30"/>
      <c r="NB121" s="30"/>
      <c r="NC121" s="30"/>
      <c r="ND121" s="30"/>
      <c r="NE121" s="30"/>
      <c r="NF121" s="30"/>
      <c r="NG121" s="30"/>
      <c r="NH121" s="30"/>
      <c r="NI121" s="30"/>
      <c r="NJ121" s="30"/>
      <c r="NK121" s="30"/>
      <c r="NL121" s="30"/>
      <c r="NM121" s="30"/>
      <c r="NN121" s="30"/>
      <c r="NO121" s="30"/>
      <c r="NP121" s="30"/>
      <c r="NQ121" s="30"/>
      <c r="NR121" s="30"/>
      <c r="NS121" s="30"/>
      <c r="NT121" s="30"/>
      <c r="NU121" s="30"/>
      <c r="NV121" s="30"/>
      <c r="NW121" s="30"/>
      <c r="NX121" s="30"/>
      <c r="NY121" s="30"/>
      <c r="NZ121" s="30"/>
      <c r="OA121" s="30"/>
      <c r="OB121" s="30"/>
      <c r="OC121" s="30"/>
      <c r="OD121" s="30"/>
      <c r="OE121" s="30"/>
      <c r="OF121" s="30"/>
      <c r="OG121" s="30"/>
      <c r="OH121" s="30"/>
      <c r="OI121" s="30"/>
      <c r="OJ121" s="30"/>
      <c r="OK121" s="30"/>
      <c r="OL121" s="30"/>
      <c r="OM121" s="30"/>
      <c r="ON121" s="30"/>
      <c r="OO121" s="30"/>
      <c r="OP121" s="30"/>
    </row>
    <row r="122" customFormat="false" ht="14.4" hidden="false" customHeight="false" outlineLevel="0" collapsed="false">
      <c r="A122" s="91"/>
      <c r="B122" s="93"/>
      <c r="C122" s="85" t="s">
        <v>135</v>
      </c>
      <c r="D122" s="217" t="n">
        <f aca="false">$B$124*D126+$B$128*D130</f>
        <v>0.188906579946433</v>
      </c>
      <c r="E122" s="89" t="n">
        <f aca="false">$B$124*E126+$B$128*E130</f>
        <v>0.190869163129422</v>
      </c>
      <c r="F122" s="88" t="n">
        <f aca="false">$B$124*F126+$B$128*F130</f>
        <v>0.195133872452023</v>
      </c>
      <c r="G122" s="89" t="n">
        <f aca="false">$B$124*G126+$B$128*G130</f>
        <v>0.0019513654359899</v>
      </c>
      <c r="H122" s="89" t="n">
        <f aca="false">$B$124*H126+$B$128*H130</f>
        <v>0</v>
      </c>
      <c r="I122" s="89" t="n">
        <f aca="false">$B$124*I126+$B$128*I130</f>
        <v>0.0123436962440452</v>
      </c>
      <c r="J122" s="89" t="n">
        <f aca="false">$B$124*J126+$B$128*J130</f>
        <v>0</v>
      </c>
      <c r="K122" s="89" t="n">
        <f aca="false">$B$124*K126+$B$128*K130</f>
        <v>0.176562883702388</v>
      </c>
      <c r="L122" s="89" t="n">
        <f aca="false">$B$124*L126+$B$128*L130</f>
        <v>0</v>
      </c>
      <c r="M122" s="89" t="n">
        <f aca="false">$B$124*M126+$B$128*M130</f>
        <v>0</v>
      </c>
      <c r="N122" s="89" t="n">
        <f aca="false">$B$124*N126+$B$128*N130</f>
        <v>0</v>
      </c>
      <c r="O122" s="89" t="n">
        <f aca="false">$B$124*O126+$B$128*O130</f>
        <v>1.12177469990607E-005</v>
      </c>
      <c r="P122" s="89" t="n">
        <f aca="false">$B$124*P126+$B$128*P130</f>
        <v>0</v>
      </c>
      <c r="Q122" s="89" t="n">
        <f aca="false">$B$124*Q126+$B$128*Q130</f>
        <v>0.190869163129422</v>
      </c>
      <c r="R122" s="89" t="n">
        <f aca="false">$B$124*R126+$B$128*R130</f>
        <v>0</v>
      </c>
      <c r="S122" s="89" t="n">
        <f aca="false">$B$124*S126+$B$128*S130</f>
        <v>0</v>
      </c>
      <c r="T122" s="74"/>
    </row>
    <row r="123" customFormat="false" ht="14.4" hidden="false" customHeight="false" outlineLevel="0" collapsed="false">
      <c r="A123" s="91"/>
      <c r="B123" s="87"/>
      <c r="C123" s="31" t="s">
        <v>136</v>
      </c>
      <c r="D123" s="217" t="n">
        <f aca="false">$B$124*D127+$B$128*D131</f>
        <v>0.00725311790591982</v>
      </c>
      <c r="E123" s="89" t="n">
        <f aca="false">$B$124*E127+$B$128*E131</f>
        <v>0.00909809664145562</v>
      </c>
      <c r="F123" s="88" t="n">
        <f aca="false">$B$124*F127+$B$128*F131</f>
        <v>0.00930138111616371</v>
      </c>
      <c r="G123" s="89" t="n">
        <f aca="false">$B$124*G127+$B$128*G131</f>
        <v>0.00184393299223223</v>
      </c>
      <c r="H123" s="89" t="n">
        <f aca="false">$B$124*H127+$B$128*H131</f>
        <v>0.00466071937966577</v>
      </c>
      <c r="I123" s="89" t="n">
        <f aca="false">$B$124*I127+$B$128*I131</f>
        <v>0.00238975145170737</v>
      </c>
      <c r="J123" s="89" t="n">
        <f aca="false">$B$124*J127+$B$128*J131</f>
        <v>0.000202647074546677</v>
      </c>
      <c r="K123" s="89" t="n">
        <f aca="false">$B$124*K127+$B$128*K131</f>
        <v>0</v>
      </c>
      <c r="L123" s="89" t="n">
        <f aca="false">$B$124*L127+$B$128*L131</f>
        <v>0</v>
      </c>
      <c r="M123" s="89" t="n">
        <f aca="false">$B$124*M127+$B$128*M131</f>
        <v>0</v>
      </c>
      <c r="N123" s="89" t="n">
        <f aca="false">$B$124*N127+$B$128*N131</f>
        <v>0</v>
      </c>
      <c r="O123" s="89" t="n">
        <f aca="false">$B$124*O127+$B$128*O131</f>
        <v>1.04574330357911E-006</v>
      </c>
      <c r="P123" s="89" t="n">
        <f aca="false">$B$124*P127+$B$128*P131</f>
        <v>0</v>
      </c>
      <c r="Q123" s="89" t="n">
        <f aca="false">$B$124*Q127+$B$128*Q131</f>
        <v>0.00909809664145562</v>
      </c>
      <c r="R123" s="89" t="n">
        <f aca="false">$B$124*R127+$B$128*R131</f>
        <v>0</v>
      </c>
      <c r="S123" s="89" t="n">
        <f aca="false">$B$124*S127+$B$128*S131</f>
        <v>0</v>
      </c>
      <c r="T123" s="74"/>
    </row>
    <row r="124" s="83" customFormat="true" ht="14.4" hidden="false" customHeight="false" outlineLevel="0" collapsed="false">
      <c r="A124" s="75" t="s">
        <v>137</v>
      </c>
      <c r="B124" s="188" t="n">
        <f aca="false">'Input data dairy products'!C23</f>
        <v>0.84</v>
      </c>
      <c r="C124" s="78" t="s">
        <v>133</v>
      </c>
      <c r="D124" s="94" t="n">
        <f aca="false">IF($E$1="GWP100 without fb",D125+D126*'Common input data'!$C$5+D127*'Common input data'!$D$5,IF($E$1="GWP100 with fb",D125+D126*'Common input data'!$C$6+D127*'Common input data'!$D$6,IF($E$1="GTP100 without fb",D125+D126*'Common input data'!$C$7+D127*'Common input data'!$D$7,IF($E$1="GTP100 with fb",D125+D126*'Common input data'!$C$8+D127*'Common input data'!$D$8,D125+D126*'Common input data'!$C$9+D127*'Common input data'!$D$9))))</f>
        <v>8.36076536764843</v>
      </c>
      <c r="E124" s="95" t="n">
        <f aca="false">IF($E$1="GWP100 without fb",E125+E126*'Common input data'!$C$5+E127*'Common input data'!$D$5,IF($E$1="GWP100 with fb",E125+E126*'Common input data'!$C$6+E127*'Common input data'!$D$6,IF($E$1="GTP100 without fb",E125+E126*'Common input data'!$C$7+E127*'Common input data'!$D$7,IF($E$1="GTP100 with fb",E125+E126*'Common input data'!$C$8+E127*'Common input data'!$D$8,E125+E126*'Common input data'!$C$9+E127*'Common input data'!$D$9))))</f>
        <v>11.0648420555198</v>
      </c>
      <c r="F124" s="96" t="n">
        <f aca="false">IF($E$1="GWP100 without fb",F125+F126*'Common input data'!$C$5+F127*'Common input data'!$D$5,IF($E$1="GWP100 with fb",F125+F126*'Common input data'!$C$6+F127*'Common input data'!$D$6,IF($E$1="GTP100 without fb",F125+F126*'Common input data'!$C$7+F127*'Common input data'!$D$7,IF($E$1="GTP100 with fb",F125+F126*'Common input data'!$C$8+F127*'Common input data'!$D$8,F125+F126*'Common input data'!$C$9+F127*'Common input data'!$D$9))))</f>
        <v>11.5983269709684</v>
      </c>
      <c r="G124" s="97"/>
      <c r="P124" s="97"/>
      <c r="Q124" s="97"/>
      <c r="R124" s="98"/>
      <c r="S124" s="98"/>
      <c r="T124" s="74"/>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c r="FQ124" s="30"/>
      <c r="FR124" s="30"/>
      <c r="FS124" s="30"/>
      <c r="FT124" s="30"/>
      <c r="FU124" s="30"/>
      <c r="FV124" s="30"/>
      <c r="FW124" s="30"/>
      <c r="FX124" s="30"/>
      <c r="FY124" s="30"/>
      <c r="FZ124" s="30"/>
      <c r="GA124" s="30"/>
      <c r="GB124" s="30"/>
      <c r="GC124" s="30"/>
      <c r="GD124" s="30"/>
      <c r="GE124" s="30"/>
      <c r="GF124" s="30"/>
      <c r="GG124" s="30"/>
      <c r="GH124" s="30"/>
      <c r="GI124" s="30"/>
      <c r="GJ124" s="30"/>
      <c r="GK124" s="30"/>
      <c r="GL124" s="30"/>
      <c r="GM124" s="30"/>
      <c r="GN124" s="30"/>
      <c r="GO124" s="30"/>
      <c r="GP124" s="30"/>
      <c r="GQ124" s="30"/>
      <c r="GR124" s="30"/>
      <c r="GS124" s="30"/>
      <c r="GT124" s="30"/>
      <c r="GU124" s="30"/>
      <c r="GV124" s="30"/>
      <c r="GW124" s="30"/>
      <c r="GX124" s="30"/>
      <c r="GY124" s="30"/>
      <c r="GZ124" s="30"/>
      <c r="HA124" s="30"/>
      <c r="HB124" s="30"/>
      <c r="HC124" s="30"/>
      <c r="HD124" s="30"/>
      <c r="HE124" s="30"/>
      <c r="HF124" s="30"/>
      <c r="HG124" s="30"/>
      <c r="HH124" s="30"/>
      <c r="HI124" s="30"/>
      <c r="HJ124" s="30"/>
      <c r="HK124" s="30"/>
      <c r="HL124" s="30"/>
      <c r="HM124" s="30"/>
      <c r="HN124" s="30"/>
      <c r="HO124" s="30"/>
      <c r="HP124" s="30"/>
      <c r="HQ124" s="30"/>
      <c r="HR124" s="30"/>
      <c r="HS124" s="30"/>
      <c r="HT124" s="30"/>
      <c r="HU124" s="30"/>
      <c r="HV124" s="30"/>
      <c r="HW124" s="30"/>
      <c r="HX124" s="30"/>
      <c r="HY124" s="30"/>
      <c r="HZ124" s="30"/>
      <c r="IA124" s="30"/>
      <c r="IB124" s="30"/>
      <c r="IC124" s="30"/>
      <c r="ID124" s="30"/>
      <c r="IE124" s="30"/>
      <c r="IF124" s="30"/>
      <c r="IG124" s="30"/>
      <c r="IH124" s="30"/>
      <c r="II124" s="30"/>
      <c r="IJ124" s="30"/>
      <c r="IK124" s="30"/>
      <c r="IL124" s="30"/>
      <c r="IM124" s="30"/>
      <c r="IN124" s="30"/>
      <c r="IO124" s="30"/>
      <c r="IP124" s="30"/>
      <c r="IQ124" s="30"/>
      <c r="IR124" s="30"/>
      <c r="IS124" s="30"/>
      <c r="IT124" s="30"/>
      <c r="IU124" s="30"/>
      <c r="IV124" s="30"/>
      <c r="IW124" s="30"/>
      <c r="IX124" s="30"/>
      <c r="IY124" s="30"/>
      <c r="IZ124" s="30"/>
      <c r="JA124" s="30"/>
      <c r="JB124" s="30"/>
      <c r="JC124" s="30"/>
      <c r="JD124" s="30"/>
      <c r="JE124" s="30"/>
      <c r="JF124" s="30"/>
      <c r="JG124" s="30"/>
      <c r="JH124" s="30"/>
      <c r="JI124" s="30"/>
      <c r="JJ124" s="30"/>
      <c r="JK124" s="30"/>
      <c r="JL124" s="30"/>
      <c r="JM124" s="30"/>
      <c r="JN124" s="30"/>
      <c r="JO124" s="30"/>
      <c r="JP124" s="30"/>
      <c r="JQ124" s="30"/>
      <c r="JR124" s="30"/>
      <c r="JS124" s="30"/>
      <c r="JT124" s="30"/>
      <c r="JU124" s="30"/>
      <c r="JV124" s="30"/>
      <c r="JW124" s="30"/>
      <c r="JX124" s="30"/>
      <c r="JY124" s="30"/>
      <c r="JZ124" s="30"/>
      <c r="KA124" s="30"/>
      <c r="KB124" s="30"/>
      <c r="KC124" s="30"/>
      <c r="KD124" s="30"/>
      <c r="KE124" s="30"/>
      <c r="KF124" s="30"/>
      <c r="KG124" s="30"/>
      <c r="KH124" s="30"/>
    </row>
    <row r="125" s="83" customFormat="true" ht="14.4" hidden="false" customHeight="false" outlineLevel="0" collapsed="false">
      <c r="A125" s="74"/>
      <c r="B125" s="30"/>
      <c r="C125" s="85" t="s">
        <v>134</v>
      </c>
      <c r="D125" s="217" t="n">
        <f aca="false">IF(AND($E$2="No",$E$3="No"),SUM(H125:K125),IF(AND($E$2="Yes", $E$3="No"), SUM(H125:K125)+M125, IF(AND($E$2="No", $E$3="Yes"),SUM(H125:K125)+L125, SUM(H125:K125)+M125+L125)))</f>
        <v>-0.223487486494406</v>
      </c>
      <c r="E125" s="89" t="n">
        <f aca="false">IF(AND($E$2="No",$E$3="No"),SUM(G125:K125,N125:O125),IF(AND($E$2="Yes",$E$3="No"), SUM(G125:K125,N125:O125)+M125, IF(AND($E$2="No", $E$3="Yes"),SUM(G125:K125,N125:O125)+L125, SUM(G125:K125,N125:O125)+M125+L125)))</f>
        <v>1.86422832968676</v>
      </c>
      <c r="F125" s="88" t="n">
        <f aca="false">SUM(Q125:S125)/(1-'Common input data'!B$127)</f>
        <v>2.19213816696727</v>
      </c>
      <c r="G125" s="87" t="n">
        <f aca="false">'Input data dairy products'!$D$23*G9</f>
        <v>1.82265456894379</v>
      </c>
      <c r="H125" s="87" t="n">
        <f aca="false">'Input data dairy products'!$D$23*H9</f>
        <v>0</v>
      </c>
      <c r="I125" s="87" t="n">
        <f aca="false">'Input data dairy products'!$D$23*I9</f>
        <v>0</v>
      </c>
      <c r="J125" s="87" t="n">
        <f aca="false">'Input data dairy products'!$D$23*J9</f>
        <v>0</v>
      </c>
      <c r="K125" s="87" t="n">
        <f aca="false">'Input data dairy products'!$D$23*K9</f>
        <v>0</v>
      </c>
      <c r="L125" s="87" t="n">
        <f aca="false">'Input data dairy products'!$D$23*L9</f>
        <v>-0.395799842728818</v>
      </c>
      <c r="M125" s="87" t="n">
        <f aca="false">'Input data dairy products'!$D$23*M9</f>
        <v>0.172312356234412</v>
      </c>
      <c r="N125" s="87" t="n">
        <f aca="false">'Input data dairy products'!$D$23*N9</f>
        <v>0.23386422138621</v>
      </c>
      <c r="O125" s="87" t="n">
        <f aca="false">'Input data dairy products'!$D$23*O9</f>
        <v>0.0311970258511651</v>
      </c>
      <c r="P125" s="87" t="n">
        <f aca="false">'Input data dairy products'!I$29</f>
        <v>0.2</v>
      </c>
      <c r="Q125" s="218" t="n">
        <f aca="false">IF(AND($E$2="No",$E$3="No"),SUM(G125:K125,N125:P125),IF(AND($E$2="Yes",$E$3="No"), SUM(G125:K125,N125:P125)+M125, IF(AND($E$2="No", $E$3="Yes"),SUM(G125:K125,N125:P125)+L125, SUM(G125:K125,N125:P125)+M125+L125)))</f>
        <v>2.06422832968676</v>
      </c>
      <c r="R125" s="89" t="n">
        <f aca="false">'Common input data'!B$91</f>
        <v>0.05</v>
      </c>
      <c r="S125" s="89" t="n">
        <f aca="false">'Common input data'!C$98</f>
        <v>0.03</v>
      </c>
      <c r="T125" s="74"/>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c r="FQ125" s="30"/>
      <c r="FR125" s="30"/>
      <c r="FS125" s="30"/>
      <c r="FT125" s="30"/>
      <c r="FU125" s="30"/>
      <c r="FV125" s="30"/>
      <c r="FW125" s="30"/>
      <c r="FX125" s="30"/>
      <c r="FY125" s="30"/>
      <c r="FZ125" s="30"/>
      <c r="GA125" s="30"/>
      <c r="GB125" s="30"/>
      <c r="GC125" s="30"/>
      <c r="GD125" s="30"/>
      <c r="GE125" s="30"/>
      <c r="GF125" s="30"/>
      <c r="GG125" s="30"/>
      <c r="GH125" s="30"/>
      <c r="GI125" s="30"/>
      <c r="GJ125" s="30"/>
      <c r="GK125" s="30"/>
      <c r="GL125" s="30"/>
      <c r="GM125" s="30"/>
      <c r="GN125" s="30"/>
      <c r="GO125" s="30"/>
      <c r="GP125" s="30"/>
      <c r="GQ125" s="30"/>
      <c r="GR125" s="30"/>
      <c r="GS125" s="30"/>
      <c r="GT125" s="30"/>
      <c r="GU125" s="30"/>
      <c r="GV125" s="30"/>
      <c r="GW125" s="30"/>
      <c r="GX125" s="30"/>
      <c r="GY125" s="30"/>
      <c r="GZ125" s="30"/>
      <c r="HA125" s="30"/>
      <c r="HB125" s="30"/>
      <c r="HC125" s="30"/>
      <c r="HD125" s="30"/>
      <c r="HE125" s="30"/>
      <c r="HF125" s="30"/>
      <c r="HG125" s="30"/>
      <c r="HH125" s="30"/>
      <c r="HI125" s="30"/>
      <c r="HJ125" s="30"/>
      <c r="HK125" s="30"/>
      <c r="HL125" s="30"/>
      <c r="HM125" s="30"/>
      <c r="HN125" s="30"/>
      <c r="HO125" s="30"/>
      <c r="HP125" s="30"/>
      <c r="HQ125" s="30"/>
      <c r="HR125" s="30"/>
      <c r="HS125" s="30"/>
      <c r="HT125" s="30"/>
      <c r="HU125" s="30"/>
      <c r="HV125" s="30"/>
      <c r="HW125" s="30"/>
      <c r="HX125" s="30"/>
      <c r="HY125" s="30"/>
      <c r="HZ125" s="30"/>
      <c r="IA125" s="30"/>
      <c r="IB125" s="30"/>
      <c r="IC125" s="30"/>
      <c r="ID125" s="30"/>
      <c r="IE125" s="30"/>
      <c r="IF125" s="30"/>
      <c r="IG125" s="30"/>
      <c r="IH125" s="30"/>
      <c r="II125" s="30"/>
      <c r="IJ125" s="30"/>
      <c r="IK125" s="30"/>
      <c r="IL125" s="30"/>
      <c r="IM125" s="30"/>
      <c r="IN125" s="30"/>
      <c r="IO125" s="30"/>
      <c r="IP125" s="30"/>
      <c r="IQ125" s="30"/>
      <c r="IR125" s="30"/>
      <c r="IS125" s="30"/>
      <c r="IT125" s="30"/>
      <c r="IU125" s="30"/>
      <c r="IV125" s="30"/>
      <c r="IW125" s="30"/>
      <c r="IX125" s="30"/>
      <c r="IY125" s="30"/>
      <c r="IZ125" s="30"/>
      <c r="JA125" s="30"/>
      <c r="JB125" s="30"/>
      <c r="JC125" s="30"/>
      <c r="JD125" s="30"/>
      <c r="JE125" s="30"/>
      <c r="JF125" s="30"/>
      <c r="JG125" s="30"/>
      <c r="JH125" s="30"/>
      <c r="JI125" s="30"/>
      <c r="JJ125" s="30"/>
      <c r="JK125" s="30"/>
      <c r="JL125" s="30"/>
      <c r="JM125" s="30"/>
      <c r="JN125" s="30"/>
      <c r="JO125" s="30"/>
      <c r="JP125" s="30"/>
      <c r="JQ125" s="30"/>
      <c r="JR125" s="30"/>
      <c r="JS125" s="30"/>
      <c r="JT125" s="30"/>
      <c r="JU125" s="30"/>
      <c r="JV125" s="30"/>
      <c r="JW125" s="30"/>
      <c r="JX125" s="30"/>
      <c r="JY125" s="30"/>
      <c r="JZ125" s="30"/>
      <c r="KA125" s="30"/>
      <c r="KB125" s="30"/>
      <c r="KC125" s="30"/>
      <c r="KD125" s="30"/>
      <c r="KE125" s="30"/>
      <c r="KF125" s="30"/>
      <c r="KG125" s="30"/>
      <c r="KH125" s="30"/>
      <c r="KI125" s="30"/>
      <c r="KJ125" s="30"/>
      <c r="KK125" s="30"/>
      <c r="KL125" s="30"/>
      <c r="KM125" s="30"/>
      <c r="KN125" s="30"/>
      <c r="KO125" s="30"/>
      <c r="KP125" s="30"/>
      <c r="KQ125" s="30"/>
      <c r="KR125" s="30"/>
      <c r="KS125" s="30"/>
      <c r="KT125" s="30"/>
      <c r="KU125" s="30"/>
      <c r="KV125" s="30"/>
      <c r="KW125" s="30"/>
      <c r="KX125" s="30"/>
      <c r="KY125" s="30"/>
      <c r="KZ125" s="30"/>
      <c r="LA125" s="30"/>
      <c r="LB125" s="30"/>
      <c r="LC125" s="30"/>
      <c r="LD125" s="30"/>
      <c r="LE125" s="30"/>
      <c r="LF125" s="30"/>
      <c r="LG125" s="30"/>
      <c r="LH125" s="30"/>
      <c r="LI125" s="30"/>
      <c r="LJ125" s="30"/>
      <c r="LK125" s="30"/>
      <c r="LL125" s="30"/>
      <c r="LM125" s="30"/>
      <c r="LN125" s="30"/>
      <c r="LO125" s="30"/>
      <c r="LP125" s="30"/>
      <c r="LQ125" s="30"/>
      <c r="LR125" s="30"/>
      <c r="LS125" s="30"/>
      <c r="LT125" s="30"/>
      <c r="LU125" s="30"/>
      <c r="LV125" s="30"/>
      <c r="LW125" s="30"/>
      <c r="LX125" s="30"/>
      <c r="LY125" s="30"/>
      <c r="LZ125" s="30"/>
      <c r="MA125" s="30"/>
      <c r="MB125" s="30"/>
      <c r="MC125" s="30"/>
      <c r="MD125" s="30"/>
      <c r="ME125" s="30"/>
      <c r="MF125" s="30"/>
      <c r="MG125" s="30"/>
      <c r="MH125" s="30"/>
      <c r="MI125" s="30"/>
      <c r="MJ125" s="30"/>
      <c r="MK125" s="30"/>
      <c r="ML125" s="30"/>
      <c r="MM125" s="30"/>
      <c r="MN125" s="30"/>
      <c r="MO125" s="30"/>
      <c r="MP125" s="30"/>
      <c r="MQ125" s="30"/>
      <c r="MR125" s="30"/>
      <c r="MS125" s="30"/>
      <c r="MT125" s="30"/>
      <c r="MU125" s="30"/>
      <c r="MV125" s="30"/>
      <c r="MW125" s="30"/>
      <c r="MX125" s="30"/>
      <c r="MY125" s="30"/>
      <c r="MZ125" s="30"/>
      <c r="NA125" s="30"/>
      <c r="NB125" s="30"/>
      <c r="NC125" s="30"/>
      <c r="ND125" s="30"/>
      <c r="NE125" s="30"/>
      <c r="NF125" s="30"/>
      <c r="NG125" s="30"/>
      <c r="NH125" s="30"/>
      <c r="NI125" s="30"/>
      <c r="NJ125" s="30"/>
      <c r="NK125" s="30"/>
      <c r="NL125" s="30"/>
      <c r="NM125" s="30"/>
      <c r="NN125" s="30"/>
      <c r="NO125" s="30"/>
      <c r="NP125" s="30"/>
      <c r="NQ125" s="30"/>
      <c r="NR125" s="30"/>
      <c r="NS125" s="30"/>
      <c r="NT125" s="30"/>
      <c r="NU125" s="30"/>
      <c r="NV125" s="30"/>
      <c r="NW125" s="30"/>
      <c r="NX125" s="30"/>
      <c r="NY125" s="30"/>
      <c r="NZ125" s="30"/>
      <c r="OA125" s="30"/>
      <c r="OB125" s="30"/>
      <c r="OC125" s="30"/>
      <c r="OD125" s="30"/>
      <c r="OE125" s="30"/>
      <c r="OF125" s="30"/>
      <c r="OG125" s="30"/>
      <c r="OH125" s="30"/>
      <c r="OI125" s="30"/>
      <c r="OJ125" s="30"/>
      <c r="OK125" s="30"/>
      <c r="OL125" s="30"/>
      <c r="OM125" s="30"/>
      <c r="ON125" s="30"/>
      <c r="OO125" s="30"/>
      <c r="OP125" s="30"/>
    </row>
    <row r="126" customFormat="false" ht="14.4" hidden="false" customHeight="false" outlineLevel="0" collapsed="false">
      <c r="A126" s="99"/>
      <c r="B126" s="93"/>
      <c r="C126" s="85" t="s">
        <v>135</v>
      </c>
      <c r="D126" s="217" t="n">
        <f aca="false">SUM(H126:K126)</f>
        <v>0.188906579946433</v>
      </c>
      <c r="E126" s="89" t="n">
        <f aca="false">SUM(G126:K126,N126:O126)</f>
        <v>0.190866401408682</v>
      </c>
      <c r="F126" s="88" t="n">
        <f aca="false">SUM(Q126:S126)/(1-'Common input data'!B$127)</f>
        <v>0.195131049024425</v>
      </c>
      <c r="G126" s="87" t="n">
        <f aca="false">'Input data dairy products'!$D$23*G10</f>
        <v>0.0019513654359899</v>
      </c>
      <c r="H126" s="87" t="n">
        <f aca="false">'Input data dairy products'!$D$23*H10</f>
        <v>0</v>
      </c>
      <c r="I126" s="87" t="n">
        <f aca="false">'Input data dairy products'!$D$23*I10</f>
        <v>0.0123436962440452</v>
      </c>
      <c r="J126" s="87" t="n">
        <f aca="false">'Input data dairy products'!$D$23*J10</f>
        <v>0</v>
      </c>
      <c r="K126" s="87" t="n">
        <f aca="false">'Input data dairy products'!$D$23*K10</f>
        <v>0.176562883702388</v>
      </c>
      <c r="L126" s="87" t="n">
        <f aca="false">'Input data dairy products'!$D$23*L10</f>
        <v>0</v>
      </c>
      <c r="M126" s="87" t="n">
        <f aca="false">'Input data dairy products'!$D$23*M10</f>
        <v>0</v>
      </c>
      <c r="N126" s="87" t="n">
        <f aca="false">'Input data dairy products'!$D$23*N10</f>
        <v>0</v>
      </c>
      <c r="O126" s="87" t="n">
        <f aca="false">'Input data dairy products'!$D$23*O10</f>
        <v>8.45602625822888E-006</v>
      </c>
      <c r="P126" s="87" t="n">
        <v>0</v>
      </c>
      <c r="Q126" s="87" t="n">
        <f aca="false">SUM(G126:P126)</f>
        <v>0.190866401408682</v>
      </c>
      <c r="R126" s="89" t="n">
        <v>0</v>
      </c>
      <c r="S126" s="89" t="n">
        <v>0</v>
      </c>
      <c r="T126" s="74"/>
    </row>
    <row r="127" customFormat="false" ht="14.4" hidden="false" customHeight="false" outlineLevel="0" collapsed="false">
      <c r="A127" s="100"/>
      <c r="B127" s="87"/>
      <c r="C127" s="31" t="s">
        <v>136</v>
      </c>
      <c r="D127" s="217" t="n">
        <f aca="false">SUM(H127:K127)</f>
        <v>0.00725311790591982</v>
      </c>
      <c r="E127" s="89" t="n">
        <f aca="false">SUM(G127:K127,N127:O127)</f>
        <v>0.009097839187711</v>
      </c>
      <c r="F127" s="88" t="n">
        <f aca="false">SUM(Q127:S127)/(1-'Common input data'!B$127)</f>
        <v>0.00930111790996874</v>
      </c>
      <c r="G127" s="87" t="n">
        <f aca="false">'Input data dairy products'!$D$23*G11</f>
        <v>0.00184393299223223</v>
      </c>
      <c r="H127" s="87" t="n">
        <f aca="false">'Input data dairy products'!$D$23*H11</f>
        <v>0.00466071937966577</v>
      </c>
      <c r="I127" s="87" t="n">
        <f aca="false">'Input data dairy products'!$D$23*I11</f>
        <v>0.00238975145170737</v>
      </c>
      <c r="J127" s="87" t="n">
        <f aca="false">'Input data dairy products'!$D$23*J11</f>
        <v>0.000202647074546677</v>
      </c>
      <c r="K127" s="87" t="n">
        <f aca="false">'Input data dairy products'!$D$23*K11</f>
        <v>0</v>
      </c>
      <c r="L127" s="87" t="n">
        <f aca="false">'Input data dairy products'!$D$23*L11</f>
        <v>0</v>
      </c>
      <c r="M127" s="87" t="n">
        <f aca="false">'Input data dairy products'!$D$23*M11</f>
        <v>0</v>
      </c>
      <c r="N127" s="87" t="n">
        <f aca="false">'Input data dairy products'!$D$23*N11</f>
        <v>0</v>
      </c>
      <c r="O127" s="87" t="n">
        <f aca="false">'Input data dairy products'!$D$23*O11</f>
        <v>7.88289558961559E-007</v>
      </c>
      <c r="P127" s="87" t="n">
        <v>0</v>
      </c>
      <c r="Q127" s="87" t="n">
        <f aca="false">SUM(G127:P127)</f>
        <v>0.009097839187711</v>
      </c>
      <c r="R127" s="89" t="n">
        <v>0</v>
      </c>
      <c r="S127" s="89" t="n">
        <v>0</v>
      </c>
      <c r="T127" s="74"/>
    </row>
    <row r="128" s="83" customFormat="true" ht="14.4" hidden="false" customHeight="false" outlineLevel="0" collapsed="false">
      <c r="A128" s="75" t="s">
        <v>141</v>
      </c>
      <c r="B128" s="188" t="n">
        <f aca="false">'Input data dairy products'!C24</f>
        <v>0.16</v>
      </c>
      <c r="C128" s="78" t="s">
        <v>133</v>
      </c>
      <c r="D128" s="94" t="n">
        <f aca="false">IF($E$1="GWP100 without fb",D129+D130*'Common input data'!$C$5+D131*'Common input data'!$D$5,IF($E$1="GWP100 with fb",D129+D130*'Common input data'!$C$6+D131*'Common input data'!$D$6,IF($E$1="GTP100 without fb",D129+D130*'Common input data'!$C$7+D131*'Common input data'!$D$7,IF($E$1="GTP100 with fb",D129+D130*'Common input data'!$C$8+D131*'Common input data'!$D$8,D129+D130*'Common input data'!$C$9+D131*'Common input data'!$D$9))))</f>
        <v>8.36076536764843</v>
      </c>
      <c r="E128" s="95" t="n">
        <f aca="false">IF($E$1="GWP100 without fb",E129+E130*'Common input data'!$C$5+E131*'Common input data'!$D$5,IF($E$1="GWP100 with fb",E129+E130*'Common input data'!$C$6+E131*'Common input data'!$D$6,IF($E$1="GTP100 without fb",E129+E130*'Common input data'!$C$7+E131*'Common input data'!$D$7,IF($E$1="GTP100 with fb",E129+E130*'Common input data'!$C$8+E131*'Common input data'!$D$8,E129+E130*'Common input data'!$C$9+E131*'Common input data'!$D$9))))</f>
        <v>11.6069612839622</v>
      </c>
      <c r="F128" s="96" t="n">
        <f aca="false">IF($E$1="GWP100 without fb",F129+F130*'Common input data'!$C$5+F131*'Common input data'!$D$5,IF($E$1="GWP100 with fb",F129+F130*'Common input data'!$C$6+F131*'Common input data'!$D$6,IF($E$1="GTP100 without fb",F129+F130*'Common input data'!$C$7+F131*'Common input data'!$D$7,IF($E$1="GTP100 with fb",F129+F130*'Common input data'!$C$8+F131*'Common input data'!$D$8,F129+F130*'Common input data'!$C$9+F131*'Common input data'!$D$9))))</f>
        <v>12.7659652850566</v>
      </c>
      <c r="G128" s="97"/>
      <c r="P128" s="97"/>
      <c r="Q128" s="97"/>
      <c r="R128" s="98"/>
      <c r="S128" s="98"/>
      <c r="T128" s="74"/>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c r="FR128" s="30"/>
      <c r="FS128" s="30"/>
      <c r="FT128" s="30"/>
      <c r="FU128" s="30"/>
      <c r="FV128" s="30"/>
      <c r="FW128" s="30"/>
      <c r="FX128" s="30"/>
      <c r="FY128" s="30"/>
      <c r="FZ128" s="30"/>
      <c r="GA128" s="30"/>
      <c r="GB128" s="30"/>
      <c r="GC128" s="30"/>
      <c r="GD128" s="30"/>
      <c r="GE128" s="30"/>
      <c r="GF128" s="30"/>
      <c r="GG128" s="30"/>
      <c r="GH128" s="30"/>
      <c r="GI128" s="30"/>
      <c r="GJ128" s="30"/>
      <c r="GK128" s="30"/>
      <c r="GL128" s="30"/>
      <c r="GM128" s="30"/>
      <c r="GN128" s="30"/>
      <c r="GO128" s="30"/>
      <c r="GP128" s="30"/>
      <c r="GQ128" s="30"/>
      <c r="GR128" s="30"/>
      <c r="GS128" s="30"/>
      <c r="GT128" s="30"/>
      <c r="GU128" s="30"/>
      <c r="GV128" s="30"/>
      <c r="GW128" s="30"/>
      <c r="GX128" s="30"/>
      <c r="GY128" s="30"/>
      <c r="GZ128" s="30"/>
      <c r="HA128" s="30"/>
      <c r="HB128" s="30"/>
      <c r="HC128" s="30"/>
      <c r="HD128" s="30"/>
      <c r="HE128" s="30"/>
      <c r="HF128" s="30"/>
      <c r="HG128" s="30"/>
      <c r="HH128" s="30"/>
      <c r="HI128" s="30"/>
      <c r="HJ128" s="30"/>
      <c r="HK128" s="30"/>
      <c r="HL128" s="30"/>
      <c r="HM128" s="30"/>
      <c r="HN128" s="30"/>
      <c r="HO128" s="30"/>
      <c r="HP128" s="30"/>
      <c r="HQ128" s="30"/>
      <c r="HR128" s="30"/>
      <c r="HS128" s="30"/>
      <c r="HT128" s="30"/>
      <c r="HU128" s="30"/>
      <c r="HV128" s="30"/>
      <c r="HW128" s="30"/>
      <c r="HX128" s="30"/>
      <c r="HY128" s="30"/>
      <c r="HZ128" s="30"/>
      <c r="IA128" s="30"/>
      <c r="IB128" s="30"/>
      <c r="IC128" s="30"/>
      <c r="ID128" s="30"/>
      <c r="IE128" s="30"/>
      <c r="IF128" s="30"/>
      <c r="IG128" s="30"/>
      <c r="IH128" s="30"/>
      <c r="II128" s="30"/>
      <c r="IJ128" s="30"/>
      <c r="IK128" s="30"/>
      <c r="IL128" s="30"/>
      <c r="IM128" s="30"/>
      <c r="IN128" s="30"/>
      <c r="IO128" s="30"/>
      <c r="IP128" s="30"/>
      <c r="IQ128" s="30"/>
      <c r="IR128" s="30"/>
      <c r="IS128" s="30"/>
      <c r="IT128" s="30"/>
      <c r="IU128" s="30"/>
      <c r="IV128" s="30"/>
      <c r="IW128" s="30"/>
      <c r="IX128" s="30"/>
      <c r="IY128" s="30"/>
      <c r="IZ128" s="30"/>
      <c r="JA128" s="30"/>
      <c r="JB128" s="30"/>
      <c r="JC128" s="30"/>
      <c r="JD128" s="30"/>
      <c r="JE128" s="30"/>
      <c r="JF128" s="30"/>
      <c r="JG128" s="30"/>
      <c r="JH128" s="30"/>
      <c r="JI128" s="30"/>
      <c r="JJ128" s="30"/>
      <c r="JK128" s="30"/>
      <c r="JL128" s="30"/>
      <c r="JM128" s="30"/>
      <c r="JN128" s="30"/>
      <c r="JO128" s="30"/>
      <c r="JP128" s="30"/>
      <c r="JQ128" s="30"/>
      <c r="JR128" s="30"/>
      <c r="JS128" s="30"/>
      <c r="JT128" s="30"/>
      <c r="JU128" s="30"/>
      <c r="JV128" s="30"/>
      <c r="JW128" s="30"/>
      <c r="JX128" s="30"/>
      <c r="JY128" s="30"/>
      <c r="JZ128" s="30"/>
      <c r="KA128" s="30"/>
      <c r="KB128" s="30"/>
      <c r="KC128" s="30"/>
      <c r="KD128" s="30"/>
      <c r="KE128" s="30"/>
      <c r="KF128" s="30"/>
      <c r="KG128" s="30"/>
      <c r="KH128" s="30"/>
    </row>
    <row r="129" s="83" customFormat="true" ht="14.4" hidden="false" customHeight="false" outlineLevel="0" collapsed="false">
      <c r="A129" s="74"/>
      <c r="B129" s="30"/>
      <c r="C129" s="85" t="s">
        <v>134</v>
      </c>
      <c r="D129" s="217" t="n">
        <f aca="false">IF(AND($E$2="No",$E$3="No"),SUM(H129:K129),IF(AND($E$2="Yes", $E$3="No"), SUM(H129:K129)+M129, IF(AND($E$2="No", $E$3="Yes"),SUM(H129:K129)+L129, SUM(H129:K129)+M129+L129)))</f>
        <v>-0.223487486494406</v>
      </c>
      <c r="E129" s="89" t="n">
        <f aca="false">IF(AND($E$2="No",$E$3="No"),SUM(G129:K129,N129:O129),IF(AND($E$2="Yes",$E$3="No"), SUM(G129:K129,N129:O129)+M129, IF(AND($E$2="No", $E$3="Yes"),SUM(G129:K129,N129:O129)+L129, SUM(G129:K129,N129:O129)+M129+L129)))</f>
        <v>2.40528118487233</v>
      </c>
      <c r="F129" s="88" t="n">
        <f aca="false">SUM(Q129:S129)/(1-'Common input data'!B$127)</f>
        <v>3.3586862811528</v>
      </c>
      <c r="G129" s="87" t="n">
        <f aca="false">'Input data dairy products'!$D$24*G13</f>
        <v>1.82265456894379</v>
      </c>
      <c r="H129" s="87" t="n">
        <f aca="false">'Input data dairy products'!$D$24*H13</f>
        <v>0</v>
      </c>
      <c r="I129" s="87" t="n">
        <f aca="false">'Input data dairy products'!$D$24*I13</f>
        <v>0</v>
      </c>
      <c r="J129" s="87" t="n">
        <f aca="false">'Input data dairy products'!$D$24*J13</f>
        <v>0</v>
      </c>
      <c r="K129" s="87" t="n">
        <f aca="false">'Input data dairy products'!$D$24*K13</f>
        <v>0</v>
      </c>
      <c r="L129" s="87" t="n">
        <f aca="false">'Input data dairy products'!$D$24*L13</f>
        <v>-0.395799842728818</v>
      </c>
      <c r="M129" s="87" t="n">
        <f aca="false">'Input data dairy products'!$D$24*M13</f>
        <v>0.172312356234412</v>
      </c>
      <c r="N129" s="87" t="n">
        <f aca="false">'Input data dairy products'!$D$24*N13</f>
        <v>0.711236549576618</v>
      </c>
      <c r="O129" s="87" t="n">
        <f aca="false">'Input data dairy products'!$D$24*O13</f>
        <v>0.0948775528463269</v>
      </c>
      <c r="P129" s="87" t="n">
        <f aca="false">'Input data dairy products'!I$30</f>
        <v>0.6</v>
      </c>
      <c r="Q129" s="218" t="n">
        <f aca="false">IF(AND($E$2="No",$E$3="No"),SUM(G129:K129,N129:P129),IF(AND($E$2="Yes",$E$3="No"), SUM(G129:K129,N129:P129)+M129, IF(AND($E$2="No", $E$3="Yes"),SUM(G129:K129,N129:P129)+L129, SUM(G129:K129,N129:P129)+M129+L129)))</f>
        <v>3.00528118487233</v>
      </c>
      <c r="R129" s="89" t="n">
        <f aca="false">'Common input data'!B$91</f>
        <v>0.05</v>
      </c>
      <c r="S129" s="89" t="n">
        <f aca="false">'Common input data'!B$102+'Common input data'!C$102</f>
        <v>0.23</v>
      </c>
      <c r="T129" s="74"/>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c r="FR129" s="30"/>
      <c r="FS129" s="30"/>
      <c r="FT129" s="30"/>
      <c r="FU129" s="30"/>
      <c r="FV129" s="30"/>
      <c r="FW129" s="30"/>
      <c r="FX129" s="30"/>
      <c r="FY129" s="30"/>
      <c r="FZ129" s="30"/>
      <c r="GA129" s="30"/>
      <c r="GB129" s="30"/>
      <c r="GC129" s="30"/>
      <c r="GD129" s="30"/>
      <c r="GE129" s="30"/>
      <c r="GF129" s="30"/>
      <c r="GG129" s="30"/>
      <c r="GH129" s="30"/>
      <c r="GI129" s="30"/>
      <c r="GJ129" s="30"/>
      <c r="GK129" s="30"/>
      <c r="GL129" s="30"/>
      <c r="GM129" s="30"/>
      <c r="GN129" s="30"/>
      <c r="GO129" s="30"/>
      <c r="GP129" s="30"/>
      <c r="GQ129" s="30"/>
      <c r="GR129" s="30"/>
      <c r="GS129" s="30"/>
      <c r="GT129" s="30"/>
      <c r="GU129" s="30"/>
      <c r="GV129" s="30"/>
      <c r="GW129" s="30"/>
      <c r="GX129" s="30"/>
      <c r="GY129" s="30"/>
      <c r="GZ129" s="30"/>
      <c r="HA129" s="30"/>
      <c r="HB129" s="30"/>
      <c r="HC129" s="30"/>
      <c r="HD129" s="30"/>
      <c r="HE129" s="30"/>
      <c r="HF129" s="30"/>
      <c r="HG129" s="30"/>
      <c r="HH129" s="30"/>
      <c r="HI129" s="30"/>
      <c r="HJ129" s="30"/>
      <c r="HK129" s="30"/>
      <c r="HL129" s="30"/>
      <c r="HM129" s="30"/>
      <c r="HN129" s="30"/>
      <c r="HO129" s="30"/>
      <c r="HP129" s="30"/>
      <c r="HQ129" s="30"/>
      <c r="HR129" s="30"/>
      <c r="HS129" s="30"/>
      <c r="HT129" s="30"/>
      <c r="HU129" s="30"/>
      <c r="HV129" s="30"/>
      <c r="HW129" s="30"/>
      <c r="HX129" s="30"/>
      <c r="HY129" s="30"/>
      <c r="HZ129" s="30"/>
      <c r="IA129" s="30"/>
      <c r="IB129" s="30"/>
      <c r="IC129" s="30"/>
      <c r="ID129" s="30"/>
      <c r="IE129" s="30"/>
      <c r="IF129" s="30"/>
      <c r="IG129" s="30"/>
      <c r="IH129" s="30"/>
      <c r="II129" s="30"/>
      <c r="IJ129" s="30"/>
      <c r="IK129" s="30"/>
      <c r="IL129" s="30"/>
      <c r="IM129" s="30"/>
      <c r="IN129" s="30"/>
      <c r="IO129" s="30"/>
      <c r="IP129" s="30"/>
      <c r="IQ129" s="30"/>
      <c r="IR129" s="30"/>
      <c r="IS129" s="30"/>
      <c r="IT129" s="30"/>
      <c r="IU129" s="30"/>
      <c r="IV129" s="30"/>
      <c r="IW129" s="30"/>
      <c r="IX129" s="30"/>
      <c r="IY129" s="30"/>
      <c r="IZ129" s="30"/>
      <c r="JA129" s="30"/>
      <c r="JB129" s="30"/>
      <c r="JC129" s="30"/>
      <c r="JD129" s="30"/>
      <c r="JE129" s="30"/>
      <c r="JF129" s="30"/>
      <c r="JG129" s="30"/>
      <c r="JH129" s="30"/>
      <c r="JI129" s="30"/>
      <c r="JJ129" s="30"/>
      <c r="JK129" s="30"/>
      <c r="JL129" s="30"/>
      <c r="JM129" s="30"/>
      <c r="JN129" s="30"/>
      <c r="JO129" s="30"/>
      <c r="JP129" s="30"/>
      <c r="JQ129" s="30"/>
      <c r="JR129" s="30"/>
      <c r="JS129" s="30"/>
      <c r="JT129" s="30"/>
      <c r="JU129" s="30"/>
      <c r="JV129" s="30"/>
      <c r="JW129" s="30"/>
      <c r="JX129" s="30"/>
      <c r="JY129" s="30"/>
      <c r="JZ129" s="30"/>
      <c r="KA129" s="30"/>
      <c r="KB129" s="30"/>
      <c r="KC129" s="30"/>
      <c r="KD129" s="30"/>
      <c r="KE129" s="30"/>
      <c r="KF129" s="30"/>
      <c r="KG129" s="30"/>
      <c r="KH129" s="30"/>
      <c r="KI129" s="30"/>
      <c r="KJ129" s="30"/>
      <c r="KK129" s="30"/>
      <c r="KL129" s="30"/>
      <c r="KM129" s="30"/>
      <c r="KN129" s="30"/>
      <c r="KO129" s="30"/>
      <c r="KP129" s="30"/>
      <c r="KQ129" s="30"/>
      <c r="KR129" s="30"/>
      <c r="KS129" s="30"/>
      <c r="KT129" s="30"/>
      <c r="KU129" s="30"/>
      <c r="KV129" s="30"/>
      <c r="KW129" s="30"/>
      <c r="KX129" s="30"/>
      <c r="KY129" s="30"/>
      <c r="KZ129" s="30"/>
      <c r="LA129" s="30"/>
      <c r="LB129" s="30"/>
      <c r="LC129" s="30"/>
      <c r="LD129" s="30"/>
      <c r="LE129" s="30"/>
      <c r="LF129" s="30"/>
      <c r="LG129" s="30"/>
      <c r="LH129" s="30"/>
      <c r="LI129" s="30"/>
      <c r="LJ129" s="30"/>
      <c r="LK129" s="30"/>
      <c r="LL129" s="30"/>
      <c r="LM129" s="30"/>
      <c r="LN129" s="30"/>
      <c r="LO129" s="30"/>
      <c r="LP129" s="30"/>
      <c r="LQ129" s="30"/>
      <c r="LR129" s="30"/>
      <c r="LS129" s="30"/>
      <c r="LT129" s="30"/>
      <c r="LU129" s="30"/>
      <c r="LV129" s="30"/>
      <c r="LW129" s="30"/>
      <c r="LX129" s="30"/>
      <c r="LY129" s="30"/>
      <c r="LZ129" s="30"/>
      <c r="MA129" s="30"/>
      <c r="MB129" s="30"/>
      <c r="MC129" s="30"/>
      <c r="MD129" s="30"/>
      <c r="ME129" s="30"/>
      <c r="MF129" s="30"/>
      <c r="MG129" s="30"/>
      <c r="MH129" s="30"/>
      <c r="MI129" s="30"/>
      <c r="MJ129" s="30"/>
      <c r="MK129" s="30"/>
      <c r="ML129" s="30"/>
      <c r="MM129" s="30"/>
      <c r="MN129" s="30"/>
      <c r="MO129" s="30"/>
      <c r="MP129" s="30"/>
      <c r="MQ129" s="30"/>
      <c r="MR129" s="30"/>
      <c r="MS129" s="30"/>
      <c r="MT129" s="30"/>
      <c r="MU129" s="30"/>
      <c r="MV129" s="30"/>
      <c r="MW129" s="30"/>
      <c r="MX129" s="30"/>
      <c r="MY129" s="30"/>
      <c r="MZ129" s="30"/>
      <c r="NA129" s="30"/>
      <c r="NB129" s="30"/>
      <c r="NC129" s="30"/>
      <c r="ND129" s="30"/>
      <c r="NE129" s="30"/>
      <c r="NF129" s="30"/>
      <c r="NG129" s="30"/>
      <c r="NH129" s="30"/>
      <c r="NI129" s="30"/>
      <c r="NJ129" s="30"/>
      <c r="NK129" s="30"/>
      <c r="NL129" s="30"/>
      <c r="NM129" s="30"/>
      <c r="NN129" s="30"/>
      <c r="NO129" s="30"/>
      <c r="NP129" s="30"/>
      <c r="NQ129" s="30"/>
      <c r="NR129" s="30"/>
      <c r="NS129" s="30"/>
      <c r="NT129" s="30"/>
      <c r="NU129" s="30"/>
      <c r="NV129" s="30"/>
      <c r="NW129" s="30"/>
      <c r="NX129" s="30"/>
      <c r="NY129" s="30"/>
      <c r="NZ129" s="30"/>
      <c r="OA129" s="30"/>
      <c r="OB129" s="30"/>
      <c r="OC129" s="30"/>
      <c r="OD129" s="30"/>
      <c r="OE129" s="30"/>
      <c r="OF129" s="30"/>
      <c r="OG129" s="30"/>
      <c r="OH129" s="30"/>
      <c r="OI129" s="30"/>
      <c r="OJ129" s="30"/>
      <c r="OK129" s="30"/>
      <c r="OL129" s="30"/>
      <c r="OM129" s="30"/>
      <c r="ON129" s="30"/>
      <c r="OO129" s="30"/>
      <c r="OP129" s="30"/>
    </row>
    <row r="130" customFormat="false" ht="14.4" hidden="false" customHeight="false" outlineLevel="0" collapsed="false">
      <c r="A130" s="99"/>
      <c r="B130" s="31"/>
      <c r="C130" s="85" t="s">
        <v>135</v>
      </c>
      <c r="D130" s="217" t="n">
        <f aca="false">SUM(H130:K130)</f>
        <v>0.188906579946433</v>
      </c>
      <c r="E130" s="89" t="n">
        <f aca="false">SUM(G130:K130,N130:O130)</f>
        <v>0.190883662163312</v>
      </c>
      <c r="F130" s="88" t="n">
        <f aca="false">SUM(Q130:S130)/(1-'Common input data'!B$127)</f>
        <v>0.195148695446913</v>
      </c>
      <c r="G130" s="87" t="n">
        <f aca="false">'Input data dairy products'!$D$24*G14</f>
        <v>0.0019513654359899</v>
      </c>
      <c r="H130" s="87" t="n">
        <f aca="false">'Input data dairy products'!$D$24*H14</f>
        <v>0</v>
      </c>
      <c r="I130" s="87" t="n">
        <f aca="false">'Input data dairy products'!$D$24*I14</f>
        <v>0.0123436962440452</v>
      </c>
      <c r="J130" s="87" t="n">
        <f aca="false">'Input data dairy products'!$D$24*J14</f>
        <v>0</v>
      </c>
      <c r="K130" s="87" t="n">
        <f aca="false">'Input data dairy products'!$D$24*K14</f>
        <v>0.176562883702388</v>
      </c>
      <c r="L130" s="87" t="n">
        <f aca="false">'Input data dairy products'!$D$24*L14</f>
        <v>0</v>
      </c>
      <c r="M130" s="87" t="n">
        <f aca="false">'Input data dairy products'!$D$24*M14</f>
        <v>0</v>
      </c>
      <c r="N130" s="87" t="n">
        <f aca="false">'Input data dairy products'!$D$24*N14</f>
        <v>0</v>
      </c>
      <c r="O130" s="87" t="n">
        <f aca="false">'Input data dairy products'!$D$24*O14</f>
        <v>2.5716780888428E-005</v>
      </c>
      <c r="P130" s="87" t="n">
        <v>0</v>
      </c>
      <c r="Q130" s="87" t="n">
        <f aca="false">SUM(G130:P130)</f>
        <v>0.190883662163312</v>
      </c>
      <c r="R130" s="89" t="n">
        <v>0</v>
      </c>
      <c r="S130" s="89" t="n">
        <v>0</v>
      </c>
      <c r="T130" s="74"/>
    </row>
    <row r="131" customFormat="false" ht="15" hidden="false" customHeight="false" outlineLevel="0" collapsed="false">
      <c r="A131" s="124"/>
      <c r="B131" s="105"/>
      <c r="C131" s="125" t="s">
        <v>136</v>
      </c>
      <c r="D131" s="226" t="n">
        <f aca="false">SUM(H131:K131)</f>
        <v>0.00725311790591982</v>
      </c>
      <c r="E131" s="227" t="n">
        <f aca="false">SUM(G131:K131,N131:O131)</f>
        <v>0.00909944827361486</v>
      </c>
      <c r="F131" s="200" t="n">
        <f aca="false">SUM(Q131:S131)/(1-'Common input data'!B$127)</f>
        <v>0.00930276294868731</v>
      </c>
      <c r="G131" s="105" t="n">
        <f aca="false">'Input data dairy products'!$D$24*G15</f>
        <v>0.00184393299223223</v>
      </c>
      <c r="H131" s="105" t="n">
        <f aca="false">'Input data dairy products'!$D$24*H15</f>
        <v>0.00466071937966577</v>
      </c>
      <c r="I131" s="105" t="n">
        <f aca="false">'Input data dairy products'!$D$24*I15</f>
        <v>0.00238975145170737</v>
      </c>
      <c r="J131" s="105" t="n">
        <f aca="false">'Input data dairy products'!$D$24*J15</f>
        <v>0.000202647074546677</v>
      </c>
      <c r="K131" s="105" t="n">
        <f aca="false">'Input data dairy products'!$D$24*K15</f>
        <v>0</v>
      </c>
      <c r="L131" s="105" t="n">
        <f aca="false">'Input data dairy products'!$D$24*L15</f>
        <v>0</v>
      </c>
      <c r="M131" s="105" t="n">
        <f aca="false">'Input data dairy products'!$D$24*M15</f>
        <v>0</v>
      </c>
      <c r="N131" s="105" t="n">
        <f aca="false">'Input data dairy products'!$D$24*N15</f>
        <v>0</v>
      </c>
      <c r="O131" s="105" t="n">
        <f aca="false">'Input data dairy products'!$D$24*O15</f>
        <v>2.39737546282123E-006</v>
      </c>
      <c r="P131" s="105" t="n">
        <v>0</v>
      </c>
      <c r="Q131" s="105" t="n">
        <f aca="false">SUM(G131:P131)</f>
        <v>0.00909944827361486</v>
      </c>
      <c r="R131" s="228" t="n">
        <v>0</v>
      </c>
      <c r="S131" s="126" t="n">
        <v>0</v>
      </c>
      <c r="T131" s="74"/>
    </row>
  </sheetData>
  <dataValidations count="2">
    <dataValidation allowBlank="true" operator="between" showDropDown="false" showErrorMessage="true" showInputMessage="true" sqref="E2:E3" type="list">
      <formula1>"Yes,No"</formula1>
      <formula2>0</formula2>
    </dataValidation>
    <dataValidation allowBlank="true" operator="between" showDropDown="false" showErrorMessage="true" showInputMessage="true" sqref="E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4B183"/>
    <pageSetUpPr fitToPage="false"/>
  </sheetPr>
  <dimension ref="A1:LX169"/>
  <sheetViews>
    <sheetView showFormulas="false" showGridLines="true" showRowColHeaders="true" showZeros="true" rightToLeft="false" tabSelected="true" showOutlineSymbols="true" defaultGridColor="true" view="normal" topLeftCell="A49" colorId="64" zoomScale="50" zoomScaleNormal="50" zoomScalePageLayoutView="100" workbookViewId="0">
      <selection pane="topLeft" activeCell="G22" activeCellId="0" sqref="G22"/>
    </sheetView>
  </sheetViews>
  <sheetFormatPr defaultColWidth="8.90234375" defaultRowHeight="14.4" zeroHeight="false" outlineLevelRow="0" outlineLevelCol="0"/>
  <cols>
    <col collapsed="false" customWidth="true" hidden="false" outlineLevel="0" max="1" min="1" style="30" width="77.89"/>
    <col collapsed="false" customWidth="true" hidden="false" outlineLevel="0" max="2" min="2" style="30" width="37.66"/>
    <col collapsed="false" customWidth="true" hidden="false" outlineLevel="0" max="3" min="3" style="30" width="19.89"/>
    <col collapsed="false" customWidth="true" hidden="false" outlineLevel="0" max="4" min="4" style="30" width="27.99"/>
    <col collapsed="false" customWidth="true" hidden="false" outlineLevel="0" max="5" min="5" style="30" width="43.66"/>
    <col collapsed="false" customWidth="true" hidden="false" outlineLevel="0" max="7" min="6" style="30" width="38.89"/>
    <col collapsed="false" customWidth="true" hidden="false" outlineLevel="0" max="8" min="8" style="30" width="48.66"/>
    <col collapsed="false" customWidth="true" hidden="false" outlineLevel="0" max="9" min="9" style="30" width="35.44"/>
    <col collapsed="false" customWidth="true" hidden="false" outlineLevel="0" max="10" min="10" style="30" width="22.33"/>
    <col collapsed="false" customWidth="true" hidden="false" outlineLevel="0" max="11" min="11" style="30" width="33"/>
    <col collapsed="false" customWidth="true" hidden="false" outlineLevel="0" max="12" min="12" style="30" width="22.66"/>
    <col collapsed="false" customWidth="true" hidden="false" outlineLevel="0" max="13" min="13" style="30" width="20.66"/>
    <col collapsed="false" customWidth="true" hidden="false" outlineLevel="0" max="14" min="14" style="30" width="22.55"/>
    <col collapsed="false" customWidth="true" hidden="false" outlineLevel="0" max="15" min="15" style="30" width="31.44"/>
    <col collapsed="false" customWidth="true" hidden="false" outlineLevel="0" max="17" min="16" style="30" width="28.66"/>
    <col collapsed="false" customWidth="true" hidden="false" outlineLevel="0" max="18" min="18" style="30" width="32.66"/>
    <col collapsed="false" customWidth="true" hidden="false" outlineLevel="0" max="19" min="19" style="30" width="16.56"/>
    <col collapsed="false" customWidth="true" hidden="false" outlineLevel="0" max="20" min="20" style="30" width="22.33"/>
    <col collapsed="false" customWidth="false" hidden="false" outlineLevel="0" max="26" min="21" style="30" width="8.89"/>
    <col collapsed="false" customWidth="true" hidden="false" outlineLevel="0" max="27" min="27" style="30" width="39.66"/>
    <col collapsed="false" customWidth="false" hidden="false" outlineLevel="0" max="31" min="28" style="30" width="8.89"/>
    <col collapsed="false" customWidth="true" hidden="false" outlineLevel="0" max="32" min="32" style="30" width="33.89"/>
    <col collapsed="false" customWidth="true" hidden="false" outlineLevel="0" max="33" min="33" style="30" width="27.66"/>
    <col collapsed="false" customWidth="true" hidden="false" outlineLevel="0" max="34" min="34" style="30" width="19"/>
    <col collapsed="false" customWidth="true" hidden="false" outlineLevel="0" max="35" min="35" style="30" width="17.67"/>
    <col collapsed="false" customWidth="false" hidden="false" outlineLevel="0" max="36" min="36" style="30" width="8.89"/>
    <col collapsed="false" customWidth="true" hidden="false" outlineLevel="0" max="37" min="37" style="30" width="28.66"/>
    <col collapsed="false" customWidth="true" hidden="false" outlineLevel="0" max="38" min="38" style="30" width="27.66"/>
    <col collapsed="false" customWidth="false" hidden="false" outlineLevel="0" max="1025" min="39" style="30" width="8.89"/>
  </cols>
  <sheetData>
    <row r="1" customFormat="false" ht="31.2" hidden="false" customHeight="false" outlineLevel="0" collapsed="false">
      <c r="A1" s="32" t="s">
        <v>13</v>
      </c>
      <c r="E1" s="33" t="s">
        <v>104</v>
      </c>
      <c r="F1" s="34" t="s">
        <v>105</v>
      </c>
    </row>
    <row r="2" customFormat="false" ht="31.2" hidden="false" customHeight="false" outlineLevel="0" collapsed="false">
      <c r="B2" s="229"/>
      <c r="E2" s="33" t="s">
        <v>106</v>
      </c>
      <c r="F2" s="34" t="s">
        <v>107</v>
      </c>
      <c r="G2" s="34"/>
      <c r="I2" s="92"/>
      <c r="J2" s="117"/>
      <c r="K2" s="92"/>
      <c r="L2" s="92"/>
      <c r="M2" s="92"/>
      <c r="N2" s="92"/>
      <c r="O2" s="92"/>
      <c r="P2" s="92"/>
      <c r="Q2" s="92"/>
      <c r="R2" s="92"/>
      <c r="S2" s="92"/>
      <c r="T2" s="92"/>
      <c r="U2" s="92"/>
      <c r="V2" s="19"/>
    </row>
    <row r="3" customFormat="false" ht="52.2" hidden="false" customHeight="false" outlineLevel="0" collapsed="false">
      <c r="E3" s="38" t="s">
        <v>108</v>
      </c>
      <c r="F3" s="34" t="s">
        <v>107</v>
      </c>
      <c r="G3" s="36"/>
    </row>
    <row r="4" customFormat="false" ht="15" hidden="false" customHeight="false" outlineLevel="0" collapsed="false">
      <c r="H4" s="230"/>
      <c r="I4" s="39"/>
      <c r="J4" s="39"/>
    </row>
    <row r="5" customFormat="false" ht="17.4" hidden="false" customHeight="false" outlineLevel="0" collapsed="false">
      <c r="A5" s="41"/>
      <c r="B5" s="231"/>
      <c r="C5" s="42"/>
      <c r="D5" s="42"/>
      <c r="E5" s="43" t="s">
        <v>109</v>
      </c>
      <c r="F5" s="44"/>
      <c r="G5" s="45"/>
      <c r="H5" s="232"/>
      <c r="I5" s="233" t="s">
        <v>194</v>
      </c>
      <c r="J5" s="234"/>
      <c r="K5" s="235"/>
      <c r="L5" s="235"/>
      <c r="M5" s="235"/>
      <c r="N5" s="235"/>
      <c r="O5" s="235"/>
      <c r="P5" s="235"/>
      <c r="Q5" s="235"/>
      <c r="R5" s="235"/>
      <c r="S5" s="235"/>
      <c r="T5" s="236"/>
    </row>
    <row r="6" s="209" customFormat="true" ht="61.2" hidden="false" customHeight="true" outlineLevel="0" collapsed="false">
      <c r="A6" s="237"/>
      <c r="B6" s="238" t="s">
        <v>112</v>
      </c>
      <c r="C6" s="57" t="s">
        <v>195</v>
      </c>
      <c r="D6" s="57" t="s">
        <v>114</v>
      </c>
      <c r="E6" s="56" t="s">
        <v>115</v>
      </c>
      <c r="F6" s="57" t="s">
        <v>196</v>
      </c>
      <c r="G6" s="58" t="s">
        <v>117</v>
      </c>
      <c r="H6" s="238" t="s">
        <v>197</v>
      </c>
      <c r="I6" s="239" t="s">
        <v>198</v>
      </c>
      <c r="J6" s="240" t="s">
        <v>119</v>
      </c>
      <c r="K6" s="238" t="s">
        <v>123</v>
      </c>
      <c r="L6" s="238" t="s">
        <v>124</v>
      </c>
      <c r="M6" s="57" t="s">
        <v>199</v>
      </c>
      <c r="N6" s="57" t="s">
        <v>200</v>
      </c>
      <c r="O6" s="238" t="s">
        <v>201</v>
      </c>
      <c r="P6" s="238" t="s">
        <v>202</v>
      </c>
      <c r="Q6" s="57" t="s">
        <v>203</v>
      </c>
      <c r="R6" s="238" t="s">
        <v>127</v>
      </c>
      <c r="S6" s="238" t="s">
        <v>128</v>
      </c>
      <c r="T6" s="241" t="s">
        <v>129</v>
      </c>
    </row>
    <row r="7" s="42" customFormat="true" ht="17.4" hidden="false" customHeight="false" outlineLevel="0" collapsed="false">
      <c r="A7" s="107" t="s">
        <v>204</v>
      </c>
      <c r="B7" s="108"/>
      <c r="C7" s="69"/>
      <c r="D7" s="109"/>
      <c r="E7" s="66" t="s">
        <v>205</v>
      </c>
      <c r="F7" s="67" t="s">
        <v>205</v>
      </c>
      <c r="G7" s="68" t="s">
        <v>206</v>
      </c>
      <c r="H7" s="69"/>
      <c r="I7" s="69"/>
      <c r="J7" s="69"/>
      <c r="K7" s="113"/>
      <c r="L7" s="113"/>
      <c r="M7" s="114"/>
      <c r="N7" s="113"/>
      <c r="O7" s="113"/>
      <c r="P7" s="113"/>
      <c r="Q7" s="113"/>
      <c r="R7" s="113"/>
      <c r="S7" s="113"/>
      <c r="T7" s="242"/>
      <c r="U7" s="209"/>
      <c r="V7" s="209"/>
      <c r="W7" s="209"/>
      <c r="X7" s="209"/>
      <c r="Y7" s="209"/>
      <c r="Z7" s="209"/>
      <c r="AA7" s="209"/>
      <c r="AB7" s="209"/>
      <c r="AC7" s="209"/>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c r="EO7" s="209"/>
      <c r="EP7" s="209"/>
      <c r="EQ7" s="209"/>
      <c r="ER7" s="209"/>
      <c r="ES7" s="209"/>
      <c r="ET7" s="209"/>
      <c r="EU7" s="209"/>
      <c r="EV7" s="209"/>
      <c r="EW7" s="209"/>
      <c r="EX7" s="209"/>
      <c r="EY7" s="209"/>
      <c r="EZ7" s="209"/>
      <c r="FA7" s="209"/>
      <c r="FB7" s="209"/>
      <c r="FC7" s="209"/>
      <c r="FD7" s="209"/>
      <c r="FE7" s="209"/>
      <c r="FF7" s="209"/>
      <c r="FG7" s="209"/>
      <c r="FH7" s="209"/>
      <c r="FI7" s="209"/>
      <c r="FJ7" s="209"/>
      <c r="FK7" s="209"/>
      <c r="FL7" s="209"/>
      <c r="FM7" s="209"/>
      <c r="FN7" s="209"/>
      <c r="FO7" s="209"/>
      <c r="FP7" s="209"/>
      <c r="FQ7" s="209"/>
      <c r="FR7" s="209"/>
      <c r="FS7" s="209"/>
      <c r="FT7" s="209"/>
      <c r="FU7" s="209"/>
      <c r="FV7" s="209"/>
      <c r="FW7" s="209"/>
      <c r="FX7" s="209"/>
      <c r="FY7" s="209"/>
      <c r="FZ7" s="209"/>
      <c r="GA7" s="209"/>
      <c r="GB7" s="209"/>
      <c r="GC7" s="209"/>
      <c r="GD7" s="209"/>
      <c r="GE7" s="209"/>
      <c r="GF7" s="209"/>
      <c r="GG7" s="209"/>
      <c r="GH7" s="209"/>
      <c r="GI7" s="209"/>
      <c r="GJ7" s="209"/>
      <c r="GK7" s="209"/>
      <c r="GL7" s="209"/>
      <c r="GM7" s="209"/>
      <c r="GN7" s="209"/>
      <c r="GO7" s="209"/>
      <c r="GP7" s="209"/>
      <c r="GQ7" s="209"/>
      <c r="GR7" s="209"/>
      <c r="GS7" s="209"/>
      <c r="GT7" s="209"/>
      <c r="GU7" s="209"/>
      <c r="GV7" s="209"/>
      <c r="GW7" s="209"/>
      <c r="GX7" s="209"/>
      <c r="GY7" s="209"/>
      <c r="GZ7" s="209"/>
      <c r="HA7" s="209"/>
      <c r="HB7" s="209"/>
      <c r="HC7" s="209"/>
      <c r="HD7" s="209"/>
      <c r="HE7" s="209"/>
      <c r="HF7" s="209"/>
      <c r="HG7" s="209"/>
      <c r="HH7" s="209"/>
      <c r="HI7" s="209"/>
      <c r="HJ7" s="209"/>
      <c r="HK7" s="209"/>
      <c r="HL7" s="209"/>
      <c r="HM7" s="209"/>
      <c r="HN7" s="209"/>
      <c r="HO7" s="209"/>
      <c r="HP7" s="209"/>
      <c r="HQ7" s="209"/>
      <c r="HR7" s="209"/>
      <c r="HS7" s="209"/>
      <c r="HT7" s="209"/>
      <c r="HU7" s="209"/>
      <c r="HV7" s="209"/>
      <c r="HW7" s="209"/>
      <c r="HX7" s="209"/>
      <c r="HY7" s="209"/>
      <c r="HZ7" s="209"/>
      <c r="IA7" s="209"/>
      <c r="IB7" s="209"/>
      <c r="IC7" s="209"/>
      <c r="ID7" s="209"/>
      <c r="IE7" s="209"/>
      <c r="IF7" s="209"/>
      <c r="IG7" s="209"/>
      <c r="IH7" s="209"/>
      <c r="II7" s="209"/>
      <c r="IJ7" s="209"/>
      <c r="IK7" s="209"/>
      <c r="IL7" s="209"/>
      <c r="IM7" s="209"/>
      <c r="IN7" s="209"/>
      <c r="IO7" s="209"/>
      <c r="IP7" s="209"/>
      <c r="IQ7" s="209"/>
      <c r="IR7" s="209"/>
      <c r="IS7" s="209"/>
      <c r="IT7" s="209"/>
      <c r="IU7" s="209"/>
      <c r="IV7" s="209"/>
      <c r="IW7" s="209"/>
      <c r="IX7" s="209"/>
      <c r="IY7" s="209"/>
      <c r="IZ7" s="209"/>
      <c r="JA7" s="209"/>
      <c r="JB7" s="209"/>
      <c r="JC7" s="209"/>
      <c r="JD7" s="209"/>
      <c r="JE7" s="209"/>
      <c r="JF7" s="209"/>
      <c r="JG7" s="209"/>
      <c r="JH7" s="209"/>
      <c r="JI7" s="209"/>
      <c r="JJ7" s="209"/>
      <c r="JK7" s="209"/>
      <c r="JL7" s="209"/>
      <c r="JM7" s="209"/>
      <c r="JN7" s="209"/>
      <c r="JO7" s="209"/>
      <c r="JP7" s="209"/>
      <c r="JQ7" s="209"/>
      <c r="JR7" s="209"/>
      <c r="JS7" s="209"/>
      <c r="JT7" s="209"/>
      <c r="JU7" s="209"/>
      <c r="JV7" s="209"/>
      <c r="JW7" s="209"/>
      <c r="JX7" s="209"/>
      <c r="JY7" s="209"/>
      <c r="JZ7" s="209"/>
      <c r="KA7" s="209"/>
      <c r="KB7" s="209"/>
      <c r="KC7" s="209"/>
      <c r="KD7" s="209"/>
      <c r="KE7" s="209"/>
      <c r="KF7" s="209"/>
      <c r="KG7" s="209"/>
      <c r="KH7" s="209"/>
      <c r="KI7" s="209"/>
      <c r="KJ7" s="209"/>
      <c r="KK7" s="209"/>
      <c r="KL7" s="209"/>
      <c r="KM7" s="209"/>
      <c r="KN7" s="209"/>
      <c r="KO7" s="209"/>
      <c r="KP7" s="209"/>
      <c r="KQ7" s="209"/>
      <c r="KR7" s="209"/>
      <c r="KS7" s="209"/>
      <c r="KT7" s="209"/>
      <c r="KU7" s="209"/>
      <c r="KV7" s="209"/>
      <c r="KW7" s="209"/>
      <c r="KX7" s="209"/>
      <c r="KY7" s="209"/>
      <c r="KZ7" s="209"/>
    </row>
    <row r="8" s="209" customFormat="true" ht="17.4" hidden="false" customHeight="false" outlineLevel="0" collapsed="false">
      <c r="A8" s="75"/>
      <c r="B8" s="76"/>
      <c r="C8" s="77"/>
      <c r="D8" s="78" t="s">
        <v>133</v>
      </c>
      <c r="E8" s="243" t="n">
        <f aca="false">IF($F$1="GWP100 without fb",E9+E10*'Common input data'!$C$5+E11*'Common input data'!$D$5+E12*'Common input data'!$E$5,IF($F$1="GWP100 with fb",E9+E10*'Common input data'!$C$6+E11*'Common input data'!$D$6+E12*'Common input data'!$E$6,IF($F$1="GTP100 without fb",E9+E10*'Common input data'!$C$7+E11*'Common input data'!$D$7+E12*'Common input data'!$E$7,IF($F$1="GTP100 with fb",E9+E10*'Common input data'!$C$8+E11*'Common input data'!$D$8+E12*'Common input data'!$E$8,E9+E10*'Common input data'!$C$9+E11*'Common input data'!$D$9+E12*'Common input data'!$E$9))))</f>
        <v>0.535653162404937</v>
      </c>
      <c r="F8" s="244" t="n">
        <f aca="false">IF($F$1="GWP100 without fb",F9+F10*'Common input data'!$C$5+F11*'Common input data'!$D$5+F12*'Common input data'!$E$5,IF($F$1="GWP100 with fb",F9+F10*'Common input data'!$C$6+F11*'Common input data'!$D$6+F12*'Common input data'!$E$6,IF($F$1="GTP100 without fb",F9+F10*'Common input data'!$C$7+F11*'Common input data'!$D$7+F12*'Common input data'!$E$7,IF($F$1="GTP100 with fb",F9+F10*'Common input data'!$C$8+F11*'Common input data'!$D$8+F12*'Common input data'!$E$8,F9+F10*'Common input data'!$C$9+F11*'Common input data'!$D$9+F12*'Common input data'!$E$9))))</f>
        <v>2.38974070966912</v>
      </c>
      <c r="G8" s="245" t="n">
        <f aca="false">IF($F$1="GWP100 without fb",G9+G10*'Common input data'!$C$5+G11*'Common input data'!$D$5+G12*'Common input data'!$E$5,IF($F$1="GWP100 with fb",G9+G10*'Common input data'!$C$6+G11*'Common input data'!$D$6+G12*'Common input data'!$E$6,IF($F$1="GTP100 without fb",G9+G10*'Common input data'!$C$7+G11*'Common input data'!$D$7+G12*'Common input data'!$E$7,IF($F$1="GTP100 with fb",G9+G10*'Common input data'!$C$8+G11*'Common input data'!$D$8+G12*'Common input data'!$E$8,G9+G10*'Common input data'!$C$9+G11*'Common input data'!$D$9+G12*'Common input data'!$E$9))))</f>
        <v>6.09809903592</v>
      </c>
      <c r="H8" s="95"/>
      <c r="I8" s="97"/>
      <c r="J8" s="97"/>
      <c r="K8" s="83"/>
      <c r="L8" s="83"/>
      <c r="M8" s="83"/>
      <c r="N8" s="83"/>
      <c r="O8" s="83"/>
      <c r="P8" s="83"/>
      <c r="Q8" s="83"/>
      <c r="R8" s="83"/>
      <c r="S8" s="83"/>
      <c r="T8" s="246"/>
    </row>
    <row r="9" s="209" customFormat="true" ht="17.4" hidden="false" customHeight="false" outlineLevel="0" collapsed="false">
      <c r="A9" s="99"/>
      <c r="B9" s="31"/>
      <c r="C9" s="30"/>
      <c r="D9" s="85" t="s">
        <v>134</v>
      </c>
      <c r="E9" s="247" t="n">
        <f aca="false">'Input data fish and seafood'!$B$5*E15+'Input data fish and seafood'!$B$7*E21+'Input data fish and seafood'!$B$9*E53+'Input data fish and seafood'!$B$11*E69+'Input data fish and seafood'!$B$14*E90+'Input data fish and seafood'!$B$18*E116+'Input data fish and seafood'!$B$20*E122+'Input data fish and seafood'!$B$22*E128+'Input data fish and seafood'!$B$24*E37+'Input data fish and seafood'!$B$26*E134+'Input data fish and seafood'!$B$28*E140+'Input data fish and seafood'!$B$30*E156+'Input data fish and seafood'!$B$32*AVERAGE(E21,E53,E69,E90,E116,E122,E37,E140,E156)+'Input data fish and seafood'!$B$34*AVERAGE(E15,E128,E134)</f>
        <v>0.17386900133579</v>
      </c>
      <c r="F9" s="218" t="n">
        <f aca="false">'Input data fish and seafood'!$B$5*F15+'Input data fish and seafood'!$B$7*F21+'Input data fish and seafood'!$B$9*F53+'Input data fish and seafood'!$B$11*F69+'Input data fish and seafood'!$B$14*F90+'Input data fish and seafood'!$B$18*F116+'Input data fish and seafood'!$B$20*F122+'Input data fish and seafood'!$B$22*F128+'Input data fish and seafood'!$B$24*F37+'Input data fish and seafood'!$B$26*F134+'Input data fish and seafood'!$B$28*F140+'Input data fish and seafood'!$B$30*F156+'Input data fish and seafood'!$B$32*AVERAGE(F21,F53,F69,F90,F116,F122,F37,F140,F156)+'Input data fish and seafood'!$B$34*AVERAGE(F15,F128,F134)</f>
        <v>1.68529159005307</v>
      </c>
      <c r="G9" s="248" t="n">
        <f aca="false">'Input data fish and seafood'!$B$5*G15+'Input data fish and seafood'!$B$7*G21+'Input data fish and seafood'!$B$9*G53+'Input data fish and seafood'!$B$11*G69+'Input data fish and seafood'!$B$14*G90+'Input data fish and seafood'!$B$18*G116+'Input data fish and seafood'!$B$20*G122+'Input data fish and seafood'!$B$22*G128+'Input data fish and seafood'!$B$24*G37+'Input data fish and seafood'!$B$26*G134+'Input data fish and seafood'!$B$28*G140+'Input data fish and seafood'!$B$30*G156+'Input data fish and seafood'!$B$32*AVERAGE(G21,G53,G69,G90,G116,G122,G37,G140,G156)+'Input data fish and seafood'!$B$34*AVERAGE(G15,G128,G134)</f>
        <v>4.54994565752029</v>
      </c>
      <c r="H9" s="121" t="n">
        <f aca="false">'Input data fish and seafood'!$B$5*H15+'Input data fish and seafood'!$B$7*H21+'Input data fish and seafood'!$B$9*H53+'Input data fish and seafood'!$B$11*H69+'Input data fish and seafood'!$B$14*H90+'Input data fish and seafood'!$B$18*H116+'Input data fish and seafood'!$B$20*H122+'Input data fish and seafood'!$B$22*H128+'Input data fish and seafood'!$B$24*H37+'Input data fish and seafood'!$B$26*H134+'Input data fish and seafood'!$B$28*H140+'Input data fish and seafood'!$B$30*H156+'Input data fish and seafood'!$B$32*AVERAGE(H21,H53,H69,H90,H116,H122,H37,H140,H156)+'Input data fish and seafood'!$B$34*AVERAGE(H15,H128,H134)</f>
        <v>0.0367333333333333</v>
      </c>
      <c r="I9" s="121" t="n">
        <f aca="false">'Input data fish and seafood'!$B$5*I15+'Input data fish and seafood'!$B$7*I21+'Input data fish and seafood'!$B$9*I53+'Input data fish and seafood'!$B$11*I69+'Input data fish and seafood'!$B$14*I90+'Input data fish and seafood'!$B$18*I116+'Input data fish and seafood'!$B$20*I122+'Input data fish and seafood'!$B$22*I128+'Input data fish and seafood'!$B$24*I37+'Input data fish and seafood'!$B$26*I134+'Input data fish and seafood'!$B$28*I140+'Input data fish and seafood'!$B$30*I156+'Input data fish and seafood'!$B$32*AVERAGE(I21,I53,I69,I90,I116,I122,I37,I140,I156)+'Input data fish and seafood'!$B$34*AVERAGE(I15,I128,I134)</f>
        <v>0.497610084714307</v>
      </c>
      <c r="J9" s="121" t="n">
        <f aca="false">'Input data fish and seafood'!$B$5*J15+'Input data fish and seafood'!$B$7*J21+'Input data fish and seafood'!$B$9*J53+'Input data fish and seafood'!$B$11*J69+'Input data fish and seafood'!$B$14*J90+'Input data fish and seafood'!$B$18*J116+'Input data fish and seafood'!$B$20*J122+'Input data fish and seafood'!$B$22*J128+'Input data fish and seafood'!$B$24*J37+'Input data fish and seafood'!$B$26*J134+'Input data fish and seafood'!$B$28*J140+'Input data fish and seafood'!$B$30*J156+'Input data fish and seafood'!$B$32*AVERAGE(J21,J53,J69,J90,J116,J122,J37,J140,J156)+'Input data fish and seafood'!$B$34*AVERAGE(J15,J128,J134)</f>
        <v>0</v>
      </c>
      <c r="K9" s="121" t="n">
        <f aca="false">'Input data fish and seafood'!$B$5*K15+'Input data fish and seafood'!$B$7*K21+'Input data fish and seafood'!$B$9*K53+'Input data fish and seafood'!$B$11*K69+'Input data fish and seafood'!$B$14*K90+'Input data fish and seafood'!$B$18*K116+'Input data fish and seafood'!$B$20*K122+'Input data fish and seafood'!$B$22*K128+'Input data fish and seafood'!$B$24*K37+'Input data fish and seafood'!$B$26*K134+'Input data fish and seafood'!$B$28*K140+'Input data fish and seafood'!$B$30*K156+'Input data fish and seafood'!$B$32*AVERAGE(K21,K53,K69,K90,K116,K122,K37,K140,K156)+'Input data fish and seafood'!$B$34*AVERAGE(K15,K128,K134)</f>
        <v>0.0586937291576561</v>
      </c>
      <c r="L9" s="121" t="n">
        <f aca="false">'Input data fish and seafood'!$B$5*L15+'Input data fish and seafood'!$B$7*L21+'Input data fish and seafood'!$B$9*L53+'Input data fish and seafood'!$B$11*L69+'Input data fish and seafood'!$B$14*L90+'Input data fish and seafood'!$B$18*L116+'Input data fish and seafood'!$B$20*L122+'Input data fish and seafood'!$B$22*L128+'Input data fish and seafood'!$B$24*L37+'Input data fish and seafood'!$B$26*L134+'Input data fish and seafood'!$B$28*L140+'Input data fish and seafood'!$B$30*L156+'Input data fish and seafood'!$B$32*AVERAGE(L21,L53,L69,L90,L116,L122,L37,L140,L156)+'Input data fish and seafood'!$B$34*AVERAGE(L15,L128,L134)</f>
        <v>0.115175272178134</v>
      </c>
      <c r="M9" s="121" t="n">
        <f aca="false">'Input data fish and seafood'!$B$5*M15+'Input data fish and seafood'!$B$7*M21+'Input data fish and seafood'!$B$9*M53+'Input data fish and seafood'!$B$11*M69+'Input data fish and seafood'!$B$14*M90+'Input data fish and seafood'!$B$18*M116+'Input data fish and seafood'!$B$20*M122+'Input data fish and seafood'!$B$22*M128+'Input data fish and seafood'!$B$24*M37+'Input data fish and seafood'!$B$26*M134+'Input data fish and seafood'!$B$28*M140+'Input data fish and seafood'!$B$30*M156+'Input data fish and seafood'!$B$32*AVERAGE(M21,M53,M69,M90,M116,M122,M37,M140,M156)+'Input data fish and seafood'!$B$34*AVERAGE(M15,M128,M134)</f>
        <v>0.0156</v>
      </c>
      <c r="N9" s="121" t="n">
        <f aca="false">'Input data fish and seafood'!$B$5*N15+'Input data fish and seafood'!$B$7*N21+'Input data fish and seafood'!$B$9*N53+'Input data fish and seafood'!$B$11*N69+'Input data fish and seafood'!$B$14*N90+'Input data fish and seafood'!$B$18*N116+'Input data fish and seafood'!$B$20*N122+'Input data fish and seafood'!$B$22*N128+'Input data fish and seafood'!$B$24*N37+'Input data fish and seafood'!$B$26*N134+'Input data fish and seafood'!$B$28*N140+'Input data fish and seafood'!$B$30*N156+'Input data fish and seafood'!$B$32*AVERAGE(N21,N53,N69,N90,N116,N122,N37,N140,N156)+'Input data fish and seafood'!$B$34*AVERAGE(N15,N128,N134)</f>
        <v>0.0446</v>
      </c>
      <c r="O9" s="121" t="n">
        <f aca="false">'Input data fish and seafood'!$B$5*O15+'Input data fish and seafood'!$B$7*O21+'Input data fish and seafood'!$B$9*O53+'Input data fish and seafood'!$B$11*O69+'Input data fish and seafood'!$B$14*O90+'Input data fish and seafood'!$B$18*O116+'Input data fish and seafood'!$B$20*O122+'Input data fish and seafood'!$B$22*O128+'Input data fish and seafood'!$B$24*O37+'Input data fish and seafood'!$B$26*O134+'Input data fish and seafood'!$B$28*O140+'Input data fish and seafood'!$B$30*O156+'Input data fish and seafood'!$B$32*AVERAGE(O21,O53,O69,O90,O116,O122,O37,O140,O156)+'Input data fish and seafood'!$B$34*AVERAGE(O15,O128,O134)</f>
        <v>0.916879170669645</v>
      </c>
      <c r="P9" s="121" t="n">
        <f aca="false">'Input data fish and seafood'!$B$5*P15+'Input data fish and seafood'!$B$7*P21+'Input data fish and seafood'!$B$9*P53+'Input data fish and seafood'!$B$11*P69+'Input data fish and seafood'!$B$14*P90+'Input data fish and seafood'!$B$18*P116+'Input data fish and seafood'!$B$20*P122+'Input data fish and seafood'!$B$22*P128+'Input data fish and seafood'!$B$24*P37+'Input data fish and seafood'!$B$26*P134+'Input data fish and seafood'!$B$28*P140+'Input data fish and seafood'!$B$30*P156+'Input data fish and seafood'!$B$32*AVERAGE(P21,P53,P69,P90,P116,P122,P37,P140,P156)+'Input data fish and seafood'!$B$34*AVERAGE(P15,P128,P134)</f>
        <v>0</v>
      </c>
      <c r="Q9" s="121" t="n">
        <f aca="false">'Input data fish and seafood'!$B$5*Q15+'Input data fish and seafood'!$B$7*Q21+'Input data fish and seafood'!$B$9*Q53+'Input data fish and seafood'!$B$11*Q69+'Input data fish and seafood'!$B$14*Q90+'Input data fish and seafood'!$B$18*Q116+'Input data fish and seafood'!$B$20*Q122+'Input data fish and seafood'!$B$22*Q128+'Input data fish and seafood'!$B$24*Q37+'Input data fish and seafood'!$B$26*Q134+'Input data fish and seafood'!$B$28*Q140+'Input data fish and seafood'!$B$30*Q156+'Input data fish and seafood'!$B$32*AVERAGE(Q21,Q53,Q69,Q90,Q116,Q122,Q37,Q140,Q156)+'Input data fish and seafood'!$B$34*AVERAGE(Q15,Q128,Q134)</f>
        <v>0.10096647083</v>
      </c>
      <c r="R9" s="121" t="n">
        <f aca="false">'Input data fish and seafood'!$B$5*R15+'Input data fish and seafood'!$B$7*R21+'Input data fish and seafood'!$B$9*R53+'Input data fish and seafood'!$B$11*R69+'Input data fish and seafood'!$B$14*R90+'Input data fish and seafood'!$B$18*R116+'Input data fish and seafood'!$B$20*R122+'Input data fish and seafood'!$B$22*R128+'Input data fish and seafood'!$B$24*R37+'Input data fish and seafood'!$B$26*R134+'Input data fish and seafood'!$B$28*R140+'Input data fish and seafood'!$B$30*R156+'Input data fish and seafood'!$B$32*AVERAGE(R21,R53,R69,R90,R116,R122,R37,R140,R156)+'Input data fish and seafood'!$B$34*AVERAGE(R15,R128,R134)</f>
        <v>3.58997158191616</v>
      </c>
      <c r="S9" s="121" t="n">
        <f aca="false">'Input data fish and seafood'!$B$5*S15+'Input data fish and seafood'!$B$7*S21+'Input data fish and seafood'!$B$9*S53+'Input data fish and seafood'!$B$11*S69+'Input data fish and seafood'!$B$14*S90+'Input data fish and seafood'!$B$18*S116+'Input data fish and seafood'!$B$20*S122+'Input data fish and seafood'!$B$22*S128+'Input data fish and seafood'!$B$24*S37+'Input data fish and seafood'!$B$26*S134+'Input data fish and seafood'!$B$28*S140+'Input data fish and seafood'!$B$30*S156+'Input data fish and seafood'!$B$32*AVERAGE(S21,S53,S69,S90,S116,S122,S37,S140,S156)+'Input data fish and seafood'!$B$34*AVERAGE(S15,S128,S134)</f>
        <v>0.146</v>
      </c>
      <c r="T9" s="249" t="n">
        <f aca="false">'Input data fish and seafood'!$B$5*T15+'Input data fish and seafood'!$B$7*T21+'Input data fish and seafood'!$B$9*T53+'Input data fish and seafood'!$B$11*T69+'Input data fish and seafood'!$B$14*T90+'Input data fish and seafood'!$B$18*T116+'Input data fish and seafood'!$B$20*T122+'Input data fish and seafood'!$B$22*T128+'Input data fish and seafood'!$B$24*T37+'Input data fish and seafood'!$B$26*T134+'Input data fish and seafood'!$B$28*T140+'Input data fish and seafood'!$B$30*T156+'Input data fish and seafood'!$B$32*AVERAGE(T21,T53,T69,T90,T116,T122,T37,T140,T156)+'Input data fish and seafood'!$B$34*AVERAGE(T15,T128,T134)</f>
        <v>0.118373333333333</v>
      </c>
    </row>
    <row r="10" s="209" customFormat="true" ht="17.4" hidden="false" customHeight="false" outlineLevel="0" collapsed="false">
      <c r="A10" s="99"/>
      <c r="B10" s="31"/>
      <c r="C10" s="93"/>
      <c r="D10" s="85" t="s">
        <v>135</v>
      </c>
      <c r="E10" s="247" t="n">
        <f aca="false">'Input data fish and seafood'!$B$5*E16+'Input data fish and seafood'!$B$7*E22+'Input data fish and seafood'!$B$9*E54+'Input data fish and seafood'!$B$11*E70+'Input data fish and seafood'!$B$14*E91+'Input data fish and seafood'!$B$18*E117+'Input data fish and seafood'!$B$20*E123+'Input data fish and seafood'!$B$22*E129+'Input data fish and seafood'!$B$24*E38+'Input data fish and seafood'!$B$26*E135+'Input data fish and seafood'!$B$28*E141+'Input data fish and seafood'!$B$30*E157+'Input data fish and seafood'!$B$32*AVERAGE(E22,E54,E70,E91,E117,E123,E38,E141,E157)+'Input data fish and seafood'!$B$34*AVERAGE(E16,E129,E135)</f>
        <v>0</v>
      </c>
      <c r="F10" s="218" t="n">
        <f aca="false">'Input data fish and seafood'!$B$5*F16+'Input data fish and seafood'!$B$7*F22+'Input data fish and seafood'!$B$9*F54+'Input data fish and seafood'!$B$11*F70+'Input data fish and seafood'!$B$14*F91+'Input data fish and seafood'!$B$18*F117+'Input data fish and seafood'!$B$20*F123+'Input data fish and seafood'!$B$22*F129+'Input data fish and seafood'!$B$24*F38+'Input data fish and seafood'!$B$26*F135+'Input data fish and seafood'!$B$28*F141+'Input data fish and seafood'!$B$30*F157+'Input data fish and seafood'!$B$32*AVERAGE(F22,F54,F70,F91,F117,F123,F38,F141,F157)+'Input data fish and seafood'!$B$34*AVERAGE(F16,F129,F135)</f>
        <v>0.000520032136499043</v>
      </c>
      <c r="G10" s="248" t="n">
        <f aca="false">'Input data fish and seafood'!$B$5*G16+'Input data fish and seafood'!$B$7*G22+'Input data fish and seafood'!$B$9*G54+'Input data fish and seafood'!$B$11*G70+'Input data fish and seafood'!$B$14*G91+'Input data fish and seafood'!$B$18*G117+'Input data fish and seafood'!$B$20*G123+'Input data fish and seafood'!$B$22*G129+'Input data fish and seafood'!$B$24*G38+'Input data fish and seafood'!$B$26*G135+'Input data fish and seafood'!$B$28*G141+'Input data fish and seafood'!$B$30*G157+'Input data fish and seafood'!$B$32*AVERAGE(G22,G54,G70,G91,G117,G123,G38,G141,G157)+'Input data fish and seafood'!$B$34*AVERAGE(G16,G129,G135)</f>
        <v>0.00130523957588266</v>
      </c>
      <c r="H10" s="121" t="n">
        <f aca="false">'Input data fish and seafood'!$B$5*H16+'Input data fish and seafood'!$B$7*H22+'Input data fish and seafood'!$B$9*H54+'Input data fish and seafood'!$B$11*H70+'Input data fish and seafood'!$B$14*H91+'Input data fish and seafood'!$B$18*H117+'Input data fish and seafood'!$B$20*H123+'Input data fish and seafood'!$B$22*H129+'Input data fish and seafood'!$B$24*H38+'Input data fish and seafood'!$B$26*H135+'Input data fish and seafood'!$B$28*H141+'Input data fish and seafood'!$B$30*H157+'Input data fish and seafood'!$B$32*AVERAGE(H22,H54,H70,H91,H117,H123,H38,H141,H157)+'Input data fish and seafood'!$B$34*AVERAGE(H16,H129,H135)</f>
        <v>0</v>
      </c>
      <c r="I10" s="121" t="n">
        <f aca="false">'Input data fish and seafood'!$B$5*I16+'Input data fish and seafood'!$B$7*I22+'Input data fish and seafood'!$B$9*I54+'Input data fish and seafood'!$B$11*I70+'Input data fish and seafood'!$B$14*I91+'Input data fish and seafood'!$B$18*I117+'Input data fish and seafood'!$B$20*I123+'Input data fish and seafood'!$B$22*I129+'Input data fish and seafood'!$B$24*I38+'Input data fish and seafood'!$B$26*I135+'Input data fish and seafood'!$B$28*I141+'Input data fish and seafood'!$B$30*I157+'Input data fish and seafood'!$B$32*AVERAGE(I22,I54,I70,I91,I117,I123,I38,I141,I157)+'Input data fish and seafood'!$B$34*AVERAGE(I16,I129,I135)</f>
        <v>0.000113885580787503</v>
      </c>
      <c r="J10" s="121" t="n">
        <f aca="false">'Input data fish and seafood'!$B$5*J16+'Input data fish and seafood'!$B$7*J22+'Input data fish and seafood'!$B$9*J54+'Input data fish and seafood'!$B$11*J70+'Input data fish and seafood'!$B$14*J91+'Input data fish and seafood'!$B$18*J117+'Input data fish and seafood'!$B$20*J123+'Input data fish and seafood'!$B$22*J129+'Input data fish and seafood'!$B$24*J38+'Input data fish and seafood'!$B$26*J135+'Input data fish and seafood'!$B$28*J141+'Input data fish and seafood'!$B$30*J157+'Input data fish and seafood'!$B$32*AVERAGE(J22,J54,J70,J91,J117,J123,J38,J141,J157)+'Input data fish and seafood'!$B$34*AVERAGE(J16,J129,J135)</f>
        <v>0</v>
      </c>
      <c r="K10" s="121" t="n">
        <f aca="false">'Input data fish and seafood'!$B$5*K16+'Input data fish and seafood'!$B$7*K22+'Input data fish and seafood'!$B$9*K54+'Input data fish and seafood'!$B$11*K70+'Input data fish and seafood'!$B$14*K91+'Input data fish and seafood'!$B$18*K117+'Input data fish and seafood'!$B$20*K123+'Input data fish and seafood'!$B$22*K129+'Input data fish and seafood'!$B$24*K38+'Input data fish and seafood'!$B$26*K135+'Input data fish and seafood'!$B$28*K141+'Input data fish and seafood'!$B$30*K157+'Input data fish and seafood'!$B$32*AVERAGE(K22,K54,K70,K91,K117,K123,K38,K141,K157)+'Input data fish and seafood'!$B$34*AVERAGE(K16,K129,K135)</f>
        <v>0</v>
      </c>
      <c r="L10" s="121" t="n">
        <f aca="false">'Input data fish and seafood'!$B$5*L16+'Input data fish and seafood'!$B$7*L22+'Input data fish and seafood'!$B$9*L54+'Input data fish and seafood'!$B$11*L70+'Input data fish and seafood'!$B$14*L91+'Input data fish and seafood'!$B$18*L117+'Input data fish and seafood'!$B$20*L123+'Input data fish and seafood'!$B$22*L129+'Input data fish and seafood'!$B$24*L38+'Input data fish and seafood'!$B$26*L135+'Input data fish and seafood'!$B$28*L141+'Input data fish and seafood'!$B$30*L157+'Input data fish and seafood'!$B$32*AVERAGE(L22,L54,L70,L91,L117,L123,L38,L141,L157)+'Input data fish and seafood'!$B$34*AVERAGE(L16,L129,L135)</f>
        <v>0</v>
      </c>
      <c r="M10" s="121" t="n">
        <f aca="false">'Input data fish and seafood'!$B$5*M16+'Input data fish and seafood'!$B$7*M22+'Input data fish and seafood'!$B$9*M54+'Input data fish and seafood'!$B$11*M70+'Input data fish and seafood'!$B$14*M91+'Input data fish and seafood'!$B$18*M117+'Input data fish and seafood'!$B$20*M123+'Input data fish and seafood'!$B$22*M129+'Input data fish and seafood'!$B$24*M38+'Input data fish and seafood'!$B$26*M135+'Input data fish and seafood'!$B$28*M141+'Input data fish and seafood'!$B$30*M157+'Input data fish and seafood'!$B$32*AVERAGE(M22,M54,M70,M91,M117,M123,M38,M141,M157)+'Input data fish and seafood'!$B$34*AVERAGE(M16,M129,M135)</f>
        <v>0</v>
      </c>
      <c r="N10" s="121" t="n">
        <f aca="false">'Input data fish and seafood'!$B$5*N16+'Input data fish and seafood'!$B$7*N22+'Input data fish and seafood'!$B$9*N54+'Input data fish and seafood'!$B$11*N70+'Input data fish and seafood'!$B$14*N91+'Input data fish and seafood'!$B$18*N117+'Input data fish and seafood'!$B$20*N123+'Input data fish and seafood'!$B$22*N129+'Input data fish and seafood'!$B$24*N38+'Input data fish and seafood'!$B$26*N135+'Input data fish and seafood'!$B$28*N141+'Input data fish and seafood'!$B$30*N157+'Input data fish and seafood'!$B$32*AVERAGE(N22,N54,N70,N91,N117,N123,N38,N141,N157)+'Input data fish and seafood'!$B$34*AVERAGE(N16,N129,N135)</f>
        <v>0</v>
      </c>
      <c r="O10" s="121" t="n">
        <f aca="false">'Input data fish and seafood'!$B$5*O16+'Input data fish and seafood'!$B$7*O22+'Input data fish and seafood'!$B$9*O54+'Input data fish and seafood'!$B$11*O70+'Input data fish and seafood'!$B$14*O91+'Input data fish and seafood'!$B$18*O117+'Input data fish and seafood'!$B$20*O123+'Input data fish and seafood'!$B$22*O129+'Input data fish and seafood'!$B$24*O38+'Input data fish and seafood'!$B$26*O135+'Input data fish and seafood'!$B$28*O141+'Input data fish and seafood'!$B$30*O157+'Input data fish and seafood'!$B$32*AVERAGE(O22,O54,O70,O91,O117,O123,O38,O141,O157)+'Input data fish and seafood'!$B$34*AVERAGE(O16,O129,O135)</f>
        <v>0.00040614655571154</v>
      </c>
      <c r="P10" s="121" t="n">
        <f aca="false">'Input data fish and seafood'!$B$5*P16+'Input data fish and seafood'!$B$7*P22+'Input data fish and seafood'!$B$9*P54+'Input data fish and seafood'!$B$11*P70+'Input data fish and seafood'!$B$14*P91+'Input data fish and seafood'!$B$18*P117+'Input data fish and seafood'!$B$20*P123+'Input data fish and seafood'!$B$22*P129+'Input data fish and seafood'!$B$24*P38+'Input data fish and seafood'!$B$26*P135+'Input data fish and seafood'!$B$28*P141+'Input data fish and seafood'!$B$30*P157+'Input data fish and seafood'!$B$32*AVERAGE(P22,P54,P70,P91,P117,P123,P38,P141,P157)+'Input data fish and seafood'!$B$34*AVERAGE(P16,P129,P135)</f>
        <v>0</v>
      </c>
      <c r="Q10" s="121" t="n">
        <f aca="false">'Input data fish and seafood'!$B$5*Q16+'Input data fish and seafood'!$B$7*Q22+'Input data fish and seafood'!$B$9*Q54+'Input data fish and seafood'!$B$11*Q70+'Input data fish and seafood'!$B$14*Q91+'Input data fish and seafood'!$B$18*Q117+'Input data fish and seafood'!$B$20*Q123+'Input data fish and seafood'!$B$22*Q129+'Input data fish and seafood'!$B$24*Q38+'Input data fish and seafood'!$B$26*Q135+'Input data fish and seafood'!$B$28*Q141+'Input data fish and seafood'!$B$30*Q157+'Input data fish and seafood'!$B$32*AVERAGE(Q22,Q54,Q70,Q91,Q117,Q123,Q38,Q141,Q157)+'Input data fish and seafood'!$B$34*AVERAGE(Q16,Q129,Q135)</f>
        <v>0</v>
      </c>
      <c r="R10" s="121" t="n">
        <f aca="false">'Input data fish and seafood'!$B$5*R16+'Input data fish and seafood'!$B$7*R22+'Input data fish and seafood'!$B$9*R54+'Input data fish and seafood'!$B$11*R70+'Input data fish and seafood'!$B$14*R91+'Input data fish and seafood'!$B$18*R117+'Input data fish and seafood'!$B$20*R123+'Input data fish and seafood'!$B$22*R129+'Input data fish and seafood'!$B$24*R38+'Input data fish and seafood'!$B$26*R135+'Input data fish and seafood'!$B$28*R141+'Input data fish and seafood'!$B$30*R157+'Input data fish and seafood'!$B$32*AVERAGE(R22,R54,R70,R91,R117,R123,R38,R141,R157)+'Input data fish and seafood'!$B$34*AVERAGE(R16,R129,R135)</f>
        <v>0.00110897951471839</v>
      </c>
      <c r="S10" s="121" t="n">
        <f aca="false">'Input data fish and seafood'!$B$5*S16+'Input data fish and seafood'!$B$7*S22+'Input data fish and seafood'!$B$9*S54+'Input data fish and seafood'!$B$11*S70+'Input data fish and seafood'!$B$14*S91+'Input data fish and seafood'!$B$18*S117+'Input data fish and seafood'!$B$20*S123+'Input data fish and seafood'!$B$22*S129+'Input data fish and seafood'!$B$24*S38+'Input data fish and seafood'!$B$26*S135+'Input data fish and seafood'!$B$28*S141+'Input data fish and seafood'!$B$30*S157+'Input data fish and seafood'!$B$32*AVERAGE(S22,S54,S70,S91,S117,S123,S38,S141,S157)+'Input data fish and seafood'!$B$34*AVERAGE(S16,S129,S135)</f>
        <v>0</v>
      </c>
      <c r="T10" s="249" t="n">
        <f aca="false">'Input data fish and seafood'!$B$5*T16+'Input data fish and seafood'!$B$7*T22+'Input data fish and seafood'!$B$9*T54+'Input data fish and seafood'!$B$11*T70+'Input data fish and seafood'!$B$14*T91+'Input data fish and seafood'!$B$18*T117+'Input data fish and seafood'!$B$20*T123+'Input data fish and seafood'!$B$22*T129+'Input data fish and seafood'!$B$24*T38+'Input data fish and seafood'!$B$26*T135+'Input data fish and seafood'!$B$28*T141+'Input data fish and seafood'!$B$30*T157+'Input data fish and seafood'!$B$32*AVERAGE(T22,T54,T70,T91,T117,T123,T38,T141,T157)+'Input data fish and seafood'!$B$34*AVERAGE(T16,T129,T135)</f>
        <v>0</v>
      </c>
    </row>
    <row r="11" s="209" customFormat="true" ht="20.4" hidden="false" customHeight="true" outlineLevel="0" collapsed="false">
      <c r="A11" s="100"/>
      <c r="B11" s="101"/>
      <c r="C11" s="87"/>
      <c r="D11" s="31" t="s">
        <v>136</v>
      </c>
      <c r="E11" s="247" t="n">
        <f aca="false">'Input data fish and seafood'!$B$5*E17+'Input data fish and seafood'!$B$7*E23+'Input data fish and seafood'!$B$9*E55+'Input data fish and seafood'!$B$11*E71+'Input data fish and seafood'!$B$14*E92+'Input data fish and seafood'!$B$18*E118+'Input data fish and seafood'!$B$20*E124+'Input data fish and seafood'!$B$22*E130+'Input data fish and seafood'!$B$24*E39+'Input data fish and seafood'!$B$26*E136+'Input data fish and seafood'!$B$28*E142+'Input data fish and seafood'!$B$30*E158+'Input data fish and seafood'!$B$32*AVERAGE(E23,E55,E71,E92,E118,E124,E39,E142,E158)+'Input data fish and seafood'!$B$34*AVERAGE(E17,E130,E136)</f>
        <v>0.00121404080895687</v>
      </c>
      <c r="F11" s="218" t="n">
        <f aca="false">'Input data fish and seafood'!$B$5*F17+'Input data fish and seafood'!$B$7*F23+'Input data fish and seafood'!$B$9*F55+'Input data fish and seafood'!$B$11*F71+'Input data fish and seafood'!$B$14*F92+'Input data fish and seafood'!$B$18*F118+'Input data fish and seafood'!$B$20*F124+'Input data fish and seafood'!$B$22*F130+'Input data fish and seafood'!$B$24*F39+'Input data fish and seafood'!$B$26*F136+'Input data fish and seafood'!$B$28*F142+'Input data fish and seafood'!$B$30*F158+'Input data fish and seafood'!$B$32*AVERAGE(F23,F55,F71,F92,F118,F124,F39,F142,F158)+'Input data fish and seafood'!$B$34*AVERAGE(F17,F130,F136)</f>
        <v>0.00171899195293652</v>
      </c>
      <c r="G11" s="248" t="n">
        <f aca="false">'Input data fish and seafood'!$B$5*G17+'Input data fish and seafood'!$B$7*G23+'Input data fish and seafood'!$B$9*G55+'Input data fish and seafood'!$B$11*G71+'Input data fish and seafood'!$B$14*G92+'Input data fish and seafood'!$B$18*G118+'Input data fish and seafood'!$B$20*G124+'Input data fish and seafood'!$B$22*G130+'Input data fish and seafood'!$B$24*G39+'Input data fish and seafood'!$B$26*G136+'Input data fish and seafood'!$B$28*G142+'Input data fish and seafood'!$B$30*G158+'Input data fish and seafood'!$B$32*AVERAGE(G23,G55,G71,G92,G118,G124,G39,G142,G158)+'Input data fish and seafood'!$B$34*AVERAGE(G17,G130,G136)</f>
        <v>0.00347857504448616</v>
      </c>
      <c r="H11" s="121" t="n">
        <f aca="false">'Input data fish and seafood'!$B$5*H17+'Input data fish and seafood'!$B$7*H23+'Input data fish and seafood'!$B$9*H55+'Input data fish and seafood'!$B$11*H71+'Input data fish and seafood'!$B$14*H92+'Input data fish and seafood'!$B$18*H118+'Input data fish and seafood'!$B$20*H124+'Input data fish and seafood'!$B$22*H130+'Input data fish and seafood'!$B$24*H39+'Input data fish and seafood'!$B$26*H136+'Input data fish and seafood'!$B$28*H142+'Input data fish and seafood'!$B$30*H158+'Input data fish and seafood'!$B$32*AVERAGE(H23,H55,H71,H92,H118,H124,H39,H142,H158)+'Input data fish and seafood'!$B$34*AVERAGE(H17,H130,H136)</f>
        <v>0</v>
      </c>
      <c r="I11" s="121" t="n">
        <f aca="false">'Input data fish and seafood'!$B$5*I17+'Input data fish and seafood'!$B$7*I23+'Input data fish and seafood'!$B$9*I55+'Input data fish and seafood'!$B$11*I71+'Input data fish and seafood'!$B$14*I92+'Input data fish and seafood'!$B$18*I118+'Input data fish and seafood'!$B$20*I124+'Input data fish and seafood'!$B$22*I130+'Input data fish and seafood'!$B$24*I39+'Input data fish and seafood'!$B$26*I136+'Input data fish and seafood'!$B$28*I142+'Input data fish and seafood'!$B$30*I158+'Input data fish and seafood'!$B$32*AVERAGE(I23,I55,I71,I92,I118,I124,I39,I142,I158)+'Input data fish and seafood'!$B$34*AVERAGE(I17,I130,I136)</f>
        <v>0.000480314243187155</v>
      </c>
      <c r="J11" s="121" t="n">
        <f aca="false">'Input data fish and seafood'!$B$5*J17+'Input data fish and seafood'!$B$7*J23+'Input data fish and seafood'!$B$9*J55+'Input data fish and seafood'!$B$11*J71+'Input data fish and seafood'!$B$14*J92+'Input data fish and seafood'!$B$18*J118+'Input data fish and seafood'!$B$20*J124+'Input data fish and seafood'!$B$22*J130+'Input data fish and seafood'!$B$24*J39+'Input data fish and seafood'!$B$26*J136+'Input data fish and seafood'!$B$28*J142+'Input data fish and seafood'!$B$30*J158+'Input data fish and seafood'!$B$32*AVERAGE(J23,J55,J71,J92,J118,J124,J39,J142,J158)+'Input data fish and seafood'!$B$34*AVERAGE(J17,J130,J136)</f>
        <v>0.00121404080895687</v>
      </c>
      <c r="K11" s="121" t="n">
        <f aca="false">'Input data fish and seafood'!$B$5*K17+'Input data fish and seafood'!$B$7*K23+'Input data fish and seafood'!$B$9*K55+'Input data fish and seafood'!$B$11*K71+'Input data fish and seafood'!$B$14*K92+'Input data fish and seafood'!$B$18*K118+'Input data fish and seafood'!$B$20*K124+'Input data fish and seafood'!$B$22*K130+'Input data fish and seafood'!$B$24*K39+'Input data fish and seafood'!$B$26*K136+'Input data fish and seafood'!$B$28*K142+'Input data fish and seafood'!$B$30*K158+'Input data fish and seafood'!$B$32*AVERAGE(K23,K55,K71,K92,K118,K124,K39,K142,K158)+'Input data fish and seafood'!$B$34*AVERAGE(K17,K130,K136)</f>
        <v>0</v>
      </c>
      <c r="L11" s="121" t="n">
        <f aca="false">'Input data fish and seafood'!$B$5*L17+'Input data fish and seafood'!$B$7*L23+'Input data fish and seafood'!$B$9*L55+'Input data fish and seafood'!$B$11*L71+'Input data fish and seafood'!$B$14*L92+'Input data fish and seafood'!$B$18*L118+'Input data fish and seafood'!$B$20*L124+'Input data fish and seafood'!$B$22*L130+'Input data fish and seafood'!$B$24*L39+'Input data fish and seafood'!$B$26*L136+'Input data fish and seafood'!$B$28*L142+'Input data fish and seafood'!$B$30*L158+'Input data fish and seafood'!$B$32*AVERAGE(L23,L55,L71,L92,L118,L124,L39,L142,L158)+'Input data fish and seafood'!$B$34*AVERAGE(L17,L130,L136)</f>
        <v>0</v>
      </c>
      <c r="M11" s="121" t="n">
        <f aca="false">'Input data fish and seafood'!$B$5*M17+'Input data fish and seafood'!$B$7*M23+'Input data fish and seafood'!$B$9*M55+'Input data fish and seafood'!$B$11*M71+'Input data fish and seafood'!$B$14*M92+'Input data fish and seafood'!$B$18*M118+'Input data fish and seafood'!$B$20*M124+'Input data fish and seafood'!$B$22*M130+'Input data fish and seafood'!$B$24*M39+'Input data fish and seafood'!$B$26*M136+'Input data fish and seafood'!$B$28*M142+'Input data fish and seafood'!$B$30*M158+'Input data fish and seafood'!$B$32*AVERAGE(M23,M55,M71,M92,M118,M124,M39,M142,M158)+'Input data fish and seafood'!$B$34*AVERAGE(M17,M130,M136)</f>
        <v>0</v>
      </c>
      <c r="N11" s="121" t="n">
        <f aca="false">'Input data fish and seafood'!$B$5*N17+'Input data fish and seafood'!$B$7*N23+'Input data fish and seafood'!$B$9*N55+'Input data fish and seafood'!$B$11*N71+'Input data fish and seafood'!$B$14*N92+'Input data fish and seafood'!$B$18*N118+'Input data fish and seafood'!$B$20*N124+'Input data fish and seafood'!$B$22*N130+'Input data fish and seafood'!$B$24*N39+'Input data fish and seafood'!$B$26*N136+'Input data fish and seafood'!$B$28*N142+'Input data fish and seafood'!$B$30*N158+'Input data fish and seafood'!$B$32*AVERAGE(N23,N55,N71,N92,N118,N124,N39,N142,N158)+'Input data fish and seafood'!$B$34*AVERAGE(N17,N130,N136)</f>
        <v>0</v>
      </c>
      <c r="O11" s="121" t="n">
        <f aca="false">'Input data fish and seafood'!$B$5*O17+'Input data fish and seafood'!$B$7*O23+'Input data fish and seafood'!$B$9*O55+'Input data fish and seafood'!$B$11*O71+'Input data fish and seafood'!$B$14*O92+'Input data fish and seafood'!$B$18*O118+'Input data fish and seafood'!$B$20*O124+'Input data fish and seafood'!$B$22*O130+'Input data fish and seafood'!$B$24*O39+'Input data fish and seafood'!$B$26*O136+'Input data fish and seafood'!$B$28*O142+'Input data fish and seafood'!$B$30*O158+'Input data fish and seafood'!$B$32*AVERAGE(O23,O55,O71,O92,O118,O124,O39,O142,O158)+'Input data fish and seafood'!$B$34*AVERAGE(O17,O130,O136)</f>
        <v>2.46369007924931E-005</v>
      </c>
      <c r="P11" s="121" t="n">
        <f aca="false">'Input data fish and seafood'!$B$5*P17+'Input data fish and seafood'!$B$7*P23+'Input data fish and seafood'!$B$9*P55+'Input data fish and seafood'!$B$11*P71+'Input data fish and seafood'!$B$14*P92+'Input data fish and seafood'!$B$18*P118+'Input data fish and seafood'!$B$20*P124+'Input data fish and seafood'!$B$22*P130+'Input data fish and seafood'!$B$24*P39+'Input data fish and seafood'!$B$26*P136+'Input data fish and seafood'!$B$28*P142+'Input data fish and seafood'!$B$30*P158+'Input data fish and seafood'!$B$32*AVERAGE(P23,P55,P71,P92,P118,P124,P39,P142,P158)+'Input data fish and seafood'!$B$34*AVERAGE(P17,P130,P136)</f>
        <v>0</v>
      </c>
      <c r="Q11" s="121" t="n">
        <f aca="false">'Input data fish and seafood'!$B$5*Q17+'Input data fish and seafood'!$B$7*Q23+'Input data fish and seafood'!$B$9*Q55+'Input data fish and seafood'!$B$11*Q71+'Input data fish and seafood'!$B$14*Q92+'Input data fish and seafood'!$B$18*Q118+'Input data fish and seafood'!$B$20*Q124+'Input data fish and seafood'!$B$22*Q130+'Input data fish and seafood'!$B$24*Q39+'Input data fish and seafood'!$B$26*Q136+'Input data fish and seafood'!$B$28*Q142+'Input data fish and seafood'!$B$30*Q158+'Input data fish and seafood'!$B$32*AVERAGE(Q23,Q55,Q71,Q92,Q118,Q124,Q39,Q142,Q158)+'Input data fish and seafood'!$B$34*AVERAGE(Q17,Q130,Q136)</f>
        <v>0</v>
      </c>
      <c r="R11" s="121" t="n">
        <f aca="false">'Input data fish and seafood'!$B$5*R17+'Input data fish and seafood'!$B$7*R23+'Input data fish and seafood'!$B$9*R55+'Input data fish and seafood'!$B$11*R71+'Input data fish and seafood'!$B$14*R92+'Input data fish and seafood'!$B$18*R118+'Input data fish and seafood'!$B$20*R124+'Input data fish and seafood'!$B$22*R130+'Input data fish and seafood'!$B$24*R39+'Input data fish and seafood'!$B$26*R136+'Input data fish and seafood'!$B$28*R142+'Input data fish and seafood'!$B$30*R158+'Input data fish and seafood'!$B$32*AVERAGE(R23,R55,R71,R92,R118,R124,R39,R142,R158)+'Input data fish and seafood'!$B$34*AVERAGE(R17,R130,R136)</f>
        <v>0.00293183385377243</v>
      </c>
      <c r="S11" s="121" t="n">
        <f aca="false">'Input data fish and seafood'!$B$5*S17+'Input data fish and seafood'!$B$7*S23+'Input data fish and seafood'!$B$9*S55+'Input data fish and seafood'!$B$11*S71+'Input data fish and seafood'!$B$14*S92+'Input data fish and seafood'!$B$18*S118+'Input data fish and seafood'!$B$20*S124+'Input data fish and seafood'!$B$22*S130+'Input data fish and seafood'!$B$24*S39+'Input data fish and seafood'!$B$26*S136+'Input data fish and seafood'!$B$28*S142+'Input data fish and seafood'!$B$30*S158+'Input data fish and seafood'!$B$32*AVERAGE(S23,S55,S71,S92,S118,S124,S39,S142,S158)+'Input data fish and seafood'!$B$34*AVERAGE(S17,S130,S136)</f>
        <v>0</v>
      </c>
      <c r="T11" s="249" t="n">
        <f aca="false">'Input data fish and seafood'!$B$5*T17+'Input data fish and seafood'!$B$7*T23+'Input data fish and seafood'!$B$9*T55+'Input data fish and seafood'!$B$11*T71+'Input data fish and seafood'!$B$14*T92+'Input data fish and seafood'!$B$18*T118+'Input data fish and seafood'!$B$20*T124+'Input data fish and seafood'!$B$22*T130+'Input data fish and seafood'!$B$24*T39+'Input data fish and seafood'!$B$26*T136+'Input data fish and seafood'!$B$28*T142+'Input data fish and seafood'!$B$30*T158+'Input data fish and seafood'!$B$32*AVERAGE(T23,T55,T71,T92,T118,T124,T39,T142,T158)+'Input data fish and seafood'!$B$34*AVERAGE(T17,T130,T136)</f>
        <v>0</v>
      </c>
    </row>
    <row r="12" s="209" customFormat="true" ht="17.4" hidden="false" customHeight="false" outlineLevel="0" collapsed="false">
      <c r="A12" s="250"/>
      <c r="B12" s="251"/>
      <c r="C12" s="105"/>
      <c r="D12" s="125" t="s">
        <v>207</v>
      </c>
      <c r="E12" s="252" t="n">
        <f aca="false">'Input data fish and seafood'!$B$5*E18+'Input data fish and seafood'!$B$7*E24+'Input data fish and seafood'!$B$9*E56+'Input data fish and seafood'!$B$11*E72+'Input data fish and seafood'!$B$14*E93+'Input data fish and seafood'!$B$18*E119+'Input data fish and seafood'!$B$20*E125+'Input data fish and seafood'!$B$22*E131+'Input data fish and seafood'!$B$24*E40+'Input data fish and seafood'!$B$26*E137+'Input data fish and seafood'!$B$28*E143+'Input data fish and seafood'!$B$30*E159+'Input data fish and seafood'!$B$32*AVERAGE(E24,E56,E72,E93,E119,E125,E40,E143,E159)+'Input data fish and seafood'!$B$34*AVERAGE(E18,E131,E137)</f>
        <v>0</v>
      </c>
      <c r="F12" s="253" t="n">
        <f aca="false">'Input data fish and seafood'!$B$5*F18+'Input data fish and seafood'!$B$7*F24+'Input data fish and seafood'!$B$9*F56+'Input data fish and seafood'!$B$11*F72+'Input data fish and seafood'!$B$14*F93+'Input data fish and seafood'!$B$18*F119+'Input data fish and seafood'!$B$20*F125+'Input data fish and seafood'!$B$22*F131+'Input data fish and seafood'!$B$24*F40+'Input data fish and seafood'!$B$26*F137+'Input data fish and seafood'!$B$28*F143+'Input data fish and seafood'!$B$30*F159+'Input data fish and seafood'!$B$32*AVERAGE(F24,F56,F72,F93,F119,F125,F40,F143,F159)+'Input data fish and seafood'!$B$34*AVERAGE(F18,F131,F137)</f>
        <v>8.28625E-005</v>
      </c>
      <c r="G12" s="254" t="n">
        <f aca="false">'Input data fish and seafood'!$B$5*G18+'Input data fish and seafood'!$B$7*G24+'Input data fish and seafood'!$B$9*G56+'Input data fish and seafood'!$B$11*G72+'Input data fish and seafood'!$B$14*G93+'Input data fish and seafood'!$B$18*G119+'Input data fish and seafood'!$B$20*G125+'Input data fish and seafood'!$B$22*G131+'Input data fish and seafood'!$B$24*G40+'Input data fish and seafood'!$B$26*G137+'Input data fish and seafood'!$B$28*G143+'Input data fish and seafood'!$B$30*G159+'Input data fish and seafood'!$B$32*AVERAGE(G24,G56,G72,G93,G119,G125,G40,G143,G159)+'Input data fish and seafood'!$B$34*AVERAGE(G18,G131,G137)</f>
        <v>0.000221823299887382</v>
      </c>
      <c r="H12" s="255" t="n">
        <f aca="false">'Input data fish and seafood'!$B$5*H18+'Input data fish and seafood'!$B$7*H24+'Input data fish and seafood'!$B$9*H56+'Input data fish and seafood'!$B$11*H72+'Input data fish and seafood'!$B$14*H93+'Input data fish and seafood'!$B$18*H119+'Input data fish and seafood'!$B$20*H125+'Input data fish and seafood'!$B$22*H131+'Input data fish and seafood'!$B$24*H40+'Input data fish and seafood'!$B$26*H137+'Input data fish and seafood'!$B$28*H143+'Input data fish and seafood'!$B$30*H159+'Input data fish and seafood'!$B$32*AVERAGE(H24,H56,H72,H93,H119,H125,H40,H143,H159)+'Input data fish and seafood'!$B$34*AVERAGE(H18,H131,H137)</f>
        <v>0</v>
      </c>
      <c r="I12" s="255" t="n">
        <f aca="false">'Input data fish and seafood'!$B$5*I18+'Input data fish and seafood'!$B$7*I24+'Input data fish and seafood'!$B$9*I56+'Input data fish and seafood'!$B$11*I72+'Input data fish and seafood'!$B$14*I93+'Input data fish and seafood'!$B$18*I119+'Input data fish and seafood'!$B$20*I125+'Input data fish and seafood'!$B$22*I131+'Input data fish and seafood'!$B$24*I40+'Input data fish and seafood'!$B$26*I137+'Input data fish and seafood'!$B$28*I143+'Input data fish and seafood'!$B$30*I159+'Input data fish and seafood'!$B$32*AVERAGE(I24,I56,I72,I93,I119,I125,I40,I143,I159)+'Input data fish and seafood'!$B$34*AVERAGE(I18,I131,I137)</f>
        <v>0</v>
      </c>
      <c r="J12" s="255" t="n">
        <f aca="false">'Input data fish and seafood'!$B$5*J18+'Input data fish and seafood'!$B$7*J24+'Input data fish and seafood'!$B$9*J56+'Input data fish and seafood'!$B$11*J72+'Input data fish and seafood'!$B$14*J93+'Input data fish and seafood'!$B$18*J119+'Input data fish and seafood'!$B$20*J125+'Input data fish and seafood'!$B$22*J131+'Input data fish and seafood'!$B$24*J40+'Input data fish and seafood'!$B$26*J137+'Input data fish and seafood'!$B$28*J143+'Input data fish and seafood'!$B$30*J159+'Input data fish and seafood'!$B$32*AVERAGE(J24,J56,J72,J93,J119,J125,J40,J143,J159)+'Input data fish and seafood'!$B$34*AVERAGE(J18,J131,J137)</f>
        <v>0</v>
      </c>
      <c r="K12" s="255" t="n">
        <f aca="false">'Input data fish and seafood'!$B$5*K18+'Input data fish and seafood'!$B$7*K24+'Input data fish and seafood'!$B$9*K56+'Input data fish and seafood'!$B$11*K72+'Input data fish and seafood'!$B$14*K93+'Input data fish and seafood'!$B$18*K119+'Input data fish and seafood'!$B$20*K125+'Input data fish and seafood'!$B$22*K131+'Input data fish and seafood'!$B$24*K40+'Input data fish and seafood'!$B$26*K137+'Input data fish and seafood'!$B$28*K143+'Input data fish and seafood'!$B$30*K159+'Input data fish and seafood'!$B$32*AVERAGE(K24,K56,K72,K93,K119,K125,K40,K143,K159)+'Input data fish and seafood'!$B$34*AVERAGE(K18,K131,K137)</f>
        <v>0</v>
      </c>
      <c r="L12" s="255" t="n">
        <f aca="false">'Input data fish and seafood'!$B$5*L18+'Input data fish and seafood'!$B$7*L24+'Input data fish and seafood'!$B$9*L56+'Input data fish and seafood'!$B$11*L72+'Input data fish and seafood'!$B$14*L93+'Input data fish and seafood'!$B$18*L119+'Input data fish and seafood'!$B$20*L125+'Input data fish and seafood'!$B$22*L131+'Input data fish and seafood'!$B$24*L40+'Input data fish and seafood'!$B$26*L137+'Input data fish and seafood'!$B$28*L143+'Input data fish and seafood'!$B$30*L159+'Input data fish and seafood'!$B$32*AVERAGE(L24,L56,L72,L93,L119,L125,L40,L143,L159)+'Input data fish and seafood'!$B$34*AVERAGE(L18,L131,L137)</f>
        <v>0</v>
      </c>
      <c r="M12" s="255" t="n">
        <f aca="false">'Input data fish and seafood'!$B$5*M18+'Input data fish and seafood'!$B$7*M24+'Input data fish and seafood'!$B$9*M56+'Input data fish and seafood'!$B$11*M72+'Input data fish and seafood'!$B$14*M93+'Input data fish and seafood'!$B$18*M119+'Input data fish and seafood'!$B$20*M125+'Input data fish and seafood'!$B$22*M131+'Input data fish and seafood'!$B$24*M40+'Input data fish and seafood'!$B$26*M137+'Input data fish and seafood'!$B$28*M143+'Input data fish and seafood'!$B$30*M159+'Input data fish and seafood'!$B$32*AVERAGE(M24,M56,M72,M93,M119,M125,M40,M143,M159)+'Input data fish and seafood'!$B$34*AVERAGE(M18,M131,M137)</f>
        <v>0</v>
      </c>
      <c r="N12" s="255" t="n">
        <f aca="false">'Input data fish and seafood'!$B$5*N18+'Input data fish and seafood'!$B$7*N24+'Input data fish and seafood'!$B$9*N56+'Input data fish and seafood'!$B$11*N72+'Input data fish and seafood'!$B$14*N93+'Input data fish and seafood'!$B$18*N119+'Input data fish and seafood'!$B$20*N125+'Input data fish and seafood'!$B$22*N131+'Input data fish and seafood'!$B$24*N40+'Input data fish and seafood'!$B$26*N137+'Input data fish and seafood'!$B$28*N143+'Input data fish and seafood'!$B$30*N159+'Input data fish and seafood'!$B$32*AVERAGE(N24,N56,N72,N93,N119,N125,N40,N143,N159)+'Input data fish and seafood'!$B$34*AVERAGE(N18,N131,N137)</f>
        <v>0</v>
      </c>
      <c r="O12" s="255" t="n">
        <f aca="false">'Input data fish and seafood'!$B$5*O18+'Input data fish and seafood'!$B$7*O24+'Input data fish and seafood'!$B$9*O56+'Input data fish and seafood'!$B$11*O72+'Input data fish and seafood'!$B$14*O93+'Input data fish and seafood'!$B$18*O119+'Input data fish and seafood'!$B$20*O125+'Input data fish and seafood'!$B$22*O131+'Input data fish and seafood'!$B$24*O40+'Input data fish and seafood'!$B$26*O137+'Input data fish and seafood'!$B$28*O143+'Input data fish and seafood'!$B$30*O159+'Input data fish and seafood'!$B$32*AVERAGE(O24,O56,O72,O93,O119,O125,O40,O143,O159)+'Input data fish and seafood'!$B$34*AVERAGE(O18,O131,O137)</f>
        <v>0</v>
      </c>
      <c r="P12" s="255" t="n">
        <f aca="false">'Input data fish and seafood'!$B$5*P18+'Input data fish and seafood'!$B$7*P24+'Input data fish and seafood'!$B$9*P56+'Input data fish and seafood'!$B$11*P72+'Input data fish and seafood'!$B$14*P93+'Input data fish and seafood'!$B$18*P119+'Input data fish and seafood'!$B$20*P125+'Input data fish and seafood'!$B$22*P131+'Input data fish and seafood'!$B$24*P40+'Input data fish and seafood'!$B$26*P137+'Input data fish and seafood'!$B$28*P143+'Input data fish and seafood'!$B$30*P159+'Input data fish and seafood'!$B$32*AVERAGE(P24,P56,P72,P93,P119,P125,P40,P143,P159)+'Input data fish and seafood'!$B$34*AVERAGE(P18,P131,P137)</f>
        <v>8.28625E-005</v>
      </c>
      <c r="Q12" s="255" t="n">
        <f aca="false">'Input data fish and seafood'!$B$5*Q18+'Input data fish and seafood'!$B$7*Q24+'Input data fish and seafood'!$B$9*Q56+'Input data fish and seafood'!$B$11*Q72+'Input data fish and seafood'!$B$14*Q93+'Input data fish and seafood'!$B$18*Q119+'Input data fish and seafood'!$B$20*Q125+'Input data fish and seafood'!$B$22*Q131+'Input data fish and seafood'!$B$24*Q40+'Input data fish and seafood'!$B$26*Q137+'Input data fish and seafood'!$B$28*Q143+'Input data fish and seafood'!$B$30*Q159+'Input data fish and seafood'!$B$32*AVERAGE(Q24,Q56,Q72,Q93,Q119,Q125,Q40,Q143,Q159)+'Input data fish and seafood'!$B$34*AVERAGE(Q18,Q131,Q137)</f>
        <v>0</v>
      </c>
      <c r="R12" s="255" t="n">
        <f aca="false">'Input data fish and seafood'!$B$5*R18+'Input data fish and seafood'!$B$7*R24+'Input data fish and seafood'!$B$9*R56+'Input data fish and seafood'!$B$11*R72+'Input data fish and seafood'!$B$14*R93+'Input data fish and seafood'!$B$18*R119+'Input data fish and seafood'!$B$20*R125+'Input data fish and seafood'!$B$22*R131+'Input data fish and seafood'!$B$24*R40+'Input data fish and seafood'!$B$26*R137+'Input data fish and seafood'!$B$28*R143+'Input data fish and seafood'!$B$30*R159+'Input data fish and seafood'!$B$32*AVERAGE(R24,R56,R72,R93,R119,R125,R40,R143,R159)+'Input data fish and seafood'!$B$34*AVERAGE(R18,R131,R137)</f>
        <v>0.000188798912470048</v>
      </c>
      <c r="S12" s="255" t="n">
        <f aca="false">'Input data fish and seafood'!$B$5*S18+'Input data fish and seafood'!$B$7*S24+'Input data fish and seafood'!$B$9*S56+'Input data fish and seafood'!$B$11*S72+'Input data fish and seafood'!$B$14*S93+'Input data fish and seafood'!$B$18*S119+'Input data fish and seafood'!$B$20*S125+'Input data fish and seafood'!$B$22*S131+'Input data fish and seafood'!$B$24*S40+'Input data fish and seafood'!$B$26*S137+'Input data fish and seafood'!$B$28*S143+'Input data fish and seafood'!$B$30*S159+'Input data fish and seafood'!$B$32*AVERAGE(S24,S56,S72,S93,S119,S125,S40,S143,S159)+'Input data fish and seafood'!$B$34*AVERAGE(S18,S131,S137)</f>
        <v>0</v>
      </c>
      <c r="T12" s="256" t="n">
        <f aca="false">'Input data fish and seafood'!$B$5*T18+'Input data fish and seafood'!$B$7*T24+'Input data fish and seafood'!$B$9*T56+'Input data fish and seafood'!$B$11*T72+'Input data fish and seafood'!$B$14*T93+'Input data fish and seafood'!$B$18*T119+'Input data fish and seafood'!$B$20*T125+'Input data fish and seafood'!$B$22*T131+'Input data fish and seafood'!$B$24*T40+'Input data fish and seafood'!$B$26*T137+'Input data fish and seafood'!$B$28*T143+'Input data fish and seafood'!$B$30*T159+'Input data fish and seafood'!$B$32*AVERAGE(T24,T56,T72,T93,T119,T125,T40,T143,T159)+'Input data fish and seafood'!$B$34*AVERAGE(T18,T131,T137)</f>
        <v>0</v>
      </c>
    </row>
    <row r="13" s="258" customFormat="true" ht="14.4" hidden="false" customHeight="false" outlineLevel="0" collapsed="false">
      <c r="A13" s="127" t="s">
        <v>208</v>
      </c>
      <c r="B13" s="128"/>
      <c r="C13" s="129"/>
      <c r="D13" s="130"/>
      <c r="E13" s="110" t="s">
        <v>205</v>
      </c>
      <c r="F13" s="111" t="s">
        <v>205</v>
      </c>
      <c r="G13" s="112" t="s">
        <v>206</v>
      </c>
      <c r="H13" s="257"/>
      <c r="I13" s="257"/>
      <c r="J13" s="257"/>
      <c r="M13" s="259"/>
      <c r="T13" s="26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0"/>
      <c r="IV13" s="30"/>
      <c r="IW13" s="30"/>
      <c r="IX13" s="30"/>
      <c r="IY13" s="30"/>
      <c r="IZ13" s="30"/>
      <c r="JA13" s="30"/>
      <c r="JB13" s="30"/>
      <c r="JC13" s="30"/>
      <c r="JD13" s="30"/>
      <c r="JE13" s="30"/>
      <c r="JF13" s="30"/>
      <c r="JG13" s="30"/>
      <c r="JH13" s="30"/>
      <c r="JI13" s="30"/>
      <c r="JJ13" s="30"/>
      <c r="JK13" s="30"/>
      <c r="JL13" s="30"/>
      <c r="JM13" s="30"/>
      <c r="JN13" s="30"/>
      <c r="JO13" s="30"/>
      <c r="JP13" s="30"/>
      <c r="JQ13" s="30"/>
      <c r="JR13" s="30"/>
      <c r="JS13" s="30"/>
      <c r="JT13" s="30"/>
      <c r="JU13" s="30"/>
      <c r="JV13" s="30"/>
      <c r="JW13" s="30"/>
      <c r="JX13" s="30"/>
      <c r="JY13" s="30"/>
      <c r="JZ13" s="30"/>
      <c r="KA13" s="30"/>
      <c r="KB13" s="30"/>
      <c r="KC13" s="30"/>
      <c r="KD13" s="30"/>
      <c r="KE13" s="30"/>
      <c r="KF13" s="30"/>
      <c r="KG13" s="30"/>
      <c r="KH13" s="30"/>
      <c r="KI13" s="30"/>
      <c r="KJ13" s="30"/>
      <c r="KK13" s="30"/>
      <c r="KL13" s="30"/>
      <c r="KM13" s="30"/>
      <c r="KN13" s="30"/>
      <c r="KO13" s="30"/>
      <c r="KP13" s="30"/>
      <c r="KQ13" s="30"/>
      <c r="KR13" s="30"/>
      <c r="KS13" s="30"/>
      <c r="KT13" s="30"/>
      <c r="KU13" s="30"/>
      <c r="KV13" s="30"/>
      <c r="KW13" s="30"/>
      <c r="KX13" s="30"/>
      <c r="KY13" s="30"/>
      <c r="KZ13" s="30"/>
      <c r="LA13" s="30"/>
      <c r="LB13" s="30"/>
      <c r="LC13" s="30"/>
      <c r="LD13" s="30"/>
      <c r="LE13" s="30"/>
      <c r="LF13" s="30"/>
      <c r="LG13" s="30"/>
      <c r="LH13" s="30"/>
      <c r="LI13" s="30"/>
      <c r="LJ13" s="30"/>
      <c r="LK13" s="30"/>
      <c r="LL13" s="30"/>
      <c r="LM13" s="30"/>
      <c r="LN13" s="30"/>
      <c r="LO13" s="30"/>
      <c r="LP13" s="30"/>
      <c r="LQ13" s="30"/>
      <c r="LR13" s="30"/>
      <c r="LS13" s="30"/>
      <c r="LT13" s="30"/>
      <c r="LU13" s="30"/>
      <c r="LV13" s="30"/>
      <c r="LW13" s="30"/>
      <c r="LX13" s="30"/>
    </row>
    <row r="14" s="262" customFormat="true" ht="14.4" hidden="false" customHeight="false" outlineLevel="0" collapsed="false">
      <c r="A14" s="134" t="s">
        <v>209</v>
      </c>
      <c r="B14" s="135" t="s">
        <v>210</v>
      </c>
      <c r="C14" s="136" t="n">
        <v>1</v>
      </c>
      <c r="D14" s="137" t="s">
        <v>133</v>
      </c>
      <c r="E14" s="243" t="n">
        <f aca="false">IF($F$1="GWP100 without fb",E15+E16*'Common input data'!$C$5+E17*'Common input data'!$D$5+E18*'Common input data'!$E$5,IF($F$1="GWP100 with fb",E15+E16*'Common input data'!$C$6+E17*'Common input data'!$D$6+E18*'Common input data'!$E$6,IF($F$1="GTP100 without fb",E15+E16*'Common input data'!$C$7+E17*'Common input data'!$D$7+E18*'Common input data'!$E$7,IF($F$1="GTP100 with fb",E15+E16*'Common input data'!$C$8+E17*'Common input data'!$D$8+E18*'Common input data'!$E$8,E15+E16*'Common input data'!$C$9+E17*'Common input data'!$D$9+E18*'Common input data'!$E$9))))</f>
        <v>1.25562030878777</v>
      </c>
      <c r="F14" s="244" t="n">
        <f aca="false">IF($F$1="GWP100 without fb",F15+F16*'Common input data'!$C$5+F17*'Common input data'!$D$5+F18*'Common input data'!$E$5,IF($F$1="GWP100 with fb",F15+F16*'Common input data'!$C$6+F17*'Common input data'!$D$6+F18*'Common input data'!$E$6,IF($F$1="GTP100 without fb",F15+F16*'Common input data'!$C$7+F17*'Common input data'!$D$7+F18*'Common input data'!$E$7,IF($F$1="GTP100 with fb",F15+F16*'Common input data'!$C$8+F17*'Common input data'!$D$8+F18*'Common input data'!$E$8,F15+F16*'Common input data'!$C$9+F17*'Common input data'!$D$9+F18*'Common input data'!$E$9))))</f>
        <v>3.02885998827312</v>
      </c>
      <c r="G14" s="245" t="n">
        <f aca="false">IF($F$1="GWP100 without fb",G15+G16*'Common input data'!$C$5+G17*'Common input data'!$D$5+G18*'Common input data'!$E$5,IF($F$1="GWP100 with fb",G15+G16*'Common input data'!$C$6+G17*'Common input data'!$D$6+G18*'Common input data'!$E$6,IF($F$1="GTP100 without fb",G15+G16*'Common input data'!$C$7+G17*'Common input data'!$D$7+G18*'Common input data'!$E$7,IF($F$1="GTP100 with fb",G15+G16*'Common input data'!$C$8+G17*'Common input data'!$D$8+G18*'Common input data'!$E$8,G15+G16*'Common input data'!$C$9+G17*'Common input data'!$D$9+G18*'Common input data'!$E$9))))</f>
        <v>6.0652315183608</v>
      </c>
      <c r="H14" s="80"/>
      <c r="I14" s="261"/>
      <c r="J14" s="261"/>
      <c r="T14" s="263"/>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row>
    <row r="15" customFormat="false" ht="14.4" hidden="false" customHeight="false" outlineLevel="0" collapsed="false">
      <c r="A15" s="99"/>
      <c r="B15" s="31"/>
      <c r="D15" s="85" t="s">
        <v>134</v>
      </c>
      <c r="E15" s="264" t="n">
        <f aca="false">IF(AND($F$2="No",$F$3="No"),SUM(J15),IF(AND($F$2="Yes", $F$3="No"), SUM(J15)+L15, IF(AND($F$2="No", $F$3="Yes"),SUM(J15)+K15, SUM(J15)+L15+K15)))</f>
        <v>0.392859988273115</v>
      </c>
      <c r="F15" s="121" t="n">
        <f aca="false">IF(AND($F$2="No",$F$3="No"),SUM(H15:J15,M15:P15),IF(AND($F$2="Yes", $F$3="No"), SUM(H15:J15,M15:P15)+L15, IF(AND($F$2="No", $F$3="Yes"),SUM(H15:J15,M15:P15)+K15, SUM(H15:J15,M15:P15)+L15+K15)))</f>
        <v>1.81552950666971</v>
      </c>
      <c r="G15" s="265" t="n">
        <f aca="false">SUM(R15:T15)/(1-'Common input data'!B125)</f>
        <v>3.76593441588863</v>
      </c>
      <c r="H15" s="121" t="n">
        <f aca="false">'Input data fish and seafood'!B56</f>
        <v>0.09</v>
      </c>
      <c r="I15" s="121" t="n">
        <f aca="false">'Input data fish and seafood'!B63*'Input data fish and seafood'!I5</f>
        <v>1.1866695183966</v>
      </c>
      <c r="J15" s="121" t="n">
        <f aca="false">'Input data fish and seafood'!B67*'Input data fish and seafood'!I5</f>
        <v>0</v>
      </c>
      <c r="K15" s="121" t="n">
        <f aca="false">'Input data fish and seafood'!I5*('Input data fish and seafood'!B75*'Common input data'!C13*'Common input data'!G30/'Common input data'!F30+'Input data fish and seafood'!B76*'Common input data'!B13*'Common input data'!G28/'Common input data'!F28+'Input data fish and seafood'!B77*'Common input data'!D13*'Common input data'!G26/'Common input data'!F26+'Input data fish and seafood'!B78*'Common input data'!C13+'Input data fish and seafood'!B79*'Common input data'!D13*'Common input data'!D26/'Common input data'!C26)</f>
        <v>0.139565999183077</v>
      </c>
      <c r="L15" s="121" t="n">
        <f aca="false">'Common input data'!B21*'Input data fish and seafood'!B75*'Input data fish and seafood'!I5*'Common input data'!G30/'Common input data'!F30</f>
        <v>0.253293989090038</v>
      </c>
      <c r="M15" s="121" t="n">
        <f aca="false">'Input data fish and seafood'!I5*'Common input data'!B81</f>
        <v>0.036</v>
      </c>
      <c r="N15" s="121" t="n">
        <f aca="false">'Input data fish and seafood'!B57</f>
        <v>0.11</v>
      </c>
      <c r="O15" s="87" t="n">
        <v>0</v>
      </c>
      <c r="P15" s="87" t="n">
        <v>0</v>
      </c>
      <c r="Q15" s="121" t="n">
        <f aca="false">'Input data fish and seafood'!B89*'Input data fish and seafood'!B93*'Common input data'!B63</f>
        <v>0.06014</v>
      </c>
      <c r="R15" s="121" t="n">
        <f aca="false">(F15+Q15)/'Input data fish and seafood'!$H$5</f>
        <v>3.02527339785438</v>
      </c>
      <c r="S15" s="121" t="n">
        <f aca="false">'Common input data'!B94</f>
        <v>0.1</v>
      </c>
      <c r="T15" s="249" t="n">
        <f aca="false">'Input data fish and seafood'!B107*'Common input data'!B98+'Common input data'!C98</f>
        <v>0.08</v>
      </c>
    </row>
    <row r="16" customFormat="false" ht="14.4" hidden="false" customHeight="false" outlineLevel="0" collapsed="false">
      <c r="A16" s="99"/>
      <c r="B16" s="31"/>
      <c r="C16" s="93"/>
      <c r="D16" s="85" t="s">
        <v>135</v>
      </c>
      <c r="E16" s="264" t="n">
        <f aca="false">J16</f>
        <v>0</v>
      </c>
      <c r="F16" s="121" t="n">
        <f aca="false">SUM(H16:J16,M16:P16)</f>
        <v>0.00027158723558228</v>
      </c>
      <c r="G16" s="265" t="n">
        <f aca="false">SUM(R16:T16)/(1-'Common input data'!B125)</f>
        <v>0.000514665833679169</v>
      </c>
      <c r="H16" s="121" t="n">
        <v>0</v>
      </c>
      <c r="I16" s="121" t="n">
        <f aca="false">'Input data fish and seafood'!B64*'Input data fish and seafood'!I5</f>
        <v>0.00027158723558228</v>
      </c>
      <c r="J16" s="121" t="n">
        <f aca="false">'Input data fish and seafood'!B68*'Input data fish and seafood'!I5</f>
        <v>0</v>
      </c>
      <c r="K16" s="121" t="n">
        <v>0</v>
      </c>
      <c r="L16" s="121" t="n">
        <v>0</v>
      </c>
      <c r="M16" s="121" t="n">
        <v>0</v>
      </c>
      <c r="N16" s="121" t="n">
        <v>0</v>
      </c>
      <c r="O16" s="87" t="n">
        <v>0</v>
      </c>
      <c r="P16" s="87" t="n">
        <v>0</v>
      </c>
      <c r="Q16" s="121" t="n">
        <v>0</v>
      </c>
      <c r="R16" s="121" t="n">
        <f aca="false">(F16+Q16)/'Input data fish and seafood'!$H$5</f>
        <v>0.000438043928358516</v>
      </c>
      <c r="S16" s="121" t="n">
        <v>0</v>
      </c>
      <c r="T16" s="249" t="n">
        <v>0</v>
      </c>
    </row>
    <row r="17" customFormat="false" ht="14.4" hidden="false" customHeight="false" outlineLevel="0" collapsed="false">
      <c r="A17" s="100"/>
      <c r="B17" s="101"/>
      <c r="C17" s="87"/>
      <c r="D17" s="31" t="s">
        <v>136</v>
      </c>
      <c r="E17" s="264" t="n">
        <f aca="false">J17</f>
        <v>0.00289516886078744</v>
      </c>
      <c r="F17" s="121" t="n">
        <f aca="false">SUM(H17:J17,M17:P17)</f>
        <v>0.00404059233420673</v>
      </c>
      <c r="G17" s="265" t="n">
        <f aca="false">SUM(R17:T17)/(1-'Common input data'!B125)</f>
        <v>0.0076570418259298</v>
      </c>
      <c r="H17" s="121" t="n">
        <v>0</v>
      </c>
      <c r="I17" s="121" t="n">
        <f aca="false">'Input data fish and seafood'!B65*'Input data fish and seafood'!I5</f>
        <v>0.00114542347341929</v>
      </c>
      <c r="J17" s="121" t="n">
        <f aca="false">'Input data fish and seafood'!B69*'Input data fish and seafood'!I5</f>
        <v>0.00289516886078744</v>
      </c>
      <c r="K17" s="121" t="n">
        <v>0</v>
      </c>
      <c r="L17" s="121" t="n">
        <v>0</v>
      </c>
      <c r="M17" s="121" t="n">
        <v>0</v>
      </c>
      <c r="N17" s="121" t="n">
        <v>0</v>
      </c>
      <c r="O17" s="87" t="n">
        <v>0</v>
      </c>
      <c r="P17" s="87" t="n">
        <v>0</v>
      </c>
      <c r="Q17" s="121" t="n">
        <v>0</v>
      </c>
      <c r="R17" s="121" t="n">
        <f aca="false">(F17+Q17)/'Input data fish and seafood'!$H$5</f>
        <v>0.00651708441001085</v>
      </c>
      <c r="S17" s="121" t="n">
        <v>0</v>
      </c>
      <c r="T17" s="249" t="n">
        <v>0</v>
      </c>
    </row>
    <row r="18" customFormat="false" ht="14.4" hidden="false" customHeight="false" outlineLevel="0" collapsed="false">
      <c r="A18" s="250"/>
      <c r="B18" s="251"/>
      <c r="C18" s="105"/>
      <c r="D18" s="125" t="s">
        <v>207</v>
      </c>
      <c r="E18" s="266" t="n">
        <f aca="false">J18</f>
        <v>0</v>
      </c>
      <c r="F18" s="255" t="n">
        <f aca="false">SUM(H18:J18,M18:P18)</f>
        <v>0</v>
      </c>
      <c r="G18" s="267" t="n">
        <v>0</v>
      </c>
      <c r="H18" s="255" t="n">
        <v>0</v>
      </c>
      <c r="I18" s="255" t="n">
        <v>0</v>
      </c>
      <c r="J18" s="255" t="n">
        <v>0</v>
      </c>
      <c r="K18" s="255" t="n">
        <v>0</v>
      </c>
      <c r="L18" s="255" t="n">
        <v>0</v>
      </c>
      <c r="M18" s="255" t="n">
        <v>0</v>
      </c>
      <c r="N18" s="255" t="n">
        <v>0</v>
      </c>
      <c r="O18" s="105" t="n">
        <v>0</v>
      </c>
      <c r="P18" s="105" t="n">
        <v>0</v>
      </c>
      <c r="Q18" s="255" t="n">
        <v>0</v>
      </c>
      <c r="R18" s="255" t="n">
        <f aca="false">(F18+Q18)/'Input data fish and seafood'!$H$5</f>
        <v>0</v>
      </c>
      <c r="S18" s="255" t="n">
        <v>0</v>
      </c>
      <c r="T18" s="256" t="n">
        <v>0</v>
      </c>
    </row>
    <row r="19" s="258" customFormat="true" ht="14.4" hidden="false" customHeight="false" outlineLevel="0" collapsed="false">
      <c r="A19" s="268" t="s">
        <v>211</v>
      </c>
      <c r="B19" s="269"/>
      <c r="C19" s="257"/>
      <c r="D19" s="270"/>
      <c r="E19" s="110" t="s">
        <v>205</v>
      </c>
      <c r="F19" s="111" t="s">
        <v>205</v>
      </c>
      <c r="G19" s="112" t="s">
        <v>206</v>
      </c>
      <c r="H19" s="257"/>
      <c r="I19" s="257"/>
      <c r="J19" s="257"/>
      <c r="M19" s="259"/>
      <c r="T19" s="26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row>
    <row r="20" s="83" customFormat="true" ht="13.2" hidden="false" customHeight="true" outlineLevel="0" collapsed="false">
      <c r="A20" s="134" t="s">
        <v>132</v>
      </c>
      <c r="B20" s="135"/>
      <c r="C20" s="136" t="n">
        <f aca="false">SUM(C25:C34)</f>
        <v>1</v>
      </c>
      <c r="D20" s="137" t="s">
        <v>133</v>
      </c>
      <c r="E20" s="243" t="n">
        <f aca="false">IF($F$1="GWP100 without fb",E21+E22*'Common input data'!$C$5+E23*'Common input data'!$D$5+E24*'Common input data'!$E$5,IF($F$1="GWP100 with fb",E21+E22*'Common input data'!$C$6+E23*'Common input data'!$D$6+E24*'Common input data'!$E$6,IF($F$1="GTP100 without fb",E21+E22*'Common input data'!$C$7+E23*'Common input data'!$D$7+E24*'Common input data'!$E$7,IF($F$1="GTP100 with fb",E21+E22*'Common input data'!$C$8+E23*'Common input data'!$D$8+E24*'Common input data'!$E$8,E21+E22*'Common input data'!$C$9+E23*'Common input data'!$D$9+E24*'Common input data'!$E$9))))</f>
        <v>0</v>
      </c>
      <c r="F20" s="244" t="n">
        <f aca="false">IF($F$1="GWP100 without fb",F21+F22*'Common input data'!$C$5+F23*'Common input data'!$D$5+F24*'Common input data'!$E$5,IF($F$1="GWP100 with fb",F21+F22*'Common input data'!$C$6+F23*'Common input data'!$D$6+F24*'Common input data'!$E$6,IF($F$1="GTP100 without fb",F21+F22*'Common input data'!$C$7+F23*'Common input data'!$D$7+F24*'Common input data'!$E$7,IF($F$1="GTP100 with fb",F21+F22*'Common input data'!$C$8+F23*'Common input data'!$D$8+F24*'Common input data'!$E$8,F21+F22*'Common input data'!$C$9+F23*'Common input data'!$D$9+F24*'Common input data'!$E$9))))</f>
        <v>2.51844</v>
      </c>
      <c r="G20" s="245" t="n">
        <f aca="false">IF($F$1="GWP100 without fb",G21+G22*'Common input data'!$C$5+G23*'Common input data'!$D$5+G24*'Common input data'!$E$5,IF($F$1="GWP100 with fb",G21+G22*'Common input data'!$C$6+G23*'Common input data'!$D$6+G24*'Common input data'!$E$6,IF($F$1="GTP100 without fb",G21+G22*'Common input data'!$C$7+G23*'Common input data'!$D$7+G24*'Common input data'!$E$7,IF($F$1="GTP100 with fb",G21+G22*'Common input data'!$C$8+G23*'Common input data'!$D$8+G24*'Common input data'!$E$8,G21+G22*'Common input data'!$C$9+G23*'Common input data'!$D$9+G24*'Common input data'!$E$9))))</f>
        <v>7.29340867020665</v>
      </c>
      <c r="H20" s="80"/>
      <c r="I20" s="271"/>
      <c r="J20" s="271"/>
      <c r="K20" s="272"/>
      <c r="L20" s="272"/>
      <c r="M20" s="273"/>
      <c r="N20" s="272"/>
      <c r="O20" s="272"/>
      <c r="P20" s="272"/>
      <c r="Q20" s="272"/>
      <c r="R20" s="272"/>
      <c r="S20" s="272"/>
      <c r="T20" s="274"/>
      <c r="U20" s="117"/>
      <c r="V20" s="92"/>
      <c r="W20" s="92"/>
      <c r="X20" s="92"/>
      <c r="Y20" s="117"/>
      <c r="Z20" s="92"/>
      <c r="AA20" s="92"/>
      <c r="AB20" s="92"/>
      <c r="AC20" s="92"/>
      <c r="AD20" s="92"/>
      <c r="AE20" s="92"/>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row>
    <row r="21" customFormat="false" ht="14.4" hidden="false" customHeight="false" outlineLevel="0" collapsed="false">
      <c r="A21" s="143"/>
      <c r="B21" s="122"/>
      <c r="C21" s="122"/>
      <c r="D21" s="85" t="s">
        <v>134</v>
      </c>
      <c r="E21" s="86" t="n">
        <f aca="false">$C$25*E26+$C$30*E31</f>
        <v>0</v>
      </c>
      <c r="F21" s="87" t="n">
        <f aca="false">$C$25*F26+$C$30*F31</f>
        <v>1.96761070428294</v>
      </c>
      <c r="G21" s="118" t="n">
        <f aca="false">$C$25*G26+$C$30*G31</f>
        <v>5.83993241500106</v>
      </c>
      <c r="H21" s="87" t="n">
        <f aca="false">$C$25*H26+$C$30*H31</f>
        <v>0</v>
      </c>
      <c r="I21" s="87" t="n">
        <f aca="false">$C$25*I26+$C$30*I31</f>
        <v>0</v>
      </c>
      <c r="J21" s="87" t="n">
        <f aca="false">$C$25*J26+$C$30*J31</f>
        <v>0</v>
      </c>
      <c r="K21" s="87" t="n">
        <f aca="false">$C$25*K26+$C$30*K31</f>
        <v>0</v>
      </c>
      <c r="L21" s="87" t="n">
        <f aca="false">$C$25*L26+$C$30*L31</f>
        <v>0</v>
      </c>
      <c r="M21" s="87" t="n">
        <f aca="false">$C$25*M26+$C$30*M31</f>
        <v>0</v>
      </c>
      <c r="N21" s="87" t="n">
        <f aca="false">$C$25*N26+$C$30*N31</f>
        <v>0</v>
      </c>
      <c r="O21" s="87" t="n">
        <f aca="false">$C$25*O26+$C$30*O31</f>
        <v>1.96761070428294</v>
      </c>
      <c r="P21" s="87" t="n">
        <f aca="false">$C$25*P26+$C$30*P31</f>
        <v>0</v>
      </c>
      <c r="Q21" s="87" t="n">
        <f aca="false">$C$25*Q26+$C$30*Q31</f>
        <v>0.13603544</v>
      </c>
      <c r="R21" s="87" t="n">
        <f aca="false">$C$25*R26+$C$30*R31</f>
        <v>4.72450079685295</v>
      </c>
      <c r="S21" s="87" t="n">
        <f aca="false">$C$25*S26+$C$30*S31</f>
        <v>0.1</v>
      </c>
      <c r="T21" s="275" t="n">
        <f aca="false">$C$25*T26+$C$30*T31</f>
        <v>0.146</v>
      </c>
      <c r="W21" s="92"/>
      <c r="X21" s="92"/>
      <c r="Y21" s="92"/>
      <c r="Z21" s="92"/>
      <c r="AA21" s="117"/>
      <c r="AB21" s="117"/>
      <c r="AC21" s="117"/>
      <c r="AD21" s="117"/>
      <c r="AE21" s="117"/>
      <c r="AF21" s="92"/>
      <c r="AG21" s="92"/>
      <c r="AH21" s="92"/>
      <c r="AI21" s="117"/>
      <c r="AJ21" s="92"/>
      <c r="AK21" s="92"/>
      <c r="AL21" s="92"/>
      <c r="AM21" s="92"/>
      <c r="AN21" s="92"/>
      <c r="AO21" s="92"/>
    </row>
    <row r="22" customFormat="false" ht="14.4" hidden="false" customHeight="false" outlineLevel="0" collapsed="false">
      <c r="A22" s="91"/>
      <c r="B22" s="92"/>
      <c r="C22" s="93"/>
      <c r="D22" s="85" t="s">
        <v>135</v>
      </c>
      <c r="E22" s="86" t="n">
        <f aca="false">$C$25*E27+$C$30*E32</f>
        <v>0</v>
      </c>
      <c r="F22" s="87" t="n">
        <f aca="false">$C$25*F27+$C$30*F32</f>
        <v>0.000871585194744934</v>
      </c>
      <c r="G22" s="118" t="n">
        <f aca="false">$C$25*G27+$C$30*G32</f>
        <v>0.00229985658860314</v>
      </c>
      <c r="H22" s="87" t="n">
        <f aca="false">$C$25*H27+$C$30*H32</f>
        <v>0</v>
      </c>
      <c r="I22" s="87" t="n">
        <f aca="false">$C$25*I27+$C$30*I32</f>
        <v>0</v>
      </c>
      <c r="J22" s="87" t="n">
        <f aca="false">$C$25*J27+$C$30*J32</f>
        <v>0</v>
      </c>
      <c r="K22" s="87" t="n">
        <f aca="false">$C$25*K27+$C$30*K32</f>
        <v>0</v>
      </c>
      <c r="L22" s="87" t="n">
        <f aca="false">$C$25*L27+$C$30*L32</f>
        <v>0</v>
      </c>
      <c r="M22" s="87" t="n">
        <f aca="false">$C$25*M27+$C$30*M32</f>
        <v>0</v>
      </c>
      <c r="N22" s="87" t="n">
        <f aca="false">$C$25*N27+$C$30*N32</f>
        <v>0</v>
      </c>
      <c r="O22" s="87" t="n">
        <f aca="false">$C$25*O27+$C$30*O32</f>
        <v>0.000871585194744934</v>
      </c>
      <c r="P22" s="87" t="n">
        <f aca="false">$C$25*P27+$C$30*P32</f>
        <v>0</v>
      </c>
      <c r="Q22" s="87" t="n">
        <f aca="false">$C$25*Q27+$C$30*Q32</f>
        <v>0</v>
      </c>
      <c r="R22" s="87" t="n">
        <f aca="false">$C$25*R27+$C$30*R32</f>
        <v>0.00195746083926167</v>
      </c>
      <c r="S22" s="87" t="n">
        <f aca="false">$C$25*S27+$C$30*S32</f>
        <v>0</v>
      </c>
      <c r="T22" s="275" t="n">
        <f aca="false">$C$25*T27+$C$30*T32</f>
        <v>0</v>
      </c>
      <c r="W22" s="28"/>
      <c r="X22" s="119"/>
      <c r="Y22" s="120"/>
      <c r="Z22" s="85"/>
    </row>
    <row r="23" customFormat="false" ht="14.4" hidden="false" customHeight="false" outlineLevel="0" collapsed="false">
      <c r="A23" s="91"/>
      <c r="B23" s="92"/>
      <c r="C23" s="87"/>
      <c r="D23" s="31" t="s">
        <v>136</v>
      </c>
      <c r="E23" s="86" t="n">
        <f aca="false">$C$25*E28+$C$30*E33</f>
        <v>0</v>
      </c>
      <c r="F23" s="87" t="n">
        <f aca="false">$C$25*F28+$C$30*F33</f>
        <v>5.28704667641887E-005</v>
      </c>
      <c r="G23" s="118" t="n">
        <f aca="false">$C$25*G28+$C$30*G33</f>
        <v>0.000139509587890289</v>
      </c>
      <c r="H23" s="87" t="n">
        <f aca="false">$C$25*H28+$C$30*H33</f>
        <v>0</v>
      </c>
      <c r="I23" s="87" t="n">
        <f aca="false">$C$25*I28+$C$30*I33</f>
        <v>0</v>
      </c>
      <c r="J23" s="87" t="n">
        <f aca="false">$C$25*J28+$C$30*J33</f>
        <v>0</v>
      </c>
      <c r="K23" s="87" t="n">
        <f aca="false">$C$25*K28+$C$30*K33</f>
        <v>0</v>
      </c>
      <c r="L23" s="87" t="n">
        <f aca="false">$C$25*L28+$C$30*L33</f>
        <v>0</v>
      </c>
      <c r="M23" s="87" t="n">
        <f aca="false">$C$25*M28+$C$30*M33</f>
        <v>0</v>
      </c>
      <c r="N23" s="87" t="n">
        <f aca="false">$C$25*N28+$C$30*N33</f>
        <v>0</v>
      </c>
      <c r="O23" s="87" t="n">
        <f aca="false">$C$25*O28+$C$30*O33</f>
        <v>5.28704667641887E-005</v>
      </c>
      <c r="P23" s="87" t="n">
        <f aca="false">$C$25*P28+$C$30*P33</f>
        <v>0</v>
      </c>
      <c r="Q23" s="87" t="n">
        <f aca="false">$C$25*Q28+$C$30*Q33</f>
        <v>0</v>
      </c>
      <c r="R23" s="87" t="n">
        <f aca="false">$C$25*R28+$C$30*R33</f>
        <v>0.000118739818973946</v>
      </c>
      <c r="S23" s="87" t="n">
        <f aca="false">$C$25*S28+$C$30*S33</f>
        <v>0</v>
      </c>
      <c r="T23" s="275" t="n">
        <f aca="false">$C$25*T28+$C$30*T33</f>
        <v>0</v>
      </c>
      <c r="W23" s="19"/>
      <c r="X23" s="119"/>
      <c r="Y23" s="120"/>
      <c r="Z23" s="85"/>
    </row>
    <row r="24" customFormat="false" ht="14.4" hidden="false" customHeight="false" outlineLevel="0" collapsed="false">
      <c r="A24" s="91"/>
      <c r="B24" s="92"/>
      <c r="C24" s="87"/>
      <c r="D24" s="31" t="s">
        <v>207</v>
      </c>
      <c r="E24" s="86" t="n">
        <f aca="false">$C$25*E29+$C$30*E34</f>
        <v>0</v>
      </c>
      <c r="F24" s="87" t="n">
        <f aca="false">$C$25*F29+$C$30*F34</f>
        <v>0.00024</v>
      </c>
      <c r="G24" s="118" t="n">
        <f aca="false">$C$25*G29+$C$30*G34</f>
        <v>0.00063328930389448</v>
      </c>
      <c r="H24" s="87" t="n">
        <f aca="false">$C$25*H29+$C$30*H34</f>
        <v>0</v>
      </c>
      <c r="I24" s="87" t="n">
        <f aca="false">$C$25*I29+$C$30*I34</f>
        <v>0</v>
      </c>
      <c r="J24" s="87" t="n">
        <f aca="false">$C$25*J29+$C$30*J34</f>
        <v>0</v>
      </c>
      <c r="K24" s="87" t="n">
        <f aca="false">$C$25*K29+$C$30*K34</f>
        <v>0</v>
      </c>
      <c r="L24" s="87" t="n">
        <f aca="false">$C$25*L29+$C$30*L34</f>
        <v>0</v>
      </c>
      <c r="M24" s="87" t="n">
        <f aca="false">$C$25*M29+$C$30*M34</f>
        <v>0</v>
      </c>
      <c r="N24" s="87" t="n">
        <f aca="false">$C$25*N29+$C$30*N34</f>
        <v>0</v>
      </c>
      <c r="O24" s="87" t="n">
        <f aca="false">$C$25*O29+$C$30*O34</f>
        <v>0</v>
      </c>
      <c r="P24" s="87" t="n">
        <f aca="false">$C$25*P29+$C$30*P34</f>
        <v>0.00024</v>
      </c>
      <c r="Q24" s="87" t="n">
        <f aca="false">$C$25*Q29+$C$30*Q34</f>
        <v>0</v>
      </c>
      <c r="R24" s="87" t="n">
        <f aca="false">$C$25*R29+$C$30*R34</f>
        <v>0.000539007092198582</v>
      </c>
      <c r="S24" s="87" t="n">
        <f aca="false">$C$25*S29+$C$30*S34</f>
        <v>0</v>
      </c>
      <c r="T24" s="275" t="n">
        <f aca="false">$C$25*T29+$C$30*T34</f>
        <v>0</v>
      </c>
      <c r="W24" s="19"/>
      <c r="X24" s="119"/>
      <c r="Y24" s="120"/>
      <c r="Z24" s="85"/>
    </row>
    <row r="25" s="83" customFormat="true" ht="14.4" hidden="false" customHeight="false" outlineLevel="0" collapsed="false">
      <c r="A25" s="161" t="s">
        <v>212</v>
      </c>
      <c r="B25" s="177" t="s">
        <v>213</v>
      </c>
      <c r="C25" s="77" t="n">
        <f aca="false">'Input data fish and seafood'!E7</f>
        <v>0.5</v>
      </c>
      <c r="D25" s="78" t="s">
        <v>133</v>
      </c>
      <c r="E25" s="276" t="n">
        <f aca="false">IF($F$1="GWP100 without fb",E26+E27*'Common input data'!$C$5+E28*'Common input data'!$D$5+E29*'Common input data'!$E$5,IF($F$1="GWP100 with fb",E26+E27*'Common input data'!$C$6+E28*'Common input data'!$D$6+E29*'Common input data'!$E$6,IF($F$1="GTP100 without fb",E26+E27*'Common input data'!$C$7+E28*'Common input data'!$D$7+E29*'Common input data'!$E$7,IF($F$1="GTP100 with fb",E26+E27*'Common input data'!$C$8+E28*'Common input data'!$D$8+E29*'Common input data'!$E$8,E26+E27*'Common input data'!$C$9+E28*'Common input data'!$D$9+E29*'Common input data'!$E$9))))</f>
        <v>0</v>
      </c>
      <c r="F25" s="277" t="n">
        <f aca="false">IF($F$1="GWP100 without fb",F26+F27*'Common input data'!$C$5+F28*'Common input data'!$D$5+F29*'Common input data'!$E$5,IF($F$1="GWP100 with fb",F26+F27*'Common input data'!$C$6+F28*'Common input data'!$D$6+F29*'Common input data'!$E$6,IF($F$1="GTP100 without fb",F26+F27*'Common input data'!$C$7+F28*'Common input data'!$D$7+F29*'Common input data'!$E$7,IF($F$1="GTP100 with fb",F26+F27*'Common input data'!$C$8+F28*'Common input data'!$D$8+F29*'Common input data'!$E$8,F26+F27*'Common input data'!$C$9+F28*'Common input data'!$D$9+F29*'Common input data'!$E$9))))</f>
        <v>3.17844</v>
      </c>
      <c r="G25" s="278" t="n">
        <f aca="false">IF($F$1="GWP100 without fb",G26+G27*'Common input data'!$C$5+G28*'Common input data'!$D$5+G29*'Common input data'!$E$5,IF($F$1="GWP100 with fb",G26+G27*'Common input data'!$C$6+G28*'Common input data'!$D$6+G29*'Common input data'!$E$6,IF($F$1="GTP100 without fb",G26+G27*'Common input data'!$C$7+G28*'Common input data'!$D$7+G29*'Common input data'!$E$7,IF($F$1="GTP100 with fb",G26+G27*'Common input data'!$C$8+G28*'Common input data'!$D$8+G29*'Common input data'!$E$8,G26+G27*'Common input data'!$C$9+G28*'Common input data'!$D$9+G29*'Common input data'!$E$9))))</f>
        <v>9.03495425591647</v>
      </c>
      <c r="H25" s="95"/>
      <c r="I25" s="97"/>
      <c r="J25" s="97"/>
      <c r="K25" s="279"/>
      <c r="L25" s="279"/>
      <c r="M25" s="279"/>
      <c r="N25" s="279"/>
      <c r="O25" s="279"/>
      <c r="P25" s="279"/>
      <c r="Q25" s="279"/>
      <c r="R25" s="279"/>
      <c r="S25" s="279"/>
      <c r="T25" s="280"/>
      <c r="U25" s="30"/>
      <c r="V25" s="30"/>
      <c r="W25" s="19"/>
      <c r="X25" s="19"/>
      <c r="Y25" s="19"/>
      <c r="Z25" s="19"/>
      <c r="AA25" s="92"/>
      <c r="AB25" s="92"/>
      <c r="AC25" s="92"/>
      <c r="AD25" s="92"/>
      <c r="AE25" s="92"/>
      <c r="AF25" s="30"/>
      <c r="AG25" s="30"/>
      <c r="AH25" s="92"/>
      <c r="AI25" s="92"/>
      <c r="AJ25" s="92"/>
      <c r="AK25" s="92"/>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row>
    <row r="26" customFormat="false" ht="14.4" hidden="false" customHeight="false" outlineLevel="0" collapsed="false">
      <c r="A26" s="99"/>
      <c r="B26" s="31"/>
      <c r="C26" s="122"/>
      <c r="D26" s="85" t="s">
        <v>134</v>
      </c>
      <c r="E26" s="264" t="n">
        <f aca="false">IF(AND($F$2="No",$F$3="No"),SUM(J26),IF(AND($F$2="Yes", $F$3="No"), SUM(J26)+L26, IF(AND($F$2="No", $F$3="Yes"),SUM(J26)+K26, SUM(J26)+L26+K26)))</f>
        <v>0</v>
      </c>
      <c r="F26" s="121" t="n">
        <f aca="false">IF(AND($F$2="No",$F$3="No"),SUM(H26:J26,M26:P26),IF(AND($F$2="Yes", $F$3="No"), SUM(H26:J26,M26:P26)+L26, IF(AND($F$2="No", $F$3="Yes"),SUM(H26:J26,M26:P26)+K26, SUM(H26:J26,M26:P26)+L26+K26)))</f>
        <v>2.61272896798227</v>
      </c>
      <c r="G26" s="265" t="n">
        <f aca="false">SUM(R26:T26)/(1-'Common input data'!$B$125)</f>
        <v>7.5422094822834</v>
      </c>
      <c r="H26" s="87" t="n">
        <v>0</v>
      </c>
      <c r="I26" s="87" t="n">
        <v>0</v>
      </c>
      <c r="J26" s="87" t="n">
        <v>0</v>
      </c>
      <c r="K26" s="87" t="n">
        <v>0</v>
      </c>
      <c r="L26" s="87" t="n">
        <v>0</v>
      </c>
      <c r="M26" s="87" t="n">
        <v>0</v>
      </c>
      <c r="N26" s="87" t="n">
        <v>0</v>
      </c>
      <c r="O26" s="121" t="n">
        <f aca="false">'Input data fish and seafood'!G7*'Input data fish and seafood'!B42</f>
        <v>2.61272896798227</v>
      </c>
      <c r="P26" s="121" t="n">
        <v>0</v>
      </c>
      <c r="Q26" s="281" t="n">
        <f aca="false">'Input data fish and seafood'!B89*('Input data fish and seafood'!B94*'Common input data'!B63+'Input data fish and seafood'!C94*'Common input data'!C63+'Input data fish and seafood'!D94*'Common input data'!E63)</f>
        <v>0.13603544</v>
      </c>
      <c r="R26" s="121" t="n">
        <f aca="false">(F26+Q26)/'Common input data'!$C$42/'Input data fish and seafood'!$H$7*'Common input data'!$D$42</f>
        <v>6.1733479611895</v>
      </c>
      <c r="S26" s="121" t="n">
        <f aca="false">'Common input data'!B94</f>
        <v>0.1</v>
      </c>
      <c r="T26" s="249" t="n">
        <f aca="false">'Input data fish and seafood'!B108*'Common input data'!B98+'Input data fish and seafood'!C108*'Common input data'!B102+'Input data fish and seafood'!D108*'Common input data'!B106+'Common input data'!C98</f>
        <v>0.146</v>
      </c>
      <c r="V26" s="19"/>
      <c r="AA26" s="85"/>
      <c r="AM26" s="19"/>
    </row>
    <row r="27" customFormat="false" ht="14.4" hidden="false" customHeight="false" outlineLevel="0" collapsed="false">
      <c r="A27" s="162"/>
      <c r="B27" s="282"/>
      <c r="C27" s="23"/>
      <c r="D27" s="85" t="s">
        <v>135</v>
      </c>
      <c r="E27" s="264" t="n">
        <v>0</v>
      </c>
      <c r="F27" s="121" t="n">
        <f aca="false">SUM(H27:J27,M27:P27)</f>
        <v>0.00115735083236622</v>
      </c>
      <c r="G27" s="265" t="n">
        <f aca="false">SUM(R27:T27)/(1-'Common input data'!$B$125)</f>
        <v>0.00305390792912876</v>
      </c>
      <c r="H27" s="87" t="n">
        <v>0</v>
      </c>
      <c r="I27" s="87" t="n">
        <v>0</v>
      </c>
      <c r="J27" s="87" t="n">
        <v>0</v>
      </c>
      <c r="K27" s="87" t="n">
        <v>0</v>
      </c>
      <c r="L27" s="87" t="n">
        <v>0</v>
      </c>
      <c r="M27" s="87" t="n">
        <v>0</v>
      </c>
      <c r="N27" s="87" t="n">
        <v>0</v>
      </c>
      <c r="O27" s="121" t="n">
        <f aca="false">'Input data fish and seafood'!G7*'Input data fish and seafood'!B43</f>
        <v>0.00115735083236622</v>
      </c>
      <c r="P27" s="121" t="n">
        <v>0</v>
      </c>
      <c r="Q27" s="281" t="n">
        <v>0</v>
      </c>
      <c r="R27" s="121" t="n">
        <f aca="false">(F27+Q27)/'Common input data'!$C$42/'Input data fish and seafood'!$H$7*'Common input data'!$D$42</f>
        <v>0.00259925127836386</v>
      </c>
      <c r="S27" s="121" t="n">
        <v>0</v>
      </c>
      <c r="T27" s="249" t="n">
        <v>0</v>
      </c>
      <c r="V27" s="122"/>
      <c r="X27" s="119"/>
      <c r="Y27" s="119"/>
      <c r="Z27" s="119"/>
      <c r="AA27" s="85"/>
    </row>
    <row r="28" customFormat="false" ht="14.4" hidden="false" customHeight="false" outlineLevel="0" collapsed="false">
      <c r="A28" s="100"/>
      <c r="B28" s="101"/>
      <c r="C28" s="87"/>
      <c r="D28" s="31" t="s">
        <v>136</v>
      </c>
      <c r="E28" s="264" t="n">
        <v>0</v>
      </c>
      <c r="F28" s="121" t="n">
        <f aca="false">SUM(H28:J28,M28:P28)</f>
        <v>7.02050460311358E-005</v>
      </c>
      <c r="G28" s="265" t="n">
        <f aca="false">SUM(R28:T28)/(1-'Common input data'!$B$125)</f>
        <v>0.000185250436378908</v>
      </c>
      <c r="H28" s="87" t="n">
        <v>0</v>
      </c>
      <c r="I28" s="87" t="n">
        <v>0</v>
      </c>
      <c r="J28" s="87" t="n">
        <v>0</v>
      </c>
      <c r="K28" s="87" t="n">
        <v>0</v>
      </c>
      <c r="L28" s="87" t="n">
        <v>0</v>
      </c>
      <c r="M28" s="87" t="n">
        <v>0</v>
      </c>
      <c r="N28" s="87" t="n">
        <v>0</v>
      </c>
      <c r="O28" s="121" t="n">
        <f aca="false">'Input data fish and seafood'!G7*'Input data fish and seafood'!B44</f>
        <v>7.02050460311358E-005</v>
      </c>
      <c r="P28" s="121" t="n">
        <v>0</v>
      </c>
      <c r="Q28" s="281" t="n">
        <v>0</v>
      </c>
      <c r="R28" s="121" t="n">
        <f aca="false">(F28+Q28)/'Common input data'!$C$42/'Input data fish and seafood'!$H$7*'Common input data'!$D$42</f>
        <v>0.000157670907162125</v>
      </c>
      <c r="S28" s="121" t="n">
        <v>0</v>
      </c>
      <c r="T28" s="249" t="n">
        <v>0</v>
      </c>
      <c r="V28" s="122"/>
      <c r="AA28" s="31"/>
    </row>
    <row r="29" customFormat="false" ht="14.4" hidden="false" customHeight="false" outlineLevel="0" collapsed="false">
      <c r="A29" s="100"/>
      <c r="B29" s="101"/>
      <c r="C29" s="87"/>
      <c r="D29" s="31" t="s">
        <v>207</v>
      </c>
      <c r="E29" s="264" t="n">
        <v>0</v>
      </c>
      <c r="F29" s="121" t="n">
        <f aca="false">SUM(H29:J29,M29:P29)</f>
        <v>0.00024</v>
      </c>
      <c r="G29" s="265" t="n">
        <f aca="false">SUM(R29:T29)/(1-'Common input data'!$B$125)</f>
        <v>0.00063328930389448</v>
      </c>
      <c r="H29" s="87" t="n">
        <v>0</v>
      </c>
      <c r="I29" s="87" t="n">
        <v>0</v>
      </c>
      <c r="J29" s="87" t="n">
        <v>0</v>
      </c>
      <c r="K29" s="87" t="n">
        <v>0</v>
      </c>
      <c r="L29" s="87" t="n">
        <v>0</v>
      </c>
      <c r="M29" s="87" t="n">
        <v>0</v>
      </c>
      <c r="N29" s="87" t="n">
        <v>0</v>
      </c>
      <c r="O29" s="121" t="n">
        <v>0</v>
      </c>
      <c r="P29" s="121" t="n">
        <f aca="false">'Input data fish and seafood'!C49</f>
        <v>0.00024</v>
      </c>
      <c r="Q29" s="281" t="n">
        <v>0</v>
      </c>
      <c r="R29" s="121" t="n">
        <f aca="false">(F29+Q29)/'Common input data'!$C$42/'Input data fish and seafood'!$H$7*'Common input data'!$D$42</f>
        <v>0.000539007092198582</v>
      </c>
      <c r="S29" s="121" t="n">
        <v>0</v>
      </c>
      <c r="T29" s="249" t="n">
        <v>0</v>
      </c>
      <c r="V29" s="122"/>
      <c r="AA29" s="31"/>
    </row>
    <row r="30" s="83" customFormat="true" ht="14.4" hidden="false" customHeight="false" outlineLevel="0" collapsed="false">
      <c r="A30" s="161" t="s">
        <v>212</v>
      </c>
      <c r="B30" s="177" t="s">
        <v>214</v>
      </c>
      <c r="C30" s="77" t="n">
        <f aca="false">'Input data fish and seafood'!E8</f>
        <v>0.5</v>
      </c>
      <c r="D30" s="78" t="s">
        <v>133</v>
      </c>
      <c r="E30" s="276" t="n">
        <f aca="false">IF($F$1="GWP100 without fb",E31+E32*'Common input data'!$C$5+E33*'Common input data'!$D$5+E34*'Common input data'!$E$5,IF($F$1="GWP100 with fb",E31+E32*'Common input data'!$C$6+E33*'Common input data'!$D$6+E34*'Common input data'!$E$6,IF($F$1="GTP100 without fb",E31+E32*'Common input data'!$C$7+E33*'Common input data'!$D$7+E34*'Common input data'!$E$7,IF($F$1="GTP100 with fb",E31+E32*'Common input data'!$C$8+E33*'Common input data'!$D$8+E34*'Common input data'!$E$8,E31+E32*'Common input data'!$C$9+E33*'Common input data'!$D$9+E34*'Common input data'!$E$9))))</f>
        <v>0</v>
      </c>
      <c r="F30" s="277" t="n">
        <f aca="false">IF($F$1="GWP100 without fb",F31+F32*'Common input data'!$C$5+F33*'Common input data'!$D$5+F34*'Common input data'!$E$5,IF($F$1="GWP100 with fb",F31+F32*'Common input data'!$C$6+F33*'Common input data'!$D$6+F34*'Common input data'!$E$6,IF($F$1="GTP100 without fb",F31+F32*'Common input data'!$C$7+F33*'Common input data'!$D$7+F34*'Common input data'!$E$7,IF($F$1="GTP100 with fb",F31+F32*'Common input data'!$C$8+F33*'Common input data'!$D$8+F34*'Common input data'!$E$8,F31+F32*'Common input data'!$C$9+F33*'Common input data'!$D$9+F34*'Common input data'!$E$9))))</f>
        <v>1.85844</v>
      </c>
      <c r="G30" s="278" t="n">
        <f aca="false">IF($F$1="GWP100 without fb",G31+G32*'Common input data'!$C$5+G33*'Common input data'!$D$5+G34*'Common input data'!$E$5,IF($F$1="GWP100 with fb",G31+G32*'Common input data'!$C$6+G33*'Common input data'!$D$6+G34*'Common input data'!$E$6,IF($F$1="GTP100 without fb",G31+G32*'Common input data'!$C$7+G33*'Common input data'!$D$7+G34*'Common input data'!$E$7,IF($F$1="GTP100 with fb",G31+G32*'Common input data'!$C$8+G33*'Common input data'!$D$8+G34*'Common input data'!$E$8,G31+G32*'Common input data'!$C$9+G33*'Common input data'!$D$9+G34*'Common input data'!$E$9))))</f>
        <v>5.55186308449683</v>
      </c>
      <c r="H30" s="95"/>
      <c r="I30" s="97"/>
      <c r="J30" s="97"/>
      <c r="K30" s="279"/>
      <c r="L30" s="279"/>
      <c r="M30" s="279"/>
      <c r="N30" s="279"/>
      <c r="O30" s="279"/>
      <c r="P30" s="279"/>
      <c r="Q30" s="279"/>
      <c r="R30" s="279"/>
      <c r="S30" s="279"/>
      <c r="T30" s="28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row>
    <row r="31" customFormat="false" ht="14.4" hidden="false" customHeight="false" outlineLevel="0" collapsed="false">
      <c r="A31" s="99"/>
      <c r="B31" s="31"/>
      <c r="C31" s="122"/>
      <c r="D31" s="85" t="s">
        <v>134</v>
      </c>
      <c r="E31" s="264" t="n">
        <f aca="false">IF(AND($F$2="No",$F$3="No"),SUM(J31),IF(AND($F$2="Yes", $F$3="No"), SUM(J31)+L31, IF(AND($F$2="No", $F$3="Yes"),SUM(J31)+K31, SUM(J31)+L31+K31)))</f>
        <v>0</v>
      </c>
      <c r="F31" s="121" t="n">
        <f aca="false">IF(AND($F$2="No",$F$3="No"),SUM(H31:J31,M31:P31),IF(AND($F$2="Yes", $F$3="No"), SUM(H31:J31,M31:P31)+L31, IF(AND($F$2="No", $F$3="Yes"),SUM(H31:J31,M31:P31)+K31, SUM(H31:J31,M31:P31)+L31+K31)))</f>
        <v>1.32249244058362</v>
      </c>
      <c r="G31" s="265" t="n">
        <f aca="false">SUM(R31:T31)/(1-'Common input data'!$B$125)</f>
        <v>4.13765534771872</v>
      </c>
      <c r="H31" s="87" t="n">
        <v>0</v>
      </c>
      <c r="I31" s="87" t="n">
        <v>0</v>
      </c>
      <c r="J31" s="87" t="n">
        <v>0</v>
      </c>
      <c r="K31" s="87" t="n">
        <v>0</v>
      </c>
      <c r="L31" s="87" t="n">
        <v>0</v>
      </c>
      <c r="M31" s="87" t="n">
        <v>0</v>
      </c>
      <c r="N31" s="87" t="n">
        <v>0</v>
      </c>
      <c r="O31" s="283" t="n">
        <f aca="false">'Input data fish and seafood'!G8*'Input data fish and seafood'!B42</f>
        <v>1.32249244058362</v>
      </c>
      <c r="P31" s="121" t="n">
        <v>0</v>
      </c>
      <c r="Q31" s="281" t="n">
        <f aca="false">'Input data fish and seafood'!B89*('Input data fish and seafood'!B94*'Common input data'!B63+'Input data fish and seafood'!C94*'Common input data'!C63+'Input data fish and seafood'!D94*'Common input data'!E63)</f>
        <v>0.13603544</v>
      </c>
      <c r="R31" s="121" t="n">
        <f aca="false">(F31+Q31)/'Common input data'!$C$42/'Input data fish and seafood'!$H$7*'Common input data'!$D$42</f>
        <v>3.2756536325164</v>
      </c>
      <c r="S31" s="281" t="n">
        <f aca="false">'Common input data'!B94</f>
        <v>0.1</v>
      </c>
      <c r="T31" s="249" t="n">
        <f aca="false">'Input data fish and seafood'!B108*'Common input data'!B98+'Input data fish and seafood'!C108*'Common input data'!B102+'Input data fish and seafood'!D108*'Common input data'!B106+'Common input data'!C98</f>
        <v>0.146</v>
      </c>
      <c r="W31" s="282"/>
      <c r="X31" s="282"/>
      <c r="Y31" s="23"/>
      <c r="Z31" s="23"/>
      <c r="AA31" s="85"/>
    </row>
    <row r="32" customFormat="false" ht="14.4" hidden="false" customHeight="false" outlineLevel="0" collapsed="false">
      <c r="A32" s="99"/>
      <c r="B32" s="31"/>
      <c r="C32" s="31"/>
      <c r="D32" s="85" t="s">
        <v>135</v>
      </c>
      <c r="E32" s="264" t="n">
        <v>0</v>
      </c>
      <c r="F32" s="121" t="n">
        <f aca="false">SUM(H32:J32,M32:P32)</f>
        <v>0.000585819557123644</v>
      </c>
      <c r="G32" s="265" t="n">
        <f aca="false">SUM(R32:T32)/(1-'Common input data'!$B$125)</f>
        <v>0.00154580524807752</v>
      </c>
      <c r="H32" s="87" t="n">
        <v>0</v>
      </c>
      <c r="I32" s="87" t="n">
        <v>0</v>
      </c>
      <c r="J32" s="87" t="n">
        <v>0</v>
      </c>
      <c r="K32" s="87" t="n">
        <v>0</v>
      </c>
      <c r="L32" s="87" t="n">
        <v>0</v>
      </c>
      <c r="M32" s="87" t="n">
        <v>0</v>
      </c>
      <c r="N32" s="87" t="n">
        <v>0</v>
      </c>
      <c r="O32" s="283" t="n">
        <f aca="false">'Input data fish and seafood'!G8*'Input data fish and seafood'!B43</f>
        <v>0.000585819557123644</v>
      </c>
      <c r="P32" s="121" t="n">
        <v>0</v>
      </c>
      <c r="Q32" s="281" t="n">
        <v>0</v>
      </c>
      <c r="R32" s="121" t="n">
        <f aca="false">(F32+Q32)/'Common input data'!$C$42/'Input data fish and seafood'!$H$7*'Common input data'!$D$42</f>
        <v>0.00131567040015948</v>
      </c>
      <c r="S32" s="281" t="n">
        <v>0</v>
      </c>
      <c r="T32" s="249" t="n">
        <v>0</v>
      </c>
      <c r="Y32" s="23"/>
      <c r="Z32" s="23"/>
      <c r="AA32" s="85"/>
    </row>
    <row r="33" customFormat="false" ht="14.4" hidden="false" customHeight="false" outlineLevel="0" collapsed="false">
      <c r="A33" s="99"/>
      <c r="B33" s="31"/>
      <c r="C33" s="87"/>
      <c r="D33" s="31" t="s">
        <v>136</v>
      </c>
      <c r="E33" s="264" t="n">
        <v>0</v>
      </c>
      <c r="F33" s="121" t="n">
        <f aca="false">SUM(H33:J33,M33:P33)</f>
        <v>3.55358874972416E-005</v>
      </c>
      <c r="G33" s="265" t="n">
        <f aca="false">SUM(R33:T33)/(1-'Common input data'!$B$125)</f>
        <v>9.37687394016695E-005</v>
      </c>
      <c r="H33" s="87" t="n">
        <v>0</v>
      </c>
      <c r="I33" s="87" t="n">
        <v>0</v>
      </c>
      <c r="J33" s="87" t="n">
        <v>0</v>
      </c>
      <c r="K33" s="87" t="n">
        <v>0</v>
      </c>
      <c r="L33" s="87" t="n">
        <v>0</v>
      </c>
      <c r="M33" s="87" t="n">
        <v>0</v>
      </c>
      <c r="N33" s="87" t="n">
        <v>0</v>
      </c>
      <c r="O33" s="121" t="n">
        <f aca="false">'Input data fish and seafood'!G8*'Input data fish and seafood'!B44</f>
        <v>3.55358874972416E-005</v>
      </c>
      <c r="P33" s="121" t="n">
        <v>0</v>
      </c>
      <c r="Q33" s="284" t="n">
        <v>0</v>
      </c>
      <c r="R33" s="121" t="n">
        <f aca="false">(F33+Q33)/'Common input data'!$C$42/'Input data fish and seafood'!$H$7*'Common input data'!$D$42</f>
        <v>7.98087307857671E-005</v>
      </c>
      <c r="S33" s="285" t="n">
        <v>0</v>
      </c>
      <c r="T33" s="249" t="n">
        <v>0</v>
      </c>
      <c r="AA33" s="31"/>
    </row>
    <row r="34" customFormat="false" ht="14.4" hidden="false" customHeight="false" outlineLevel="0" collapsed="false">
      <c r="A34" s="124"/>
      <c r="B34" s="125"/>
      <c r="C34" s="105"/>
      <c r="D34" s="125" t="s">
        <v>207</v>
      </c>
      <c r="E34" s="266" t="n">
        <v>0</v>
      </c>
      <c r="F34" s="255" t="n">
        <f aca="false">SUM(H34:J34,M34:P34)</f>
        <v>0.00024</v>
      </c>
      <c r="G34" s="267" t="n">
        <f aca="false">SUM(R34:T34)/(1-'Common input data'!$B$125)</f>
        <v>0.00063328930389448</v>
      </c>
      <c r="H34" s="105" t="n">
        <v>0</v>
      </c>
      <c r="I34" s="105" t="n">
        <v>0</v>
      </c>
      <c r="J34" s="105" t="n">
        <v>0</v>
      </c>
      <c r="K34" s="105" t="n">
        <v>0</v>
      </c>
      <c r="L34" s="105" t="n">
        <v>0</v>
      </c>
      <c r="M34" s="105" t="n">
        <v>0</v>
      </c>
      <c r="N34" s="105" t="n">
        <v>0</v>
      </c>
      <c r="O34" s="255" t="n">
        <v>0</v>
      </c>
      <c r="P34" s="255" t="n">
        <f aca="false">'Input data fish and seafood'!C49</f>
        <v>0.00024</v>
      </c>
      <c r="Q34" s="286" t="n">
        <v>0</v>
      </c>
      <c r="R34" s="255" t="n">
        <f aca="false">(F34+Q34)/'Common input data'!$C$42/'Input data fish and seafood'!$H$7*'Common input data'!$D$42</f>
        <v>0.000539007092198582</v>
      </c>
      <c r="S34" s="286" t="n">
        <v>0</v>
      </c>
      <c r="T34" s="256" t="n">
        <v>0</v>
      </c>
      <c r="AA34" s="31"/>
    </row>
    <row r="35" customFormat="false" ht="14.4" hidden="false" customHeight="false" outlineLevel="0" collapsed="false">
      <c r="A35" s="127" t="s">
        <v>215</v>
      </c>
      <c r="B35" s="128"/>
      <c r="C35" s="129"/>
      <c r="D35" s="130"/>
      <c r="E35" s="110"/>
      <c r="F35" s="111"/>
      <c r="G35" s="112" t="s">
        <v>206</v>
      </c>
      <c r="H35" s="129"/>
      <c r="I35" s="129"/>
      <c r="J35" s="129"/>
      <c r="K35" s="132"/>
      <c r="L35" s="132"/>
      <c r="M35" s="133"/>
      <c r="N35" s="132"/>
      <c r="O35" s="132"/>
      <c r="P35" s="132"/>
      <c r="Q35" s="132"/>
      <c r="R35" s="132"/>
      <c r="S35" s="132"/>
      <c r="T35" s="287"/>
      <c r="AA35" s="31"/>
    </row>
    <row r="36" customFormat="false" ht="14.4" hidden="false" customHeight="false" outlineLevel="0" collapsed="false">
      <c r="A36" s="134" t="s">
        <v>132</v>
      </c>
      <c r="B36" s="135"/>
      <c r="C36" s="136" t="n">
        <f aca="false">SUM(C41:C50)</f>
        <v>1</v>
      </c>
      <c r="D36" s="137" t="s">
        <v>133</v>
      </c>
      <c r="E36" s="243"/>
      <c r="F36" s="244"/>
      <c r="G36" s="245" t="n">
        <f aca="false">IF($F$1="GWP100 without fb",G37+G38*'Common input data'!$C$5+G39*'Common input data'!$D$5+G40*'Common input data'!$E$5,IF($F$1="GWP100 with fb",G37+G38*'Common input data'!$C$6+G39*'Common input data'!$D$6+G40*'Common input data'!$E$6,IF($F$1="GTP100 without fb",G37+G38*'Common input data'!$C$7+G39*'Common input data'!$D$7+G40*'Common input data'!$E$7,IF($F$1="GTP100 with fb",G37+G38*'Common input data'!$C$8+G39*'Common input data'!$D$8+G40*'Common input data'!$E$8,G37+G38*'Common input data'!$C$9+G39*'Common input data'!$D$9+G40*'Common input data'!$E$9))))</f>
        <v>2.00586486324538</v>
      </c>
      <c r="H36" s="80"/>
      <c r="I36" s="271"/>
      <c r="J36" s="271"/>
      <c r="K36" s="272"/>
      <c r="L36" s="272"/>
      <c r="M36" s="273"/>
      <c r="N36" s="272"/>
      <c r="O36" s="272"/>
      <c r="P36" s="272"/>
      <c r="Q36" s="272"/>
      <c r="R36" s="288" t="s">
        <v>216</v>
      </c>
      <c r="S36" s="272"/>
      <c r="T36" s="274"/>
      <c r="AA36" s="31"/>
    </row>
    <row r="37" customFormat="false" ht="14.4" hidden="false" customHeight="false" outlineLevel="0" collapsed="false">
      <c r="A37" s="143"/>
      <c r="B37" s="122"/>
      <c r="C37" s="122"/>
      <c r="D37" s="85" t="s">
        <v>134</v>
      </c>
      <c r="E37" s="86"/>
      <c r="F37" s="87"/>
      <c r="G37" s="118" t="n">
        <f aca="false">$C$41*G42+$C$46*G47</f>
        <v>1.68227514958645</v>
      </c>
      <c r="H37" s="87"/>
      <c r="I37" s="87"/>
      <c r="J37" s="87"/>
      <c r="K37" s="87"/>
      <c r="L37" s="87"/>
      <c r="M37" s="87"/>
      <c r="N37" s="87"/>
      <c r="O37" s="87"/>
      <c r="P37" s="87"/>
      <c r="Q37" s="87"/>
      <c r="R37" s="87" t="n">
        <f aca="false">$C$41*R42+$C$46*R47</f>
        <v>1.05182307214147</v>
      </c>
      <c r="S37" s="87" t="n">
        <f aca="false">$C$41*S42+$C$46*S47</f>
        <v>0.3</v>
      </c>
      <c r="T37" s="275" t="n">
        <f aca="false">$C$41*T42+$C$46*T47</f>
        <v>0.08</v>
      </c>
      <c r="AA37" s="31"/>
    </row>
    <row r="38" customFormat="false" ht="14.4" hidden="false" customHeight="false" outlineLevel="0" collapsed="false">
      <c r="A38" s="91"/>
      <c r="B38" s="92"/>
      <c r="C38" s="93"/>
      <c r="D38" s="85" t="s">
        <v>135</v>
      </c>
      <c r="E38" s="86"/>
      <c r="F38" s="87"/>
      <c r="G38" s="118" t="n">
        <f aca="false">$C$41*G43+$C$46*G48</f>
        <v>0.000512020703673226</v>
      </c>
      <c r="H38" s="87"/>
      <c r="I38" s="87"/>
      <c r="J38" s="87"/>
      <c r="K38" s="87"/>
      <c r="L38" s="87"/>
      <c r="M38" s="87"/>
      <c r="N38" s="87"/>
      <c r="O38" s="87"/>
      <c r="P38" s="87"/>
      <c r="Q38" s="87"/>
      <c r="R38" s="87" t="n">
        <f aca="false">$C$41*R43+$C$46*R48</f>
        <v>0.000435792597372467</v>
      </c>
      <c r="S38" s="87" t="n">
        <f aca="false">$C$41*S43+$C$46*S48</f>
        <v>0</v>
      </c>
      <c r="T38" s="275" t="n">
        <f aca="false">$C$41*T43+$C$46*T48</f>
        <v>0</v>
      </c>
      <c r="AA38" s="31"/>
    </row>
    <row r="39" customFormat="false" ht="14.4" hidden="false" customHeight="false" outlineLevel="0" collapsed="false">
      <c r="A39" s="91"/>
      <c r="B39" s="92"/>
      <c r="C39" s="87"/>
      <c r="D39" s="31" t="s">
        <v>136</v>
      </c>
      <c r="E39" s="86"/>
      <c r="F39" s="87"/>
      <c r="G39" s="118" t="n">
        <f aca="false">$C$41*G44+$C$46*G49</f>
        <v>3.10592398303117E-005</v>
      </c>
      <c r="H39" s="87"/>
      <c r="I39" s="87"/>
      <c r="J39" s="87"/>
      <c r="K39" s="87"/>
      <c r="L39" s="87"/>
      <c r="M39" s="87"/>
      <c r="N39" s="87"/>
      <c r="O39" s="87"/>
      <c r="P39" s="87"/>
      <c r="Q39" s="87"/>
      <c r="R39" s="87" t="n">
        <f aca="false">$C$41*R44+$C$46*R49</f>
        <v>2.64352333820943E-005</v>
      </c>
      <c r="S39" s="87" t="n">
        <f aca="false">$C$41*S44+$C$46*S49</f>
        <v>0</v>
      </c>
      <c r="T39" s="275" t="n">
        <f aca="false">$C$41*T44+$C$46*T49</f>
        <v>0</v>
      </c>
      <c r="AA39" s="31"/>
    </row>
    <row r="40" customFormat="false" ht="14.4" hidden="false" customHeight="false" outlineLevel="0" collapsed="false">
      <c r="A40" s="91"/>
      <c r="B40" s="92"/>
      <c r="C40" s="87"/>
      <c r="D40" s="31" t="s">
        <v>207</v>
      </c>
      <c r="E40" s="86"/>
      <c r="F40" s="87"/>
      <c r="G40" s="118" t="n">
        <f aca="false">$C$41*G45+$C$46*G50</f>
        <v>0.000140990197656508</v>
      </c>
      <c r="H40" s="87"/>
      <c r="I40" s="87"/>
      <c r="J40" s="87"/>
      <c r="K40" s="87"/>
      <c r="L40" s="87"/>
      <c r="M40" s="87"/>
      <c r="N40" s="87"/>
      <c r="O40" s="87"/>
      <c r="P40" s="87"/>
      <c r="Q40" s="87"/>
      <c r="R40" s="87" t="n">
        <f aca="false">$C$41*R45+$C$46*R50</f>
        <v>0.00012</v>
      </c>
      <c r="S40" s="87" t="n">
        <f aca="false">$C$41*S45+$C$46*S50</f>
        <v>0</v>
      </c>
      <c r="T40" s="275" t="n">
        <f aca="false">$C$41*T45+$C$46*T50</f>
        <v>0</v>
      </c>
      <c r="AA40" s="31"/>
    </row>
    <row r="41" customFormat="false" ht="14.4" hidden="false" customHeight="false" outlineLevel="0" collapsed="false">
      <c r="A41" s="161" t="s">
        <v>217</v>
      </c>
      <c r="B41" s="177" t="s">
        <v>213</v>
      </c>
      <c r="C41" s="289" t="n">
        <f aca="false">'Input data fish and seafood'!E24</f>
        <v>0.5</v>
      </c>
      <c r="D41" s="78" t="s">
        <v>133</v>
      </c>
      <c r="E41" s="276"/>
      <c r="F41" s="277"/>
      <c r="G41" s="278" t="n">
        <f aca="false">IF($F$1="GWP100 without fb",G42+G43*'Common input data'!$C$5+G44*'Common input data'!$D$5+G45*'Common input data'!$E$5,IF($F$1="GWP100 with fb",G42+G43*'Common input data'!$C$6+G44*'Common input data'!$D$6+G45*'Common input data'!$E$6,IF($F$1="GTP100 without fb",G42+G43*'Common input data'!$C$7+G44*'Common input data'!$D$7+G45*'Common input data'!$E$7,IF($F$1="GTP100 with fb",G42+G43*'Common input data'!$C$8+G44*'Common input data'!$D$8+G45*'Common input data'!$E$8,G42+G43*'Common input data'!$C$9+G44*'Common input data'!$D$9+G45*'Common input data'!$E$9))))</f>
        <v>2.39358790680078</v>
      </c>
      <c r="H41" s="95"/>
      <c r="I41" s="97"/>
      <c r="J41" s="97"/>
      <c r="K41" s="279"/>
      <c r="L41" s="279"/>
      <c r="M41" s="279"/>
      <c r="N41" s="279"/>
      <c r="O41" s="279"/>
      <c r="P41" s="279"/>
      <c r="Q41" s="279"/>
      <c r="R41" s="279"/>
      <c r="S41" s="279"/>
      <c r="T41" s="280"/>
      <c r="AA41" s="31"/>
    </row>
    <row r="42" customFormat="false" ht="14.4" hidden="false" customHeight="false" outlineLevel="0" collapsed="false">
      <c r="A42" s="99"/>
      <c r="B42" s="31"/>
      <c r="C42" s="122"/>
      <c r="D42" s="85" t="s">
        <v>134</v>
      </c>
      <c r="E42" s="264"/>
      <c r="F42" s="121"/>
      <c r="G42" s="118" t="n">
        <f aca="false">SUM(R42:T42)/(1-'Common input data'!B$125)</f>
        <v>2.06125578088142</v>
      </c>
      <c r="H42" s="87"/>
      <c r="I42" s="87"/>
      <c r="J42" s="87"/>
      <c r="K42" s="87"/>
      <c r="L42" s="87"/>
      <c r="M42" s="87"/>
      <c r="N42" s="87"/>
      <c r="O42" s="87"/>
      <c r="P42" s="87"/>
      <c r="Q42" s="89"/>
      <c r="R42" s="87" t="n">
        <f aca="false">(F26+Q26)/'Common input data'!$F$42*'Common input data'!$G$42</f>
        <v>1.37438220399113</v>
      </c>
      <c r="S42" s="87" t="n">
        <f aca="false">'Common input data'!B93</f>
        <v>0.3</v>
      </c>
      <c r="T42" s="275" t="n">
        <f aca="false">'Input data fish and seafood'!B115*'Common input data'!B98+'Common input data'!C98</f>
        <v>0.08</v>
      </c>
      <c r="AA42" s="31"/>
    </row>
    <row r="43" customFormat="false" ht="14.4" hidden="false" customHeight="false" outlineLevel="0" collapsed="false">
      <c r="A43" s="162"/>
      <c r="B43" s="282"/>
      <c r="C43" s="23"/>
      <c r="D43" s="85" t="s">
        <v>135</v>
      </c>
      <c r="E43" s="86"/>
      <c r="F43" s="121"/>
      <c r="G43" s="118" t="n">
        <f aca="false">SUM(R43:T43)/(1-'Common input data'!B$125)</f>
        <v>0.000679896344221825</v>
      </c>
      <c r="H43" s="87"/>
      <c r="I43" s="87"/>
      <c r="J43" s="87"/>
      <c r="K43" s="87"/>
      <c r="L43" s="87"/>
      <c r="M43" s="87"/>
      <c r="N43" s="87"/>
      <c r="O43" s="87"/>
      <c r="P43" s="87"/>
      <c r="Q43" s="89"/>
      <c r="R43" s="87" t="n">
        <f aca="false">(F27+Q27)/'Common input data'!$F$42*'Common input data'!$G$42</f>
        <v>0.000578675416183112</v>
      </c>
      <c r="S43" s="87" t="n">
        <v>0</v>
      </c>
      <c r="T43" s="275" t="n">
        <v>0</v>
      </c>
      <c r="AA43" s="31"/>
    </row>
    <row r="44" customFormat="false" ht="14.4" hidden="false" customHeight="false" outlineLevel="0" collapsed="false">
      <c r="A44" s="100"/>
      <c r="B44" s="101"/>
      <c r="C44" s="87"/>
      <c r="D44" s="31" t="s">
        <v>136</v>
      </c>
      <c r="E44" s="86"/>
      <c r="F44" s="121"/>
      <c r="G44" s="118" t="n">
        <f aca="false">SUM(R44:T44)/(1-'Common input data'!B$125)</f>
        <v>4.12425971517253E-005</v>
      </c>
      <c r="H44" s="87"/>
      <c r="I44" s="87"/>
      <c r="J44" s="87"/>
      <c r="K44" s="87"/>
      <c r="L44" s="87"/>
      <c r="M44" s="87"/>
      <c r="N44" s="87"/>
      <c r="O44" s="87"/>
      <c r="P44" s="87"/>
      <c r="Q44" s="89"/>
      <c r="R44" s="87" t="n">
        <f aca="false">(F28+Q28)/'Common input data'!$F$42*'Common input data'!$G$42</f>
        <v>3.51025230155679E-005</v>
      </c>
      <c r="S44" s="87" t="n">
        <v>0</v>
      </c>
      <c r="T44" s="275" t="n">
        <v>0</v>
      </c>
      <c r="AA44" s="31"/>
    </row>
    <row r="45" customFormat="false" ht="14.4" hidden="false" customHeight="false" outlineLevel="0" collapsed="false">
      <c r="A45" s="100"/>
      <c r="B45" s="101"/>
      <c r="C45" s="87"/>
      <c r="D45" s="31" t="s">
        <v>207</v>
      </c>
      <c r="E45" s="86"/>
      <c r="F45" s="121"/>
      <c r="G45" s="118" t="n">
        <f aca="false">SUM(R45:T45)/(1-'Common input data'!B$125)</f>
        <v>0.000140990197656508</v>
      </c>
      <c r="H45" s="87"/>
      <c r="I45" s="87"/>
      <c r="J45" s="87"/>
      <c r="K45" s="87"/>
      <c r="L45" s="87"/>
      <c r="M45" s="87"/>
      <c r="N45" s="87"/>
      <c r="O45" s="87"/>
      <c r="P45" s="87"/>
      <c r="Q45" s="89"/>
      <c r="R45" s="87" t="n">
        <f aca="false">(F29+Q29)/'Common input data'!$F$42*'Common input data'!$G$42</f>
        <v>0.00012</v>
      </c>
      <c r="S45" s="87" t="n">
        <v>0</v>
      </c>
      <c r="T45" s="275" t="n">
        <v>0</v>
      </c>
      <c r="AA45" s="31"/>
    </row>
    <row r="46" customFormat="false" ht="14.4" hidden="false" customHeight="false" outlineLevel="0" collapsed="false">
      <c r="A46" s="177" t="s">
        <v>217</v>
      </c>
      <c r="B46" s="177" t="s">
        <v>214</v>
      </c>
      <c r="C46" s="289" t="n">
        <f aca="false">'Input data fish and seafood'!E25</f>
        <v>0.5</v>
      </c>
      <c r="D46" s="78" t="s">
        <v>133</v>
      </c>
      <c r="E46" s="276"/>
      <c r="F46" s="277"/>
      <c r="G46" s="278" t="n">
        <f aca="false">IF($F$1="GWP100 without fb",G47+G48*'Common input data'!$C$5+G49*'Common input data'!$D$5+G50*'Common input data'!$E$5,IF($F$1="GWP100 with fb",G47+G48*'Common input data'!$C$6+G49*'Common input data'!$D$6+G50*'Common input data'!$E$6,IF($F$1="GTP100 without fb",G47+G48*'Common input data'!$C$7+G49*'Common input data'!$D$7+G50*'Common input data'!$E$7,IF($F$1="GTP100 with fb",G47+G48*'Common input data'!$C$8+G49*'Common input data'!$D$8+G50*'Common input data'!$E$8,G47+G48*'Common input data'!$C$9+G49*'Common input data'!$D$9+G50*'Common input data'!$E$9))))</f>
        <v>1.61814181968999</v>
      </c>
      <c r="H46" s="95"/>
      <c r="I46" s="97"/>
      <c r="J46" s="97"/>
      <c r="K46" s="279"/>
      <c r="L46" s="279"/>
      <c r="M46" s="279"/>
      <c r="N46" s="279"/>
      <c r="O46" s="279"/>
      <c r="P46" s="279"/>
      <c r="Q46" s="279"/>
      <c r="R46" s="279"/>
      <c r="S46" s="279"/>
      <c r="T46" s="280"/>
      <c r="AA46" s="31"/>
    </row>
    <row r="47" customFormat="false" ht="14.4" hidden="false" customHeight="false" outlineLevel="0" collapsed="false">
      <c r="A47" s="99"/>
      <c r="B47" s="31"/>
      <c r="C47" s="122"/>
      <c r="D47" s="85" t="s">
        <v>134</v>
      </c>
      <c r="E47" s="264"/>
      <c r="F47" s="121"/>
      <c r="G47" s="118" t="n">
        <f aca="false">SUM(R47:T47)/(1-'Common input data'!B$125)</f>
        <v>1.30329451829149</v>
      </c>
      <c r="H47" s="87"/>
      <c r="I47" s="87"/>
      <c r="J47" s="87"/>
      <c r="K47" s="87"/>
      <c r="L47" s="87"/>
      <c r="M47" s="87"/>
      <c r="N47" s="87"/>
      <c r="O47" s="290"/>
      <c r="P47" s="87"/>
      <c r="Q47" s="89"/>
      <c r="R47" s="87" t="n">
        <f aca="false">(F31+Q31)/'Common input data'!$F$42*'Common input data'!$G$42</f>
        <v>0.729263940291809</v>
      </c>
      <c r="S47" s="89" t="n">
        <f aca="false">'Common input data'!B93</f>
        <v>0.3</v>
      </c>
      <c r="T47" s="275" t="n">
        <f aca="false">'Input data fish and seafood'!B115*'Common input data'!B98+'Common input data'!C98</f>
        <v>0.08</v>
      </c>
      <c r="AA47" s="31"/>
    </row>
    <row r="48" customFormat="false" ht="14.4" hidden="false" customHeight="false" outlineLevel="0" collapsed="false">
      <c r="A48" s="99"/>
      <c r="B48" s="31"/>
      <c r="C48" s="31"/>
      <c r="D48" s="85" t="s">
        <v>135</v>
      </c>
      <c r="E48" s="86"/>
      <c r="F48" s="121"/>
      <c r="G48" s="118" t="n">
        <f aca="false">SUM(R48:T48)/(1-'Common input data'!B$125)</f>
        <v>0.000344145063124627</v>
      </c>
      <c r="H48" s="87"/>
      <c r="I48" s="87"/>
      <c r="J48" s="87"/>
      <c r="K48" s="87"/>
      <c r="L48" s="87"/>
      <c r="M48" s="87"/>
      <c r="N48" s="87"/>
      <c r="O48" s="290"/>
      <c r="P48" s="87"/>
      <c r="Q48" s="89"/>
      <c r="R48" s="87" t="n">
        <f aca="false">(F32+Q32)/'Common input data'!$F$42*'Common input data'!$G$42</f>
        <v>0.000292909778561822</v>
      </c>
      <c r="S48" s="89" t="n">
        <v>0</v>
      </c>
      <c r="T48" s="275" t="n">
        <v>0</v>
      </c>
      <c r="AA48" s="31"/>
    </row>
    <row r="49" customFormat="false" ht="14.4" hidden="false" customHeight="false" outlineLevel="0" collapsed="false">
      <c r="A49" s="99"/>
      <c r="B49" s="31"/>
      <c r="C49" s="87"/>
      <c r="D49" s="31" t="s">
        <v>136</v>
      </c>
      <c r="E49" s="86"/>
      <c r="F49" s="121"/>
      <c r="G49" s="118" t="n">
        <f aca="false">SUM(R49:T49)/(1-'Common input data'!B$125)</f>
        <v>2.0875882508898E-005</v>
      </c>
      <c r="H49" s="87"/>
      <c r="I49" s="87"/>
      <c r="J49" s="87"/>
      <c r="K49" s="87"/>
      <c r="L49" s="87"/>
      <c r="M49" s="87"/>
      <c r="N49" s="87"/>
      <c r="O49" s="87"/>
      <c r="P49" s="87"/>
      <c r="Q49" s="291"/>
      <c r="R49" s="87" t="n">
        <f aca="false">(F33+Q33)/'Common input data'!$F$42*'Common input data'!$G$42</f>
        <v>1.77679437486208E-005</v>
      </c>
      <c r="S49" s="102" t="n">
        <v>0</v>
      </c>
      <c r="T49" s="275" t="n">
        <v>0</v>
      </c>
      <c r="AA49" s="31"/>
    </row>
    <row r="50" customFormat="false" ht="14.4" hidden="false" customHeight="false" outlineLevel="0" collapsed="false">
      <c r="A50" s="99"/>
      <c r="B50" s="31"/>
      <c r="C50" s="87"/>
      <c r="D50" s="31" t="s">
        <v>207</v>
      </c>
      <c r="E50" s="104"/>
      <c r="F50" s="255"/>
      <c r="G50" s="292" t="n">
        <f aca="false">SUM(R50:T50)/(1-'Common input data'!B$125)</f>
        <v>0.000140990197656508</v>
      </c>
      <c r="H50" s="87"/>
      <c r="I50" s="87"/>
      <c r="J50" s="87"/>
      <c r="K50" s="87"/>
      <c r="L50" s="87"/>
      <c r="M50" s="87"/>
      <c r="N50" s="87"/>
      <c r="O50" s="87"/>
      <c r="P50" s="87"/>
      <c r="Q50" s="89"/>
      <c r="R50" s="87" t="n">
        <f aca="false">(F34+Q34)/'Common input data'!$F$42*'Common input data'!$G$42</f>
        <v>0.00012</v>
      </c>
      <c r="S50" s="89" t="n">
        <v>0</v>
      </c>
      <c r="T50" s="275" t="n">
        <v>0</v>
      </c>
      <c r="AA50" s="31"/>
    </row>
    <row r="51" customFormat="false" ht="14.4" hidden="false" customHeight="false" outlineLevel="0" collapsed="false">
      <c r="A51" s="107" t="s">
        <v>218</v>
      </c>
      <c r="B51" s="108"/>
      <c r="C51" s="69"/>
      <c r="D51" s="293"/>
      <c r="E51" s="110" t="s">
        <v>205</v>
      </c>
      <c r="F51" s="111" t="s">
        <v>205</v>
      </c>
      <c r="G51" s="112" t="s">
        <v>206</v>
      </c>
      <c r="H51" s="294"/>
      <c r="I51" s="69"/>
      <c r="J51" s="69"/>
      <c r="K51" s="113"/>
      <c r="L51" s="113"/>
      <c r="M51" s="114"/>
      <c r="N51" s="113"/>
      <c r="O51" s="113"/>
      <c r="P51" s="113"/>
      <c r="Q51" s="113"/>
      <c r="R51" s="113"/>
      <c r="S51" s="113"/>
      <c r="T51" s="242"/>
    </row>
    <row r="52" s="83" customFormat="true" ht="14.4" hidden="false" customHeight="false" outlineLevel="0" collapsed="false">
      <c r="A52" s="134" t="s">
        <v>132</v>
      </c>
      <c r="B52" s="135"/>
      <c r="C52" s="136" t="n">
        <f aca="false">SUM(C57:C66)</f>
        <v>1</v>
      </c>
      <c r="D52" s="137" t="s">
        <v>133</v>
      </c>
      <c r="E52" s="243" t="n">
        <f aca="false">IF($F$1="GWP100 without fb",E53+E54*'Common input data'!$C$5+E55*'Common input data'!$D$5+E56*'Common input data'!$E$5,IF($F$1="GWP100 with fb",E53+E54*'Common input data'!$C$6+E55*'Common input data'!$D$6+E56*'Common input data'!$E$6,IF($F$1="GTP100 without fb",E53+E54*'Common input data'!$C$7+E55*'Common input data'!$D$7+E56*'Common input data'!$E$7,IF($F$1="GTP100 with fb",E53+E54*'Common input data'!$C$8+E55*'Common input data'!$D$8+E56*'Common input data'!$E$8,E53+E54*'Common input data'!$C$9+E55*'Common input data'!$D$9+E56*'Common input data'!$E$9))))</f>
        <v>0</v>
      </c>
      <c r="F52" s="244" t="n">
        <f aca="false">IF($F$1="GWP100 without fb",F53+F54*'Common input data'!$C$5+F55*'Common input data'!$D$5+F56*'Common input data'!$E$5,IF($F$1="GWP100 with fb",F53+F54*'Common input data'!$C$6+F55*'Common input data'!$D$6+F56*'Common input data'!$E$6,IF($F$1="GTP100 without fb",F53+F54*'Common input data'!$C$7+F55*'Common input data'!$D$7+F56*'Common input data'!$E$7,IF($F$1="GTP100 with fb",F53+F54*'Common input data'!$C$8+F55*'Common input data'!$D$8+F56*'Common input data'!$E$8,F53+F54*'Common input data'!$C$9+F55*'Common input data'!$D$9+F56*'Common input data'!$E$9))))</f>
        <v>0.328938</v>
      </c>
      <c r="G52" s="245" t="n">
        <f aca="false">IF($F$1="GWP100 without fb",G53+G54*'Common input data'!$C$5+G55*'Common input data'!$D$5+G56*'Common input data'!$E$5,IF($F$1="GWP100 with fb",G53+G54*'Common input data'!$C$6+G55*'Common input data'!$D$6+G56*'Common input data'!$E$6,IF($F$1="GTP100 without fb",G53+G54*'Common input data'!$C$7+G55*'Common input data'!$D$7+G56*'Common input data'!$E$7,IF($F$1="GTP100 with fb",G53+G54*'Common input data'!$C$8+G55*'Common input data'!$D$8+G56*'Common input data'!$E$8,G53+G54*'Common input data'!$C$9+G55*'Common input data'!$D$9+G56*'Common input data'!$E$9))))</f>
        <v>1.13712446601166</v>
      </c>
      <c r="H52" s="80"/>
      <c r="I52" s="271"/>
      <c r="J52" s="271"/>
      <c r="K52" s="272"/>
      <c r="L52" s="272"/>
      <c r="M52" s="273"/>
      <c r="N52" s="272"/>
      <c r="O52" s="272"/>
      <c r="P52" s="272"/>
      <c r="Q52" s="272"/>
      <c r="R52" s="272"/>
      <c r="S52" s="272"/>
      <c r="T52" s="274"/>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row>
    <row r="53" customFormat="false" ht="14.4" hidden="false" customHeight="false" outlineLevel="0" collapsed="false">
      <c r="A53" s="143"/>
      <c r="B53" s="122"/>
      <c r="C53" s="122"/>
      <c r="D53" s="85" t="s">
        <v>134</v>
      </c>
      <c r="E53" s="86" t="n">
        <f aca="false">$C$57*E58+$C$62*E63</f>
        <v>0</v>
      </c>
      <c r="F53" s="87" t="n">
        <f aca="false">$C$57*F58+$C$62*F63</f>
        <v>0.274175262072213</v>
      </c>
      <c r="G53" s="118" t="n">
        <f aca="false">$C$57*G58+$C$62*G63</f>
        <v>1.03164619764213</v>
      </c>
      <c r="H53" s="87" t="n">
        <f aca="false">$C$57*H58+$C$62*H63</f>
        <v>0</v>
      </c>
      <c r="I53" s="87" t="n">
        <f aca="false">$C$57*I58+$C$62*I63</f>
        <v>0</v>
      </c>
      <c r="J53" s="87" t="n">
        <f aca="false">$C$57*J58+$C$62*J63</f>
        <v>0</v>
      </c>
      <c r="K53" s="87" t="n">
        <f aca="false">$C$57*K58+$C$62*K63</f>
        <v>0</v>
      </c>
      <c r="L53" s="87" t="n">
        <f aca="false">$C$57*L58+$C$62*L63</f>
        <v>0</v>
      </c>
      <c r="M53" s="87" t="n">
        <f aca="false">$C$57*M58+$C$62*M63</f>
        <v>0</v>
      </c>
      <c r="N53" s="87" t="n">
        <f aca="false">$C$57*N58+$C$62*N63</f>
        <v>0</v>
      </c>
      <c r="O53" s="87" t="n">
        <f aca="false">$C$57*O58+$C$62*O63</f>
        <v>0.274175262072213</v>
      </c>
      <c r="P53" s="87" t="n">
        <f aca="false">$C$57*P58+$C$62*P63</f>
        <v>0</v>
      </c>
      <c r="Q53" s="87" t="n">
        <f aca="false">$C$57*Q58+$C$62*Q63</f>
        <v>0.06014</v>
      </c>
      <c r="R53" s="87" t="n">
        <f aca="false">$C$57*R58+$C$62*R63</f>
        <v>0.54805780667576</v>
      </c>
      <c r="S53" s="87" t="n">
        <f aca="false">$C$57*S58+$C$62*S63</f>
        <v>0.3</v>
      </c>
      <c r="T53" s="275" t="n">
        <f aca="false">$C$57*T58+$C$62*T63</f>
        <v>0.03</v>
      </c>
    </row>
    <row r="54" customFormat="false" ht="14.4" hidden="false" customHeight="false" outlineLevel="0" collapsed="false">
      <c r="A54" s="91"/>
      <c r="B54" s="92"/>
      <c r="C54" s="93"/>
      <c r="D54" s="85" t="s">
        <v>135</v>
      </c>
      <c r="E54" s="86" t="n">
        <f aca="false">$C$57*E59+$C$62*E64</f>
        <v>0</v>
      </c>
      <c r="F54" s="87" t="n">
        <f aca="false">$C$57*F59+$C$62*F64</f>
        <v>0.000121450395989048</v>
      </c>
      <c r="G54" s="118" t="n">
        <f aca="false">$C$57*G59+$C$62*G64</f>
        <v>0.000233925072895588</v>
      </c>
      <c r="H54" s="87" t="n">
        <f aca="false">$C$57*H59+$C$62*H64</f>
        <v>0</v>
      </c>
      <c r="I54" s="87" t="n">
        <f aca="false">$C$57*I59+$C$62*I64</f>
        <v>0</v>
      </c>
      <c r="J54" s="87" t="n">
        <f aca="false">$C$57*J59+$C$62*J64</f>
        <v>0</v>
      </c>
      <c r="K54" s="87" t="n">
        <f aca="false">$C$57*K59+$C$62*K64</f>
        <v>0</v>
      </c>
      <c r="L54" s="87" t="n">
        <f aca="false">$C$57*L59+$C$62*L64</f>
        <v>0</v>
      </c>
      <c r="M54" s="87" t="n">
        <f aca="false">$C$57*M59+$C$62*M64</f>
        <v>0</v>
      </c>
      <c r="N54" s="87" t="n">
        <f aca="false">$C$57*N59+$C$62*N64</f>
        <v>0</v>
      </c>
      <c r="O54" s="87" t="n">
        <f aca="false">$C$57*O59+$C$62*O64</f>
        <v>0.000121450395989048</v>
      </c>
      <c r="P54" s="87" t="n">
        <f aca="false">$C$57*P59+$C$62*P64</f>
        <v>0</v>
      </c>
      <c r="Q54" s="87" t="n">
        <f aca="false">$C$57*Q59+$C$62*Q64</f>
        <v>0</v>
      </c>
      <c r="R54" s="87" t="n">
        <f aca="false">$C$57*R59+$C$62*R64</f>
        <v>0.000199099009818112</v>
      </c>
      <c r="S54" s="87" t="n">
        <f aca="false">$C$57*S59+$C$62*S64</f>
        <v>0</v>
      </c>
      <c r="T54" s="275" t="n">
        <f aca="false">$C$57*T59+$C$62*T64</f>
        <v>0</v>
      </c>
    </row>
    <row r="55" customFormat="false" ht="14.4" hidden="false" customHeight="false" outlineLevel="0" collapsed="false">
      <c r="A55" s="91"/>
      <c r="B55" s="92"/>
      <c r="C55" s="87"/>
      <c r="D55" s="31" t="s">
        <v>136</v>
      </c>
      <c r="E55" s="86" t="n">
        <f aca="false">$C$57*E60+$C$62*E65</f>
        <v>0</v>
      </c>
      <c r="F55" s="87" t="n">
        <f aca="false">$C$57*F60+$C$62*F65</f>
        <v>7.36719618845252E-006</v>
      </c>
      <c r="G55" s="118" t="n">
        <f aca="false">$C$57*G60+$C$62*G65</f>
        <v>1.41899241363961E-005</v>
      </c>
      <c r="H55" s="87" t="n">
        <f aca="false">$C$57*H60+$C$62*H65</f>
        <v>0</v>
      </c>
      <c r="I55" s="87" t="n">
        <f aca="false">$C$57*I60+$C$62*I65</f>
        <v>0</v>
      </c>
      <c r="J55" s="87" t="n">
        <f aca="false">$C$57*J60+$C$62*J65</f>
        <v>0</v>
      </c>
      <c r="K55" s="87" t="n">
        <f aca="false">$C$57*K60+$C$62*K65</f>
        <v>0</v>
      </c>
      <c r="L55" s="87" t="n">
        <f aca="false">$C$57*L60+$C$62*L65</f>
        <v>0</v>
      </c>
      <c r="M55" s="87" t="n">
        <f aca="false">$C$57*M60+$C$62*M65</f>
        <v>0</v>
      </c>
      <c r="N55" s="87" t="n">
        <f aca="false">$C$57*N60+$C$62*N65</f>
        <v>0</v>
      </c>
      <c r="O55" s="87" t="n">
        <f aca="false">$C$57*O60+$C$62*O65</f>
        <v>7.36719618845252E-006</v>
      </c>
      <c r="P55" s="87" t="n">
        <f aca="false">$C$57*P60+$C$62*P65</f>
        <v>0</v>
      </c>
      <c r="Q55" s="87" t="n">
        <f aca="false">$C$57*Q60+$C$62*Q65</f>
        <v>0</v>
      </c>
      <c r="R55" s="87" t="n">
        <f aca="false">$C$57*R60+$C$62*R65</f>
        <v>1.20773708007418E-005</v>
      </c>
      <c r="S55" s="87" t="n">
        <f aca="false">$C$57*S60+$C$62*S65</f>
        <v>0</v>
      </c>
      <c r="T55" s="275" t="n">
        <f aca="false">$C$57*T60+$C$62*T65</f>
        <v>0</v>
      </c>
    </row>
    <row r="56" s="83" customFormat="true" ht="14.4" hidden="false" customHeight="false" outlineLevel="0" collapsed="false">
      <c r="A56" s="91"/>
      <c r="B56" s="92"/>
      <c r="C56" s="87"/>
      <c r="D56" s="31" t="s">
        <v>207</v>
      </c>
      <c r="E56" s="86" t="n">
        <f aca="false">$C$57*E61+$C$62*E66</f>
        <v>0</v>
      </c>
      <c r="F56" s="87" t="n">
        <f aca="false">$C$57*F61+$C$62*F66</f>
        <v>2.3E-005</v>
      </c>
      <c r="G56" s="118" t="n">
        <f aca="false">$C$57*G61+$C$62*G66</f>
        <v>4.43001987172088E-005</v>
      </c>
      <c r="H56" s="87" t="n">
        <f aca="false">$C$57*H61+$C$62*H66</f>
        <v>0</v>
      </c>
      <c r="I56" s="87" t="n">
        <f aca="false">$C$57*I61+$C$62*I66</f>
        <v>0</v>
      </c>
      <c r="J56" s="87" t="n">
        <f aca="false">$C$57*J61+$C$62*J66</f>
        <v>0</v>
      </c>
      <c r="K56" s="87" t="n">
        <f aca="false">$C$57*K61+$C$62*K66</f>
        <v>0</v>
      </c>
      <c r="L56" s="87" t="n">
        <f aca="false">$C$57*L61+$C$62*L66</f>
        <v>0</v>
      </c>
      <c r="M56" s="87" t="n">
        <f aca="false">$C$57*M61+$C$62*M66</f>
        <v>0</v>
      </c>
      <c r="N56" s="87" t="n">
        <f aca="false">$C$57*N61+$C$62*N66</f>
        <v>0</v>
      </c>
      <c r="O56" s="87" t="n">
        <f aca="false">$C$57*O61+$C$62*O66</f>
        <v>0</v>
      </c>
      <c r="P56" s="87" t="n">
        <f aca="false">$C$57*P61+$C$62*P66</f>
        <v>2.3E-005</v>
      </c>
      <c r="Q56" s="87" t="n">
        <f aca="false">$C$57*Q61+$C$62*Q66</f>
        <v>0</v>
      </c>
      <c r="R56" s="87" t="n">
        <f aca="false">$C$57*R61+$C$62*R66</f>
        <v>3.77049180327869E-005</v>
      </c>
      <c r="S56" s="87" t="n">
        <f aca="false">$C$57*S61+$C$62*S66</f>
        <v>0</v>
      </c>
      <c r="T56" s="275" t="n">
        <f aca="false">$C$57*T61+$C$62*T66</f>
        <v>0</v>
      </c>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row>
    <row r="57" s="83" customFormat="true" ht="14.4" hidden="false" customHeight="false" outlineLevel="0" collapsed="false">
      <c r="A57" s="161" t="s">
        <v>137</v>
      </c>
      <c r="B57" s="177" t="s">
        <v>213</v>
      </c>
      <c r="C57" s="77" t="n">
        <f aca="false">'Input data fish and seafood'!E9</f>
        <v>0.5</v>
      </c>
      <c r="D57" s="78" t="s">
        <v>133</v>
      </c>
      <c r="E57" s="276" t="n">
        <f aca="false">IF($F$1="GWP100 without fb",E58+E59*'Common input data'!$C$5+E60*'Common input data'!$D$5+E61*'Common input data'!$E$5,IF($F$1="GWP100 with fb",E58+E59*'Common input data'!$C$6+E60*'Common input data'!$D$6+E61*'Common input data'!$E$6,IF($F$1="GTP100 without fb",E58+E59*'Common input data'!$C$7+E60*'Common input data'!$D$7+E61*'Common input data'!$E$7,IF($F$1="GTP100 with fb",E58+E59*'Common input data'!$C$8+E60*'Common input data'!$D$8+E61*'Common input data'!$E$8,E58+E59*'Common input data'!$C$9+E60*'Common input data'!$D$9+E61*'Common input data'!$E$9))))</f>
        <v>0</v>
      </c>
      <c r="F57" s="277" t="n">
        <f aca="false">IF($F$1="GWP100 without fb",F58+F59*'Common input data'!$C$5+F60*'Common input data'!$D$5+F61*'Common input data'!$E$5,IF($F$1="GWP100 with fb",F58+F59*'Common input data'!$C$6+F60*'Common input data'!$D$6+F61*'Common input data'!$E$6,IF($F$1="GTP100 without fb",F58+F59*'Common input data'!$C$7+F60*'Common input data'!$D$7+F61*'Common input data'!$E$7,IF($F$1="GTP100 with fb",F58+F59*'Common input data'!$C$8+F60*'Common input data'!$D$8+F61*'Common input data'!$E$8,F58+F59*'Common input data'!$C$9+F60*'Common input data'!$D$9+F61*'Common input data'!$E$9))))</f>
        <v>0.444438</v>
      </c>
      <c r="G57" s="278" t="n">
        <f aca="false">IF($F$1="GWP100 without fb",G58+G59*'Common input data'!$C$5+G60*'Common input data'!$D$5+G61*'Common input data'!$E$5,IF($F$1="GWP100 with fb",G58+G59*'Common input data'!$C$6+G60*'Common input data'!$D$6+G61*'Common input data'!$E$6,IF($F$1="GTP100 without fb",G58+G59*'Common input data'!$C$7+G60*'Common input data'!$D$7+G61*'Common input data'!$E$7,IF($F$1="GTP100 with fb",G58+G59*'Common input data'!$C$8+G60*'Common input data'!$D$8+G61*'Common input data'!$E$8,G58+G59*'Common input data'!$C$9+G60*'Common input data'!$D$9+G61*'Common input data'!$E$9))))</f>
        <v>1.35958850739591</v>
      </c>
      <c r="H57" s="95"/>
      <c r="I57" s="97"/>
      <c r="J57" s="97"/>
      <c r="K57" s="279"/>
      <c r="L57" s="279"/>
      <c r="M57" s="279"/>
      <c r="N57" s="279"/>
      <c r="O57" s="279"/>
      <c r="P57" s="279"/>
      <c r="Q57" s="279"/>
      <c r="R57" s="279"/>
      <c r="S57" s="279"/>
      <c r="T57" s="28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row>
    <row r="58" customFormat="false" ht="14.4" hidden="false" customHeight="false" outlineLevel="0" collapsed="false">
      <c r="A58" s="99"/>
      <c r="B58" s="31"/>
      <c r="C58" s="122"/>
      <c r="D58" s="85" t="s">
        <v>134</v>
      </c>
      <c r="E58" s="264" t="n">
        <f aca="false">IF(AND($F$2="No",$F$3="No"),SUM(J58),IF(AND($F$2="Yes", $F$3="No"), SUM(J58)+L58, IF(AND($F$2="No", $F$3="Yes"),SUM(J58)+K58, SUM(J58)+L58+K58)))</f>
        <v>0</v>
      </c>
      <c r="F58" s="121" t="n">
        <f aca="false">IF(AND($F$2="No",$F$3="No"),SUM(H58:J58,M58:P58),IF(AND($F$2="Yes", $F$3="No"), SUM(H58:J58,M58:P58)+L58, IF(AND($F$2="No", $F$3="Yes"),SUM(H58:J58,M58:P58)+K58, SUM(H58:J58,M58:P58)+L58+K58)))</f>
        <v>0.387070958219595</v>
      </c>
      <c r="G58" s="118" t="n">
        <f aca="false">SUM(R58:T58)/(1-'Common input data'!B$125)</f>
        <v>1.24909410084415</v>
      </c>
      <c r="H58" s="87" t="n">
        <v>0</v>
      </c>
      <c r="I58" s="87" t="n">
        <v>0</v>
      </c>
      <c r="J58" s="87" t="n">
        <v>0</v>
      </c>
      <c r="K58" s="87" t="n">
        <v>0</v>
      </c>
      <c r="L58" s="87" t="n">
        <v>0</v>
      </c>
      <c r="M58" s="87" t="n">
        <v>0</v>
      </c>
      <c r="N58" s="87" t="n">
        <v>0</v>
      </c>
      <c r="O58" s="87" t="n">
        <f aca="false">'Input data fish and seafood'!G9*'Input data fish and seafood'!B42</f>
        <v>0.387070958219595</v>
      </c>
      <c r="P58" s="87" t="n">
        <v>0</v>
      </c>
      <c r="Q58" s="89" t="n">
        <f aca="false">'Input data fish and seafood'!B89*'Input data fish and seafood'!B95*'Common input data'!B63</f>
        <v>0.06014</v>
      </c>
      <c r="R58" s="87" t="n">
        <f aca="false">(F58+Q58)/'Input data fish and seafood'!$H$9</f>
        <v>0.73313271839278</v>
      </c>
      <c r="S58" s="87" t="n">
        <f aca="false">'Common input data'!B93</f>
        <v>0.3</v>
      </c>
      <c r="T58" s="275" t="n">
        <f aca="false">'Common input data'!C98</f>
        <v>0.03</v>
      </c>
    </row>
    <row r="59" customFormat="false" ht="14.4" hidden="false" customHeight="false" outlineLevel="0" collapsed="false">
      <c r="A59" s="162"/>
      <c r="B59" s="282"/>
      <c r="C59" s="23"/>
      <c r="D59" s="85" t="s">
        <v>135</v>
      </c>
      <c r="E59" s="86" t="n">
        <v>0</v>
      </c>
      <c r="F59" s="121" t="n">
        <f aca="false">SUM(H59:J59,M59:P59)</f>
        <v>0.000171459382572774</v>
      </c>
      <c r="G59" s="118" t="n">
        <f aca="false">SUM(R59:T59)/(1-'Common input data'!B$125)</f>
        <v>0.000330247161734948</v>
      </c>
      <c r="H59" s="87" t="n">
        <v>0</v>
      </c>
      <c r="I59" s="87" t="n">
        <v>0</v>
      </c>
      <c r="J59" s="87" t="n">
        <v>0</v>
      </c>
      <c r="K59" s="87" t="n">
        <v>0</v>
      </c>
      <c r="L59" s="87" t="n">
        <v>0</v>
      </c>
      <c r="M59" s="87" t="n">
        <v>0</v>
      </c>
      <c r="N59" s="87" t="n">
        <v>0</v>
      </c>
      <c r="O59" s="87" t="n">
        <f aca="false">'Input data fish and seafood'!G9*'Input data fish and seafood'!B43</f>
        <v>0.000171459382572774</v>
      </c>
      <c r="P59" s="87" t="n">
        <v>0</v>
      </c>
      <c r="Q59" s="89" t="n">
        <v>0</v>
      </c>
      <c r="R59" s="87" t="n">
        <f aca="false">(F59+Q59)/'Input data fish and seafood'!$H$9</f>
        <v>0.000281080955037334</v>
      </c>
      <c r="S59" s="87" t="n">
        <v>0</v>
      </c>
      <c r="T59" s="275" t="n">
        <v>0</v>
      </c>
    </row>
    <row r="60" s="83" customFormat="true" ht="14.4" hidden="false" customHeight="false" outlineLevel="0" collapsed="false">
      <c r="A60" s="100"/>
      <c r="B60" s="101"/>
      <c r="C60" s="87"/>
      <c r="D60" s="31" t="s">
        <v>136</v>
      </c>
      <c r="E60" s="86" t="n">
        <v>0</v>
      </c>
      <c r="F60" s="121" t="n">
        <f aca="false">SUM(H60:J60,M60:P60)</f>
        <v>1.04007475601683E-005</v>
      </c>
      <c r="G60" s="118" t="n">
        <f aca="false">SUM(R60:T60)/(1-'Common input data'!B$125)</f>
        <v>2.00328340749121E-005</v>
      </c>
      <c r="H60" s="87" t="n">
        <v>0</v>
      </c>
      <c r="I60" s="87" t="n">
        <v>0</v>
      </c>
      <c r="J60" s="87" t="n">
        <v>0</v>
      </c>
      <c r="K60" s="87" t="n">
        <v>0</v>
      </c>
      <c r="L60" s="87" t="n">
        <v>0</v>
      </c>
      <c r="M60" s="87" t="n">
        <v>0</v>
      </c>
      <c r="N60" s="87" t="n">
        <v>0</v>
      </c>
      <c r="O60" s="87" t="n">
        <f aca="false">'Input data fish and seafood'!G9*'Input data fish and seafood'!B44</f>
        <v>1.04007475601683E-005</v>
      </c>
      <c r="P60" s="87" t="n">
        <v>0</v>
      </c>
      <c r="Q60" s="89" t="n">
        <v>0</v>
      </c>
      <c r="R60" s="87" t="n">
        <f aca="false">(F60+Q60)/'Input data fish and seafood'!$H$9</f>
        <v>1.70504058363414E-005</v>
      </c>
      <c r="S60" s="87" t="n">
        <v>0</v>
      </c>
      <c r="T60" s="275" t="n">
        <v>0</v>
      </c>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row>
    <row r="61" s="83" customFormat="true" ht="14.4" hidden="false" customHeight="false" outlineLevel="0" collapsed="false">
      <c r="A61" s="100"/>
      <c r="B61" s="101"/>
      <c r="C61" s="87"/>
      <c r="D61" s="31" t="s">
        <v>207</v>
      </c>
      <c r="E61" s="86" t="n">
        <v>0</v>
      </c>
      <c r="F61" s="121" t="n">
        <f aca="false">SUM(H61:J61,M61:P61)</f>
        <v>2.3E-005</v>
      </c>
      <c r="G61" s="118" t="n">
        <f aca="false">SUM(R61:T61)/(1-'Common input data'!B$125)</f>
        <v>4.43001987172088E-005</v>
      </c>
      <c r="H61" s="87" t="n">
        <v>0</v>
      </c>
      <c r="I61" s="87" t="n">
        <v>0</v>
      </c>
      <c r="J61" s="87" t="n">
        <v>0</v>
      </c>
      <c r="K61" s="87" t="n">
        <v>0</v>
      </c>
      <c r="L61" s="87" t="n">
        <v>0</v>
      </c>
      <c r="M61" s="87" t="n">
        <v>0</v>
      </c>
      <c r="N61" s="87" t="n">
        <v>0</v>
      </c>
      <c r="O61" s="87" t="n">
        <v>0</v>
      </c>
      <c r="P61" s="87" t="n">
        <f aca="false">'Input data fish and seafood'!B49</f>
        <v>2.3E-005</v>
      </c>
      <c r="Q61" s="89" t="n">
        <v>0</v>
      </c>
      <c r="R61" s="87" t="n">
        <f aca="false">(F61+Q61)/'Input data fish and seafood'!$H$9</f>
        <v>3.77049180327869E-005</v>
      </c>
      <c r="S61" s="87" t="n">
        <v>0</v>
      </c>
      <c r="T61" s="275" t="n">
        <v>0</v>
      </c>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row>
    <row r="62" s="83" customFormat="true" ht="14.4" hidden="false" customHeight="false" outlineLevel="0" collapsed="false">
      <c r="A62" s="161" t="s">
        <v>137</v>
      </c>
      <c r="B62" s="177" t="s">
        <v>214</v>
      </c>
      <c r="C62" s="77" t="n">
        <f aca="false">'Input data fish and seafood'!E10</f>
        <v>0.5</v>
      </c>
      <c r="D62" s="78" t="s">
        <v>133</v>
      </c>
      <c r="E62" s="276" t="n">
        <f aca="false">IF($F$1="GWP100 without fb",E63+E64*'Common input data'!$C$5+E65*'Common input data'!$D$5+E66*'Common input data'!$E$5,IF($F$1="GWP100 with fb",E63+E64*'Common input data'!$C$6+E65*'Common input data'!$D$6+E66*'Common input data'!$E$6,IF($F$1="GTP100 without fb",E63+E64*'Common input data'!$C$7+E65*'Common input data'!$D$7+E66*'Common input data'!$E$7,IF($F$1="GTP100 with fb",E63+E64*'Common input data'!$C$8+E65*'Common input data'!$D$8+E66*'Common input data'!$E$8,E63+E64*'Common input data'!$C$9+E65*'Common input data'!$D$9+E66*'Common input data'!$E$9))))</f>
        <v>0</v>
      </c>
      <c r="F62" s="277" t="n">
        <f aca="false">IF($F$1="GWP100 without fb",F63+F64*'Common input data'!$C$5+F65*'Common input data'!$D$5+F66*'Common input data'!$E$5,IF($F$1="GWP100 with fb",F63+F64*'Common input data'!$C$6+F65*'Common input data'!$D$6+F66*'Common input data'!$E$6,IF($F$1="GTP100 without fb",F63+F64*'Common input data'!$C$7+F65*'Common input data'!$D$7+F66*'Common input data'!$E$7,IF($F$1="GTP100 with fb",F63+F64*'Common input data'!$C$8+F65*'Common input data'!$D$8+F66*'Common input data'!$E$8,F63+F64*'Common input data'!$C$9+F65*'Common input data'!$D$9+F66*'Common input data'!$E$9))))</f>
        <v>0.213438</v>
      </c>
      <c r="G62" s="278" t="n">
        <f aca="false">IF($F$1="GWP100 without fb",G63+G64*'Common input data'!$C$5+G65*'Common input data'!$D$5+G66*'Common input data'!$E$5,IF($F$1="GWP100 with fb",G63+G64*'Common input data'!$C$6+G65*'Common input data'!$D$6+G66*'Common input data'!$E$6,IF($F$1="GTP100 without fb",G63+G64*'Common input data'!$C$7+G65*'Common input data'!$D$7+G66*'Common input data'!$E$7,IF($F$1="GTP100 with fb",G63+G64*'Common input data'!$C$8+G65*'Common input data'!$D$8+G66*'Common input data'!$E$8,G63+G64*'Common input data'!$C$9+G65*'Common input data'!$D$9+G66*'Common input data'!$E$9))))</f>
        <v>0.91466042462742</v>
      </c>
      <c r="H62" s="95"/>
      <c r="I62" s="97"/>
      <c r="J62" s="97"/>
      <c r="K62" s="279"/>
      <c r="L62" s="279"/>
      <c r="M62" s="279"/>
      <c r="N62" s="279"/>
      <c r="O62" s="279"/>
      <c r="P62" s="279"/>
      <c r="Q62" s="279"/>
      <c r="R62" s="279"/>
      <c r="S62" s="279"/>
      <c r="T62" s="28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c r="GL62" s="30"/>
      <c r="GM62" s="30"/>
      <c r="GN62" s="30"/>
      <c r="GO62" s="30"/>
      <c r="GP62" s="30"/>
      <c r="GQ62" s="30"/>
      <c r="GR62" s="30"/>
      <c r="GS62" s="30"/>
      <c r="GT62" s="30"/>
      <c r="GU62" s="30"/>
      <c r="GV62" s="30"/>
      <c r="GW62" s="30"/>
      <c r="GX62" s="30"/>
      <c r="GY62" s="30"/>
      <c r="GZ62" s="30"/>
      <c r="HA62" s="30"/>
      <c r="HB62" s="30"/>
      <c r="HC62" s="30"/>
      <c r="HD62" s="30"/>
      <c r="HE62" s="30"/>
      <c r="HF62" s="30"/>
      <c r="HG62" s="30"/>
      <c r="HH62" s="30"/>
      <c r="HI62" s="30"/>
      <c r="HJ62" s="30"/>
      <c r="HK62" s="30"/>
      <c r="HL62" s="30"/>
      <c r="HM62" s="30"/>
      <c r="HN62" s="30"/>
      <c r="HO62" s="30"/>
      <c r="HP62" s="30"/>
      <c r="HQ62" s="30"/>
      <c r="HR62" s="30"/>
      <c r="HS62" s="30"/>
      <c r="HT62" s="30"/>
      <c r="HU62" s="30"/>
      <c r="HV62" s="30"/>
      <c r="HW62" s="30"/>
      <c r="HX62" s="30"/>
      <c r="HY62" s="30"/>
      <c r="HZ62" s="30"/>
      <c r="IA62" s="30"/>
      <c r="IB62" s="30"/>
      <c r="IC62" s="30"/>
      <c r="ID62" s="30"/>
      <c r="IE62" s="30"/>
      <c r="IF62" s="30"/>
      <c r="IG62" s="30"/>
      <c r="IH62" s="30"/>
      <c r="II62" s="30"/>
      <c r="IJ62" s="30"/>
      <c r="IK62" s="30"/>
      <c r="IL62" s="30"/>
      <c r="IM62" s="30"/>
      <c r="IN62" s="30"/>
      <c r="IO62" s="30"/>
      <c r="IP62" s="30"/>
      <c r="IQ62" s="30"/>
      <c r="IR62" s="30"/>
      <c r="IS62" s="30"/>
      <c r="IT62" s="30"/>
      <c r="IU62" s="30"/>
      <c r="IV62" s="30"/>
      <c r="IW62" s="30"/>
      <c r="IX62" s="30"/>
      <c r="IY62" s="30"/>
      <c r="IZ62" s="30"/>
      <c r="JA62" s="30"/>
      <c r="JB62" s="30"/>
      <c r="JC62" s="30"/>
      <c r="JD62" s="30"/>
      <c r="JE62" s="30"/>
      <c r="JF62" s="30"/>
      <c r="JG62" s="30"/>
      <c r="JH62" s="30"/>
      <c r="JI62" s="30"/>
      <c r="JJ62" s="30"/>
      <c r="JK62" s="30"/>
      <c r="JL62" s="30"/>
      <c r="JM62" s="30"/>
      <c r="JN62" s="30"/>
      <c r="JO62" s="30"/>
      <c r="JP62" s="30"/>
      <c r="JQ62" s="30"/>
      <c r="JR62" s="30"/>
      <c r="JS62" s="30"/>
      <c r="JT62" s="30"/>
      <c r="JU62" s="30"/>
      <c r="JV62" s="30"/>
      <c r="JW62" s="30"/>
      <c r="JX62" s="30"/>
      <c r="JY62" s="30"/>
      <c r="JZ62" s="30"/>
      <c r="KA62" s="30"/>
      <c r="KB62" s="30"/>
      <c r="KC62" s="30"/>
      <c r="KD62" s="30"/>
      <c r="KE62" s="30"/>
      <c r="KF62" s="30"/>
      <c r="KG62" s="30"/>
      <c r="KH62" s="30"/>
      <c r="KI62" s="30"/>
      <c r="KJ62" s="30"/>
      <c r="KK62" s="30"/>
      <c r="KL62" s="30"/>
      <c r="KM62" s="30"/>
      <c r="KN62" s="30"/>
      <c r="KO62" s="30"/>
      <c r="KP62" s="30"/>
      <c r="KQ62" s="30"/>
      <c r="KR62" s="30"/>
      <c r="KS62" s="30"/>
      <c r="KT62" s="30"/>
      <c r="KU62" s="30"/>
      <c r="KV62" s="30"/>
      <c r="KW62" s="30"/>
      <c r="KX62" s="30"/>
      <c r="KY62" s="30"/>
      <c r="KZ62" s="30"/>
    </row>
    <row r="63" customFormat="false" ht="14.4" hidden="false" customHeight="false" outlineLevel="0" collapsed="false">
      <c r="A63" s="99"/>
      <c r="B63" s="31"/>
      <c r="C63" s="122"/>
      <c r="D63" s="85" t="s">
        <v>134</v>
      </c>
      <c r="E63" s="264" t="n">
        <f aca="false">IF(AND($F$2="No",$F$3="No"),SUM(J63),IF(AND($F$2="Yes", $F$3="No"), SUM(J63)+L63, IF(AND($F$2="No", $F$3="Yes"),SUM(J63)+K63, SUM(J63)+L63+K63)))</f>
        <v>0</v>
      </c>
      <c r="F63" s="121" t="n">
        <f aca="false">IF(AND($F$2="No",$F$3="No"),SUM(H63:J63,M63:P63),IF(AND($F$2="Yes", $F$3="No"), SUM(H63:J63,M63:P63)+L63, IF(AND($F$2="No", $F$3="Yes"),SUM(H63:J63,M63:P63)+K63, SUM(H63:J63,M63:P63)+L63+K63)))</f>
        <v>0.161279565924832</v>
      </c>
      <c r="G63" s="118" t="n">
        <f aca="false">SUM(R63:T63)/(1-'Common input data'!B$125)</f>
        <v>0.814198294440099</v>
      </c>
      <c r="H63" s="87" t="n">
        <v>0</v>
      </c>
      <c r="I63" s="87" t="n">
        <v>0</v>
      </c>
      <c r="J63" s="87" t="n">
        <v>0</v>
      </c>
      <c r="K63" s="87" t="n">
        <v>0</v>
      </c>
      <c r="L63" s="87" t="n">
        <v>0</v>
      </c>
      <c r="M63" s="87" t="n">
        <v>0</v>
      </c>
      <c r="N63" s="87" t="n">
        <v>0</v>
      </c>
      <c r="O63" s="290" t="n">
        <f aca="false">'Input data fish and seafood'!G10*'Input data fish and seafood'!B42</f>
        <v>0.161279565924832</v>
      </c>
      <c r="P63" s="87" t="n">
        <v>0</v>
      </c>
      <c r="Q63" s="89" t="n">
        <f aca="false">'Input data fish and seafood'!B89*'Input data fish and seafood'!B95*'Common input data'!B63</f>
        <v>0.06014</v>
      </c>
      <c r="R63" s="87" t="n">
        <f aca="false">(F63+Q63)/'Input data fish and seafood'!$H$10</f>
        <v>0.36298289495874</v>
      </c>
      <c r="S63" s="89" t="n">
        <f aca="false">'Common input data'!B93</f>
        <v>0.3</v>
      </c>
      <c r="T63" s="275" t="n">
        <f aca="false">'Common input data'!C98</f>
        <v>0.03</v>
      </c>
    </row>
    <row r="64" customFormat="false" ht="14.4" hidden="false" customHeight="false" outlineLevel="0" collapsed="false">
      <c r="A64" s="99"/>
      <c r="B64" s="31"/>
      <c r="C64" s="31"/>
      <c r="D64" s="85" t="s">
        <v>135</v>
      </c>
      <c r="E64" s="86" t="n">
        <v>0</v>
      </c>
      <c r="F64" s="121" t="n">
        <f aca="false">SUM(H64:J64,M64:P64)</f>
        <v>7.14414094053225E-005</v>
      </c>
      <c r="G64" s="118" t="n">
        <f aca="false">SUM(R64:T64)/(1-'Common input data'!B$125)</f>
        <v>0.000137602984056228</v>
      </c>
      <c r="H64" s="87" t="n">
        <v>0</v>
      </c>
      <c r="I64" s="87" t="n">
        <v>0</v>
      </c>
      <c r="J64" s="87" t="n">
        <v>0</v>
      </c>
      <c r="K64" s="87" t="n">
        <v>0</v>
      </c>
      <c r="L64" s="87" t="n">
        <v>0</v>
      </c>
      <c r="M64" s="87" t="n">
        <v>0</v>
      </c>
      <c r="N64" s="87" t="n">
        <v>0</v>
      </c>
      <c r="O64" s="290" t="n">
        <f aca="false">'Input data fish and seafood'!G10*'Input data fish and seafood'!B43</f>
        <v>7.14414094053225E-005</v>
      </c>
      <c r="P64" s="87" t="n">
        <v>0</v>
      </c>
      <c r="Q64" s="89" t="n">
        <v>0</v>
      </c>
      <c r="R64" s="87" t="n">
        <f aca="false">(F64+Q64)/'Input data fish and seafood'!$H$10</f>
        <v>0.000117117064598889</v>
      </c>
      <c r="S64" s="89" t="n">
        <v>0</v>
      </c>
      <c r="T64" s="275" t="n">
        <v>0</v>
      </c>
    </row>
    <row r="65" customFormat="false" ht="14.4" hidden="false" customHeight="false" outlineLevel="0" collapsed="false">
      <c r="A65" s="99"/>
      <c r="B65" s="31"/>
      <c r="C65" s="87"/>
      <c r="D65" s="31" t="s">
        <v>136</v>
      </c>
      <c r="E65" s="86" t="n">
        <v>0</v>
      </c>
      <c r="F65" s="121" t="n">
        <f aca="false">SUM(H65:J65,M65:P65)</f>
        <v>4.33364481673678E-006</v>
      </c>
      <c r="G65" s="118" t="n">
        <f aca="false">SUM(R65:T65)/(1-'Common input data'!B$125)</f>
        <v>8.34701419788005E-006</v>
      </c>
      <c r="H65" s="87" t="n">
        <v>0</v>
      </c>
      <c r="I65" s="87" t="n">
        <v>0</v>
      </c>
      <c r="J65" s="87" t="n">
        <v>0</v>
      </c>
      <c r="K65" s="87" t="n">
        <v>0</v>
      </c>
      <c r="L65" s="87" t="n">
        <v>0</v>
      </c>
      <c r="M65" s="87" t="n">
        <v>0</v>
      </c>
      <c r="N65" s="87" t="n">
        <v>0</v>
      </c>
      <c r="O65" s="87" t="n">
        <f aca="false">'Input data fish and seafood'!G10*'Input data fish and seafood'!B44</f>
        <v>4.33364481673678E-006</v>
      </c>
      <c r="P65" s="87" t="n">
        <v>0</v>
      </c>
      <c r="Q65" s="291" t="n">
        <v>0</v>
      </c>
      <c r="R65" s="87" t="n">
        <f aca="false">(F65+Q65)/'Input data fish and seafood'!$H$10</f>
        <v>7.10433576514226E-006</v>
      </c>
      <c r="S65" s="102" t="n">
        <v>0</v>
      </c>
      <c r="T65" s="275" t="n">
        <v>0</v>
      </c>
    </row>
    <row r="66" customFormat="false" ht="14.4" hidden="false" customHeight="false" outlineLevel="0" collapsed="false">
      <c r="A66" s="99"/>
      <c r="B66" s="31"/>
      <c r="C66" s="87"/>
      <c r="D66" s="31" t="s">
        <v>207</v>
      </c>
      <c r="E66" s="104" t="n">
        <v>0</v>
      </c>
      <c r="F66" s="255" t="n">
        <f aca="false">SUM(H66:J66,M66:P66)</f>
        <v>2.3E-005</v>
      </c>
      <c r="G66" s="292" t="n">
        <f aca="false">SUM(R66:T66)/(1-'Common input data'!B$125)</f>
        <v>4.43001987172088E-005</v>
      </c>
      <c r="H66" s="87" t="n">
        <v>0</v>
      </c>
      <c r="I66" s="87" t="n">
        <v>0</v>
      </c>
      <c r="J66" s="87" t="n">
        <v>0</v>
      </c>
      <c r="K66" s="87" t="n">
        <v>0</v>
      </c>
      <c r="L66" s="87" t="n">
        <v>0</v>
      </c>
      <c r="M66" s="87" t="n">
        <v>0</v>
      </c>
      <c r="N66" s="87" t="n">
        <v>0</v>
      </c>
      <c r="O66" s="87" t="n">
        <v>0</v>
      </c>
      <c r="P66" s="87" t="n">
        <f aca="false">'Input data fish and seafood'!B49</f>
        <v>2.3E-005</v>
      </c>
      <c r="Q66" s="89" t="n">
        <v>0</v>
      </c>
      <c r="R66" s="87" t="n">
        <f aca="false">(F66+Q66)/'Input data fish and seafood'!$H$10</f>
        <v>3.77049180327869E-005</v>
      </c>
      <c r="S66" s="89" t="n">
        <v>0</v>
      </c>
      <c r="T66" s="275" t="n">
        <v>0</v>
      </c>
    </row>
    <row r="67" customFormat="false" ht="14.4" hidden="false" customHeight="false" outlineLevel="0" collapsed="false">
      <c r="A67" s="127" t="s">
        <v>219</v>
      </c>
      <c r="B67" s="128"/>
      <c r="C67" s="129"/>
      <c r="D67" s="130"/>
      <c r="E67" s="110" t="s">
        <v>205</v>
      </c>
      <c r="F67" s="111" t="s">
        <v>205</v>
      </c>
      <c r="G67" s="112" t="s">
        <v>206</v>
      </c>
      <c r="H67" s="129"/>
      <c r="I67" s="129"/>
      <c r="J67" s="129"/>
      <c r="K67" s="132"/>
      <c r="L67" s="132"/>
      <c r="M67" s="133"/>
      <c r="N67" s="132"/>
      <c r="O67" s="132"/>
      <c r="P67" s="132"/>
      <c r="Q67" s="132"/>
      <c r="R67" s="132"/>
      <c r="S67" s="132"/>
      <c r="T67" s="287"/>
    </row>
    <row r="68" s="235" customFormat="true" ht="14.4" hidden="false" customHeight="false" outlineLevel="0" collapsed="false">
      <c r="A68" s="134" t="s">
        <v>132</v>
      </c>
      <c r="B68" s="135"/>
      <c r="C68" s="136" t="n">
        <f aca="false">SUM(C73:C87)</f>
        <v>1</v>
      </c>
      <c r="D68" s="137" t="s">
        <v>133</v>
      </c>
      <c r="E68" s="243" t="n">
        <f aca="false">IF($F$1="GWP100 without fb",E69+E70*'Common input data'!$C$5+E71*'Common input data'!$D$5+E72*'Common input data'!$E$5,IF($F$1="GWP100 with fb",E69+E70*'Common input data'!$C$6+E71*'Common input data'!$D$6+E72*'Common input data'!$E$6,IF($F$1="GTP100 without fb",E69+E70*'Common input data'!$C$7+E71*'Common input data'!$D$7+E72*'Common input data'!$E$7,IF($F$1="GTP100 with fb",E69+E70*'Common input data'!$C$8+E71*'Common input data'!$D$8+E72*'Common input data'!$E$8,E69+E70*'Common input data'!$C$9+E71*'Common input data'!$D$9+E72*'Common input data'!$E$9))))</f>
        <v>0</v>
      </c>
      <c r="F68" s="244" t="n">
        <f aca="false">IF($F$1="GWP100 without fb",F69+F70*'Common input data'!$C$5+F71*'Common input data'!$D$5+F72*'Common input data'!$E$5,IF($F$1="GWP100 with fb",F69+F70*'Common input data'!$C$6+F71*'Common input data'!$D$6+F72*'Common input data'!$E$6,IF($F$1="GTP100 without fb",F69+F70*'Common input data'!$C$7+F71*'Common input data'!$D$7+F72*'Common input data'!$E$7,IF($F$1="GTP100 with fb",F69+F70*'Common input data'!$C$8+F71*'Common input data'!$D$8+F72*'Common input data'!$E$8,F69+F70*'Common input data'!$C$9+F71*'Common input data'!$D$9+F72*'Common input data'!$E$9))))</f>
        <v>0.196278</v>
      </c>
      <c r="G68" s="245" t="n">
        <f aca="false">IF($F$1="GWP100 without fb",G69+G70*'Common input data'!$C$5+G71*'Common input data'!$D$5+G72*'Common input data'!$E$5,IF($F$1="GWP100 with fb",G69+G70*'Common input data'!$C$6+G71*'Common input data'!$D$6+G72*'Common input data'!$E$6,IF($F$1="GTP100 without fb",G69+G70*'Common input data'!$C$7+G71*'Common input data'!$D$7+G72*'Common input data'!$E$7,IF($F$1="GTP100 with fb",G69+G70*'Common input data'!$C$8+G71*'Common input data'!$D$8+G72*'Common input data'!$E$8,G69+G70*'Common input data'!$C$9+G71*'Common input data'!$D$9+G72*'Common input data'!$E$9))))</f>
        <v>1.03527214565489</v>
      </c>
      <c r="H68" s="80"/>
      <c r="I68" s="271"/>
      <c r="J68" s="271"/>
      <c r="K68" s="272"/>
      <c r="L68" s="272"/>
      <c r="M68" s="273"/>
      <c r="N68" s="272"/>
      <c r="O68" s="272"/>
      <c r="P68" s="272"/>
      <c r="Q68" s="272"/>
      <c r="R68" s="272"/>
      <c r="S68" s="272"/>
      <c r="T68" s="274"/>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row>
    <row r="69" customFormat="false" ht="14.4" hidden="false" customHeight="false" outlineLevel="0" collapsed="false">
      <c r="A69" s="143"/>
      <c r="B69" s="122"/>
      <c r="C69" s="122"/>
      <c r="D69" s="85" t="s">
        <v>134</v>
      </c>
      <c r="E69" s="86" t="n">
        <f aca="false">$C$73*E74+$C$78*E79+$C$83*E84</f>
        <v>0</v>
      </c>
      <c r="F69" s="87" t="n">
        <f aca="false">$C$73*F74+$C$78*F79+$C$83*F84</f>
        <v>0.144506491068649</v>
      </c>
      <c r="G69" s="118" t="n">
        <f aca="false">$C$73*G74+$C$78*G79+$C$83*G84</f>
        <v>0.935555270283215</v>
      </c>
      <c r="H69" s="87" t="n">
        <f aca="false">$C$73*H74+$C$78*H79+$C$83*H84</f>
        <v>0</v>
      </c>
      <c r="I69" s="87" t="n">
        <f aca="false">$C$73*I74+$C$78*I79+$C$83*I84</f>
        <v>0</v>
      </c>
      <c r="J69" s="87" t="n">
        <f aca="false">$C$73*J74+$C$78*J79+$C$83*J84</f>
        <v>0</v>
      </c>
      <c r="K69" s="87" t="n">
        <f aca="false">$C$73*K74+$C$78*K79+$C$83*K84</f>
        <v>0</v>
      </c>
      <c r="L69" s="87" t="n">
        <f aca="false">$C$73*L74+$C$78*L79+$C$83*L84</f>
        <v>0</v>
      </c>
      <c r="M69" s="87" t="n">
        <f aca="false">$C$73*M74+$C$78*M79+$C$83*M84</f>
        <v>0</v>
      </c>
      <c r="N69" s="87" t="n">
        <f aca="false">$C$73*N74+$C$78*N79+$C$83*N84</f>
        <v>0</v>
      </c>
      <c r="O69" s="87" t="n">
        <f aca="false">$C$73*O74+$C$78*O79+$C$83*O84</f>
        <v>0.144506491068649</v>
      </c>
      <c r="P69" s="87" t="n">
        <f aca="false">$C$73*P74+$C$78*P79+$C$83*P84</f>
        <v>0</v>
      </c>
      <c r="Q69" s="87" t="n">
        <f aca="false">$C$73*Q74+$C$78*Q79+$C$83*Q84</f>
        <v>0.0883748</v>
      </c>
      <c r="R69" s="87" t="n">
        <f aca="false">$C$73*R74+$C$78*R79+$C$83*R84</f>
        <v>0.381772608309261</v>
      </c>
      <c r="S69" s="87" t="n">
        <f aca="false">$C$73*S74+$C$78*S79+$C$83*S84</f>
        <v>0.3</v>
      </c>
      <c r="T69" s="275" t="n">
        <f aca="false">$C$73*T74+$C$78*T79+$C$83*T84</f>
        <v>0.1145</v>
      </c>
    </row>
    <row r="70" customFormat="false" ht="14.4" hidden="false" customHeight="false" outlineLevel="0" collapsed="false">
      <c r="A70" s="91"/>
      <c r="B70" s="92"/>
      <c r="C70" s="93"/>
      <c r="D70" s="85" t="s">
        <v>135</v>
      </c>
      <c r="E70" s="86" t="n">
        <f aca="false">$C$73*E75+$C$78*E80+$C$83*E85</f>
        <v>0</v>
      </c>
      <c r="F70" s="87" t="n">
        <f aca="false">$C$73*F75+$C$78*F80+$C$83*F85</f>
        <v>6.4011502827169E-005</v>
      </c>
      <c r="G70" s="118" t="n">
        <f aca="false">$C$73*G75+$C$78*G80+$C$83*G85</f>
        <v>0.000123292273714381</v>
      </c>
      <c r="H70" s="87" t="n">
        <f aca="false">$C$73*H75+$C$78*H80+$C$83*H85</f>
        <v>0</v>
      </c>
      <c r="I70" s="87" t="n">
        <f aca="false">$C$73*I75+$C$78*I80+$C$83*I85</f>
        <v>0</v>
      </c>
      <c r="J70" s="87" t="n">
        <f aca="false">$C$73*J75+$C$78*J80+$C$83*J85</f>
        <v>0</v>
      </c>
      <c r="K70" s="87" t="n">
        <f aca="false">$C$73*K75+$C$78*K80+$C$83*K85</f>
        <v>0</v>
      </c>
      <c r="L70" s="87" t="n">
        <f aca="false">$C$73*L75+$C$78*L80+$C$83*L85</f>
        <v>0</v>
      </c>
      <c r="M70" s="87" t="n">
        <f aca="false">$C$73*M75+$C$78*M80+$C$83*M85</f>
        <v>0</v>
      </c>
      <c r="N70" s="87" t="n">
        <f aca="false">$C$73*N75+$C$78*N80+$C$83*N85</f>
        <v>0</v>
      </c>
      <c r="O70" s="87" t="n">
        <f aca="false">$C$73*O75+$C$78*O80+$C$83*O85</f>
        <v>6.4011502827169E-005</v>
      </c>
      <c r="P70" s="87" t="n">
        <f aca="false">$C$73*P75+$C$78*P80+$C$83*P85</f>
        <v>0</v>
      </c>
      <c r="Q70" s="87" t="n">
        <f aca="false">$C$73*Q75+$C$78*Q80+$C$83*Q85</f>
        <v>0</v>
      </c>
      <c r="R70" s="87" t="n">
        <f aca="false">$C$73*R75+$C$78*R80+$C$83*R85</f>
        <v>0.000104936889880605</v>
      </c>
      <c r="S70" s="87" t="n">
        <f aca="false">$C$73*S75+$C$78*S80+$C$83*S85</f>
        <v>0</v>
      </c>
      <c r="T70" s="275" t="n">
        <f aca="false">$C$73*T75+$C$78*T80+$C$83*T85</f>
        <v>0</v>
      </c>
    </row>
    <row r="71" customFormat="false" ht="14.4" hidden="false" customHeight="false" outlineLevel="0" collapsed="false">
      <c r="A71" s="91"/>
      <c r="B71" s="92"/>
      <c r="C71" s="87"/>
      <c r="D71" s="31" t="s">
        <v>136</v>
      </c>
      <c r="E71" s="86" t="n">
        <f aca="false">$C$73*E76+$C$78*E81+$C$83*E86</f>
        <v>0</v>
      </c>
      <c r="F71" s="87" t="n">
        <f aca="false">$C$73*F76+$C$78*F81+$C$83*F86</f>
        <v>3.88294575579615E-006</v>
      </c>
      <c r="G71" s="118" t="n">
        <f aca="false">$C$73*G76+$C$78*G81+$C$83*G86</f>
        <v>7.47892472130052E-006</v>
      </c>
      <c r="H71" s="87" t="n">
        <f aca="false">$C$73*H76+$C$78*H81+$C$83*H86</f>
        <v>0</v>
      </c>
      <c r="I71" s="87" t="n">
        <f aca="false">$C$73*I76+$C$78*I81+$C$83*I86</f>
        <v>0</v>
      </c>
      <c r="J71" s="87" t="n">
        <f aca="false">$C$73*J76+$C$78*J81+$C$83*J86</f>
        <v>0</v>
      </c>
      <c r="K71" s="87" t="n">
        <f aca="false">$C$73*K76+$C$78*K81+$C$83*K86</f>
        <v>0</v>
      </c>
      <c r="L71" s="87" t="n">
        <f aca="false">$C$73*L76+$C$78*L81+$C$83*L86</f>
        <v>0</v>
      </c>
      <c r="M71" s="87" t="n">
        <f aca="false">$C$73*M76+$C$78*M81+$C$83*M86</f>
        <v>0</v>
      </c>
      <c r="N71" s="87" t="n">
        <f aca="false">$C$73*N76+$C$78*N81+$C$83*N86</f>
        <v>0</v>
      </c>
      <c r="O71" s="87" t="n">
        <f aca="false">$C$73*O76+$C$78*O81+$C$83*O86</f>
        <v>3.88294575579615E-006</v>
      </c>
      <c r="P71" s="87" t="n">
        <f aca="false">$C$73*P76+$C$78*P81+$C$83*P86</f>
        <v>0</v>
      </c>
      <c r="Q71" s="87" t="n">
        <f aca="false">$C$73*Q76+$C$78*Q81+$C$83*Q86</f>
        <v>0</v>
      </c>
      <c r="R71" s="87" t="n">
        <f aca="false">$C$73*R76+$C$78*R81+$C$83*R86</f>
        <v>6.36548484556747E-006</v>
      </c>
      <c r="S71" s="87" t="n">
        <f aca="false">$C$73*S76+$C$78*S81+$C$83*S86</f>
        <v>0</v>
      </c>
      <c r="T71" s="275" t="n">
        <f aca="false">$C$73*T76+$C$78*T81+$C$83*T86</f>
        <v>0</v>
      </c>
    </row>
    <row r="72" customFormat="false" ht="14.4" hidden="false" customHeight="false" outlineLevel="0" collapsed="false">
      <c r="A72" s="91"/>
      <c r="B72" s="92"/>
      <c r="C72" s="87"/>
      <c r="D72" s="31" t="s">
        <v>207</v>
      </c>
      <c r="E72" s="86" t="n">
        <f aca="false">$C$73*E77+$C$78*E82+$C$83*E87</f>
        <v>0</v>
      </c>
      <c r="F72" s="87" t="n">
        <f aca="false">$C$73*F77+$C$78*F82+$C$83*F87</f>
        <v>2.3E-005</v>
      </c>
      <c r="G72" s="118" t="n">
        <f aca="false">$C$73*G77+$C$78*G82+$C$83*G87</f>
        <v>4.43001987172088E-005</v>
      </c>
      <c r="H72" s="87" t="n">
        <f aca="false">$C$73*H77+$C$78*H82+$C$83*H87</f>
        <v>0</v>
      </c>
      <c r="I72" s="87" t="n">
        <f aca="false">$C$73*I77+$C$78*I82+$C$83*I87</f>
        <v>0</v>
      </c>
      <c r="J72" s="87" t="n">
        <f aca="false">$C$73*J77+$C$78*J82+$C$83*J87</f>
        <v>0</v>
      </c>
      <c r="K72" s="87" t="n">
        <f aca="false">$C$73*K77+$C$78*K82+$C$83*K87</f>
        <v>0</v>
      </c>
      <c r="L72" s="87" t="n">
        <f aca="false">$C$73*L77+$C$78*L82+$C$83*L87</f>
        <v>0</v>
      </c>
      <c r="M72" s="87" t="n">
        <f aca="false">$C$73*M77+$C$78*M82+$C$83*M87</f>
        <v>0</v>
      </c>
      <c r="N72" s="87" t="n">
        <f aca="false">$C$73*N77+$C$78*N82+$C$83*N87</f>
        <v>0</v>
      </c>
      <c r="O72" s="87" t="n">
        <f aca="false">$C$73*O77+$C$78*O82+$C$83*O87</f>
        <v>0</v>
      </c>
      <c r="P72" s="87" t="n">
        <f aca="false">$C$73*P77+$C$78*P82+$C$83*P87</f>
        <v>2.3E-005</v>
      </c>
      <c r="Q72" s="87" t="n">
        <f aca="false">$C$73*Q77+$C$78*Q82+$C$83*Q87</f>
        <v>0</v>
      </c>
      <c r="R72" s="87" t="n">
        <f aca="false">$C$73*R77+$C$78*R82+$C$83*R87</f>
        <v>3.77049180327869E-005</v>
      </c>
      <c r="S72" s="87" t="n">
        <f aca="false">$C$73*S77+$C$78*S82+$C$83*S87</f>
        <v>0</v>
      </c>
      <c r="T72" s="275" t="n">
        <f aca="false">$C$73*T77+$C$78*T82+$C$83*T87</f>
        <v>0</v>
      </c>
    </row>
    <row r="73" customFormat="false" ht="14.4" hidden="false" customHeight="false" outlineLevel="0" collapsed="false">
      <c r="A73" s="161" t="s">
        <v>220</v>
      </c>
      <c r="B73" s="289" t="s">
        <v>221</v>
      </c>
      <c r="C73" s="289" t="n">
        <f aca="false">'Input data fish and seafood'!E11</f>
        <v>0.03</v>
      </c>
      <c r="D73" s="78" t="s">
        <v>133</v>
      </c>
      <c r="E73" s="276" t="n">
        <f aca="false">IF($F$1="GWP100 without fb",E74+E75*'Common input data'!$C$5+E76*'Common input data'!$D$5+E77*'Common input data'!$E$5,IF($F$1="GWP100 with fb",E74+E75*'Common input data'!$C$6+E76*'Common input data'!$D$6+E77*'Common input data'!$E$6,IF($F$1="GTP100 without fb",E74+E75*'Common input data'!$C$7+E76*'Common input data'!$D$7+E77*'Common input data'!$E$7,IF($F$1="GTP100 with fb",E74+E75*'Common input data'!$C$8+E76*'Common input data'!$D$8+E77*'Common input data'!$E$8,E74+E75*'Common input data'!$C$9+E76*'Common input data'!$D$9+E77*'Common input data'!$E$9))))</f>
        <v>0</v>
      </c>
      <c r="F73" s="277" t="n">
        <f aca="false">IF($F$1="GWP100 without fb",F74+F75*'Common input data'!$C$5+F76*'Common input data'!$D$5+F77*'Common input data'!$E$5,IF($F$1="GWP100 with fb",F74+F75*'Common input data'!$C$6+F76*'Common input data'!$D$6+F77*'Common input data'!$E$6,IF($F$1="GTP100 without fb",F74+F75*'Common input data'!$C$7+F76*'Common input data'!$D$7+F77*'Common input data'!$E$7,IF($F$1="GTP100 with fb",F74+F75*'Common input data'!$C$8+F76*'Common input data'!$D$8+F77*'Common input data'!$E$8,F74+F75*'Common input data'!$C$9+F76*'Common input data'!$D$9+F77*'Common input data'!$E$9))))</f>
        <v>0.510438</v>
      </c>
      <c r="G73" s="278" t="n">
        <f aca="false">IF($F$1="GWP100 without fb",G74+G75*'Common input data'!$C$5+G76*'Common input data'!$D$5+G77*'Common input data'!$E$5,IF($F$1="GWP100 with fb",G74+G75*'Common input data'!$C$6+G76*'Common input data'!$D$6+G77*'Common input data'!$E$6,IF($F$1="GTP100 without fb",G74+G75*'Common input data'!$C$7+G76*'Common input data'!$D$7+G77*'Common input data'!$E$7,IF($F$1="GTP100 with fb",G74+G75*'Common input data'!$C$8+G76*'Common input data'!$D$8+G77*'Common input data'!$E$8,G74+G75*'Common input data'!$C$9+G76*'Common input data'!$D$9+G77*'Common input data'!$E$9))))</f>
        <v>1.64037433822004</v>
      </c>
      <c r="H73" s="95"/>
      <c r="I73" s="97"/>
      <c r="J73" s="97"/>
      <c r="K73" s="279"/>
      <c r="L73" s="279"/>
      <c r="M73" s="279"/>
      <c r="N73" s="279"/>
      <c r="O73" s="279"/>
      <c r="P73" s="279"/>
      <c r="Q73" s="279"/>
      <c r="R73" s="279"/>
      <c r="S73" s="279"/>
      <c r="T73" s="280"/>
    </row>
    <row r="74" customFormat="false" ht="14.4" hidden="false" customHeight="false" outlineLevel="0" collapsed="false">
      <c r="A74" s="99"/>
      <c r="B74" s="119"/>
      <c r="C74" s="122"/>
      <c r="D74" s="85" t="s">
        <v>134</v>
      </c>
      <c r="E74" s="264" t="n">
        <f aca="false">IF(AND($F$2="No",$F$3="No"),SUM(J74),IF(AND($F$2="Yes", $F$3="No"), SUM(J74)+L74, IF(AND($F$2="No", $F$3="Yes"),SUM(J74)+K74, SUM(J74)+L74+K74)))</f>
        <v>0</v>
      </c>
      <c r="F74" s="121" t="n">
        <f aca="false">IF(AND($F$2="No",$F$3="No"),SUM(H74:J74,M74:P74),IF(AND($F$2="Yes", $F$3="No"), SUM(H74:J74,M74:P74)+L74, IF(AND($F$2="No", $F$3="Yes"),SUM(H74:J74,M74:P74)+K74, SUM(H74:J74,M74:P74)+L74+K74)))</f>
        <v>0.451582784589528</v>
      </c>
      <c r="G74" s="118" t="n">
        <f aca="false">SUM(R74:T74)/(1-'Common input data'!B$125)</f>
        <v>1.52701356699273</v>
      </c>
      <c r="H74" s="87" t="n">
        <v>0</v>
      </c>
      <c r="I74" s="87" t="n">
        <v>0</v>
      </c>
      <c r="J74" s="87" t="n">
        <v>0</v>
      </c>
      <c r="K74" s="87" t="n">
        <v>0</v>
      </c>
      <c r="L74" s="87" t="n">
        <v>0</v>
      </c>
      <c r="M74" s="87" t="n">
        <v>0</v>
      </c>
      <c r="N74" s="87" t="n">
        <v>0</v>
      </c>
      <c r="O74" s="87" t="n">
        <f aca="false">'Input data fish and seafood'!G11*'Input data fish and seafood'!B42</f>
        <v>0.451582784589528</v>
      </c>
      <c r="P74" s="87" t="n">
        <v>0</v>
      </c>
      <c r="Q74" s="89" t="n">
        <f aca="false">'Input data fish and seafood'!B89*('Input data fish and seafood'!B96*'Common input data'!B63+'Input data fish and seafood'!C96*'Common input data'!C63)</f>
        <v>0.0883748</v>
      </c>
      <c r="R74" s="121" t="n">
        <f aca="false">(F74+Q74)/'Input data fish and seafood'!$H$11</f>
        <v>0.885176368179554</v>
      </c>
      <c r="S74" s="87" t="n">
        <f aca="false">'Common input data'!B93</f>
        <v>0.3</v>
      </c>
      <c r="T74" s="275" t="n">
        <f aca="false">'Input data fish and seafood'!B110*'Common input data'!B98+'Input data fish and seafood'!C110*'Common input data'!B102+'Common input data'!C98</f>
        <v>0.1145</v>
      </c>
    </row>
    <row r="75" customFormat="false" ht="14.4" hidden="false" customHeight="false" outlineLevel="0" collapsed="false">
      <c r="A75" s="162"/>
      <c r="C75" s="23"/>
      <c r="D75" s="85" t="s">
        <v>135</v>
      </c>
      <c r="E75" s="86" t="n">
        <v>0</v>
      </c>
      <c r="F75" s="121" t="n">
        <f aca="false">SUM(H75:J75,M75:P75)</f>
        <v>0.000200035946334903</v>
      </c>
      <c r="G75" s="118" t="n">
        <f aca="false">SUM(R75:T75)/(1-'Common input data'!B$125)</f>
        <v>0.00038528835535744</v>
      </c>
      <c r="H75" s="87" t="n">
        <v>0</v>
      </c>
      <c r="I75" s="87" t="n">
        <v>0</v>
      </c>
      <c r="J75" s="87" t="n">
        <v>0</v>
      </c>
      <c r="K75" s="87" t="n">
        <v>0</v>
      </c>
      <c r="L75" s="87" t="n">
        <v>0</v>
      </c>
      <c r="M75" s="87" t="n">
        <v>0</v>
      </c>
      <c r="N75" s="87" t="n">
        <v>0</v>
      </c>
      <c r="O75" s="87" t="n">
        <f aca="false">'Input data fish and seafood'!G11*'Input data fish and seafood'!B43</f>
        <v>0.000200035946334903</v>
      </c>
      <c r="P75" s="87" t="n">
        <v>0</v>
      </c>
      <c r="Q75" s="163" t="n">
        <v>0</v>
      </c>
      <c r="R75" s="121" t="n">
        <f aca="false">(F75+Q75)/'Input data fish and seafood'!$H$11</f>
        <v>0.00032792778087689</v>
      </c>
      <c r="S75" s="144" t="n">
        <v>0</v>
      </c>
      <c r="T75" s="295" t="n">
        <v>0</v>
      </c>
    </row>
    <row r="76" customFormat="false" ht="14.4" hidden="false" customHeight="false" outlineLevel="0" collapsed="false">
      <c r="A76" s="100"/>
      <c r="C76" s="87"/>
      <c r="D76" s="31" t="s">
        <v>136</v>
      </c>
      <c r="E76" s="86" t="n">
        <v>0</v>
      </c>
      <c r="F76" s="121" t="n">
        <f aca="false">SUM(H76:J76,M76:P76)</f>
        <v>1.2134205486863E-005</v>
      </c>
      <c r="G76" s="118" t="n">
        <f aca="false">SUM(R76:T76)/(1-'Common input data'!B$125)</f>
        <v>2.33716397540641E-005</v>
      </c>
      <c r="H76" s="87" t="n">
        <v>0</v>
      </c>
      <c r="I76" s="87" t="n">
        <v>0</v>
      </c>
      <c r="J76" s="87" t="n">
        <v>0</v>
      </c>
      <c r="K76" s="87" t="n">
        <v>0</v>
      </c>
      <c r="L76" s="87" t="n">
        <v>0</v>
      </c>
      <c r="M76" s="87" t="n">
        <v>0</v>
      </c>
      <c r="N76" s="87" t="n">
        <v>0</v>
      </c>
      <c r="O76" s="87" t="n">
        <f aca="false">'Input data fish and seafood'!G11*'Input data fish and seafood'!B44</f>
        <v>1.2134205486863E-005</v>
      </c>
      <c r="P76" s="87" t="n">
        <v>0</v>
      </c>
      <c r="Q76" s="163" t="n">
        <v>0</v>
      </c>
      <c r="R76" s="121" t="n">
        <f aca="false">(F76+Q76)/'Input data fish and seafood'!$H$11</f>
        <v>1.98921401423983E-005</v>
      </c>
      <c r="S76" s="144" t="n">
        <v>0</v>
      </c>
      <c r="T76" s="295" t="n">
        <v>0</v>
      </c>
    </row>
    <row r="77" customFormat="false" ht="14.4" hidden="false" customHeight="false" outlineLevel="0" collapsed="false">
      <c r="A77" s="100"/>
      <c r="C77" s="87"/>
      <c r="D77" s="31" t="s">
        <v>207</v>
      </c>
      <c r="E77" s="86" t="n">
        <v>0</v>
      </c>
      <c r="F77" s="121" t="n">
        <f aca="false">SUM(H77:J77,M77:P77)</f>
        <v>2.3E-005</v>
      </c>
      <c r="G77" s="118" t="n">
        <f aca="false">SUM(R77:T77)/(1-'Common input data'!B$125)</f>
        <v>4.43001987172088E-005</v>
      </c>
      <c r="H77" s="87" t="n">
        <v>0</v>
      </c>
      <c r="I77" s="87" t="n">
        <v>0</v>
      </c>
      <c r="J77" s="87" t="n">
        <v>0</v>
      </c>
      <c r="K77" s="87" t="n">
        <v>0</v>
      </c>
      <c r="L77" s="87" t="n">
        <v>0</v>
      </c>
      <c r="M77" s="87" t="n">
        <v>0</v>
      </c>
      <c r="N77" s="87" t="n">
        <v>0</v>
      </c>
      <c r="O77" s="87" t="n">
        <v>0</v>
      </c>
      <c r="P77" s="87" t="n">
        <f aca="false">'Input data fish and seafood'!B49</f>
        <v>2.3E-005</v>
      </c>
      <c r="Q77" s="163" t="n">
        <v>0</v>
      </c>
      <c r="R77" s="121" t="n">
        <f aca="false">(F77+Q77)/'Input data fish and seafood'!$H$11</f>
        <v>3.77049180327869E-005</v>
      </c>
      <c r="S77" s="144" t="n">
        <v>0</v>
      </c>
      <c r="T77" s="295" t="n">
        <v>0</v>
      </c>
    </row>
    <row r="78" customFormat="false" ht="14.4" hidden="false" customHeight="false" outlineLevel="0" collapsed="false">
      <c r="A78" s="161" t="s">
        <v>220</v>
      </c>
      <c r="B78" s="289" t="s">
        <v>222</v>
      </c>
      <c r="C78" s="289" t="n">
        <f aca="false">'Input data fish and seafood'!E12</f>
        <v>0.88</v>
      </c>
      <c r="D78" s="78" t="s">
        <v>133</v>
      </c>
      <c r="E78" s="276" t="n">
        <f aca="false">IF($F$1="GWP100 without fb",E79+E80*'Common input data'!$C$5+E81*'Common input data'!$D$5+E82*'Common input data'!$E$5,IF($F$1="GWP100 with fb",E79+E80*'Common input data'!$C$6+E81*'Common input data'!$D$6+E82*'Common input data'!$E$6,IF($F$1="GTP100 without fb",E79+E80*'Common input data'!$C$7+E81*'Common input data'!$D$7+E82*'Common input data'!$E$7,IF($F$1="GTP100 with fb",E79+E80*'Common input data'!$C$8+E81*'Common input data'!$D$8+E82*'Common input data'!$E$8,E79+E80*'Common input data'!$C$9+E81*'Common input data'!$D$9+E82*'Common input data'!$E$9))))</f>
        <v>0</v>
      </c>
      <c r="F78" s="277" t="n">
        <f aca="false">IF($F$1="GWP100 without fb",F79+F80*'Common input data'!$C$5+F81*'Common input data'!$D$5+F82*'Common input data'!$E$5,IF($F$1="GWP100 with fb",F79+F80*'Common input data'!$C$6+F81*'Common input data'!$D$6+F82*'Common input data'!$E$6,IF($F$1="GTP100 without fb",F79+F80*'Common input data'!$C$7+F81*'Common input data'!$D$7+F82*'Common input data'!$E$7,IF($F$1="GTP100 with fb",F79+F80*'Common input data'!$C$8+F81*'Common input data'!$D$8+F82*'Common input data'!$E$8,F79+F80*'Common input data'!$C$9+F81*'Common input data'!$D$9+F82*'Common input data'!$E$9))))</f>
        <v>0.180438</v>
      </c>
      <c r="G78" s="278" t="n">
        <f aca="false">IF($F$1="GWP100 without fb",G79+G80*'Common input data'!$C$5+G81*'Common input data'!$D$5+G82*'Common input data'!$E$5,IF($F$1="GWP100 with fb",G79+G80*'Common input data'!$C$6+G81*'Common input data'!$D$6+G82*'Common input data'!$E$6,IF($F$1="GTP100 without fb",G79+G80*'Common input data'!$C$7+G81*'Common input data'!$D$7+G82*'Common input data'!$E$7,IF($F$1="GTP100 with fb",G79+G80*'Common input data'!$C$8+G81*'Common input data'!$D$8+G82*'Common input data'!$E$8,G79+G80*'Common input data'!$C$9+G81*'Common input data'!$D$9+G82*'Common input data'!$E$9))))</f>
        <v>1.00476279140791</v>
      </c>
      <c r="H78" s="95"/>
      <c r="I78" s="97"/>
      <c r="J78" s="97"/>
      <c r="K78" s="279"/>
      <c r="L78" s="279"/>
      <c r="M78" s="279"/>
      <c r="N78" s="279"/>
      <c r="O78" s="279"/>
      <c r="P78" s="279"/>
      <c r="Q78" s="279"/>
      <c r="R78" s="279"/>
      <c r="S78" s="279"/>
      <c r="T78" s="280"/>
    </row>
    <row r="79" customFormat="false" ht="14.4" hidden="false" customHeight="false" outlineLevel="0" collapsed="false">
      <c r="A79" s="99"/>
      <c r="C79" s="122"/>
      <c r="D79" s="85" t="s">
        <v>134</v>
      </c>
      <c r="E79" s="264" t="n">
        <f aca="false">IF(AND($F$2="No",$F$3="No"),SUM(J79),IF(AND($F$2="Yes", $F$3="No"), SUM(J79)+L79, IF(AND($F$2="No", $F$3="Yes"),SUM(J79)+K79, SUM(J79)+L79+K79)))</f>
        <v>0</v>
      </c>
      <c r="F79" s="121" t="n">
        <f aca="false">IF(AND($F$2="No",$F$3="No"),SUM(H79:J79,M79:P79),IF(AND($F$2="Yes", $F$3="No"), SUM(H79:J79,M79:P79)+L79, IF(AND($F$2="No", $F$3="Yes"),SUM(H79:J79,M79:P79)+K79, SUM(H79:J79,M79:P79)+L79+K79)))</f>
        <v>0.129023652739865</v>
      </c>
      <c r="G79" s="118" t="n">
        <f aca="false">SUM(R79:T79)/(1-'Common input data'!B$125)</f>
        <v>0.905733843558365</v>
      </c>
      <c r="H79" s="87" t="n">
        <v>0</v>
      </c>
      <c r="I79" s="87" t="n">
        <v>0</v>
      </c>
      <c r="J79" s="87" t="n">
        <v>0</v>
      </c>
      <c r="K79" s="87" t="n">
        <v>0</v>
      </c>
      <c r="L79" s="87" t="n">
        <v>0</v>
      </c>
      <c r="M79" s="87" t="n">
        <v>0</v>
      </c>
      <c r="N79" s="87" t="n">
        <v>0</v>
      </c>
      <c r="O79" s="290" t="n">
        <f aca="false">'Input data fish and seafood'!G12*'Input data fish and seafood'!B42</f>
        <v>0.129023652739865</v>
      </c>
      <c r="P79" s="121" t="n">
        <v>0</v>
      </c>
      <c r="Q79" s="281" t="n">
        <f aca="false">'Input data fish and seafood'!B89*('Input data fish and seafood'!B96*'Common input data'!B63+'Input data fish and seafood'!C96*'Common input data'!C63)</f>
        <v>0.0883748</v>
      </c>
      <c r="R79" s="121" t="n">
        <f aca="false">(F79+Q79)/'Input data fish and seafood'!$H$12</f>
        <v>0.356390906130926</v>
      </c>
      <c r="S79" s="281" t="n">
        <f aca="false">'Common input data'!B93</f>
        <v>0.3</v>
      </c>
      <c r="T79" s="249" t="n">
        <f aca="false">'Input data fish and seafood'!B110*'Common input data'!B98+'Input data fish and seafood'!C110*'Common input data'!B102+'Common input data'!C98</f>
        <v>0.1145</v>
      </c>
    </row>
    <row r="80" customFormat="false" ht="14.4" hidden="false" customHeight="false" outlineLevel="0" collapsed="false">
      <c r="A80" s="99"/>
      <c r="C80" s="31"/>
      <c r="D80" s="85" t="s">
        <v>135</v>
      </c>
      <c r="E80" s="86" t="n">
        <v>0</v>
      </c>
      <c r="F80" s="121" t="n">
        <f aca="false">SUM(H80:J80,M80:P80)</f>
        <v>5.7153127524258E-005</v>
      </c>
      <c r="G80" s="118" t="n">
        <f aca="false">SUM(R80:T80)/(1-'Common input data'!B$125)</f>
        <v>0.000110082387244983</v>
      </c>
      <c r="H80" s="87" t="n">
        <v>0</v>
      </c>
      <c r="I80" s="87" t="n">
        <v>0</v>
      </c>
      <c r="J80" s="87" t="n">
        <v>0</v>
      </c>
      <c r="K80" s="87" t="n">
        <v>0</v>
      </c>
      <c r="L80" s="87" t="n">
        <v>0</v>
      </c>
      <c r="M80" s="87" t="n">
        <v>0</v>
      </c>
      <c r="N80" s="87" t="n">
        <v>0</v>
      </c>
      <c r="O80" s="290" t="n">
        <f aca="false">'Input data fish and seafood'!G12*'Input data fish and seafood'!B43</f>
        <v>5.7153127524258E-005</v>
      </c>
      <c r="P80" s="121" t="n">
        <v>0</v>
      </c>
      <c r="Q80" s="163" t="n">
        <v>0</v>
      </c>
      <c r="R80" s="121" t="n">
        <f aca="false">(F80+Q80)/'Input data fish and seafood'!$H$12</f>
        <v>9.36936516791114E-005</v>
      </c>
      <c r="S80" s="163" t="n">
        <v>0</v>
      </c>
      <c r="T80" s="295" t="n">
        <v>0</v>
      </c>
    </row>
    <row r="81" customFormat="false" ht="14.4" hidden="false" customHeight="false" outlineLevel="0" collapsed="false">
      <c r="A81" s="99"/>
      <c r="C81" s="87"/>
      <c r="D81" s="31" t="s">
        <v>136</v>
      </c>
      <c r="E81" s="86" t="n">
        <v>0</v>
      </c>
      <c r="F81" s="121" t="n">
        <f aca="false">SUM(H81:J81,M81:P81)</f>
        <v>3.46691585338942E-006</v>
      </c>
      <c r="G81" s="118" t="n">
        <f aca="false">SUM(R81:T81)/(1-'Common input data'!B$125)</f>
        <v>6.67761135830404E-006</v>
      </c>
      <c r="H81" s="87" t="n">
        <v>0</v>
      </c>
      <c r="I81" s="87" t="n">
        <v>0</v>
      </c>
      <c r="J81" s="87" t="n">
        <v>0</v>
      </c>
      <c r="K81" s="87" t="n">
        <v>0</v>
      </c>
      <c r="L81" s="87" t="n">
        <v>0</v>
      </c>
      <c r="M81" s="87" t="n">
        <v>0</v>
      </c>
      <c r="N81" s="87" t="n">
        <v>0</v>
      </c>
      <c r="O81" s="121" t="n">
        <f aca="false">'Input data fish and seafood'!G12*'Input data fish and seafood'!B44</f>
        <v>3.46691585338942E-006</v>
      </c>
      <c r="P81" s="87" t="n">
        <v>0</v>
      </c>
      <c r="Q81" s="296" t="n">
        <v>0</v>
      </c>
      <c r="R81" s="121" t="n">
        <f aca="false">(F81+Q81)/'Input data fish and seafood'!$H$12</f>
        <v>5.68346861211381E-006</v>
      </c>
      <c r="S81" s="297" t="n">
        <v>0</v>
      </c>
      <c r="T81" s="295" t="n">
        <v>0</v>
      </c>
    </row>
    <row r="82" customFormat="false" ht="14.4" hidden="false" customHeight="false" outlineLevel="0" collapsed="false">
      <c r="A82" s="99"/>
      <c r="B82" s="31"/>
      <c r="C82" s="87"/>
      <c r="D82" s="31" t="s">
        <v>207</v>
      </c>
      <c r="E82" s="86" t="n">
        <v>0</v>
      </c>
      <c r="F82" s="121" t="n">
        <f aca="false">SUM(H82:J82,M82:P82)</f>
        <v>2.3E-005</v>
      </c>
      <c r="G82" s="118" t="n">
        <f aca="false">SUM(R82:T82)/(1-'Common input data'!B$125)</f>
        <v>4.43001987172088E-005</v>
      </c>
      <c r="H82" s="87" t="n">
        <v>0</v>
      </c>
      <c r="I82" s="87" t="n">
        <v>0</v>
      </c>
      <c r="J82" s="87" t="n">
        <v>0</v>
      </c>
      <c r="K82" s="87" t="n">
        <v>0</v>
      </c>
      <c r="L82" s="87" t="n">
        <v>0</v>
      </c>
      <c r="M82" s="87" t="n">
        <v>0</v>
      </c>
      <c r="N82" s="87" t="n">
        <v>0</v>
      </c>
      <c r="O82" s="121" t="n">
        <v>0</v>
      </c>
      <c r="P82" s="121" t="n">
        <f aca="false">'Input data fish and seafood'!B49</f>
        <v>2.3E-005</v>
      </c>
      <c r="Q82" s="298" t="n">
        <v>0</v>
      </c>
      <c r="R82" s="121" t="n">
        <f aca="false">(F82+Q82)/'Input data fish and seafood'!$H$12</f>
        <v>3.77049180327869E-005</v>
      </c>
      <c r="S82" s="163" t="n">
        <v>0</v>
      </c>
      <c r="T82" s="295" t="n">
        <v>0</v>
      </c>
    </row>
    <row r="83" customFormat="false" ht="14.4" hidden="false" customHeight="false" outlineLevel="0" collapsed="false">
      <c r="A83" s="161" t="s">
        <v>220</v>
      </c>
      <c r="B83" s="289" t="s">
        <v>223</v>
      </c>
      <c r="C83" s="279" t="n">
        <f aca="false">'Input data fish and seafood'!E13</f>
        <v>0.09</v>
      </c>
      <c r="D83" s="78" t="s">
        <v>133</v>
      </c>
      <c r="E83" s="276" t="n">
        <f aca="false">IF($F$1="GWP100 without fb",E84+E85*'Common input data'!$C$5+E86*'Common input data'!$D$5+E87*'Common input data'!$E$5,IF($F$1="GWP100 with fb",E84+E85*'Common input data'!$C$6+E86*'Common input data'!$D$6+E87*'Common input data'!$E$6,IF($F$1="GTP100 without fb",E84+E85*'Common input data'!$C$7+E86*'Common input data'!$D$7+E87*'Common input data'!$E$7,IF($F$1="GTP100 with fb",E84+E85*'Common input data'!$C$8+E86*'Common input data'!$D$8+E87*'Common input data'!$E$8,E84+E85*'Common input data'!$C$9+E86*'Common input data'!$D$9+E87*'Common input data'!$E$9))))</f>
        <v>0</v>
      </c>
      <c r="F83" s="277" t="n">
        <f aca="false">IF($F$1="GWP100 without fb",F84+F85*'Common input data'!$C$5+F86*'Common input data'!$D$5+F87*'Common input data'!$E$5,IF($F$1="GWP100 with fb",F84+F85*'Common input data'!$C$6+F86*'Common input data'!$D$6+F87*'Common input data'!$E$6,IF($F$1="GTP100 without fb",F84+F85*'Common input data'!$C$7+F86*'Common input data'!$D$7+F87*'Common input data'!$E$7,IF($F$1="GTP100 with fb",F84+F85*'Common input data'!$C$8+F86*'Common input data'!$D$8+F87*'Common input data'!$E$8,F84+F85*'Common input data'!$C$9+F86*'Common input data'!$D$9+F87*'Common input data'!$E$9))))</f>
        <v>0.246438</v>
      </c>
      <c r="G83" s="278" t="n">
        <f aca="false">IF($F$1="GWP100 without fb",G84+G85*'Common input data'!$C$5+G86*'Common input data'!$D$5+G87*'Common input data'!$E$5,IF($F$1="GWP100 with fb",G84+G85*'Common input data'!$C$6+G86*'Common input data'!$D$6+G87*'Common input data'!$E$6,IF($F$1="GTP100 without fb",G84+G85*'Common input data'!$C$7+G86*'Common input data'!$D$7+G87*'Common input data'!$E$7,IF($F$1="GTP100 with fb",G84+G85*'Common input data'!$C$8+G86*'Common input data'!$D$8+G87*'Common input data'!$E$8,G84+G85*'Common input data'!$C$9+G86*'Common input data'!$D$9+G87*'Common input data'!$E$9))))</f>
        <v>1.13188510077034</v>
      </c>
      <c r="H83" s="95"/>
      <c r="I83" s="97"/>
      <c r="J83" s="97"/>
      <c r="K83" s="279"/>
      <c r="L83" s="279"/>
      <c r="M83" s="279"/>
      <c r="N83" s="279"/>
      <c r="O83" s="279"/>
      <c r="P83" s="279"/>
      <c r="Q83" s="279"/>
      <c r="R83" s="279"/>
      <c r="S83" s="279"/>
      <c r="T83" s="280"/>
    </row>
    <row r="84" customFormat="false" ht="14.4" hidden="false" customHeight="false" outlineLevel="0" collapsed="false">
      <c r="A84" s="99"/>
      <c r="B84" s="31"/>
      <c r="C84" s="122"/>
      <c r="D84" s="85" t="s">
        <v>134</v>
      </c>
      <c r="E84" s="264" t="n">
        <f aca="false">IF(AND($F$2="No",$F$3="No"),SUM(J84),IF(AND($F$2="Yes", $F$3="No"), SUM(J84)+L84, IF(AND($F$2="No", $F$3="Yes"),SUM(J84)+K84, SUM(J84)+L84+K84)))</f>
        <v>0</v>
      </c>
      <c r="F84" s="121" t="n">
        <f aca="false">IF(AND($F$2="No",$F$3="No"),SUM(H84:J84,M84:P84),IF(AND($F$2="Yes", $F$3="No"), SUM(H84:J84,M84:P84)+L84, IF(AND($F$2="No", $F$3="Yes"),SUM(H84:J84,M84:P84)+K84, SUM(H84:J84,M84:P84)+L84+K84)))</f>
        <v>0.193535479109798</v>
      </c>
      <c r="G84" s="118" t="n">
        <f aca="false">SUM(R84:T84)/(1-'Common input data'!B$125)</f>
        <v>1.02998978824524</v>
      </c>
      <c r="H84" s="87" t="n">
        <v>0</v>
      </c>
      <c r="I84" s="87" t="n">
        <v>0</v>
      </c>
      <c r="J84" s="87" t="n">
        <v>0</v>
      </c>
      <c r="K84" s="87" t="n">
        <v>0</v>
      </c>
      <c r="L84" s="87" t="n">
        <v>0</v>
      </c>
      <c r="M84" s="87" t="n">
        <v>0</v>
      </c>
      <c r="N84" s="87" t="n">
        <v>0</v>
      </c>
      <c r="O84" s="121" t="n">
        <f aca="false">'Input data fish and seafood'!G13*'Input data fish and seafood'!B42</f>
        <v>0.193535479109798</v>
      </c>
      <c r="P84" s="121" t="n">
        <v>0</v>
      </c>
      <c r="Q84" s="121" t="n">
        <f aca="false">'Input data fish and seafood'!B89*('Input data fish and seafood'!B96*'Common input data'!B63+'Input data fish and seafood'!C96*'Common input data'!C63)</f>
        <v>0.0883748</v>
      </c>
      <c r="R84" s="121" t="n">
        <f aca="false">(F84+Q84)/'Input data fish and seafood'!$H$13</f>
        <v>0.462147998540652</v>
      </c>
      <c r="S84" s="121" t="n">
        <f aca="false">'Common input data'!B93</f>
        <v>0.3</v>
      </c>
      <c r="T84" s="249" t="n">
        <f aca="false">'Input data fish and seafood'!B110*'Common input data'!B98+'Input data fish and seafood'!C110*'Common input data'!B102+'Common input data'!C98</f>
        <v>0.1145</v>
      </c>
    </row>
    <row r="85" customFormat="false" ht="14.4" hidden="false" customHeight="false" outlineLevel="0" collapsed="false">
      <c r="A85" s="99"/>
      <c r="B85" s="31"/>
      <c r="C85" s="31"/>
      <c r="D85" s="85" t="s">
        <v>135</v>
      </c>
      <c r="E85" s="86" t="n">
        <v>0</v>
      </c>
      <c r="F85" s="121" t="n">
        <f aca="false">SUM(H85:J85,M85:P85)</f>
        <v>8.5729691286387E-005</v>
      </c>
      <c r="G85" s="118" t="n">
        <f aca="false">SUM(R85:T85)/(1-'Common input data'!B$125)</f>
        <v>0.000165123580867474</v>
      </c>
      <c r="H85" s="87" t="n">
        <v>0</v>
      </c>
      <c r="I85" s="87" t="n">
        <v>0</v>
      </c>
      <c r="J85" s="87" t="n">
        <v>0</v>
      </c>
      <c r="K85" s="87" t="n">
        <v>0</v>
      </c>
      <c r="L85" s="87" t="n">
        <v>0</v>
      </c>
      <c r="M85" s="87" t="n">
        <v>0</v>
      </c>
      <c r="N85" s="87" t="n">
        <v>0</v>
      </c>
      <c r="O85" s="121" t="n">
        <f aca="false">'Input data fish and seafood'!G13*'Input data fish and seafood'!B43</f>
        <v>8.5729691286387E-005</v>
      </c>
      <c r="P85" s="121" t="n">
        <v>0</v>
      </c>
      <c r="Q85" s="299" t="n">
        <v>0</v>
      </c>
      <c r="R85" s="121" t="n">
        <f aca="false">(F85+Q85)/'Input data fish and seafood'!$H$13</f>
        <v>0.000140540477518667</v>
      </c>
      <c r="S85" s="122" t="n">
        <v>0</v>
      </c>
      <c r="T85" s="300" t="n">
        <v>0</v>
      </c>
    </row>
    <row r="86" customFormat="false" ht="14.4" hidden="false" customHeight="false" outlineLevel="0" collapsed="false">
      <c r="A86" s="99"/>
      <c r="B86" s="31"/>
      <c r="C86" s="87"/>
      <c r="D86" s="31" t="s">
        <v>136</v>
      </c>
      <c r="E86" s="86" t="n">
        <v>0</v>
      </c>
      <c r="F86" s="121" t="n">
        <f aca="false">SUM(H86:J86,M86:P86)</f>
        <v>5.20037378008413E-006</v>
      </c>
      <c r="G86" s="118" t="n">
        <f aca="false">SUM(R86:T86)/(1-'Common input data'!B$125)</f>
        <v>1.00164170374561E-005</v>
      </c>
      <c r="H86" s="87" t="n">
        <v>0</v>
      </c>
      <c r="I86" s="87" t="n">
        <v>0</v>
      </c>
      <c r="J86" s="87" t="n">
        <v>0</v>
      </c>
      <c r="K86" s="87" t="n">
        <v>0</v>
      </c>
      <c r="L86" s="87" t="n">
        <v>0</v>
      </c>
      <c r="M86" s="87" t="n">
        <v>0</v>
      </c>
      <c r="N86" s="87" t="n">
        <v>0</v>
      </c>
      <c r="O86" s="121" t="n">
        <f aca="false">'Input data fish and seafood'!G13*'Input data fish and seafood'!B44</f>
        <v>5.20037378008413E-006</v>
      </c>
      <c r="P86" s="121" t="n">
        <v>0</v>
      </c>
      <c r="Q86" s="144" t="n">
        <v>0</v>
      </c>
      <c r="R86" s="121" t="n">
        <f aca="false">(F86+Q86)/'Input data fish and seafood'!$H$13</f>
        <v>8.52520291817071E-006</v>
      </c>
      <c r="S86" s="144" t="n">
        <v>0</v>
      </c>
      <c r="T86" s="300" t="n">
        <v>0</v>
      </c>
    </row>
    <row r="87" customFormat="false" ht="14.4" hidden="false" customHeight="false" outlineLevel="0" collapsed="false">
      <c r="A87" s="99"/>
      <c r="B87" s="31"/>
      <c r="C87" s="87"/>
      <c r="D87" s="31" t="s">
        <v>207</v>
      </c>
      <c r="E87" s="104" t="n">
        <v>0</v>
      </c>
      <c r="F87" s="255" t="n">
        <f aca="false">SUM(H87:J87,M87:P87)</f>
        <v>2.3E-005</v>
      </c>
      <c r="G87" s="292" t="n">
        <f aca="false">SUM(R87:T87)/(1-'Common input data'!B$125)</f>
        <v>4.43001987172088E-005</v>
      </c>
      <c r="H87" s="87" t="n">
        <v>0</v>
      </c>
      <c r="I87" s="87" t="n">
        <v>0</v>
      </c>
      <c r="J87" s="87" t="n">
        <v>0</v>
      </c>
      <c r="K87" s="87" t="n">
        <v>0</v>
      </c>
      <c r="L87" s="87" t="n">
        <v>0</v>
      </c>
      <c r="M87" s="87" t="n">
        <v>0</v>
      </c>
      <c r="N87" s="87" t="n">
        <v>0</v>
      </c>
      <c r="O87" s="121" t="n">
        <v>0</v>
      </c>
      <c r="P87" s="121" t="n">
        <f aca="false">'Input data fish and seafood'!B49</f>
        <v>2.3E-005</v>
      </c>
      <c r="Q87" s="299" t="n">
        <v>0</v>
      </c>
      <c r="R87" s="121" t="n">
        <f aca="false">(F87+Q87)/'Input data fish and seafood'!$H$13</f>
        <v>3.77049180327869E-005</v>
      </c>
      <c r="S87" s="122" t="n">
        <v>0</v>
      </c>
      <c r="T87" s="300" t="n">
        <v>0</v>
      </c>
    </row>
    <row r="88" customFormat="false" ht="14.4" hidden="false" customHeight="false" outlineLevel="0" collapsed="false">
      <c r="A88" s="127" t="s">
        <v>224</v>
      </c>
      <c r="B88" s="128"/>
      <c r="C88" s="129"/>
      <c r="D88" s="130"/>
      <c r="E88" s="110" t="s">
        <v>205</v>
      </c>
      <c r="F88" s="111" t="s">
        <v>205</v>
      </c>
      <c r="G88" s="112" t="s">
        <v>206</v>
      </c>
      <c r="H88" s="129"/>
      <c r="I88" s="129"/>
      <c r="J88" s="129"/>
      <c r="K88" s="132"/>
      <c r="L88" s="132"/>
      <c r="M88" s="133"/>
      <c r="N88" s="132"/>
      <c r="O88" s="132"/>
      <c r="P88" s="132"/>
      <c r="Q88" s="132"/>
      <c r="R88" s="132"/>
      <c r="S88" s="132"/>
      <c r="T88" s="287"/>
    </row>
    <row r="89" s="235" customFormat="true" ht="14.4" hidden="false" customHeight="false" outlineLevel="0" collapsed="false">
      <c r="A89" s="134" t="s">
        <v>132</v>
      </c>
      <c r="B89" s="135"/>
      <c r="C89" s="136" t="n">
        <f aca="false">SUM(C94:C113)</f>
        <v>1</v>
      </c>
      <c r="D89" s="137" t="s">
        <v>133</v>
      </c>
      <c r="E89" s="243" t="n">
        <f aca="false">IF($F$1="GWP100 without fb",E90+E91*'Common input data'!$C$5+E92*'Common input data'!$D$5+E93*'Common input data'!$E$5,IF($F$1="GWP100 with fb",E90+E91*'Common input data'!$C$6+E92*'Common input data'!$D$6+E93*'Common input data'!$E$6,IF($F$1="GTP100 without fb",E90+E91*'Common input data'!$C$7+E92*'Common input data'!$D$7+E93*'Common input data'!$E$7,IF($F$1="GTP100 with fb",E90+E91*'Common input data'!$C$8+E92*'Common input data'!$D$8+E93*'Common input data'!$E$8,E90+E91*'Common input data'!$C$9+E92*'Common input data'!$D$9+E93*'Common input data'!$E$9))))</f>
        <v>0</v>
      </c>
      <c r="F89" s="244" t="n">
        <f aca="false">IF($F$1="GWP100 without fb",F90+F91*'Common input data'!$C$5+F92*'Common input data'!$D$5+F93*'Common input data'!$E$5,IF($F$1="GWP100 with fb",F90+F91*'Common input data'!$C$6+F92*'Common input data'!$D$6+F93*'Common input data'!$E$6,IF($F$1="GTP100 without fb",F90+F91*'Common input data'!$C$7+F92*'Common input data'!$D$7+F93*'Common input data'!$E$7,IF($F$1="GTP100 with fb",F90+F91*'Common input data'!$C$8+F92*'Common input data'!$D$8+F93*'Common input data'!$E$8,F90+F91*'Common input data'!$C$9+F92*'Common input data'!$D$9+F93*'Common input data'!$E$9))))</f>
        <v>1.81554</v>
      </c>
      <c r="G89" s="245" t="n">
        <f aca="false">IF($F$1="GWP100 without fb",G90+G91*'Common input data'!$C$5+G92*'Common input data'!$D$5+G93*'Common input data'!$E$5,IF($F$1="GWP100 with fb",G90+G91*'Common input data'!$C$6+G92*'Common input data'!$D$6+G93*'Common input data'!$E$6,IF($F$1="GTP100 without fb",G90+G91*'Common input data'!$C$7+G92*'Common input data'!$D$7+G93*'Common input data'!$E$7,IF($F$1="GTP100 with fb",G90+G91*'Common input data'!$C$8+G92*'Common input data'!$D$8+G93*'Common input data'!$E$8,G90+G91*'Common input data'!$C$9+G92*'Common input data'!$D$9+G93*'Common input data'!$E$9))))</f>
        <v>4.90035930251949</v>
      </c>
      <c r="H89" s="80"/>
      <c r="I89" s="271"/>
      <c r="J89" s="271"/>
      <c r="K89" s="272"/>
      <c r="L89" s="272"/>
      <c r="M89" s="273"/>
      <c r="N89" s="272"/>
      <c r="O89" s="272"/>
      <c r="P89" s="272"/>
      <c r="Q89" s="272"/>
      <c r="R89" s="272"/>
      <c r="S89" s="272"/>
      <c r="T89" s="274"/>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c r="GL89" s="30"/>
      <c r="GM89" s="30"/>
      <c r="GN89" s="30"/>
      <c r="GO89" s="30"/>
      <c r="GP89" s="30"/>
      <c r="GQ89" s="30"/>
      <c r="GR89" s="30"/>
      <c r="GS89" s="30"/>
      <c r="GT89" s="30"/>
      <c r="GU89" s="30"/>
      <c r="GV89" s="30"/>
      <c r="GW89" s="30"/>
      <c r="GX89" s="30"/>
      <c r="GY89" s="30"/>
      <c r="GZ89" s="30"/>
      <c r="HA89" s="30"/>
      <c r="HB89" s="30"/>
      <c r="HC89" s="30"/>
      <c r="HD89" s="30"/>
      <c r="HE89" s="30"/>
      <c r="HF89" s="30"/>
      <c r="HG89" s="30"/>
      <c r="HH89" s="30"/>
      <c r="HI89" s="30"/>
      <c r="HJ89" s="30"/>
      <c r="HK89" s="30"/>
      <c r="HL89" s="30"/>
      <c r="HM89" s="30"/>
      <c r="HN89" s="30"/>
      <c r="HO89" s="30"/>
      <c r="HP89" s="30"/>
      <c r="HQ89" s="30"/>
      <c r="HR89" s="30"/>
      <c r="HS89" s="30"/>
      <c r="HT89" s="30"/>
      <c r="HU89" s="30"/>
      <c r="HV89" s="30"/>
      <c r="HW89" s="30"/>
      <c r="HX89" s="30"/>
      <c r="HY89" s="30"/>
      <c r="HZ89" s="30"/>
      <c r="IA89" s="30"/>
      <c r="IB89" s="30"/>
      <c r="IC89" s="30"/>
      <c r="ID89" s="30"/>
      <c r="IE89" s="30"/>
      <c r="IF89" s="30"/>
      <c r="IG89" s="30"/>
      <c r="IH89" s="30"/>
      <c r="II89" s="30"/>
      <c r="IJ89" s="30"/>
      <c r="IK89" s="30"/>
      <c r="IL89" s="30"/>
      <c r="IM89" s="30"/>
      <c r="IN89" s="30"/>
      <c r="IO89" s="30"/>
      <c r="IP89" s="30"/>
      <c r="IQ89" s="30"/>
      <c r="IR89" s="30"/>
      <c r="IS89" s="30"/>
      <c r="IT89" s="30"/>
      <c r="IU89" s="30"/>
      <c r="IV89" s="30"/>
      <c r="IW89" s="30"/>
      <c r="IX89" s="30"/>
      <c r="IY89" s="30"/>
      <c r="IZ89" s="30"/>
      <c r="JA89" s="30"/>
      <c r="JB89" s="30"/>
      <c r="JC89" s="30"/>
      <c r="JD89" s="30"/>
      <c r="JE89" s="30"/>
      <c r="JF89" s="30"/>
      <c r="JG89" s="30"/>
      <c r="JH89" s="30"/>
      <c r="JI89" s="30"/>
      <c r="JJ89" s="30"/>
      <c r="JK89" s="30"/>
      <c r="JL89" s="30"/>
      <c r="JM89" s="30"/>
      <c r="JN89" s="30"/>
      <c r="JO89" s="30"/>
      <c r="JP89" s="30"/>
      <c r="JQ89" s="30"/>
      <c r="JR89" s="30"/>
      <c r="JS89" s="30"/>
      <c r="JT89" s="30"/>
      <c r="JU89" s="30"/>
      <c r="JV89" s="30"/>
      <c r="JW89" s="30"/>
      <c r="JX89" s="30"/>
      <c r="JY89" s="30"/>
      <c r="JZ89" s="30"/>
      <c r="KA89" s="30"/>
      <c r="KB89" s="30"/>
      <c r="KC89" s="30"/>
      <c r="KD89" s="30"/>
      <c r="KE89" s="30"/>
      <c r="KF89" s="30"/>
      <c r="KG89" s="30"/>
      <c r="KH89" s="30"/>
      <c r="KI89" s="30"/>
      <c r="KJ89" s="30"/>
      <c r="KK89" s="30"/>
      <c r="KL89" s="30"/>
      <c r="KM89" s="30"/>
      <c r="KN89" s="30"/>
      <c r="KO89" s="30"/>
      <c r="KP89" s="30"/>
      <c r="KQ89" s="30"/>
      <c r="KR89" s="30"/>
      <c r="KS89" s="30"/>
      <c r="KT89" s="30"/>
      <c r="KU89" s="30"/>
      <c r="KV89" s="30"/>
      <c r="KW89" s="30"/>
      <c r="KX89" s="30"/>
      <c r="KY89" s="30"/>
      <c r="KZ89" s="30"/>
    </row>
    <row r="90" customFormat="false" ht="14.4" hidden="false" customHeight="false" outlineLevel="0" collapsed="false">
      <c r="A90" s="143"/>
      <c r="B90" s="122"/>
      <c r="C90" s="122"/>
      <c r="D90" s="85" t="s">
        <v>134</v>
      </c>
      <c r="E90" s="86" t="n">
        <f aca="false">$C$94*E95+$C$99*E100+$C$104*E105+$C$109*E110</f>
        <v>0</v>
      </c>
      <c r="F90" s="87" t="n">
        <f aca="false">$C$94*F95+$C$99*F100+$C$104*F105+$C$109*F110</f>
        <v>1.28055975344316</v>
      </c>
      <c r="G90" s="118" t="n">
        <f aca="false">$C$94*G95+$C$99*G100+$C$104*G105+$C$109*G110</f>
        <v>3.56300166591708</v>
      </c>
      <c r="H90" s="87" t="n">
        <f aca="false">$C$94*H95+$C$99*H100+$C$104*H105+$C$109*H110</f>
        <v>0</v>
      </c>
      <c r="I90" s="87" t="n">
        <f aca="false">$C$94*I95+$C$99*I100+$C$104*I105+$C$109*I110</f>
        <v>0</v>
      </c>
      <c r="J90" s="87" t="n">
        <f aca="false">$C$94*J95+$C$99*J100+$C$104*J105+$C$109*J110</f>
        <v>0</v>
      </c>
      <c r="K90" s="87" t="n">
        <f aca="false">$C$94*K95+$C$99*K100+$C$104*K105+$C$109*K110</f>
        <v>0</v>
      </c>
      <c r="L90" s="87" t="n">
        <f aca="false">$C$94*L95+$C$99*L100+$C$104*L105+$C$109*L110</f>
        <v>0</v>
      </c>
      <c r="M90" s="87" t="n">
        <f aca="false">$C$94*M95+$C$99*M100+$C$104*M105+$C$109*M110</f>
        <v>0</v>
      </c>
      <c r="N90" s="87" t="n">
        <f aca="false">$C$94*N95+$C$99*N100+$C$104*N105+$C$109*N110</f>
        <v>0</v>
      </c>
      <c r="O90" s="87" t="n">
        <f aca="false">$C$94*O95+$C$99*O100+$C$104*O105+$C$109*O110</f>
        <v>1.28055975344316</v>
      </c>
      <c r="P90" s="87" t="n">
        <f aca="false">$C$94*P95+$C$99*P100+$C$104*P105+$C$109*P110</f>
        <v>0</v>
      </c>
      <c r="Q90" s="87" t="n">
        <f aca="false">$C$94*Q95+$C$99*Q100+$C$104*Q105+$C$109*Q110</f>
        <v>0.06014</v>
      </c>
      <c r="R90" s="87" t="n">
        <f aca="false">$C$94*R95+$C$99*R100+$C$104*R105+$C$109*R110</f>
        <v>2.85255266690034</v>
      </c>
      <c r="S90" s="87" t="n">
        <f aca="false">$C$94*S95+$C$99*S100+$C$104*S105+$C$109*S110</f>
        <v>0.1</v>
      </c>
      <c r="T90" s="275" t="n">
        <f aca="false">$C$94*T95+$C$99*T100+$C$104*T105+$C$109*T110</f>
        <v>0.08</v>
      </c>
    </row>
    <row r="91" customFormat="false" ht="14.4" hidden="false" customHeight="false" outlineLevel="0" collapsed="false">
      <c r="A91" s="91"/>
      <c r="B91" s="92"/>
      <c r="C91" s="93"/>
      <c r="D91" s="85" t="s">
        <v>135</v>
      </c>
      <c r="E91" s="86" t="n">
        <f aca="false">$C$94*E96+$C$99*E101+$C$104*E106+$C$109*E111</f>
        <v>0</v>
      </c>
      <c r="F91" s="87" t="n">
        <f aca="false">$C$94*F96+$C$99*F101+$C$104*F106+$C$109*F111</f>
        <v>0.00056724479067826</v>
      </c>
      <c r="G91" s="118" t="n">
        <f aca="false">$C$94*G96+$C$99*G101+$C$104*G106+$C$109*G111</f>
        <v>0.00141801338931476</v>
      </c>
      <c r="H91" s="87" t="n">
        <f aca="false">$C$94*H96+$C$99*H101+$C$104*H106+$C$109*H111</f>
        <v>0</v>
      </c>
      <c r="I91" s="87" t="n">
        <f aca="false">$C$94*I96+$C$99*I101+$C$104*I106+$C$109*I111</f>
        <v>0</v>
      </c>
      <c r="J91" s="87" t="n">
        <f aca="false">$C$94*J96+$C$99*J101+$C$104*J106+$C$109*J111</f>
        <v>0</v>
      </c>
      <c r="K91" s="87" t="n">
        <f aca="false">$C$94*K96+$C$99*K101+$C$104*K106+$C$109*K111</f>
        <v>0</v>
      </c>
      <c r="L91" s="87" t="n">
        <f aca="false">$C$94*L96+$C$99*L101+$C$104*L106+$C$109*L111</f>
        <v>0</v>
      </c>
      <c r="M91" s="87" t="n">
        <f aca="false">$C$94*M96+$C$99*M101+$C$104*M106+$C$109*M111</f>
        <v>0</v>
      </c>
      <c r="N91" s="87" t="n">
        <f aca="false">$C$94*N96+$C$99*N101+$C$104*N106+$C$109*N111</f>
        <v>0</v>
      </c>
      <c r="O91" s="87" t="n">
        <f aca="false">$C$94*O96+$C$99*O101+$C$104*O106+$C$109*O111</f>
        <v>0.00056724479067826</v>
      </c>
      <c r="P91" s="87" t="n">
        <f aca="false">$C$94*P96+$C$99*P101+$C$104*P106+$C$109*P111</f>
        <v>0</v>
      </c>
      <c r="Q91" s="87" t="n">
        <f aca="false">$C$94*Q96+$C$99*Q101+$C$104*Q106+$C$109*Q111</f>
        <v>0</v>
      </c>
      <c r="R91" s="87" t="n">
        <f aca="false">$C$94*R96+$C$99*R101+$C$104*R106+$C$109*R111</f>
        <v>0.00120690380995375</v>
      </c>
      <c r="S91" s="87" t="n">
        <f aca="false">$C$94*S96+$C$99*S101+$C$104*S106+$C$109*S111</f>
        <v>0</v>
      </c>
      <c r="T91" s="275" t="n">
        <f aca="false">$C$94*T96+$C$99*T101+$C$104*T106+$C$109*T111</f>
        <v>0</v>
      </c>
    </row>
    <row r="92" customFormat="false" ht="14.4" hidden="false" customHeight="false" outlineLevel="0" collapsed="false">
      <c r="A92" s="91"/>
      <c r="B92" s="92"/>
      <c r="C92" s="87"/>
      <c r="D92" s="31" t="s">
        <v>136</v>
      </c>
      <c r="E92" s="86" t="n">
        <f aca="false">$C$94*E97+$C$99*E102+$C$104*E107+$C$109*E112</f>
        <v>0</v>
      </c>
      <c r="F92" s="87" t="n">
        <f aca="false">$C$94*F97+$C$99*F102+$C$104*F107+$C$109*F112</f>
        <v>3.440913984489E-005</v>
      </c>
      <c r="G92" s="118" t="n">
        <f aca="false">$C$94*G97+$C$99*G102+$C$104*G107+$C$109*G112</f>
        <v>8.60168692893877E-005</v>
      </c>
      <c r="H92" s="87" t="n">
        <f aca="false">$C$94*H97+$C$99*H102+$C$104*H107+$C$109*H112</f>
        <v>0</v>
      </c>
      <c r="I92" s="87" t="n">
        <f aca="false">$C$94*I97+$C$99*I102+$C$104*I107+$C$109*I112</f>
        <v>0</v>
      </c>
      <c r="J92" s="87" t="n">
        <f aca="false">$C$94*J97+$C$99*J102+$C$104*J107+$C$109*J112</f>
        <v>0</v>
      </c>
      <c r="K92" s="87" t="n">
        <f aca="false">$C$94*K97+$C$99*K102+$C$104*K107+$C$109*K112</f>
        <v>0</v>
      </c>
      <c r="L92" s="87" t="n">
        <f aca="false">$C$94*L97+$C$99*L102+$C$104*L107+$C$109*L112</f>
        <v>0</v>
      </c>
      <c r="M92" s="87" t="n">
        <f aca="false">$C$94*M97+$C$99*M102+$C$104*M107+$C$109*M112</f>
        <v>0</v>
      </c>
      <c r="N92" s="87" t="n">
        <f aca="false">$C$94*N97+$C$99*N102+$C$104*N107+$C$109*N112</f>
        <v>0</v>
      </c>
      <c r="O92" s="87" t="n">
        <f aca="false">$C$94*O97+$C$99*O102+$C$104*O107+$C$109*O112</f>
        <v>3.440913984489E-005</v>
      </c>
      <c r="P92" s="87" t="n">
        <f aca="false">$C$94*P97+$C$99*P102+$C$104*P107+$C$109*P112</f>
        <v>0</v>
      </c>
      <c r="Q92" s="87" t="n">
        <f aca="false">$C$94*Q97+$C$99*Q102+$C$104*Q107+$C$109*Q112</f>
        <v>0</v>
      </c>
      <c r="R92" s="87" t="n">
        <f aca="false">$C$94*R97+$C$99*R102+$C$104*R107+$C$109*R112</f>
        <v>7.32109358401915E-005</v>
      </c>
      <c r="S92" s="87" t="n">
        <f aca="false">$C$94*S97+$C$99*S102+$C$104*S107+$C$109*S112</f>
        <v>0</v>
      </c>
      <c r="T92" s="275" t="n">
        <f aca="false">$C$94*T97+$C$99*T102+$C$104*T107+$C$109*T112</f>
        <v>0</v>
      </c>
    </row>
    <row r="93" customFormat="false" ht="14.4" hidden="false" customHeight="false" outlineLevel="0" collapsed="false">
      <c r="A93" s="91"/>
      <c r="B93" s="92"/>
      <c r="C93" s="87"/>
      <c r="D93" s="31" t="s">
        <v>207</v>
      </c>
      <c r="E93" s="86" t="n">
        <f aca="false">$C$94*E98+$C$99*E103+$C$104*E108+$C$109*E113</f>
        <v>0</v>
      </c>
      <c r="F93" s="87" t="n">
        <f aca="false">$C$94*F98+$C$99*F103+$C$104*F108+$C$109*F113</f>
        <v>0.00024</v>
      </c>
      <c r="G93" s="118" t="n">
        <f aca="false">$C$94*G98+$C$99*G103+$C$104*G108+$C$109*G113</f>
        <v>0.000599958287900034</v>
      </c>
      <c r="H93" s="87" t="n">
        <f aca="false">$C$94*H98+$C$99*H103+$C$104*H108+$C$109*H113</f>
        <v>0</v>
      </c>
      <c r="I93" s="87" t="n">
        <f aca="false">$C$94*I98+$C$99*I103+$C$104*I108+$C$109*I113</f>
        <v>0</v>
      </c>
      <c r="J93" s="87" t="n">
        <f aca="false">$C$94*J98+$C$99*J103+$C$104*J108+$C$109*J113</f>
        <v>0</v>
      </c>
      <c r="K93" s="87" t="n">
        <f aca="false">$C$94*K98+$C$99*K103+$C$104*K108+$C$109*K113</f>
        <v>0</v>
      </c>
      <c r="L93" s="87" t="n">
        <f aca="false">$C$94*L98+$C$99*L103+$C$104*L108+$C$109*L113</f>
        <v>0</v>
      </c>
      <c r="M93" s="87" t="n">
        <f aca="false">$C$94*M98+$C$99*M103+$C$104*M108+$C$109*M113</f>
        <v>0</v>
      </c>
      <c r="N93" s="87" t="n">
        <f aca="false">$C$94*N98+$C$99*N103+$C$104*N108+$C$109*N113</f>
        <v>0</v>
      </c>
      <c r="O93" s="87" t="n">
        <f aca="false">$C$94*O98+$C$99*O103+$C$104*O108+$C$109*O113</f>
        <v>0</v>
      </c>
      <c r="P93" s="87" t="n">
        <f aca="false">$C$94*P98+$C$99*P103+$C$104*P108+$C$109*P113</f>
        <v>0.00024</v>
      </c>
      <c r="Q93" s="87" t="n">
        <f aca="false">$C$94*Q98+$C$99*Q103+$C$104*Q108+$C$109*Q113</f>
        <v>0</v>
      </c>
      <c r="R93" s="87" t="n">
        <f aca="false">$C$94*R98+$C$99*R103+$C$104*R108+$C$109*R113</f>
        <v>0.000510638297872341</v>
      </c>
      <c r="S93" s="87" t="n">
        <f aca="false">$C$94*S98+$C$99*S103+$C$104*S108+$C$109*S113</f>
        <v>0</v>
      </c>
      <c r="T93" s="275" t="n">
        <f aca="false">$C$94*T98+$C$99*T103+$C$104*T108+$C$109*T113</f>
        <v>0</v>
      </c>
    </row>
    <row r="94" customFormat="false" ht="14.4" hidden="false" customHeight="false" outlineLevel="0" collapsed="false">
      <c r="A94" s="161" t="s">
        <v>225</v>
      </c>
      <c r="B94" s="289" t="s">
        <v>213</v>
      </c>
      <c r="C94" s="289" t="n">
        <f aca="false">'Input data fish and seafood'!E14</f>
        <v>0.4</v>
      </c>
      <c r="D94" s="78" t="s">
        <v>133</v>
      </c>
      <c r="E94" s="276" t="n">
        <f aca="false">IF($F$1="GWP100 without fb",E95+E96*'Common input data'!$C$5+E97*'Common input data'!$D$5+E98*'Common input data'!$E$5,IF($F$1="GWP100 with fb",E95+E96*'Common input data'!$C$6+E97*'Common input data'!$D$6+E98*'Common input data'!$E$6,IF($F$1="GTP100 without fb",E95+E96*'Common input data'!$C$7+E97*'Common input data'!$D$7+E98*'Common input data'!$E$7,IF($F$1="GTP100 with fb",E95+E96*'Common input data'!$C$8+E97*'Common input data'!$D$8+E98*'Common input data'!$E$8,E95+E96*'Common input data'!$C$9+E97*'Common input data'!$D$9+E98*'Common input data'!$E$9))))</f>
        <v>0</v>
      </c>
      <c r="F94" s="277" t="n">
        <f aca="false">IF($F$1="GWP100 without fb",F95+F96*'Common input data'!$C$5+F97*'Common input data'!$D$5+F98*'Common input data'!$E$5,IF($F$1="GWP100 with fb",F95+F96*'Common input data'!$C$6+F97*'Common input data'!$D$6+F98*'Common input data'!$E$6,IF($F$1="GTP100 without fb",F95+F96*'Common input data'!$C$7+F97*'Common input data'!$D$7+F98*'Common input data'!$E$7,IF($F$1="GTP100 with fb",F95+F96*'Common input data'!$C$8+F97*'Common input data'!$D$8+F98*'Common input data'!$E$8,F95+F96*'Common input data'!$C$9+F97*'Common input data'!$D$9+F98*'Common input data'!$E$9))))</f>
        <v>1.99044</v>
      </c>
      <c r="G94" s="278" t="n">
        <f aca="false">IF($F$1="GWP100 without fb",G95+G96*'Common input data'!$C$5+G97*'Common input data'!$D$5+G98*'Common input data'!$E$5,IF($F$1="GWP100 with fb",G95+G96*'Common input data'!$C$6+G97*'Common input data'!$D$6+G98*'Common input data'!$E$6,IF($F$1="GTP100 without fb",G95+G96*'Common input data'!$C$7+G97*'Common input data'!$D$7+G98*'Common input data'!$E$7,IF($F$1="GTP100 with fb",G95+G96*'Common input data'!$C$8+G97*'Common input data'!$D$8+G98*'Common input data'!$E$8,G95+G96*'Common input data'!$C$9+G97*'Common input data'!$D$9+G98*'Common input data'!$E$9))))</f>
        <v>5.33757890482664</v>
      </c>
      <c r="H94" s="95"/>
      <c r="I94" s="97"/>
      <c r="J94" s="97"/>
      <c r="K94" s="279"/>
      <c r="L94" s="279"/>
      <c r="M94" s="279"/>
      <c r="N94" s="279"/>
      <c r="O94" s="279"/>
      <c r="P94" s="279"/>
      <c r="Q94" s="279"/>
      <c r="R94" s="279"/>
      <c r="S94" s="279"/>
      <c r="T94" s="280"/>
    </row>
    <row r="95" customFormat="false" ht="14.4" hidden="false" customHeight="false" outlineLevel="0" collapsed="false">
      <c r="A95" s="99"/>
      <c r="B95" s="119"/>
      <c r="C95" s="122"/>
      <c r="D95" s="85" t="s">
        <v>134</v>
      </c>
      <c r="E95" s="264" t="n">
        <f aca="false">IF(AND($F$2="No",$F$3="No"),SUM(J95),IF(AND($F$2="Yes", $F$3="No"), SUM(J95)+L95, IF(AND($F$2="No", $F$3="Yes"),SUM(J95)+K95, SUM(J95)+L95+K95)))</f>
        <v>0</v>
      </c>
      <c r="F95" s="121" t="n">
        <f aca="false">IF(AND($F$2="No",$F$3="No"),SUM(H95:J95,M95:P95),IF(AND($F$2="Yes", $F$3="No"), SUM(H95:J95,M95:P95)+L95, IF(AND($F$2="No", $F$3="Yes"),SUM(H95:J95,M95:P95)+K95, SUM(H95:J95,M95:P95)+L95+K95)))</f>
        <v>1.45151609332348</v>
      </c>
      <c r="G95" s="118" t="n">
        <f aca="false">SUM(R95:T95)/(1-'Common input data'!B$125)</f>
        <v>3.99036280333481</v>
      </c>
      <c r="H95" s="87" t="n">
        <v>0</v>
      </c>
      <c r="I95" s="87" t="n">
        <v>0</v>
      </c>
      <c r="J95" s="87" t="n">
        <v>0</v>
      </c>
      <c r="K95" s="87" t="n">
        <v>0</v>
      </c>
      <c r="L95" s="87" t="n">
        <v>0</v>
      </c>
      <c r="M95" s="87" t="n">
        <v>0</v>
      </c>
      <c r="N95" s="87" t="n">
        <v>0</v>
      </c>
      <c r="O95" s="87" t="n">
        <f aca="false">'Input data fish and seafood'!G14*'Input data fish and seafood'!B42</f>
        <v>1.45151609332348</v>
      </c>
      <c r="P95" s="87" t="n">
        <v>0</v>
      </c>
      <c r="Q95" s="89" t="n">
        <f aca="false">'Input data fish and seafood'!B89*'Input data fish and seafood'!B97*'Common input data'!B63</f>
        <v>0.06014</v>
      </c>
      <c r="R95" s="87" t="n">
        <f aca="false">(F95+Q95)/'Input data fish and seafood'!$H$14</f>
        <v>3.21628956026273</v>
      </c>
      <c r="S95" s="87" t="n">
        <f aca="false">'Common input data'!B94</f>
        <v>0.1</v>
      </c>
      <c r="T95" s="275" t="n">
        <f aca="false">'Input data fish and seafood'!B111*'Common input data'!B98+'Common input data'!C98</f>
        <v>0.08</v>
      </c>
    </row>
    <row r="96" customFormat="false" ht="14.4" hidden="false" customHeight="false" outlineLevel="0" collapsed="false">
      <c r="A96" s="162"/>
      <c r="C96" s="23"/>
      <c r="D96" s="85" t="s">
        <v>135</v>
      </c>
      <c r="E96" s="86" t="n">
        <v>0</v>
      </c>
      <c r="F96" s="121" t="n">
        <f aca="false">SUM(H96:J96,M96:P96)</f>
        <v>0.000642972684647902</v>
      </c>
      <c r="G96" s="118" t="n">
        <f aca="false">SUM(R96:T96)/(1-'Common input data'!B$125)</f>
        <v>0.00160731996269935</v>
      </c>
      <c r="H96" s="87" t="n">
        <v>0</v>
      </c>
      <c r="I96" s="87" t="n">
        <v>0</v>
      </c>
      <c r="J96" s="87" t="n">
        <v>0</v>
      </c>
      <c r="K96" s="87" t="n">
        <v>0</v>
      </c>
      <c r="L96" s="87" t="n">
        <v>0</v>
      </c>
      <c r="M96" s="87" t="n">
        <v>0</v>
      </c>
      <c r="N96" s="87" t="n">
        <v>0</v>
      </c>
      <c r="O96" s="87" t="n">
        <f aca="false">'Input data fish and seafood'!G14*'Input data fish and seafood'!B43</f>
        <v>0.000642972684647902</v>
      </c>
      <c r="P96" s="87" t="n">
        <v>0</v>
      </c>
      <c r="Q96" s="89" t="n">
        <v>0</v>
      </c>
      <c r="R96" s="87" t="n">
        <f aca="false">(F96+Q96)/'Input data fish and seafood'!$H$14</f>
        <v>0.00136802698861256</v>
      </c>
      <c r="S96" s="87" t="n">
        <v>0</v>
      </c>
      <c r="T96" s="275" t="n">
        <v>0</v>
      </c>
    </row>
    <row r="97" customFormat="false" ht="14.4" hidden="false" customHeight="false" outlineLevel="0" collapsed="false">
      <c r="A97" s="100"/>
      <c r="C97" s="87"/>
      <c r="D97" s="31" t="s">
        <v>136</v>
      </c>
      <c r="E97" s="86" t="n">
        <v>0</v>
      </c>
      <c r="F97" s="121" t="n">
        <f aca="false">SUM(H97:J97,M97:P97)</f>
        <v>3.9002803350631E-005</v>
      </c>
      <c r="G97" s="118" t="n">
        <f aca="false">SUM(R97:T97)/(1-'Common input data'!B$125)</f>
        <v>9.75002296731095E-005</v>
      </c>
      <c r="H97" s="87" t="n">
        <v>0</v>
      </c>
      <c r="I97" s="87" t="n">
        <v>0</v>
      </c>
      <c r="J97" s="87" t="n">
        <v>0</v>
      </c>
      <c r="K97" s="87" t="n">
        <v>0</v>
      </c>
      <c r="L97" s="87" t="n">
        <v>0</v>
      </c>
      <c r="M97" s="87" t="n">
        <v>0</v>
      </c>
      <c r="N97" s="87" t="n">
        <v>0</v>
      </c>
      <c r="O97" s="87" t="n">
        <f aca="false">'Input data fish and seafood'!G14*'Input data fish and seafood'!B44</f>
        <v>3.9002803350631E-005</v>
      </c>
      <c r="P97" s="87" t="n">
        <v>0</v>
      </c>
      <c r="Q97" s="89" t="n">
        <v>0</v>
      </c>
      <c r="R97" s="87" t="n">
        <f aca="false">(F97+Q97)/'Input data fish and seafood'!$H$14</f>
        <v>8.2984687980066E-005</v>
      </c>
      <c r="S97" s="87" t="n">
        <v>0</v>
      </c>
      <c r="T97" s="275" t="n">
        <v>0</v>
      </c>
    </row>
    <row r="98" customFormat="false" ht="14.4" hidden="false" customHeight="false" outlineLevel="0" collapsed="false">
      <c r="A98" s="100"/>
      <c r="C98" s="87"/>
      <c r="D98" s="31" t="s">
        <v>207</v>
      </c>
      <c r="E98" s="86" t="n">
        <v>0</v>
      </c>
      <c r="F98" s="121" t="n">
        <f aca="false">SUM(H98:J98,M98:P98)</f>
        <v>0.00024</v>
      </c>
      <c r="G98" s="118" t="n">
        <f aca="false">SUM(R98:T98)/(1-'Common input data'!B$125)</f>
        <v>0.000599958287900034</v>
      </c>
      <c r="H98" s="87" t="n">
        <v>0</v>
      </c>
      <c r="I98" s="87" t="n">
        <v>0</v>
      </c>
      <c r="J98" s="87" t="n">
        <v>0</v>
      </c>
      <c r="K98" s="87" t="n">
        <v>0</v>
      </c>
      <c r="L98" s="87" t="n">
        <v>0</v>
      </c>
      <c r="M98" s="87" t="n">
        <v>0</v>
      </c>
      <c r="N98" s="87" t="n">
        <v>0</v>
      </c>
      <c r="O98" s="87" t="n">
        <v>0</v>
      </c>
      <c r="P98" s="87" t="n">
        <f aca="false">'Input data fish and seafood'!C49</f>
        <v>0.00024</v>
      </c>
      <c r="Q98" s="89" t="n">
        <v>0</v>
      </c>
      <c r="R98" s="87" t="n">
        <f aca="false">(F98+Q98)/'Input data fish and seafood'!$H$14</f>
        <v>0.000510638297872341</v>
      </c>
      <c r="S98" s="87" t="n">
        <v>0</v>
      </c>
      <c r="T98" s="275" t="n">
        <v>0</v>
      </c>
    </row>
    <row r="99" customFormat="false" ht="14.4" hidden="false" customHeight="false" outlineLevel="0" collapsed="false">
      <c r="A99" s="161" t="s">
        <v>225</v>
      </c>
      <c r="B99" s="289" t="s">
        <v>221</v>
      </c>
      <c r="C99" s="289" t="n">
        <f aca="false">'Input data fish and seafood'!E15</f>
        <v>0.4</v>
      </c>
      <c r="D99" s="78" t="s">
        <v>133</v>
      </c>
      <c r="E99" s="276" t="n">
        <f aca="false">IF($F$1="GWP100 without fb",E100+E101*'Common input data'!$C$5+E102*'Common input data'!$D$5+E103*'Common input data'!$E$5,IF($F$1="GWP100 with fb",E100+E101*'Common input data'!$C$6+E102*'Common input data'!$D$6+E103*'Common input data'!$E$6,IF($F$1="GTP100 without fb",E100+E101*'Common input data'!$C$7+E102*'Common input data'!$D$7+E103*'Common input data'!$E$7,IF($F$1="GTP100 with fb",E100+E101*'Common input data'!$C$8+E102*'Common input data'!$D$8+E103*'Common input data'!$E$8,E100+E101*'Common input data'!$C$9+E102*'Common input data'!$D$9+E103*'Common input data'!$E$9))))</f>
        <v>0</v>
      </c>
      <c r="F99" s="277" t="n">
        <f aca="false">IF($F$1="GWP100 without fb",F100+F101*'Common input data'!$C$5+F102*'Common input data'!$D$5+F103*'Common input data'!$E$5,IF($F$1="GWP100 with fb",F100+F101*'Common input data'!$C$6+F102*'Common input data'!$D$6+F103*'Common input data'!$E$6,IF($F$1="GTP100 without fb",F100+F101*'Common input data'!$C$7+F102*'Common input data'!$D$7+F103*'Common input data'!$E$7,IF($F$1="GTP100 with fb",F100+F101*'Common input data'!$C$8+F102*'Common input data'!$D$8+F103*'Common input data'!$E$8,F100+F101*'Common input data'!$C$9+F102*'Common input data'!$D$9+F103*'Common input data'!$E$9))))</f>
        <v>1.72644</v>
      </c>
      <c r="G99" s="278" t="n">
        <f aca="false">IF($F$1="GWP100 without fb",G100+G101*'Common input data'!$C$5+G102*'Common input data'!$D$5+G103*'Common input data'!$E$5,IF($F$1="GWP100 with fb",G100+G101*'Common input data'!$C$6+G102*'Common input data'!$D$6+G103*'Common input data'!$E$6,IF($F$1="GTP100 without fb",G100+G101*'Common input data'!$C$7+G102*'Common input data'!$D$7+G103*'Common input data'!$E$7,IF($F$1="GTP100 with fb",G100+G101*'Common input data'!$C$8+G102*'Common input data'!$D$8+G103*'Common input data'!$E$8,G100+G101*'Common input data'!$C$9+G102*'Common input data'!$D$9+G103*'Common input data'!$E$9))))</f>
        <v>4.6776247881366</v>
      </c>
      <c r="H99" s="95"/>
      <c r="I99" s="97"/>
      <c r="J99" s="97"/>
      <c r="K99" s="279"/>
      <c r="L99" s="279"/>
      <c r="M99" s="279"/>
      <c r="N99" s="279"/>
      <c r="O99" s="279"/>
      <c r="P99" s="279"/>
      <c r="Q99" s="279"/>
      <c r="R99" s="279"/>
      <c r="S99" s="279"/>
      <c r="T99" s="280"/>
    </row>
    <row r="100" customFormat="false" ht="14.4" hidden="false" customHeight="false" outlineLevel="0" collapsed="false">
      <c r="A100" s="99"/>
      <c r="C100" s="122"/>
      <c r="D100" s="85" t="s">
        <v>134</v>
      </c>
      <c r="E100" s="264" t="n">
        <f aca="false">IF(AND($F$2="No",$F$3="No"),SUM(J100),IF(AND($F$2="Yes", $F$3="No"), SUM(J100)+L100, IF(AND($F$2="No", $F$3="Yes"),SUM(J100)+K100, SUM(J100)+L100+K100)))</f>
        <v>0</v>
      </c>
      <c r="F100" s="121" t="n">
        <f aca="false">IF(AND($F$2="No",$F$3="No"),SUM(H100:J100,M100:P100),IF(AND($F$2="Yes", $F$3="No"), SUM(H100:J100,M100:P100)+L100, IF(AND($F$2="No", $F$3="Yes"),SUM(H100:J100,M100:P100)+K100, SUM(H100:J100,M100:P100)+L100+K100)))</f>
        <v>1.19346878784375</v>
      </c>
      <c r="G100" s="118" t="n">
        <f aca="false">SUM(R100:T100)/(1-'Common input data'!B$125)</f>
        <v>3.34528938836466</v>
      </c>
      <c r="H100" s="87" t="n">
        <v>0</v>
      </c>
      <c r="I100" s="87" t="n">
        <v>0</v>
      </c>
      <c r="J100" s="87" t="n">
        <v>0</v>
      </c>
      <c r="K100" s="87" t="n">
        <v>0</v>
      </c>
      <c r="L100" s="87" t="n">
        <v>0</v>
      </c>
      <c r="M100" s="87" t="n">
        <v>0</v>
      </c>
      <c r="N100" s="87" t="n">
        <v>0</v>
      </c>
      <c r="O100" s="290" t="n">
        <f aca="false">'Input data fish and seafood'!G15*'Input data fish and seafood'!B42</f>
        <v>1.19346878784375</v>
      </c>
      <c r="P100" s="87" t="n">
        <v>0</v>
      </c>
      <c r="Q100" s="89" t="n">
        <f aca="false">'Input data fish and seafood'!B89*'Input data fish and seafood'!B97*'Common input data'!B63</f>
        <v>0.06014</v>
      </c>
      <c r="R100" s="87" t="n">
        <f aca="false">(F100+Q100)/'Input data fish and seafood'!$H$15</f>
        <v>2.66725274009309</v>
      </c>
      <c r="S100" s="89" t="n">
        <f aca="false">'Common input data'!B94</f>
        <v>0.1</v>
      </c>
      <c r="T100" s="275" t="n">
        <f aca="false">'Input data fish and seafood'!B111*'Common input data'!B98+'Common input data'!C98</f>
        <v>0.08</v>
      </c>
    </row>
    <row r="101" customFormat="false" ht="14.4" hidden="false" customHeight="false" outlineLevel="0" collapsed="false">
      <c r="A101" s="99"/>
      <c r="C101" s="31"/>
      <c r="D101" s="85" t="s">
        <v>135</v>
      </c>
      <c r="E101" s="86" t="n">
        <v>0</v>
      </c>
      <c r="F101" s="121" t="n">
        <f aca="false">SUM(H101:J101,M101:P101)</f>
        <v>0.000528666429599386</v>
      </c>
      <c r="G101" s="118" t="n">
        <f aca="false">SUM(R101:T101)/(1-'Common input data'!B$125)</f>
        <v>0.0013215741915528</v>
      </c>
      <c r="H101" s="87" t="n">
        <v>0</v>
      </c>
      <c r="I101" s="87" t="n">
        <v>0</v>
      </c>
      <c r="J101" s="87" t="n">
        <v>0</v>
      </c>
      <c r="K101" s="87" t="n">
        <v>0</v>
      </c>
      <c r="L101" s="87" t="n">
        <v>0</v>
      </c>
      <c r="M101" s="87" t="n">
        <v>0</v>
      </c>
      <c r="N101" s="87" t="n">
        <v>0</v>
      </c>
      <c r="O101" s="290" t="n">
        <f aca="false">'Input data fish and seafood'!G15*'Input data fish and seafood'!B43</f>
        <v>0.000528666429599386</v>
      </c>
      <c r="P101" s="87" t="n">
        <v>0</v>
      </c>
      <c r="Q101" s="89" t="n">
        <v>0</v>
      </c>
      <c r="R101" s="87" t="n">
        <f aca="false">(F101+Q101)/'Input data fish and seafood'!$H$15</f>
        <v>0.00112482219063699</v>
      </c>
      <c r="S101" s="89" t="n">
        <v>0</v>
      </c>
      <c r="T101" s="275" t="n">
        <v>0</v>
      </c>
    </row>
    <row r="102" customFormat="false" ht="14.4" hidden="false" customHeight="false" outlineLevel="0" collapsed="false">
      <c r="A102" s="99"/>
      <c r="C102" s="87"/>
      <c r="D102" s="31" t="s">
        <v>136</v>
      </c>
      <c r="E102" s="86" t="n">
        <v>0</v>
      </c>
      <c r="F102" s="121" t="n">
        <f aca="false">SUM(H102:J102,M102:P102)</f>
        <v>3.20689716438522E-005</v>
      </c>
      <c r="G102" s="118" t="n">
        <f aca="false">SUM(R102:T102)/(1-'Common input data'!B$125)</f>
        <v>8.01668555090011E-005</v>
      </c>
      <c r="H102" s="87" t="n">
        <v>0</v>
      </c>
      <c r="I102" s="87" t="n">
        <v>0</v>
      </c>
      <c r="J102" s="87" t="n">
        <v>0</v>
      </c>
      <c r="K102" s="87" t="n">
        <v>0</v>
      </c>
      <c r="L102" s="87" t="n">
        <v>0</v>
      </c>
      <c r="M102" s="87" t="n">
        <v>0</v>
      </c>
      <c r="N102" s="87" t="n">
        <v>0</v>
      </c>
      <c r="O102" s="87" t="n">
        <f aca="false">'Input data fish and seafood'!G15*'Input data fish and seafood'!B44</f>
        <v>3.20689716438522E-005</v>
      </c>
      <c r="P102" s="87" t="n">
        <v>0</v>
      </c>
      <c r="Q102" s="291" t="n">
        <v>0</v>
      </c>
      <c r="R102" s="87" t="n">
        <f aca="false">(F102+Q102)/'Input data fish and seafood'!$H$15</f>
        <v>6.82318545613876E-005</v>
      </c>
      <c r="S102" s="102" t="n">
        <v>0</v>
      </c>
      <c r="T102" s="275" t="n">
        <v>0</v>
      </c>
    </row>
    <row r="103" customFormat="false" ht="14.4" hidden="false" customHeight="false" outlineLevel="0" collapsed="false">
      <c r="A103" s="99"/>
      <c r="B103" s="31"/>
      <c r="C103" s="87"/>
      <c r="D103" s="31" t="s">
        <v>207</v>
      </c>
      <c r="E103" s="86" t="n">
        <v>0</v>
      </c>
      <c r="F103" s="121" t="n">
        <f aca="false">SUM(H103:J103,M103:P103)</f>
        <v>0.00024</v>
      </c>
      <c r="G103" s="118" t="n">
        <f aca="false">SUM(R103:T103)/(1-'Common input data'!B$125)</f>
        <v>0.000599958287900034</v>
      </c>
      <c r="H103" s="87" t="n">
        <v>0</v>
      </c>
      <c r="I103" s="87" t="n">
        <v>0</v>
      </c>
      <c r="J103" s="87" t="n">
        <v>0</v>
      </c>
      <c r="K103" s="87" t="n">
        <v>0</v>
      </c>
      <c r="L103" s="87" t="n">
        <v>0</v>
      </c>
      <c r="M103" s="87" t="n">
        <v>0</v>
      </c>
      <c r="N103" s="87" t="n">
        <v>0</v>
      </c>
      <c r="O103" s="87" t="n">
        <v>0</v>
      </c>
      <c r="P103" s="87" t="n">
        <f aca="false">'Input data fish and seafood'!C49</f>
        <v>0.00024</v>
      </c>
      <c r="Q103" s="89" t="n">
        <v>0</v>
      </c>
      <c r="R103" s="87" t="n">
        <f aca="false">(F103+Q103)/'Input data fish and seafood'!$H$15</f>
        <v>0.000510638297872341</v>
      </c>
      <c r="S103" s="89" t="n">
        <v>0</v>
      </c>
      <c r="T103" s="275" t="n">
        <v>0</v>
      </c>
    </row>
    <row r="104" customFormat="false" ht="14.4" hidden="false" customHeight="false" outlineLevel="0" collapsed="false">
      <c r="A104" s="161" t="s">
        <v>225</v>
      </c>
      <c r="B104" s="289" t="s">
        <v>222</v>
      </c>
      <c r="C104" s="289" t="n">
        <f aca="false">'Input data fish and seafood'!E16</f>
        <v>0.1</v>
      </c>
      <c r="D104" s="78" t="s">
        <v>133</v>
      </c>
      <c r="E104" s="276" t="n">
        <f aca="false">IF($F$1="GWP100 without fb",E105+E106*'Common input data'!$C$5+E107*'Common input data'!$D$5+E108*'Common input data'!$E$5,IF($F$1="GWP100 with fb",E105+E106*'Common input data'!$C$6+E107*'Common input data'!$D$6+E108*'Common input data'!$E$6,IF($F$1="GTP100 without fb",E105+E106*'Common input data'!$C$7+E107*'Common input data'!$D$7+E108*'Common input data'!$E$7,IF($F$1="GTP100 with fb",E105+E106*'Common input data'!$C$8+E107*'Common input data'!$D$8+E108*'Common input data'!$E$8,E105+E106*'Common input data'!$C$9+E107*'Common input data'!$D$9+E108*'Common input data'!$E$9))))</f>
        <v>0</v>
      </c>
      <c r="F104" s="277" t="n">
        <f aca="false">IF($F$1="GWP100 without fb",F105+F106*'Common input data'!$C$5+F107*'Common input data'!$D$5+F108*'Common input data'!$E$5,IF($F$1="GWP100 with fb",F105+F106*'Common input data'!$C$6+F107*'Common input data'!$D$6+F108*'Common input data'!$E$6,IF($F$1="GTP100 without fb",F105+F106*'Common input data'!$C$7+F107*'Common input data'!$D$7+F108*'Common input data'!$E$7,IF($F$1="GTP100 with fb",F105+F106*'Common input data'!$C$8+F107*'Common input data'!$D$8+F108*'Common input data'!$E$8,F105+F106*'Common input data'!$C$9+F107*'Common input data'!$D$9+F108*'Common input data'!$E$9))))</f>
        <v>1.46244</v>
      </c>
      <c r="G104" s="278" t="n">
        <f aca="false">IF($F$1="GWP100 without fb",G105+G106*'Common input data'!$C$5+G107*'Common input data'!$D$5+G108*'Common input data'!$E$5,IF($F$1="GWP100 with fb",G105+G106*'Common input data'!$C$6+G107*'Common input data'!$D$6+G108*'Common input data'!$E$6,IF($F$1="GTP100 without fb",G105+G106*'Common input data'!$C$7+G107*'Common input data'!$D$7+G108*'Common input data'!$E$7,IF($F$1="GTP100 with fb",G105+G106*'Common input data'!$C$8+G107*'Common input data'!$D$8+G108*'Common input data'!$E$8,G105+G106*'Common input data'!$C$9+G107*'Common input data'!$D$9+G108*'Common input data'!$E$9))))</f>
        <v>4.01767067144657</v>
      </c>
      <c r="H104" s="95"/>
      <c r="I104" s="97"/>
      <c r="J104" s="97"/>
      <c r="K104" s="279"/>
      <c r="L104" s="279"/>
      <c r="M104" s="279"/>
      <c r="N104" s="279"/>
      <c r="O104" s="279"/>
      <c r="P104" s="279"/>
      <c r="Q104" s="279"/>
      <c r="R104" s="279"/>
      <c r="S104" s="279"/>
      <c r="T104" s="280"/>
    </row>
    <row r="105" customFormat="false" ht="14.4" hidden="false" customHeight="false" outlineLevel="0" collapsed="false">
      <c r="A105" s="99"/>
      <c r="B105" s="31"/>
      <c r="C105" s="122"/>
      <c r="D105" s="85" t="s">
        <v>134</v>
      </c>
      <c r="E105" s="264" t="n">
        <f aca="false">IF(AND($F$2="No",$F$3="No"),SUM(J105),IF(AND($F$2="Yes", $F$3="No"), SUM(J105)+L105, IF(AND($F$2="No", $F$3="Yes"),SUM(J105)+K105, SUM(J105)+L105+K105)))</f>
        <v>0</v>
      </c>
      <c r="F105" s="121" t="n">
        <f aca="false">IF(AND($F$2="No",$F$3="No"),SUM(H105:J105,M105:P105),IF(AND($F$2="Yes", $F$3="No"), SUM(H105:J105,M105:P105)+L105, IF(AND($F$2="No", $F$3="Yes"),SUM(H105:J105,M105:P105)+K105, SUM(H105:J105,M105:P105)+L105+K105)))</f>
        <v>0.935421482364022</v>
      </c>
      <c r="G105" s="118" t="n">
        <f aca="false">SUM(R105:T105)/(1-'Common input data'!B$125)</f>
        <v>2.70021597339451</v>
      </c>
      <c r="H105" s="87" t="n">
        <v>0</v>
      </c>
      <c r="I105" s="87" t="n">
        <v>0</v>
      </c>
      <c r="J105" s="87" t="n">
        <v>0</v>
      </c>
      <c r="K105" s="87" t="n">
        <v>0</v>
      </c>
      <c r="L105" s="87" t="n">
        <v>0</v>
      </c>
      <c r="M105" s="87" t="n">
        <v>0</v>
      </c>
      <c r="N105" s="87" t="n">
        <v>0</v>
      </c>
      <c r="O105" s="87" t="n">
        <f aca="false">'Input data fish and seafood'!G16*'Input data fish and seafood'!B42</f>
        <v>0.935421482364022</v>
      </c>
      <c r="P105" s="87" t="n">
        <v>0</v>
      </c>
      <c r="Q105" s="87" t="n">
        <f aca="false">'Input data fish and seafood'!B89*'Input data fish and seafood'!B97*'Common input data'!B63</f>
        <v>0.06014</v>
      </c>
      <c r="R105" s="87" t="n">
        <f aca="false">(F105+Q105)/'Input data fish and seafood'!$H$16</f>
        <v>2.11821591992345</v>
      </c>
      <c r="S105" s="87" t="n">
        <f aca="false">'Common input data'!B94</f>
        <v>0.1</v>
      </c>
      <c r="T105" s="275" t="n">
        <f aca="false">'Input data fish and seafood'!B111*'Common input data'!B98+'Common input data'!C98</f>
        <v>0.08</v>
      </c>
    </row>
    <row r="106" customFormat="false" ht="14.4" hidden="false" customHeight="false" outlineLevel="0" collapsed="false">
      <c r="A106" s="99"/>
      <c r="B106" s="31"/>
      <c r="C106" s="31"/>
      <c r="D106" s="85" t="s">
        <v>135</v>
      </c>
      <c r="E106" s="86" t="n">
        <v>0</v>
      </c>
      <c r="F106" s="121" t="n">
        <f aca="false">SUM(H106:J106,M106:P106)</f>
        <v>0.00041436017455087</v>
      </c>
      <c r="G106" s="118" t="n">
        <f aca="false">SUM(R106:T106)/(1-'Common input data'!B$125)</f>
        <v>0.00103582842040625</v>
      </c>
      <c r="H106" s="87" t="n">
        <v>0</v>
      </c>
      <c r="I106" s="87" t="n">
        <v>0</v>
      </c>
      <c r="J106" s="87" t="n">
        <v>0</v>
      </c>
      <c r="K106" s="87" t="n">
        <v>0</v>
      </c>
      <c r="L106" s="87" t="n">
        <v>0</v>
      </c>
      <c r="M106" s="87" t="n">
        <v>0</v>
      </c>
      <c r="N106" s="87" t="n">
        <v>0</v>
      </c>
      <c r="O106" s="87" t="n">
        <f aca="false">'Input data fish and seafood'!G16*'Input data fish and seafood'!B43</f>
        <v>0.00041436017455087</v>
      </c>
      <c r="P106" s="87" t="n">
        <v>0</v>
      </c>
      <c r="Q106" s="87" t="n">
        <v>0</v>
      </c>
      <c r="R106" s="87" t="n">
        <f aca="false">(F106+Q106)/'Input data fish and seafood'!$H$16</f>
        <v>0.000881617392661426</v>
      </c>
      <c r="S106" s="87" t="n">
        <v>0</v>
      </c>
      <c r="T106" s="275" t="n">
        <v>0</v>
      </c>
    </row>
    <row r="107" customFormat="false" ht="14.4" hidden="false" customHeight="false" outlineLevel="0" collapsed="false">
      <c r="A107" s="99"/>
      <c r="B107" s="31"/>
      <c r="C107" s="87"/>
      <c r="D107" s="31" t="s">
        <v>136</v>
      </c>
      <c r="E107" s="86" t="n">
        <v>0</v>
      </c>
      <c r="F107" s="121" t="n">
        <f aca="false">SUM(H107:J107,M107:P107)</f>
        <v>2.51351399370733E-005</v>
      </c>
      <c r="G107" s="118" t="n">
        <f aca="false">SUM(R107:T107)/(1-'Common input data'!B$125)</f>
        <v>6.28334813448928E-005</v>
      </c>
      <c r="H107" s="87" t="n">
        <v>0</v>
      </c>
      <c r="I107" s="87" t="n">
        <v>0</v>
      </c>
      <c r="J107" s="87" t="n">
        <v>0</v>
      </c>
      <c r="K107" s="87" t="n">
        <v>0</v>
      </c>
      <c r="L107" s="87" t="n">
        <v>0</v>
      </c>
      <c r="M107" s="87" t="n">
        <v>0</v>
      </c>
      <c r="N107" s="87" t="n">
        <v>0</v>
      </c>
      <c r="O107" s="87" t="n">
        <f aca="false">'Input data fish and seafood'!G16*'Input data fish and seafood'!B44</f>
        <v>2.51351399370733E-005</v>
      </c>
      <c r="P107" s="87" t="n">
        <v>0</v>
      </c>
      <c r="Q107" s="87" t="n">
        <v>0</v>
      </c>
      <c r="R107" s="87" t="n">
        <f aca="false">(F107+Q107)/'Input data fish and seafood'!$H$16</f>
        <v>5.34790211427092E-005</v>
      </c>
      <c r="S107" s="87" t="n">
        <v>0</v>
      </c>
      <c r="T107" s="275" t="n">
        <v>0</v>
      </c>
    </row>
    <row r="108" customFormat="false" ht="14.4" hidden="false" customHeight="false" outlineLevel="0" collapsed="false">
      <c r="A108" s="99"/>
      <c r="B108" s="31"/>
      <c r="C108" s="87"/>
      <c r="D108" s="31" t="s">
        <v>207</v>
      </c>
      <c r="E108" s="86" t="n">
        <v>0</v>
      </c>
      <c r="F108" s="121" t="n">
        <f aca="false">SUM(H108:J108,M108:P108)</f>
        <v>0.00024</v>
      </c>
      <c r="G108" s="118" t="n">
        <f aca="false">SUM(R108:T108)/(1-'Common input data'!B$125)</f>
        <v>0.000599958287900034</v>
      </c>
      <c r="H108" s="87" t="n">
        <v>0</v>
      </c>
      <c r="I108" s="87" t="n">
        <v>0</v>
      </c>
      <c r="J108" s="87" t="n">
        <v>0</v>
      </c>
      <c r="K108" s="87" t="n">
        <v>0</v>
      </c>
      <c r="L108" s="87" t="n">
        <v>0</v>
      </c>
      <c r="M108" s="87" t="n">
        <v>0</v>
      </c>
      <c r="N108" s="87" t="n">
        <v>0</v>
      </c>
      <c r="O108" s="87" t="n">
        <v>0</v>
      </c>
      <c r="P108" s="87" t="n">
        <f aca="false">'Input data fish and seafood'!C49</f>
        <v>0.00024</v>
      </c>
      <c r="Q108" s="87" t="n">
        <v>0</v>
      </c>
      <c r="R108" s="87" t="n">
        <f aca="false">(F108+Q108)/'Input data fish and seafood'!$H$16</f>
        <v>0.000510638297872341</v>
      </c>
      <c r="S108" s="87" t="n">
        <v>0</v>
      </c>
      <c r="T108" s="275" t="n">
        <v>0</v>
      </c>
    </row>
    <row r="109" customFormat="false" ht="14.4" hidden="false" customHeight="false" outlineLevel="0" collapsed="false">
      <c r="A109" s="161" t="s">
        <v>225</v>
      </c>
      <c r="B109" s="289" t="s">
        <v>214</v>
      </c>
      <c r="C109" s="289" t="n">
        <f aca="false">'Input data fish and seafood'!E17</f>
        <v>0.1</v>
      </c>
      <c r="D109" s="78" t="s">
        <v>133</v>
      </c>
      <c r="E109" s="276" t="n">
        <f aca="false">IF($F$1="GWP100 without fb",E110+E111*'Common input data'!$C$5+E112*'Common input data'!$D$5+E113*'Common input data'!$E$5,IF($F$1="GWP100 with fb",E110+E111*'Common input data'!$C$6+E112*'Common input data'!$D$6+E113*'Common input data'!$E$6,IF($F$1="GTP100 without fb",E110+E111*'Common input data'!$C$7+E112*'Common input data'!$D$7+E113*'Common input data'!$E$7,IF($F$1="GTP100 with fb",E110+E111*'Common input data'!$C$8+E112*'Common input data'!$D$8+E113*'Common input data'!$E$8,E110+E111*'Common input data'!$C$9+E112*'Common input data'!$D$9+E113*'Common input data'!$E$9))))</f>
        <v>0</v>
      </c>
      <c r="F109" s="277" t="n">
        <f aca="false">IF($F$1="GWP100 without fb",F110+F111*'Common input data'!$C$5+F112*'Common input data'!$D$5+F113*'Common input data'!$E$5,IF($F$1="GWP100 with fb",F110+F111*'Common input data'!$C$6+F112*'Common input data'!$D$6+F113*'Common input data'!$E$6,IF($F$1="GTP100 without fb",F110+F111*'Common input data'!$C$7+F112*'Common input data'!$D$7+F113*'Common input data'!$E$7,IF($F$1="GTP100 with fb",F110+F111*'Common input data'!$C$8+F112*'Common input data'!$D$8+F113*'Common input data'!$E$8,F110+F111*'Common input data'!$C$9+F112*'Common input data'!$D$9+F113*'Common input data'!$E$9))))</f>
        <v>1.82544</v>
      </c>
      <c r="G109" s="278" t="n">
        <f aca="false">IF($F$1="GWP100 without fb",G110+G111*'Common input data'!$C$5+G112*'Common input data'!$D$5+G113*'Common input data'!$E$5,IF($F$1="GWP100 with fb",G110+G111*'Common input data'!$C$6+G112*'Common input data'!$D$6+G113*'Common input data'!$E$6,IF($F$1="GTP100 without fb",G110+G111*'Common input data'!$C$7+G112*'Common input data'!$D$7+G113*'Common input data'!$E$7,IF($F$1="GTP100 with fb",G110+G111*'Common input data'!$C$8+G112*'Common input data'!$D$8+G113*'Common input data'!$E$8,G110+G111*'Common input data'!$C$9+G112*'Common input data'!$D$9+G113*'Common input data'!$E$9))))</f>
        <v>4.92510758189537</v>
      </c>
      <c r="H109" s="95"/>
      <c r="I109" s="97"/>
      <c r="J109" s="97"/>
      <c r="K109" s="279"/>
      <c r="L109" s="279"/>
      <c r="M109" s="279"/>
      <c r="N109" s="279"/>
      <c r="O109" s="279"/>
      <c r="P109" s="279"/>
      <c r="Q109" s="279"/>
      <c r="R109" s="279"/>
      <c r="S109" s="279"/>
      <c r="T109" s="280"/>
    </row>
    <row r="110" customFormat="false" ht="14.4" hidden="false" customHeight="false" outlineLevel="0" collapsed="false">
      <c r="A110" s="99"/>
      <c r="B110" s="31"/>
      <c r="C110" s="122"/>
      <c r="D110" s="85" t="s">
        <v>134</v>
      </c>
      <c r="E110" s="264" t="n">
        <f aca="false">IF(AND($F$2="No",$F$3="No"),SUM(J110),IF(AND($F$2="Yes", $F$3="No"), SUM(J110)+L110, IF(AND($F$2="No", $F$3="Yes"),SUM(J110)+K110, SUM(J110)+L110+K110)))</f>
        <v>0</v>
      </c>
      <c r="F110" s="121" t="n">
        <f aca="false">IF(AND($F$2="No",$F$3="No"),SUM(H110:J110,M110:P110),IF(AND($F$2="Yes", $F$3="No"), SUM(H110:J110,M110:P110)+L110, IF(AND($F$2="No", $F$3="Yes"),SUM(H110:J110,M110:P110)+K110, SUM(H110:J110,M110:P110)+L110+K110)))</f>
        <v>1.29023652739865</v>
      </c>
      <c r="G110" s="118" t="n">
        <f aca="false">SUM(R110:T110)/(1-'Common input data'!B$125)</f>
        <v>3.58719191897846</v>
      </c>
      <c r="H110" s="87" t="n">
        <v>0</v>
      </c>
      <c r="I110" s="87" t="n">
        <v>0</v>
      </c>
      <c r="J110" s="87" t="n">
        <v>0</v>
      </c>
      <c r="K110" s="87" t="n">
        <v>0</v>
      </c>
      <c r="L110" s="87" t="n">
        <v>0</v>
      </c>
      <c r="M110" s="87" t="n">
        <v>0</v>
      </c>
      <c r="N110" s="87" t="n">
        <v>0</v>
      </c>
      <c r="O110" s="87" t="n">
        <f aca="false">'Input data fish and seafood'!G17*'Input data fish and seafood'!B42</f>
        <v>1.29023652739865</v>
      </c>
      <c r="P110" s="87" t="n">
        <v>0</v>
      </c>
      <c r="Q110" s="87" t="n">
        <f aca="false">'Input data fish and seafood'!B89*'Input data fish and seafood'!B97*'Common input data'!B63</f>
        <v>0.06014</v>
      </c>
      <c r="R110" s="87" t="n">
        <f aca="false">(F110+Q110)/'Input data fish and seafood'!$H$17</f>
        <v>2.87314154765671</v>
      </c>
      <c r="S110" s="87" t="n">
        <f aca="false">'Common input data'!B94</f>
        <v>0.1</v>
      </c>
      <c r="T110" s="275" t="n">
        <f aca="false">'Input data fish and seafood'!B111*'Common input data'!B98+'Common input data'!C98</f>
        <v>0.08</v>
      </c>
    </row>
    <row r="111" customFormat="false" ht="14.4" hidden="false" customHeight="false" outlineLevel="0" collapsed="false">
      <c r="A111" s="99"/>
      <c r="B111" s="31"/>
      <c r="C111" s="31"/>
      <c r="D111" s="85" t="s">
        <v>135</v>
      </c>
      <c r="E111" s="86" t="n">
        <v>0</v>
      </c>
      <c r="F111" s="121" t="n">
        <f aca="false">SUM(H111:J111,M111:P111)</f>
        <v>0.00057153127524258</v>
      </c>
      <c r="G111" s="118" t="n">
        <f aca="false">SUM(R111:T111)/(1-'Common input data'!B$125)</f>
        <v>0.00142872885573275</v>
      </c>
      <c r="H111" s="87" t="n">
        <v>0</v>
      </c>
      <c r="I111" s="87" t="n">
        <v>0</v>
      </c>
      <c r="J111" s="87" t="n">
        <v>0</v>
      </c>
      <c r="K111" s="87" t="n">
        <v>0</v>
      </c>
      <c r="L111" s="87" t="n">
        <v>0</v>
      </c>
      <c r="M111" s="87" t="n">
        <v>0</v>
      </c>
      <c r="N111" s="87" t="n">
        <v>0</v>
      </c>
      <c r="O111" s="87" t="n">
        <f aca="false">'Input data fish and seafood'!G17*'Input data fish and seafood'!B43</f>
        <v>0.00057153127524258</v>
      </c>
      <c r="P111" s="87" t="n">
        <v>0</v>
      </c>
      <c r="Q111" s="87" t="n">
        <v>0</v>
      </c>
      <c r="R111" s="87" t="n">
        <f aca="false">(F111+Q111)/'Input data fish and seafood'!$H$17</f>
        <v>0.00121602398987783</v>
      </c>
      <c r="S111" s="87" t="n">
        <v>0</v>
      </c>
      <c r="T111" s="275" t="n">
        <v>0</v>
      </c>
    </row>
    <row r="112" customFormat="false" ht="14.4" hidden="false" customHeight="false" outlineLevel="0" collapsed="false">
      <c r="A112" s="99"/>
      <c r="B112" s="31"/>
      <c r="C112" s="87"/>
      <c r="D112" s="31" t="s">
        <v>136</v>
      </c>
      <c r="E112" s="86" t="n">
        <v>0</v>
      </c>
      <c r="F112" s="121" t="n">
        <f aca="false">SUM(H112:J112,M112:P112)</f>
        <v>3.46691585338942E-005</v>
      </c>
      <c r="G112" s="118" t="n">
        <f aca="false">SUM(R112:T112)/(1-'Common input data'!B$125)</f>
        <v>8.66668708205418E-005</v>
      </c>
      <c r="H112" s="87" t="n">
        <v>0</v>
      </c>
      <c r="I112" s="87" t="n">
        <v>0</v>
      </c>
      <c r="J112" s="87" t="n">
        <v>0</v>
      </c>
      <c r="K112" s="87" t="n">
        <v>0</v>
      </c>
      <c r="L112" s="87" t="n">
        <v>0</v>
      </c>
      <c r="M112" s="87" t="n">
        <v>0</v>
      </c>
      <c r="N112" s="87" t="n">
        <v>0</v>
      </c>
      <c r="O112" s="87" t="n">
        <f aca="false">'Input data fish and seafood'!G17*'Input data fish and seafood'!B44</f>
        <v>3.46691585338942E-005</v>
      </c>
      <c r="P112" s="87" t="n">
        <v>0</v>
      </c>
      <c r="Q112" s="87" t="n">
        <v>0</v>
      </c>
      <c r="R112" s="87" t="n">
        <f aca="false">(F112+Q112)/'Input data fish and seafood'!$H$17</f>
        <v>7.3764167093392E-005</v>
      </c>
      <c r="S112" s="87" t="n">
        <v>0</v>
      </c>
      <c r="T112" s="275" t="n">
        <v>0</v>
      </c>
    </row>
    <row r="113" customFormat="false" ht="14.4" hidden="false" customHeight="false" outlineLevel="0" collapsed="false">
      <c r="A113" s="124"/>
      <c r="B113" s="125"/>
      <c r="C113" s="105"/>
      <c r="D113" s="125" t="s">
        <v>207</v>
      </c>
      <c r="E113" s="104" t="n">
        <v>0</v>
      </c>
      <c r="F113" s="255" t="n">
        <f aca="false">SUM(H113:J113,M113:P113)</f>
        <v>0.00024</v>
      </c>
      <c r="G113" s="292" t="n">
        <f aca="false">SUM(R113:T113)/(1-'Common input data'!B$125)</f>
        <v>0.000599958287900034</v>
      </c>
      <c r="H113" s="105" t="n">
        <v>0</v>
      </c>
      <c r="I113" s="105" t="n">
        <v>0</v>
      </c>
      <c r="J113" s="105" t="n">
        <v>0</v>
      </c>
      <c r="K113" s="105" t="n">
        <v>0</v>
      </c>
      <c r="L113" s="105" t="n">
        <v>0</v>
      </c>
      <c r="M113" s="105" t="n">
        <v>0</v>
      </c>
      <c r="N113" s="105" t="n">
        <v>0</v>
      </c>
      <c r="O113" s="105" t="n">
        <v>0</v>
      </c>
      <c r="P113" s="105" t="n">
        <f aca="false">'Input data fish and seafood'!C49</f>
        <v>0.00024</v>
      </c>
      <c r="Q113" s="105" t="n">
        <v>0</v>
      </c>
      <c r="R113" s="105" t="n">
        <f aca="false">(F113+Q113)/'Input data fish and seafood'!$H$17</f>
        <v>0.000510638297872341</v>
      </c>
      <c r="S113" s="105" t="n">
        <v>0</v>
      </c>
      <c r="T113" s="301" t="n">
        <v>0</v>
      </c>
    </row>
    <row r="114" customFormat="false" ht="14.4" hidden="false" customHeight="false" outlineLevel="0" collapsed="false">
      <c r="A114" s="127" t="s">
        <v>226</v>
      </c>
      <c r="B114" s="128"/>
      <c r="C114" s="129"/>
      <c r="D114" s="130"/>
      <c r="E114" s="110" t="s">
        <v>205</v>
      </c>
      <c r="F114" s="111" t="s">
        <v>205</v>
      </c>
      <c r="G114" s="112" t="s">
        <v>206</v>
      </c>
      <c r="H114" s="129"/>
      <c r="I114" s="129"/>
      <c r="J114" s="129"/>
      <c r="K114" s="132"/>
      <c r="L114" s="132"/>
      <c r="M114" s="133"/>
      <c r="N114" s="132"/>
      <c r="O114" s="132"/>
      <c r="P114" s="132"/>
      <c r="Q114" s="132"/>
      <c r="R114" s="132"/>
      <c r="S114" s="132"/>
      <c r="T114" s="287"/>
    </row>
    <row r="115" s="235" customFormat="true" ht="14.4" hidden="false" customHeight="false" outlineLevel="0" collapsed="false">
      <c r="A115" s="134" t="s">
        <v>227</v>
      </c>
      <c r="B115" s="302" t="s">
        <v>213</v>
      </c>
      <c r="C115" s="303" t="n">
        <f aca="false">'Input data fish and seafood'!E18</f>
        <v>1</v>
      </c>
      <c r="D115" s="137" t="s">
        <v>133</v>
      </c>
      <c r="E115" s="243" t="n">
        <f aca="false">IF($F$1="GWP100 without fb",E116+E117*'Common input data'!$C$5+E118*'Common input data'!$D$5+E119*'Common input data'!$E$5,IF($F$1="GWP100 with fb",E116+E117*'Common input data'!$C$6+E118*'Common input data'!$D$6+E119*'Common input data'!$E$6,IF($F$1="GTP100 without fb",E116+E117*'Common input data'!$C$7+E118*'Common input data'!$D$7+E119*'Common input data'!$E$7,IF($F$1="GTP100 with fb",E116+E117*'Common input data'!$C$8+E118*'Common input data'!$D$8+E119*'Common input data'!$E$8,E116+E117*'Common input data'!$C$9+E118*'Common input data'!$D$9+E119*'Common input data'!$E$9))))</f>
        <v>0</v>
      </c>
      <c r="F115" s="244" t="n">
        <f aca="false">IF($F$1="GWP100 without fb",F116+F117*'Common input data'!$C$5+F118*'Common input data'!$D$5+F119*'Common input data'!$E$5,IF($F$1="GWP100 with fb",F116+F117*'Common input data'!$C$6+F118*'Common input data'!$D$6+F119*'Common input data'!$E$6,IF($F$1="GTP100 without fb",F116+F117*'Common input data'!$C$7+F118*'Common input data'!$D$7+F119*'Common input data'!$E$7,IF($F$1="GTP100 with fb",F116+F117*'Common input data'!$C$8+F118*'Common input data'!$D$8+F119*'Common input data'!$E$8,F116+F117*'Common input data'!$C$9+F118*'Common input data'!$D$9+F119*'Common input data'!$E$9))))</f>
        <v>4.30044</v>
      </c>
      <c r="G115" s="245" t="n">
        <f aca="false">IF($F$1="GWP100 without fb",G116+G117*'Common input data'!$C$5+G118*'Common input data'!$D$5+G119*'Common input data'!$E$5,IF($F$1="GWP100 with fb",G116+G117*'Common input data'!$C$6+G118*'Common input data'!$D$6+G119*'Common input data'!$E$6,IF($F$1="GTP100 without fb",G116+G117*'Common input data'!$C$7+G118*'Common input data'!$D$7+G119*'Common input data'!$E$7,IF($F$1="GTP100 with fb",G116+G117*'Common input data'!$C$8+G118*'Common input data'!$D$8+G119*'Common input data'!$E$8,G116+G117*'Common input data'!$C$9+G118*'Common input data'!$D$9+G119*'Common input data'!$E$9))))</f>
        <v>14.4429444653972</v>
      </c>
      <c r="H115" s="80"/>
      <c r="I115" s="261"/>
      <c r="J115" s="261"/>
      <c r="K115" s="262"/>
      <c r="L115" s="262"/>
      <c r="M115" s="262"/>
      <c r="N115" s="262"/>
      <c r="O115" s="262"/>
      <c r="P115" s="262"/>
      <c r="Q115" s="262"/>
      <c r="R115" s="262"/>
      <c r="S115" s="262"/>
      <c r="T115" s="263"/>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c r="GL115" s="30"/>
      <c r="GM115" s="30"/>
      <c r="GN115" s="30"/>
      <c r="GO115" s="30"/>
      <c r="GP115" s="30"/>
      <c r="GQ115" s="30"/>
      <c r="GR115" s="30"/>
      <c r="GS115" s="30"/>
      <c r="GT115" s="30"/>
      <c r="GU115" s="30"/>
      <c r="GV115" s="30"/>
      <c r="GW115" s="30"/>
      <c r="GX115" s="30"/>
      <c r="GY115" s="30"/>
      <c r="GZ115" s="30"/>
      <c r="HA115" s="30"/>
      <c r="HB115" s="30"/>
      <c r="HC115" s="30"/>
      <c r="HD115" s="30"/>
      <c r="HE115" s="30"/>
      <c r="HF115" s="30"/>
      <c r="HG115" s="30"/>
      <c r="HH115" s="30"/>
      <c r="HI115" s="30"/>
      <c r="HJ115" s="30"/>
      <c r="HK115" s="30"/>
      <c r="HL115" s="30"/>
      <c r="HM115" s="30"/>
      <c r="HN115" s="30"/>
      <c r="HO115" s="30"/>
      <c r="HP115" s="30"/>
      <c r="HQ115" s="30"/>
      <c r="HR115" s="30"/>
      <c r="HS115" s="30"/>
      <c r="HT115" s="30"/>
      <c r="HU115" s="30"/>
      <c r="HV115" s="30"/>
      <c r="HW115" s="30"/>
      <c r="HX115" s="30"/>
      <c r="HY115" s="30"/>
      <c r="HZ115" s="30"/>
      <c r="IA115" s="30"/>
      <c r="IB115" s="30"/>
      <c r="IC115" s="30"/>
      <c r="ID115" s="30"/>
      <c r="IE115" s="30"/>
      <c r="IF115" s="30"/>
      <c r="IG115" s="30"/>
      <c r="IH115" s="30"/>
      <c r="II115" s="30"/>
      <c r="IJ115" s="30"/>
      <c r="IK115" s="30"/>
      <c r="IL115" s="30"/>
      <c r="IM115" s="30"/>
      <c r="IN115" s="30"/>
      <c r="IO115" s="30"/>
      <c r="IP115" s="30"/>
      <c r="IQ115" s="30"/>
      <c r="IR115" s="30"/>
      <c r="IS115" s="30"/>
      <c r="IT115" s="30"/>
      <c r="IU115" s="30"/>
      <c r="IV115" s="30"/>
      <c r="IW115" s="30"/>
      <c r="IX115" s="30"/>
      <c r="IY115" s="30"/>
      <c r="IZ115" s="30"/>
      <c r="JA115" s="30"/>
      <c r="JB115" s="30"/>
      <c r="JC115" s="30"/>
      <c r="JD115" s="30"/>
      <c r="JE115" s="30"/>
      <c r="JF115" s="30"/>
      <c r="JG115" s="30"/>
      <c r="JH115" s="30"/>
      <c r="JI115" s="30"/>
      <c r="JJ115" s="30"/>
      <c r="JK115" s="30"/>
      <c r="JL115" s="30"/>
      <c r="JM115" s="30"/>
      <c r="JN115" s="30"/>
      <c r="JO115" s="30"/>
      <c r="JP115" s="30"/>
      <c r="JQ115" s="30"/>
      <c r="JR115" s="30"/>
      <c r="JS115" s="30"/>
      <c r="JT115" s="30"/>
      <c r="JU115" s="30"/>
      <c r="JV115" s="30"/>
      <c r="JW115" s="30"/>
      <c r="JX115" s="30"/>
      <c r="JY115" s="30"/>
      <c r="JZ115" s="30"/>
      <c r="KA115" s="30"/>
      <c r="KB115" s="30"/>
      <c r="KC115" s="30"/>
      <c r="KD115" s="30"/>
      <c r="KE115" s="30"/>
      <c r="KF115" s="30"/>
      <c r="KG115" s="30"/>
      <c r="KH115" s="30"/>
      <c r="KI115" s="30"/>
      <c r="KJ115" s="30"/>
      <c r="KK115" s="30"/>
      <c r="KL115" s="30"/>
      <c r="KM115" s="30"/>
      <c r="KN115" s="30"/>
      <c r="KO115" s="30"/>
      <c r="KP115" s="30"/>
      <c r="KQ115" s="30"/>
      <c r="KR115" s="30"/>
      <c r="KS115" s="30"/>
      <c r="KT115" s="30"/>
      <c r="KU115" s="30"/>
      <c r="KV115" s="30"/>
      <c r="KW115" s="30"/>
      <c r="KX115" s="30"/>
      <c r="KY115" s="30"/>
      <c r="KZ115" s="30"/>
    </row>
    <row r="116" customFormat="false" ht="14.4" hidden="false" customHeight="false" outlineLevel="0" collapsed="false">
      <c r="A116" s="99"/>
      <c r="B116" s="31"/>
      <c r="D116" s="85" t="s">
        <v>134</v>
      </c>
      <c r="E116" s="264" t="n">
        <f aca="false">IF(AND($F$2="No",$F$3="No"),SUM(J116),IF(AND($F$2="Yes", $F$3="No"), SUM(J116)+L116, IF(AND($F$2="No", $F$3="Yes"),SUM(J116)+K116, SUM(J116)+L116+K116)))</f>
        <v>0</v>
      </c>
      <c r="F116" s="121" t="n">
        <f aca="false">IF(AND($F$2="No",$F$3="No"),SUM(H116:J116,M116:P116),IF(AND($F$2="Yes", $F$3="No"), SUM(H116:J116,M116:P116)+L116, IF(AND($F$2="No", $F$3="Yes"),SUM(H116:J116,M116:P116)+K116, SUM(H116:J116,M116:P116)+L116+K116)))</f>
        <v>3.70943001627112</v>
      </c>
      <c r="G116" s="118" t="n">
        <f aca="false">SUM(R116:T116)/(1-'Common input data'!B125)</f>
        <v>12.5140876500522</v>
      </c>
      <c r="H116" s="87" t="n">
        <v>0</v>
      </c>
      <c r="I116" s="87" t="n">
        <v>0</v>
      </c>
      <c r="J116" s="87" t="n">
        <v>0</v>
      </c>
      <c r="K116" s="87" t="n">
        <v>0</v>
      </c>
      <c r="L116" s="87" t="n">
        <v>0</v>
      </c>
      <c r="M116" s="87" t="n">
        <v>0</v>
      </c>
      <c r="N116" s="87" t="n">
        <v>0</v>
      </c>
      <c r="O116" s="87" t="n">
        <f aca="false">'Input data fish and seafood'!G18*'Input data fish and seafood'!B42</f>
        <v>3.70943001627112</v>
      </c>
      <c r="P116" s="87" t="n">
        <v>0</v>
      </c>
      <c r="Q116" s="89" t="n">
        <f aca="false">'Input data fish and seafood'!B89*'Input data fish and seafood'!B98*'Common input data'!B63</f>
        <v>0.06014</v>
      </c>
      <c r="R116" s="87" t="n">
        <f aca="false">(F116+Q116)/'Input data fish and seafood'!$H$18</f>
        <v>10.4710278229753</v>
      </c>
      <c r="S116" s="87" t="n">
        <f aca="false">'Common input data'!B94</f>
        <v>0.1</v>
      </c>
      <c r="T116" s="275" t="n">
        <f aca="false">'Input data fish and seafood'!B112*'Common input data'!B98+'Common input data'!C98</f>
        <v>0.08</v>
      </c>
    </row>
    <row r="117" customFormat="false" ht="14.4" hidden="false" customHeight="false" outlineLevel="0" collapsed="false">
      <c r="A117" s="99"/>
      <c r="B117" s="31"/>
      <c r="C117" s="93"/>
      <c r="D117" s="85" t="s">
        <v>135</v>
      </c>
      <c r="E117" s="86" t="n">
        <v>0</v>
      </c>
      <c r="F117" s="121" t="n">
        <f aca="false">SUM(H117:J117,M117:P117)</f>
        <v>0.00164315241632242</v>
      </c>
      <c r="G117" s="118" t="n">
        <f aca="false">SUM(R117:T117)/(1-'Common input data'!B125)</f>
        <v>0.00536269407308023</v>
      </c>
      <c r="H117" s="87" t="n">
        <v>0</v>
      </c>
      <c r="I117" s="87" t="n">
        <v>0</v>
      </c>
      <c r="J117" s="87" t="n">
        <v>0</v>
      </c>
      <c r="K117" s="87" t="n">
        <v>0</v>
      </c>
      <c r="L117" s="87" t="n">
        <v>0</v>
      </c>
      <c r="M117" s="87" t="n">
        <v>0</v>
      </c>
      <c r="N117" s="87" t="n">
        <v>0</v>
      </c>
      <c r="O117" s="87" t="n">
        <f aca="false">'Input data fish and seafood'!G18*'Input data fish and seafood'!B43</f>
        <v>0.00164315241632242</v>
      </c>
      <c r="P117" s="87" t="n">
        <v>0</v>
      </c>
      <c r="Q117" s="89" t="n">
        <v>0</v>
      </c>
      <c r="R117" s="87" t="n">
        <f aca="false">(F117+Q117)/'Input data fish and seafood'!$H$18</f>
        <v>0.00456431226756227</v>
      </c>
      <c r="S117" s="87" t="n">
        <v>0</v>
      </c>
      <c r="T117" s="275" t="n">
        <v>0</v>
      </c>
    </row>
    <row r="118" customFormat="false" ht="14.4" hidden="false" customHeight="false" outlineLevel="0" collapsed="false">
      <c r="A118" s="100"/>
      <c r="B118" s="101"/>
      <c r="C118" s="87"/>
      <c r="D118" s="31" t="s">
        <v>136</v>
      </c>
      <c r="E118" s="86" t="n">
        <v>0</v>
      </c>
      <c r="F118" s="121" t="n">
        <f aca="false">SUM(H118:J118,M118:P118)</f>
        <v>9.96738307849459E-005</v>
      </c>
      <c r="G118" s="118" t="n">
        <f aca="false">SUM(R118:T118)/(1-'Common input data'!B125)</f>
        <v>0.000325301692211825</v>
      </c>
      <c r="H118" s="87" t="n">
        <v>0</v>
      </c>
      <c r="I118" s="87" t="n">
        <v>0</v>
      </c>
      <c r="J118" s="87" t="n">
        <v>0</v>
      </c>
      <c r="K118" s="87" t="n">
        <v>0</v>
      </c>
      <c r="L118" s="87" t="n">
        <v>0</v>
      </c>
      <c r="M118" s="87" t="n">
        <v>0</v>
      </c>
      <c r="N118" s="87" t="n">
        <v>0</v>
      </c>
      <c r="O118" s="87" t="n">
        <f aca="false">'Input data fish and seafood'!G18*'Input data fish and seafood'!B44</f>
        <v>9.96738307849459E-005</v>
      </c>
      <c r="P118" s="87" t="n">
        <v>0</v>
      </c>
      <c r="Q118" s="89" t="n">
        <v>0</v>
      </c>
      <c r="R118" s="87" t="n">
        <f aca="false">(F118+Q118)/'Input data fish and seafood'!$H$18</f>
        <v>0.000276871752180405</v>
      </c>
      <c r="S118" s="87" t="n">
        <v>0</v>
      </c>
      <c r="T118" s="275" t="n">
        <v>0</v>
      </c>
    </row>
    <row r="119" customFormat="false" ht="14.4" hidden="false" customHeight="false" outlineLevel="0" collapsed="false">
      <c r="A119" s="250"/>
      <c r="B119" s="251"/>
      <c r="C119" s="105"/>
      <c r="D119" s="125" t="s">
        <v>207</v>
      </c>
      <c r="E119" s="104" t="n">
        <v>0</v>
      </c>
      <c r="F119" s="255" t="n">
        <f aca="false">SUM(H119:J119,M119:P119)</f>
        <v>0.00024</v>
      </c>
      <c r="G119" s="292" t="n">
        <f aca="false">SUM(R119:T119)/(1-'Common input data'!B125)</f>
        <v>0.000783278875869489</v>
      </c>
      <c r="H119" s="105" t="n">
        <v>0</v>
      </c>
      <c r="I119" s="105" t="n">
        <v>0</v>
      </c>
      <c r="J119" s="105" t="n">
        <v>0</v>
      </c>
      <c r="K119" s="105" t="n">
        <v>0</v>
      </c>
      <c r="L119" s="105" t="n">
        <v>0</v>
      </c>
      <c r="M119" s="105" t="n">
        <v>0</v>
      </c>
      <c r="N119" s="105" t="n">
        <v>0</v>
      </c>
      <c r="O119" s="105" t="n">
        <v>0</v>
      </c>
      <c r="P119" s="105" t="n">
        <f aca="false">'Input data fish and seafood'!C49</f>
        <v>0.00024</v>
      </c>
      <c r="Q119" s="126" t="n">
        <v>0</v>
      </c>
      <c r="R119" s="105" t="n">
        <f aca="false">(F119+Q119)/'Input data fish and seafood'!$H$18</f>
        <v>0.000666666666666667</v>
      </c>
      <c r="S119" s="105" t="n">
        <v>0</v>
      </c>
      <c r="T119" s="301" t="n">
        <v>0</v>
      </c>
    </row>
    <row r="120" customFormat="false" ht="14.4" hidden="false" customHeight="false" outlineLevel="0" collapsed="false">
      <c r="A120" s="127" t="s">
        <v>228</v>
      </c>
      <c r="B120" s="128"/>
      <c r="C120" s="129"/>
      <c r="D120" s="130"/>
      <c r="E120" s="110" t="s">
        <v>205</v>
      </c>
      <c r="F120" s="111" t="s">
        <v>205</v>
      </c>
      <c r="G120" s="112" t="s">
        <v>206</v>
      </c>
      <c r="H120" s="129"/>
      <c r="I120" s="129"/>
      <c r="J120" s="129"/>
      <c r="K120" s="132"/>
      <c r="L120" s="132"/>
      <c r="M120" s="133"/>
      <c r="N120" s="132"/>
      <c r="O120" s="132"/>
      <c r="P120" s="132"/>
      <c r="Q120" s="132"/>
      <c r="R120" s="132"/>
      <c r="S120" s="132"/>
      <c r="T120" s="287"/>
    </row>
    <row r="121" s="235" customFormat="true" ht="14.4" hidden="false" customHeight="false" outlineLevel="0" collapsed="false">
      <c r="A121" s="134" t="s">
        <v>229</v>
      </c>
      <c r="B121" s="302" t="s">
        <v>221</v>
      </c>
      <c r="C121" s="303" t="n">
        <f aca="false">'Input data fish and seafood'!E20</f>
        <v>1</v>
      </c>
      <c r="D121" s="137" t="s">
        <v>133</v>
      </c>
      <c r="E121" s="243" t="n">
        <f aca="false">IF($F$1="GWP100 without fb",E122+E123*'Common input data'!$C$5+E124*'Common input data'!$D$5+E125*'Common input data'!$E$5,IF($F$1="GWP100 with fb",E122+E123*'Common input data'!$C$6+E124*'Common input data'!$D$6+E125*'Common input data'!$E$6,IF($F$1="GTP100 without fb",E122+E123*'Common input data'!$C$7+E124*'Common input data'!$D$7+E125*'Common input data'!$E$7,IF($F$1="GTP100 with fb",E122+E123*'Common input data'!$C$8+E124*'Common input data'!$D$8+E125*'Common input data'!$E$8,E122+E123*'Common input data'!$C$9+E124*'Common input data'!$D$9+E125*'Common input data'!$E$9))))</f>
        <v>0</v>
      </c>
      <c r="F121" s="244" t="n">
        <f aca="false">IF($F$1="GWP100 without fb",F122+F123*'Common input data'!$C$5+F124*'Common input data'!$D$5+F125*'Common input data'!$E$5,IF($F$1="GWP100 with fb",F122+F123*'Common input data'!$C$6+F124*'Common input data'!$D$6+F125*'Common input data'!$E$6,IF($F$1="GTP100 without fb",F122+F123*'Common input data'!$C$7+F124*'Common input data'!$D$7+F125*'Common input data'!$E$7,IF($F$1="GTP100 with fb",F122+F123*'Common input data'!$C$8+F124*'Common input data'!$D$8+F125*'Common input data'!$E$8,F122+F123*'Common input data'!$C$9+F124*'Common input data'!$D$9+F125*'Common input data'!$E$9))))</f>
        <v>0.573939</v>
      </c>
      <c r="G121" s="245" t="n">
        <f aca="false">IF($F$1="GWP100 without fb",G122+G123*'Common input data'!$C$5+G124*'Common input data'!$D$5+G125*'Common input data'!$E$5,IF($F$1="GWP100 with fb",G122+G123*'Common input data'!$C$6+G124*'Common input data'!$D$6+G125*'Common input data'!$E$6,IF($F$1="GTP100 without fb",G122+G123*'Common input data'!$C$7+G124*'Common input data'!$D$7+G125*'Common input data'!$E$7,IF($F$1="GTP100 with fb",G122+G123*'Common input data'!$C$8+G124*'Common input data'!$D$8+G125*'Common input data'!$E$8,G122+G123*'Common input data'!$C$9+G124*'Common input data'!$D$9+G125*'Common input data'!$E$9))))</f>
        <v>3.37689308784953</v>
      </c>
      <c r="H121" s="80"/>
      <c r="I121" s="261"/>
      <c r="J121" s="261"/>
      <c r="K121" s="262"/>
      <c r="L121" s="262"/>
      <c r="M121" s="262"/>
      <c r="N121" s="262"/>
      <c r="O121" s="262"/>
      <c r="P121" s="262"/>
      <c r="Q121" s="262"/>
      <c r="R121" s="262"/>
      <c r="S121" s="262"/>
      <c r="T121" s="263"/>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c r="GL121" s="30"/>
      <c r="GM121" s="30"/>
      <c r="GN121" s="30"/>
      <c r="GO121" s="30"/>
      <c r="GP121" s="30"/>
      <c r="GQ121" s="30"/>
      <c r="GR121" s="30"/>
      <c r="GS121" s="30"/>
      <c r="GT121" s="30"/>
      <c r="GU121" s="30"/>
      <c r="GV121" s="30"/>
      <c r="GW121" s="30"/>
      <c r="GX121" s="30"/>
      <c r="GY121" s="30"/>
      <c r="GZ121" s="30"/>
      <c r="HA121" s="30"/>
      <c r="HB121" s="30"/>
      <c r="HC121" s="30"/>
      <c r="HD121" s="30"/>
      <c r="HE121" s="30"/>
      <c r="HF121" s="30"/>
      <c r="HG121" s="30"/>
      <c r="HH121" s="30"/>
      <c r="HI121" s="30"/>
      <c r="HJ121" s="30"/>
      <c r="HK121" s="30"/>
      <c r="HL121" s="30"/>
      <c r="HM121" s="30"/>
      <c r="HN121" s="30"/>
      <c r="HO121" s="30"/>
      <c r="HP121" s="30"/>
      <c r="HQ121" s="30"/>
      <c r="HR121" s="30"/>
      <c r="HS121" s="30"/>
      <c r="HT121" s="30"/>
      <c r="HU121" s="30"/>
      <c r="HV121" s="30"/>
      <c r="HW121" s="30"/>
      <c r="HX121" s="30"/>
      <c r="HY121" s="30"/>
      <c r="HZ121" s="30"/>
      <c r="IA121" s="30"/>
      <c r="IB121" s="30"/>
      <c r="IC121" s="30"/>
      <c r="ID121" s="30"/>
      <c r="IE121" s="30"/>
      <c r="IF121" s="30"/>
      <c r="IG121" s="30"/>
      <c r="IH121" s="30"/>
      <c r="II121" s="30"/>
      <c r="IJ121" s="30"/>
      <c r="IK121" s="30"/>
      <c r="IL121" s="30"/>
      <c r="IM121" s="30"/>
      <c r="IN121" s="30"/>
      <c r="IO121" s="30"/>
      <c r="IP121" s="30"/>
      <c r="IQ121" s="30"/>
      <c r="IR121" s="30"/>
      <c r="IS121" s="30"/>
      <c r="IT121" s="30"/>
      <c r="IU121" s="30"/>
      <c r="IV121" s="30"/>
      <c r="IW121" s="30"/>
      <c r="IX121" s="30"/>
      <c r="IY121" s="30"/>
      <c r="IZ121" s="30"/>
      <c r="JA121" s="30"/>
      <c r="JB121" s="30"/>
      <c r="JC121" s="30"/>
      <c r="JD121" s="30"/>
      <c r="JE121" s="30"/>
      <c r="JF121" s="30"/>
      <c r="JG121" s="30"/>
      <c r="JH121" s="30"/>
      <c r="JI121" s="30"/>
      <c r="JJ121" s="30"/>
      <c r="JK121" s="30"/>
      <c r="JL121" s="30"/>
      <c r="JM121" s="30"/>
      <c r="JN121" s="30"/>
      <c r="JO121" s="30"/>
      <c r="JP121" s="30"/>
      <c r="JQ121" s="30"/>
      <c r="JR121" s="30"/>
      <c r="JS121" s="30"/>
      <c r="JT121" s="30"/>
      <c r="JU121" s="30"/>
      <c r="JV121" s="30"/>
      <c r="JW121" s="30"/>
      <c r="JX121" s="30"/>
      <c r="JY121" s="30"/>
      <c r="JZ121" s="30"/>
      <c r="KA121" s="30"/>
      <c r="KB121" s="30"/>
      <c r="KC121" s="30"/>
      <c r="KD121" s="30"/>
      <c r="KE121" s="30"/>
      <c r="KF121" s="30"/>
      <c r="KG121" s="30"/>
      <c r="KH121" s="30"/>
      <c r="KI121" s="30"/>
      <c r="KJ121" s="30"/>
      <c r="KK121" s="30"/>
      <c r="KL121" s="30"/>
      <c r="KM121" s="30"/>
      <c r="KN121" s="30"/>
      <c r="KO121" s="30"/>
      <c r="KP121" s="30"/>
      <c r="KQ121" s="30"/>
      <c r="KR121" s="30"/>
      <c r="KS121" s="30"/>
      <c r="KT121" s="30"/>
      <c r="KU121" s="30"/>
      <c r="KV121" s="30"/>
      <c r="KW121" s="30"/>
      <c r="KX121" s="30"/>
      <c r="KY121" s="30"/>
      <c r="KZ121" s="30"/>
    </row>
    <row r="122" customFormat="false" ht="14.4" hidden="false" customHeight="false" outlineLevel="0" collapsed="false">
      <c r="A122" s="99"/>
      <c r="B122" s="31"/>
      <c r="D122" s="85" t="s">
        <v>134</v>
      </c>
      <c r="E122" s="264" t="n">
        <f aca="false">IF(AND($F$2="No",$F$3="No"),SUM(J122),IF(AND($F$2="Yes", $F$3="No"), SUM(J122)+L122, IF(AND($F$2="No", $F$3="Yes"),SUM(J122)+K122, SUM(J122)+L122+K122)))</f>
        <v>0</v>
      </c>
      <c r="F122" s="121" t="n">
        <f aca="false">IF(AND($F$2="No",$F$3="No"),SUM(H122:J122,M122:P122),IF(AND($F$2="Yes", $F$3="No"), SUM(H122:J122,M122:P122)+L122, IF(AND($F$2="No", $F$3="Yes"),SUM(H122:J122,M122:P122)+K122, SUM(H122:J122,M122:P122)+L122+K122)))</f>
        <v>0.290303218664697</v>
      </c>
      <c r="G122" s="265" t="n">
        <f aca="false">SUM(R122:T122)/(1-'Common input data'!$C$125)</f>
        <v>2.56409095628607</v>
      </c>
      <c r="H122" s="87" t="n">
        <v>0</v>
      </c>
      <c r="I122" s="87" t="n">
        <v>0</v>
      </c>
      <c r="J122" s="87" t="n">
        <v>0</v>
      </c>
      <c r="K122" s="87" t="n">
        <v>0</v>
      </c>
      <c r="L122" s="87" t="n">
        <v>0</v>
      </c>
      <c r="M122" s="87" t="n">
        <v>0</v>
      </c>
      <c r="N122" s="87" t="n">
        <v>0</v>
      </c>
      <c r="O122" s="87" t="n">
        <f aca="false">'Input data fish and seafood'!G20*'Input data fish and seafood'!B42</f>
        <v>0.290303218664697</v>
      </c>
      <c r="P122" s="87" t="n">
        <v>0</v>
      </c>
      <c r="Q122" s="89" t="n">
        <f aca="false">'Input data fish and seafood'!B89*('Input data fish and seafood'!B99*'Common input data'!B63+'Input data fish and seafood'!C99*'Common input data'!C63+'Input data fish and seafood'!D99*'Common input data'!E63+'Input data fish and seafood'!F99*'Common input data'!I63+'Input data fish and seafood'!H99*'Common input data'!K63)</f>
        <v>0.393723064</v>
      </c>
      <c r="R122" s="121" t="n">
        <f aca="false">(F122+Q122)/'Input data fish and seafood'!$H$20</f>
        <v>1.66835678698706</v>
      </c>
      <c r="S122" s="87" t="n">
        <f aca="false">'Common input data'!B94</f>
        <v>0.1</v>
      </c>
      <c r="T122" s="275" t="n">
        <f aca="false">'Input data fish and seafood'!D113*'Common input data'!B106+'Input data fish and seafood'!F113*'Common input data'!B104+'Common input data'!C98</f>
        <v>0.414</v>
      </c>
    </row>
    <row r="123" customFormat="false" ht="14.4" hidden="false" customHeight="false" outlineLevel="0" collapsed="false">
      <c r="A123" s="99"/>
      <c r="B123" s="31"/>
      <c r="C123" s="93"/>
      <c r="D123" s="85" t="s">
        <v>135</v>
      </c>
      <c r="E123" s="86" t="n">
        <v>0</v>
      </c>
      <c r="F123" s="121" t="n">
        <f aca="false">SUM(H123:J123,M123:P123)</f>
        <v>0.00012859453692958</v>
      </c>
      <c r="G123" s="265" t="n">
        <f aca="false">SUM(R123:T123)/(1-'Common input data'!$C$125)</f>
        <v>0.000368507503643265</v>
      </c>
      <c r="H123" s="87" t="n">
        <v>0</v>
      </c>
      <c r="I123" s="87" t="n">
        <v>0</v>
      </c>
      <c r="J123" s="87" t="n">
        <v>0</v>
      </c>
      <c r="K123" s="87" t="n">
        <v>0</v>
      </c>
      <c r="L123" s="87" t="n">
        <v>0</v>
      </c>
      <c r="M123" s="87" t="n">
        <v>0</v>
      </c>
      <c r="N123" s="87" t="n">
        <v>0</v>
      </c>
      <c r="O123" s="87" t="n">
        <f aca="false">'Input data fish and seafood'!G20*'Input data fish and seafood'!B43</f>
        <v>0.00012859453692958</v>
      </c>
      <c r="P123" s="87" t="n">
        <v>0</v>
      </c>
      <c r="Q123" s="89" t="n">
        <v>0</v>
      </c>
      <c r="R123" s="121" t="n">
        <f aca="false">(F123+Q123)/'Input data fish and seafood'!$H$20</f>
        <v>0.000313645212023367</v>
      </c>
      <c r="S123" s="87" t="n">
        <v>0</v>
      </c>
      <c r="T123" s="275" t="n">
        <v>0</v>
      </c>
    </row>
    <row r="124" customFormat="false" ht="14.4" hidden="false" customHeight="false" outlineLevel="0" collapsed="false">
      <c r="A124" s="100"/>
      <c r="B124" s="101"/>
      <c r="C124" s="87"/>
      <c r="D124" s="31" t="s">
        <v>136</v>
      </c>
      <c r="E124" s="86" t="n">
        <v>0</v>
      </c>
      <c r="F124" s="121" t="n">
        <f aca="false">SUM(H124:J124,M124:P124)</f>
        <v>7.8005606701262E-006</v>
      </c>
      <c r="G124" s="265" t="n">
        <f aca="false">SUM(R124:T124)/(1-'Common input data'!$C$125)</f>
        <v>2.2353711193347E-005</v>
      </c>
      <c r="H124" s="87" t="n">
        <v>0</v>
      </c>
      <c r="I124" s="87" t="n">
        <v>0</v>
      </c>
      <c r="J124" s="87" t="n">
        <v>0</v>
      </c>
      <c r="K124" s="87" t="n">
        <v>0</v>
      </c>
      <c r="L124" s="87" t="n">
        <v>0</v>
      </c>
      <c r="M124" s="87" t="n">
        <v>0</v>
      </c>
      <c r="N124" s="87" t="n">
        <v>0</v>
      </c>
      <c r="O124" s="87" t="n">
        <f aca="false">'Input data fish and seafood'!G20*'Input data fish and seafood'!B44</f>
        <v>7.8005606701262E-006</v>
      </c>
      <c r="P124" s="87" t="n">
        <v>0</v>
      </c>
      <c r="Q124" s="89" t="n">
        <v>0</v>
      </c>
      <c r="R124" s="121" t="n">
        <f aca="false">(F124+Q124)/'Input data fish and seafood'!$H$20</f>
        <v>1.90257577320151E-005</v>
      </c>
      <c r="S124" s="87" t="n">
        <v>0</v>
      </c>
      <c r="T124" s="275" t="n">
        <v>0</v>
      </c>
    </row>
    <row r="125" customFormat="false" ht="14.4" hidden="false" customHeight="false" outlineLevel="0" collapsed="false">
      <c r="A125" s="100"/>
      <c r="B125" s="101"/>
      <c r="C125" s="87"/>
      <c r="D125" s="31" t="s">
        <v>207</v>
      </c>
      <c r="E125" s="104" t="n">
        <v>0</v>
      </c>
      <c r="F125" s="255" t="n">
        <f aca="false">SUM(H125:J125,M125:P125)</f>
        <v>0.0001315</v>
      </c>
      <c r="G125" s="267" t="n">
        <f aca="false">SUM(R125:T125)/(1-'Common input data'!$C$125)</f>
        <v>0.000376833556744528</v>
      </c>
      <c r="H125" s="87" t="n">
        <v>0</v>
      </c>
      <c r="I125" s="87" t="n">
        <v>0</v>
      </c>
      <c r="J125" s="87" t="n">
        <v>0</v>
      </c>
      <c r="K125" s="87" t="n">
        <v>0</v>
      </c>
      <c r="L125" s="87" t="n">
        <v>0</v>
      </c>
      <c r="M125" s="87" t="n">
        <v>0</v>
      </c>
      <c r="N125" s="87" t="n">
        <v>0</v>
      </c>
      <c r="O125" s="87" t="n">
        <v>0</v>
      </c>
      <c r="P125" s="87" t="n">
        <f aca="false">AVERAGE('Input data fish and seafood'!B49,'Input data fish and seafood'!C49)</f>
        <v>0.0001315</v>
      </c>
      <c r="Q125" s="89" t="n">
        <v>0</v>
      </c>
      <c r="R125" s="121" t="n">
        <f aca="false">(F125+Q125)/'Input data fish and seafood'!$H$20</f>
        <v>0.000320731707317073</v>
      </c>
      <c r="S125" s="87" t="n">
        <v>0</v>
      </c>
      <c r="T125" s="275" t="n">
        <v>0</v>
      </c>
    </row>
    <row r="126" customFormat="false" ht="14.4" hidden="false" customHeight="false" outlineLevel="0" collapsed="false">
      <c r="A126" s="127" t="s">
        <v>230</v>
      </c>
      <c r="B126" s="128"/>
      <c r="C126" s="129"/>
      <c r="D126" s="130"/>
      <c r="E126" s="110" t="s">
        <v>205</v>
      </c>
      <c r="F126" s="111" t="s">
        <v>205</v>
      </c>
      <c r="G126" s="112" t="s">
        <v>206</v>
      </c>
      <c r="H126" s="129"/>
      <c r="I126" s="129"/>
      <c r="J126" s="129"/>
      <c r="K126" s="304"/>
      <c r="L126" s="304"/>
      <c r="M126" s="133"/>
      <c r="N126" s="304"/>
      <c r="O126" s="304"/>
      <c r="P126" s="304"/>
      <c r="Q126" s="304"/>
      <c r="R126" s="304"/>
      <c r="S126" s="304"/>
      <c r="T126" s="305"/>
    </row>
    <row r="127" s="235" customFormat="true" ht="14.4" hidden="false" customHeight="false" outlineLevel="0" collapsed="false">
      <c r="A127" s="134" t="s">
        <v>137</v>
      </c>
      <c r="B127" s="135" t="s">
        <v>210</v>
      </c>
      <c r="C127" s="136" t="n">
        <f aca="false">'Input data fish and seafood'!E22</f>
        <v>1</v>
      </c>
      <c r="D127" s="137" t="s">
        <v>133</v>
      </c>
      <c r="E127" s="243" t="n">
        <f aca="false">IF($F$1="GWP100 without fb",E128+E129*'Common input data'!$C$5+E130*'Common input data'!$D$5+E131*'Common input data'!$E$5,IF($F$1="GWP100 with fb",E128+E129*'Common input data'!$C$6+E130*'Common input data'!$D$6+E131*'Common input data'!$E$6,IF($F$1="GTP100 without fb",E128+E129*'Common input data'!$C$7+E130*'Common input data'!$D$7+E131*'Common input data'!$E$7,IF($F$1="GTP100 with fb",E128+E129*'Common input data'!$C$8+E130*'Common input data'!$D$8+E131*'Common input data'!$E$8,E128+E129*'Common input data'!$C$9+E130*'Common input data'!$D$9+E131*'Common input data'!$E$9))))</f>
        <v>1.2560196007123</v>
      </c>
      <c r="F127" s="244" t="n">
        <f aca="false">IF($F$1="GWP100 without fb",F128+F129*'Common input data'!$C$5+F130*'Common input data'!$D$5+F131*'Common input data'!$E$5,IF($F$1="GWP100 with fb",F128+F129*'Common input data'!$C$6+F130*'Common input data'!$D$6+F131*'Common input data'!$E$6,IF($F$1="GTP100 without fb",F128+F129*'Common input data'!$C$7+F130*'Common input data'!$D$7+F131*'Common input data'!$E$7,IF($F$1="GTP100 with fb",F128+F129*'Common input data'!$C$8+F130*'Common input data'!$D$8+F131*'Common input data'!$E$8,F128+F129*'Common input data'!$C$9+F130*'Common input data'!$D$9+F131*'Common input data'!$E$9))))</f>
        <v>3.02925928019765</v>
      </c>
      <c r="G127" s="245" t="n">
        <f aca="false">IF($F$1="GWP100 without fb",G128+G129*'Common input data'!$C$5+G130*'Common input data'!$D$5+G131*'Common input data'!$E$5,IF($F$1="GWP100 with fb",G128+G129*'Common input data'!$C$6+G130*'Common input data'!$D$6+G131*'Common input data'!$E$6,IF($F$1="GTP100 without fb",G128+G129*'Common input data'!$C$7+G130*'Common input data'!$D$7+G131*'Common input data'!$E$7,IF($F$1="GTP100 with fb",G128+G129*'Common input data'!$C$8+G130*'Common input data'!$D$8+G131*'Common input data'!$E$8,G128+G129*'Common input data'!$C$9+G130*'Common input data'!$D$9+G131*'Common input data'!$E$9))))</f>
        <v>6.10321772990575</v>
      </c>
      <c r="H127" s="80"/>
      <c r="I127" s="261"/>
      <c r="J127" s="261"/>
      <c r="K127" s="272"/>
      <c r="L127" s="272"/>
      <c r="M127" s="272"/>
      <c r="N127" s="272"/>
      <c r="O127" s="272"/>
      <c r="P127" s="272"/>
      <c r="Q127" s="272"/>
      <c r="R127" s="272"/>
      <c r="S127" s="272"/>
      <c r="T127" s="274"/>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c r="FQ127" s="30"/>
      <c r="FR127" s="30"/>
      <c r="FS127" s="30"/>
      <c r="FT127" s="30"/>
      <c r="FU127" s="30"/>
      <c r="FV127" s="30"/>
      <c r="FW127" s="30"/>
      <c r="FX127" s="30"/>
      <c r="FY127" s="30"/>
      <c r="FZ127" s="30"/>
      <c r="GA127" s="30"/>
      <c r="GB127" s="30"/>
      <c r="GC127" s="30"/>
      <c r="GD127" s="30"/>
      <c r="GE127" s="30"/>
      <c r="GF127" s="30"/>
      <c r="GG127" s="30"/>
      <c r="GH127" s="30"/>
      <c r="GI127" s="30"/>
      <c r="GJ127" s="30"/>
      <c r="GK127" s="30"/>
      <c r="GL127" s="30"/>
      <c r="GM127" s="30"/>
      <c r="GN127" s="30"/>
      <c r="GO127" s="30"/>
      <c r="GP127" s="30"/>
      <c r="GQ127" s="30"/>
      <c r="GR127" s="30"/>
      <c r="GS127" s="30"/>
      <c r="GT127" s="30"/>
      <c r="GU127" s="30"/>
      <c r="GV127" s="30"/>
      <c r="GW127" s="30"/>
      <c r="GX127" s="30"/>
      <c r="GY127" s="30"/>
      <c r="GZ127" s="30"/>
      <c r="HA127" s="30"/>
      <c r="HB127" s="30"/>
      <c r="HC127" s="30"/>
      <c r="HD127" s="30"/>
      <c r="HE127" s="30"/>
      <c r="HF127" s="30"/>
      <c r="HG127" s="30"/>
      <c r="HH127" s="30"/>
      <c r="HI127" s="30"/>
      <c r="HJ127" s="30"/>
      <c r="HK127" s="30"/>
      <c r="HL127" s="30"/>
      <c r="HM127" s="30"/>
      <c r="HN127" s="30"/>
      <c r="HO127" s="30"/>
      <c r="HP127" s="30"/>
      <c r="HQ127" s="30"/>
      <c r="HR127" s="30"/>
      <c r="HS127" s="30"/>
      <c r="HT127" s="30"/>
      <c r="HU127" s="30"/>
      <c r="HV127" s="30"/>
      <c r="HW127" s="30"/>
      <c r="HX127" s="30"/>
      <c r="HY127" s="30"/>
      <c r="HZ127" s="30"/>
      <c r="IA127" s="30"/>
      <c r="IB127" s="30"/>
      <c r="IC127" s="30"/>
      <c r="ID127" s="30"/>
      <c r="IE127" s="30"/>
      <c r="IF127" s="30"/>
      <c r="IG127" s="30"/>
      <c r="IH127" s="30"/>
      <c r="II127" s="30"/>
      <c r="IJ127" s="30"/>
      <c r="IK127" s="30"/>
      <c r="IL127" s="30"/>
      <c r="IM127" s="30"/>
      <c r="IN127" s="30"/>
      <c r="IO127" s="30"/>
      <c r="IP127" s="30"/>
      <c r="IQ127" s="30"/>
      <c r="IR127" s="30"/>
      <c r="IS127" s="30"/>
      <c r="IT127" s="30"/>
      <c r="IU127" s="30"/>
      <c r="IV127" s="30"/>
      <c r="IW127" s="30"/>
      <c r="IX127" s="30"/>
      <c r="IY127" s="30"/>
      <c r="IZ127" s="30"/>
      <c r="JA127" s="30"/>
      <c r="JB127" s="30"/>
      <c r="JC127" s="30"/>
      <c r="JD127" s="30"/>
      <c r="JE127" s="30"/>
      <c r="JF127" s="30"/>
      <c r="JG127" s="30"/>
      <c r="JH127" s="30"/>
      <c r="JI127" s="30"/>
      <c r="JJ127" s="30"/>
      <c r="JK127" s="30"/>
      <c r="JL127" s="30"/>
      <c r="JM127" s="30"/>
      <c r="JN127" s="30"/>
      <c r="JO127" s="30"/>
      <c r="JP127" s="30"/>
      <c r="JQ127" s="30"/>
      <c r="JR127" s="30"/>
      <c r="JS127" s="30"/>
      <c r="JT127" s="30"/>
      <c r="JU127" s="30"/>
      <c r="JV127" s="30"/>
      <c r="JW127" s="30"/>
      <c r="JX127" s="30"/>
      <c r="JY127" s="30"/>
      <c r="JZ127" s="30"/>
      <c r="KA127" s="30"/>
      <c r="KB127" s="30"/>
      <c r="KC127" s="30"/>
      <c r="KD127" s="30"/>
      <c r="KE127" s="30"/>
      <c r="KF127" s="30"/>
      <c r="KG127" s="30"/>
      <c r="KH127" s="30"/>
      <c r="KI127" s="30"/>
      <c r="KJ127" s="30"/>
      <c r="KK127" s="30"/>
      <c r="KL127" s="30"/>
      <c r="KM127" s="30"/>
      <c r="KN127" s="30"/>
      <c r="KO127" s="30"/>
      <c r="KP127" s="30"/>
      <c r="KQ127" s="30"/>
      <c r="KR127" s="30"/>
      <c r="KS127" s="30"/>
      <c r="KT127" s="30"/>
      <c r="KU127" s="30"/>
      <c r="KV127" s="30"/>
      <c r="KW127" s="30"/>
      <c r="KX127" s="30"/>
      <c r="KY127" s="30"/>
      <c r="KZ127" s="30"/>
    </row>
    <row r="128" customFormat="false" ht="14.4" hidden="false" customHeight="false" outlineLevel="0" collapsed="false">
      <c r="A128" s="99"/>
      <c r="B128" s="31"/>
      <c r="C128" s="122"/>
      <c r="D128" s="85" t="s">
        <v>134</v>
      </c>
      <c r="E128" s="264" t="n">
        <f aca="false">IF(AND($F$2="No",$F$3="No"),SUM(J128),IF(AND($F$2="Yes", $F$3="No"), SUM(J128)+L128, IF(AND($F$2="No", $F$3="Yes"),SUM(J128)+K128, SUM(J128)+L128+K128)))</f>
        <v>0.393259280197647</v>
      </c>
      <c r="F128" s="121" t="n">
        <f aca="false">IF(AND($F$2="No",$F$3="No"),SUM(H128:J128,M128:P128),IF(AND($F$2="Yes", $F$3="No"), SUM(H128:J128,M128:P128)+L128, IF(AND($F$2="No", $F$3="Yes"),SUM(H128:J128,M128:P128)+K128, SUM(H128:J128,M128:P128)+L128+K128)))</f>
        <v>1.81592879859425</v>
      </c>
      <c r="G128" s="265" t="n">
        <f aca="false">SUM(R128:T128)/(1-'Common input data'!B125)</f>
        <v>3.76622723231108</v>
      </c>
      <c r="H128" s="87" t="n">
        <f aca="false">'Input data fish and seafood'!C56</f>
        <v>0.09</v>
      </c>
      <c r="I128" s="87" t="n">
        <f aca="false">'Input data fish and seafood'!C63*'Input data fish and seafood'!I22</f>
        <v>1.1866695183966</v>
      </c>
      <c r="J128" s="87" t="n">
        <f aca="false">'Input data fish and seafood'!C67*'Input data fish and seafood'!I22</f>
        <v>0</v>
      </c>
      <c r="K128" s="87" t="n">
        <f aca="false">'Input data fish and seafood'!I22*('Input data fish and seafood'!C75*'Common input data'!C13*'Common input data'!G30+'Input data fish and seafood'!C76*'Common input data'!B13*'Common input data'!G28+'Input data fish and seafood'!C77*'Common input data'!D13*'Common input data'!G26+'Input data fish and seafood'!C78*'Common input data'!C13+'Input data fish and seafood'!C79*'Common input data'!D13*'Input data plant-based products'!B130)</f>
        <v>0.139965291107609</v>
      </c>
      <c r="L128" s="87" t="n">
        <f aca="false">'Common input data'!B21*'Input data fish and seafood'!C75*'Input data fish and seafood'!I22*'Common input data'!G30/'Common input data'!F30</f>
        <v>0.253293989090038</v>
      </c>
      <c r="M128" s="87" t="n">
        <f aca="false">'Input data fish and seafood'!I22*'Common input data'!B81</f>
        <v>0.036</v>
      </c>
      <c r="N128" s="87" t="n">
        <f aca="false">'Input data fish and seafood'!C57</f>
        <v>0.11</v>
      </c>
      <c r="O128" s="87" t="n">
        <v>0</v>
      </c>
      <c r="P128" s="87" t="n">
        <v>0</v>
      </c>
      <c r="Q128" s="87" t="n">
        <f aca="false">'Input data fish and seafood'!B89*'Input data fish and seafood'!B100*'Common input data'!B63</f>
        <v>0.06014</v>
      </c>
      <c r="R128" s="121" t="n">
        <f aca="false">(F128+Q128)/'Input data fish and seafood'!$H$22</f>
        <v>3.0755226206463</v>
      </c>
      <c r="S128" s="87" t="n">
        <f aca="false">'Common input data'!B94</f>
        <v>0.1</v>
      </c>
      <c r="T128" s="275" t="n">
        <f aca="false">'Common input data'!C98</f>
        <v>0.03</v>
      </c>
    </row>
    <row r="129" customFormat="false" ht="14.4" hidden="false" customHeight="false" outlineLevel="0" collapsed="false">
      <c r="A129" s="99"/>
      <c r="B129" s="31"/>
      <c r="C129" s="93"/>
      <c r="D129" s="85" t="s">
        <v>135</v>
      </c>
      <c r="E129" s="86" t="n">
        <f aca="false">J129</f>
        <v>0</v>
      </c>
      <c r="F129" s="121" t="n">
        <f aca="false">SUM(H129:J129,M129:P129)</f>
        <v>0.00027158723558228</v>
      </c>
      <c r="G129" s="265" t="n">
        <f aca="false">SUM(R129:T129)/(1-'Common input data'!B125)</f>
        <v>0.000523102978493582</v>
      </c>
      <c r="H129" s="87" t="n">
        <v>0</v>
      </c>
      <c r="I129" s="87" t="n">
        <f aca="false">'Input data fish and seafood'!C64*'Input data fish and seafood'!I22</f>
        <v>0.00027158723558228</v>
      </c>
      <c r="J129" s="87" t="n">
        <f aca="false">'Input data fish and seafood'!C68*'Input data fish and seafood'!I22</f>
        <v>0</v>
      </c>
      <c r="K129" s="87" t="n">
        <v>0</v>
      </c>
      <c r="L129" s="87" t="n">
        <v>0</v>
      </c>
      <c r="M129" s="87" t="n">
        <v>0</v>
      </c>
      <c r="N129" s="87" t="n">
        <v>0</v>
      </c>
      <c r="O129" s="87" t="n">
        <v>0</v>
      </c>
      <c r="P129" s="87" t="n">
        <v>0</v>
      </c>
      <c r="Q129" s="87" t="n">
        <v>0</v>
      </c>
      <c r="R129" s="121" t="n">
        <f aca="false">(F129+Q129)/'Input data fish and seafood'!$H$22</f>
        <v>0.000445224976364393</v>
      </c>
      <c r="S129" s="87" t="n">
        <v>0</v>
      </c>
      <c r="T129" s="275" t="n">
        <v>0</v>
      </c>
    </row>
    <row r="130" customFormat="false" ht="14.4" hidden="false" customHeight="false" outlineLevel="0" collapsed="false">
      <c r="A130" s="100"/>
      <c r="B130" s="101"/>
      <c r="C130" s="87"/>
      <c r="D130" s="31" t="s">
        <v>136</v>
      </c>
      <c r="E130" s="86" t="n">
        <f aca="false">J130</f>
        <v>0.00289516886078744</v>
      </c>
      <c r="F130" s="121" t="n">
        <f aca="false">SUM(H130:J130,M130:P130)</f>
        <v>0.00404059233420673</v>
      </c>
      <c r="G130" s="265" t="n">
        <f aca="false">SUM(R130:T130)/(1-'Common input data'!B125)</f>
        <v>0.00778256710176472</v>
      </c>
      <c r="H130" s="87" t="n">
        <v>0</v>
      </c>
      <c r="I130" s="87" t="n">
        <f aca="false">'Input data fish and seafood'!C65*'Input data fish and seafood'!I22</f>
        <v>0.00114542347341929</v>
      </c>
      <c r="J130" s="87" t="n">
        <f aca="false">'Input data fish and seafood'!C69*'Input data fish and seafood'!I22</f>
        <v>0.00289516886078744</v>
      </c>
      <c r="K130" s="87" t="n">
        <v>0</v>
      </c>
      <c r="L130" s="87" t="n">
        <v>0</v>
      </c>
      <c r="M130" s="87" t="n">
        <v>0</v>
      </c>
      <c r="N130" s="87" t="n">
        <v>0</v>
      </c>
      <c r="O130" s="87" t="n">
        <v>0</v>
      </c>
      <c r="P130" s="87" t="n">
        <v>0</v>
      </c>
      <c r="Q130" s="87" t="n">
        <v>0</v>
      </c>
      <c r="R130" s="121" t="n">
        <f aca="false">(F130+Q130)/'Input data fish and seafood'!$H$22</f>
        <v>0.00662392185935529</v>
      </c>
      <c r="S130" s="87" t="n">
        <v>0</v>
      </c>
      <c r="T130" s="275" t="n">
        <v>0</v>
      </c>
    </row>
    <row r="131" customFormat="false" ht="14.4" hidden="false" customHeight="false" outlineLevel="0" collapsed="false">
      <c r="A131" s="250"/>
      <c r="B131" s="251"/>
      <c r="C131" s="105"/>
      <c r="D131" s="125" t="s">
        <v>207</v>
      </c>
      <c r="E131" s="104" t="n">
        <f aca="false">J131</f>
        <v>0</v>
      </c>
      <c r="F131" s="255" t="n">
        <f aca="false">SUM(H131:J131,M131:P131)</f>
        <v>0</v>
      </c>
      <c r="G131" s="267" t="n">
        <v>0</v>
      </c>
      <c r="H131" s="121" t="n">
        <v>0</v>
      </c>
      <c r="I131" s="121" t="n">
        <v>0</v>
      </c>
      <c r="J131" s="121" t="n">
        <v>0</v>
      </c>
      <c r="K131" s="121" t="n">
        <v>0</v>
      </c>
      <c r="L131" s="121" t="n">
        <v>0</v>
      </c>
      <c r="M131" s="121" t="n">
        <v>0</v>
      </c>
      <c r="N131" s="121" t="n">
        <v>0</v>
      </c>
      <c r="O131" s="87" t="n">
        <v>0</v>
      </c>
      <c r="P131" s="87" t="n">
        <v>0</v>
      </c>
      <c r="Q131" s="121" t="n">
        <v>0</v>
      </c>
      <c r="R131" s="121" t="n">
        <v>0</v>
      </c>
      <c r="S131" s="121" t="n">
        <v>0</v>
      </c>
      <c r="T131" s="249" t="n">
        <v>0</v>
      </c>
    </row>
    <row r="132" customFormat="false" ht="14.4" hidden="false" customHeight="false" outlineLevel="0" collapsed="false">
      <c r="A132" s="127" t="s">
        <v>231</v>
      </c>
      <c r="B132" s="128"/>
      <c r="C132" s="129"/>
      <c r="D132" s="130"/>
      <c r="E132" s="110" t="s">
        <v>205</v>
      </c>
      <c r="F132" s="111" t="s">
        <v>205</v>
      </c>
      <c r="G132" s="112" t="s">
        <v>206</v>
      </c>
      <c r="H132" s="129"/>
      <c r="I132" s="129"/>
      <c r="J132" s="129"/>
      <c r="K132" s="304"/>
      <c r="L132" s="304"/>
      <c r="M132" s="133"/>
      <c r="N132" s="304"/>
      <c r="O132" s="304"/>
      <c r="P132" s="304"/>
      <c r="Q132" s="304"/>
      <c r="R132" s="304"/>
      <c r="S132" s="304"/>
      <c r="T132" s="305"/>
    </row>
    <row r="133" s="235" customFormat="true" ht="14.4" hidden="false" customHeight="false" outlineLevel="0" collapsed="false">
      <c r="A133" s="134" t="s">
        <v>232</v>
      </c>
      <c r="B133" s="135" t="s">
        <v>210</v>
      </c>
      <c r="C133" s="136" t="n">
        <f aca="false">'Input data fish and seafood'!E26</f>
        <v>1</v>
      </c>
      <c r="D133" s="137" t="s">
        <v>133</v>
      </c>
      <c r="E133" s="243" t="n">
        <f aca="false">IF($F$1="GWP100 without fb",E134+E135*'Common input data'!$C$5+E136*'Common input data'!$D$5+E137*'Common input data'!$E$5,IF($F$1="GWP100 with fb",E134+E135*'Common input data'!$C$6+E136*'Common input data'!$D$6+E137*'Common input data'!$E$6,IF($F$1="GTP100 without fb",E134+E135*'Common input data'!$C$7+E136*'Common input data'!$D$7+E137*'Common input data'!$E$7,IF($F$1="GTP100 with fb",E134+E135*'Common input data'!$C$8+E136*'Common input data'!$D$8+E137*'Common input data'!$E$8,E134+E135*'Common input data'!$C$9+E136*'Common input data'!$D$9+E137*'Common input data'!$E$9))))</f>
        <v>1.56604500916926</v>
      </c>
      <c r="F133" s="244" t="n">
        <f aca="false">IF($F$1="GWP100 without fb",F134+F135*'Common input data'!$C$5+F136*'Common input data'!$D$5+F137*'Common input data'!$E$5,IF($F$1="GWP100 with fb",F134+F135*'Common input data'!$C$6+F136*'Common input data'!$D$6+F137*'Common input data'!$E$6,IF($F$1="GTP100 without fb",F134+F135*'Common input data'!$C$7+F136*'Common input data'!$D$7+F137*'Common input data'!$E$7,IF($F$1="GTP100 with fb",F134+F135*'Common input data'!$C$8+F136*'Common input data'!$D$8+F137*'Common input data'!$E$8,F134+F135*'Common input data'!$C$9+F136*'Common input data'!$D$9+F137*'Common input data'!$E$9))))</f>
        <v>3.21885369666747</v>
      </c>
      <c r="G133" s="245" t="n">
        <f aca="false">IF($F$1="GWP100 without fb",G134+G135*'Common input data'!$C$5+G136*'Common input data'!$D$5+G137*'Common input data'!$E$5,IF($F$1="GWP100 with fb",G134+G135*'Common input data'!$C$6+G136*'Common input data'!$D$6+G137*'Common input data'!$E$6,IF($F$1="GTP100 without fb",G134+G135*'Common input data'!$C$7+G136*'Common input data'!$D$7+G137*'Common input data'!$E$7,IF($F$1="GTP100 with fb",G134+G135*'Common input data'!$C$8+G136*'Common input data'!$D$8+G137*'Common input data'!$E$8,G134+G135*'Common input data'!$C$9+G136*'Common input data'!$D$9+G137*'Common input data'!$E$9))))</f>
        <v>13.8661284607037</v>
      </c>
      <c r="H133" s="80"/>
      <c r="I133" s="261"/>
      <c r="J133" s="261"/>
      <c r="K133" s="272"/>
      <c r="L133" s="272"/>
      <c r="M133" s="272"/>
      <c r="N133" s="272"/>
      <c r="O133" s="272"/>
      <c r="P133" s="272"/>
      <c r="Q133" s="272"/>
      <c r="R133" s="272"/>
      <c r="S133" s="272"/>
      <c r="T133" s="274"/>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c r="GL133" s="30"/>
      <c r="GM133" s="30"/>
      <c r="GN133" s="30"/>
      <c r="GO133" s="30"/>
      <c r="GP133" s="30"/>
      <c r="GQ133" s="30"/>
      <c r="GR133" s="30"/>
      <c r="GS133" s="30"/>
      <c r="GT133" s="30"/>
      <c r="GU133" s="30"/>
      <c r="GV133" s="30"/>
      <c r="GW133" s="30"/>
      <c r="GX133" s="30"/>
      <c r="GY133" s="30"/>
      <c r="GZ133" s="30"/>
      <c r="HA133" s="30"/>
      <c r="HB133" s="30"/>
      <c r="HC133" s="30"/>
      <c r="HD133" s="30"/>
      <c r="HE133" s="30"/>
      <c r="HF133" s="30"/>
      <c r="HG133" s="30"/>
      <c r="HH133" s="30"/>
      <c r="HI133" s="30"/>
      <c r="HJ133" s="30"/>
      <c r="HK133" s="30"/>
      <c r="HL133" s="30"/>
      <c r="HM133" s="30"/>
      <c r="HN133" s="30"/>
      <c r="HO133" s="30"/>
      <c r="HP133" s="30"/>
      <c r="HQ133" s="30"/>
      <c r="HR133" s="30"/>
      <c r="HS133" s="30"/>
      <c r="HT133" s="30"/>
      <c r="HU133" s="30"/>
      <c r="HV133" s="30"/>
      <c r="HW133" s="30"/>
      <c r="HX133" s="30"/>
      <c r="HY133" s="30"/>
      <c r="HZ133" s="30"/>
      <c r="IA133" s="30"/>
      <c r="IB133" s="30"/>
      <c r="IC133" s="30"/>
      <c r="ID133" s="30"/>
      <c r="IE133" s="30"/>
      <c r="IF133" s="30"/>
      <c r="IG133" s="30"/>
      <c r="IH133" s="30"/>
      <c r="II133" s="30"/>
      <c r="IJ133" s="30"/>
      <c r="IK133" s="30"/>
      <c r="IL133" s="30"/>
      <c r="IM133" s="30"/>
      <c r="IN133" s="30"/>
      <c r="IO133" s="30"/>
      <c r="IP133" s="30"/>
      <c r="IQ133" s="30"/>
      <c r="IR133" s="30"/>
      <c r="IS133" s="30"/>
      <c r="IT133" s="30"/>
      <c r="IU133" s="30"/>
      <c r="IV133" s="30"/>
      <c r="IW133" s="30"/>
      <c r="IX133" s="30"/>
      <c r="IY133" s="30"/>
      <c r="IZ133" s="30"/>
      <c r="JA133" s="30"/>
      <c r="JB133" s="30"/>
      <c r="JC133" s="30"/>
      <c r="JD133" s="30"/>
      <c r="JE133" s="30"/>
      <c r="JF133" s="30"/>
      <c r="JG133" s="30"/>
      <c r="JH133" s="30"/>
      <c r="JI133" s="30"/>
      <c r="JJ133" s="30"/>
      <c r="JK133" s="30"/>
      <c r="JL133" s="30"/>
      <c r="JM133" s="30"/>
      <c r="JN133" s="30"/>
      <c r="JO133" s="30"/>
      <c r="JP133" s="30"/>
      <c r="JQ133" s="30"/>
      <c r="JR133" s="30"/>
      <c r="JS133" s="30"/>
      <c r="JT133" s="30"/>
      <c r="JU133" s="30"/>
      <c r="JV133" s="30"/>
      <c r="JW133" s="30"/>
      <c r="JX133" s="30"/>
      <c r="JY133" s="30"/>
      <c r="JZ133" s="30"/>
      <c r="KA133" s="30"/>
      <c r="KB133" s="30"/>
      <c r="KC133" s="30"/>
      <c r="KD133" s="30"/>
      <c r="KE133" s="30"/>
      <c r="KF133" s="30"/>
      <c r="KG133" s="30"/>
      <c r="KH133" s="30"/>
      <c r="KI133" s="30"/>
      <c r="KJ133" s="30"/>
      <c r="KK133" s="30"/>
      <c r="KL133" s="30"/>
      <c r="KM133" s="30"/>
      <c r="KN133" s="30"/>
      <c r="KO133" s="30"/>
      <c r="KP133" s="30"/>
      <c r="KQ133" s="30"/>
      <c r="KR133" s="30"/>
      <c r="KS133" s="30"/>
      <c r="KT133" s="30"/>
      <c r="KU133" s="30"/>
      <c r="KV133" s="30"/>
      <c r="KW133" s="30"/>
      <c r="KX133" s="30"/>
      <c r="KY133" s="30"/>
      <c r="KZ133" s="30"/>
    </row>
    <row r="134" customFormat="false" ht="14.4" hidden="false" customHeight="false" outlineLevel="0" collapsed="false">
      <c r="A134" s="99"/>
      <c r="B134" s="31"/>
      <c r="C134" s="122"/>
      <c r="D134" s="85" t="s">
        <v>134</v>
      </c>
      <c r="E134" s="264" t="n">
        <f aca="false">IF(AND($F$2="No",$F$3="No"),SUM(J134),IF(AND($F$2="Yes", $F$3="No"), SUM(J134)+L134, IF(AND($F$2="No", $F$3="Yes"),SUM(J134)+K134, SUM(J134)+L134+K134)))</f>
        <v>0.724853696667464</v>
      </c>
      <c r="F134" s="121" t="n">
        <f aca="false">IF(AND($F$2="No",$F$3="No"),SUM(H134:J134,M134:P134),IF(AND($F$2="Yes", $F$3="No"), SUM(H134:J134,M134:P134)+L134, IF(AND($F$2="No", $F$3="Yes"),SUM(H134:J134,M134:P134)+K134, SUM(H134:J134,M134:P134)+L134+K134)))</f>
        <v>2.03585647710415</v>
      </c>
      <c r="G134" s="265" t="n">
        <f aca="false">SUM(R134:T134)/(1-'Common input data'!D125)</f>
        <v>9.39626591076118</v>
      </c>
      <c r="H134" s="87" t="n">
        <f aca="false">'Input data fish and seafood'!D56</f>
        <v>0.05</v>
      </c>
      <c r="I134" s="87" t="n">
        <f aca="false">'Input data fish and seafood'!D63*'Input data fish and seafood'!I26</f>
        <v>1.15700278043668</v>
      </c>
      <c r="J134" s="87" t="n">
        <f aca="false">'Input data fish and seafood'!D67*'Input data fish and seafood'!I26</f>
        <v>0</v>
      </c>
      <c r="K134" s="87" t="n">
        <f aca="false">'Input data fish and seafood'!I26*('Input data fish and seafood'!D75*'Common input data'!C13*'Common input data'!G30+'Input data fish and seafood'!D81*'Common input data'!B13*'Common input data'!G27/'Common input data'!F27+'Input data fish and seafood'!D82*'Common input data'!E13+'Input data fish and seafood'!D83*'Common input data'!B13)</f>
        <v>0.141867329065494</v>
      </c>
      <c r="L134" s="87" t="n">
        <f aca="false">'Common input data'!B21*'Input data fish and seafood'!D75*'Input data fish and seafood'!I26*'Common input data'!G30/'Common input data'!F30</f>
        <v>0.582986367601971</v>
      </c>
      <c r="M134" s="87" t="n">
        <f aca="false">'Input data fish and seafood'!I26*'Common input data'!B81</f>
        <v>0.054</v>
      </c>
      <c r="N134" s="87" t="n">
        <f aca="false">'Input data fish and seafood'!D57</f>
        <v>0.05</v>
      </c>
      <c r="O134" s="87" t="n">
        <v>0</v>
      </c>
      <c r="P134" s="87" t="n">
        <v>0</v>
      </c>
      <c r="Q134" s="87" t="n">
        <f aca="false">'Input data fish and seafood'!B89*('Input data fish and seafood'!B102*'Common input data'!B63+'Input data fish and seafood'!C102*'Common input data'!C63+'Input data fish and seafood'!G102*'Common input data'!J63)</f>
        <v>0.2707664</v>
      </c>
      <c r="R134" s="121" t="n">
        <f aca="false">(F134+Q134)/'Input data fish and seafood'!$H$26</f>
        <v>6.78418493265926</v>
      </c>
      <c r="S134" s="87" t="n">
        <f aca="false">'Common input data'!B94</f>
        <v>0.1</v>
      </c>
      <c r="T134" s="275" t="n">
        <f aca="false">'Input data fish and seafood'!G116*'Common input data'!B105+'Common input data'!C105</f>
        <v>0.43</v>
      </c>
    </row>
    <row r="135" customFormat="false" ht="14.4" hidden="false" customHeight="false" outlineLevel="0" collapsed="false">
      <c r="A135" s="99"/>
      <c r="B135" s="31"/>
      <c r="C135" s="93"/>
      <c r="D135" s="85" t="s">
        <v>135</v>
      </c>
      <c r="E135" s="86" t="n">
        <f aca="false">J135</f>
        <v>0</v>
      </c>
      <c r="F135" s="121" t="n">
        <f aca="false">SUM(H135:J135,M135:P135)</f>
        <v>0.000264797554692723</v>
      </c>
      <c r="G135" s="265" t="n">
        <f aca="false">SUM(R135:T135)/(1-'Common input data'!D125)</f>
        <v>0.00100051686805676</v>
      </c>
      <c r="H135" s="87" t="n">
        <v>0</v>
      </c>
      <c r="I135" s="87" t="n">
        <f aca="false">'Input data fish and seafood'!D64*'Input data fish and seafood'!I26</f>
        <v>0.000264797554692723</v>
      </c>
      <c r="J135" s="87" t="n">
        <f aca="false">'Input data fish and seafood'!D68*'Input data fish and seafood'!I26</f>
        <v>0</v>
      </c>
      <c r="K135" s="87" t="n">
        <v>0</v>
      </c>
      <c r="L135" s="87" t="n">
        <v>0</v>
      </c>
      <c r="M135" s="87" t="n">
        <v>0</v>
      </c>
      <c r="N135" s="87" t="n">
        <v>0</v>
      </c>
      <c r="O135" s="87" t="n">
        <v>0</v>
      </c>
      <c r="P135" s="87" t="n">
        <v>0</v>
      </c>
      <c r="Q135" s="87" t="n">
        <v>0</v>
      </c>
      <c r="R135" s="121" t="n">
        <f aca="false">(F135+Q135)/'Input data fish and seafood'!$H$26</f>
        <v>0.000778816337331537</v>
      </c>
      <c r="S135" s="87" t="n">
        <v>0</v>
      </c>
      <c r="T135" s="275" t="n">
        <v>0</v>
      </c>
    </row>
    <row r="136" customFormat="false" ht="14.4" hidden="false" customHeight="false" outlineLevel="0" collapsed="false">
      <c r="A136" s="100"/>
      <c r="B136" s="101"/>
      <c r="C136" s="87"/>
      <c r="D136" s="31" t="s">
        <v>136</v>
      </c>
      <c r="E136" s="86" t="n">
        <f aca="false">J136</f>
        <v>0.00282278963926776</v>
      </c>
      <c r="F136" s="121" t="n">
        <f aca="false">SUM(H136:J136,M136:P136)</f>
        <v>0.00393957752585156</v>
      </c>
      <c r="G136" s="265" t="n">
        <f aca="false">SUM(R136:T136)/(1-'Common input data'!D125)</f>
        <v>0.0148853858269415</v>
      </c>
      <c r="H136" s="87" t="n">
        <v>0</v>
      </c>
      <c r="I136" s="87" t="n">
        <f aca="false">'Input data fish and seafood'!D65*'Input data fish and seafood'!I26</f>
        <v>0.00111678788658381</v>
      </c>
      <c r="J136" s="87" t="n">
        <f aca="false">'Input data fish and seafood'!D69*'Input data fish and seafood'!I26</f>
        <v>0.00282278963926776</v>
      </c>
      <c r="K136" s="87" t="n">
        <v>0</v>
      </c>
      <c r="L136" s="87" t="n">
        <v>0</v>
      </c>
      <c r="M136" s="87" t="n">
        <v>0</v>
      </c>
      <c r="N136" s="87" t="n">
        <v>0</v>
      </c>
      <c r="O136" s="87" t="n">
        <v>0</v>
      </c>
      <c r="P136" s="87" t="n">
        <v>0</v>
      </c>
      <c r="Q136" s="87" t="n">
        <v>0</v>
      </c>
      <c r="R136" s="121" t="n">
        <f aca="false">(F136+Q136)/'Input data fish and seafood'!$H$26</f>
        <v>0.0115869927230928</v>
      </c>
      <c r="S136" s="87" t="n">
        <v>0</v>
      </c>
      <c r="T136" s="275" t="n">
        <v>0</v>
      </c>
    </row>
    <row r="137" customFormat="false" ht="14.4" hidden="false" customHeight="false" outlineLevel="0" collapsed="false">
      <c r="A137" s="100"/>
      <c r="B137" s="101"/>
      <c r="C137" s="87"/>
      <c r="D137" s="31" t="s">
        <v>207</v>
      </c>
      <c r="E137" s="104" t="n">
        <f aca="false">J137</f>
        <v>0</v>
      </c>
      <c r="F137" s="255" t="n">
        <f aca="false">SUM(H137:J137,M137:P137)</f>
        <v>0</v>
      </c>
      <c r="G137" s="267" t="n">
        <v>0</v>
      </c>
      <c r="H137" s="121" t="n">
        <v>0</v>
      </c>
      <c r="I137" s="121" t="n">
        <v>0</v>
      </c>
      <c r="J137" s="121" t="n">
        <v>0</v>
      </c>
      <c r="K137" s="121" t="n">
        <v>0</v>
      </c>
      <c r="L137" s="121" t="n">
        <v>0</v>
      </c>
      <c r="M137" s="121" t="n">
        <v>0</v>
      </c>
      <c r="N137" s="121" t="n">
        <v>0</v>
      </c>
      <c r="O137" s="87" t="n">
        <v>0</v>
      </c>
      <c r="P137" s="87" t="n">
        <v>0</v>
      </c>
      <c r="Q137" s="121" t="n">
        <v>0</v>
      </c>
      <c r="R137" s="121" t="n">
        <v>0</v>
      </c>
      <c r="S137" s="121" t="n">
        <v>0</v>
      </c>
      <c r="T137" s="249" t="n">
        <v>0</v>
      </c>
    </row>
    <row r="138" s="258" customFormat="true" ht="14.4" hidden="false" customHeight="false" outlineLevel="0" collapsed="false">
      <c r="A138" s="127" t="s">
        <v>233</v>
      </c>
      <c r="B138" s="128"/>
      <c r="C138" s="129"/>
      <c r="D138" s="130"/>
      <c r="E138" s="110" t="s">
        <v>205</v>
      </c>
      <c r="F138" s="111" t="s">
        <v>205</v>
      </c>
      <c r="G138" s="112" t="s">
        <v>206</v>
      </c>
      <c r="H138" s="129"/>
      <c r="I138" s="129"/>
      <c r="J138" s="129"/>
      <c r="K138" s="132"/>
      <c r="L138" s="132"/>
      <c r="M138" s="133"/>
      <c r="N138" s="132"/>
      <c r="O138" s="132"/>
      <c r="P138" s="132"/>
      <c r="Q138" s="132"/>
      <c r="R138" s="132"/>
      <c r="S138" s="132"/>
      <c r="T138" s="287"/>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c r="GL138" s="30"/>
      <c r="GM138" s="30"/>
      <c r="GN138" s="30"/>
      <c r="GO138" s="30"/>
      <c r="GP138" s="30"/>
      <c r="GQ138" s="30"/>
      <c r="GR138" s="30"/>
      <c r="GS138" s="30"/>
      <c r="GT138" s="30"/>
      <c r="GU138" s="30"/>
      <c r="GV138" s="30"/>
      <c r="GW138" s="30"/>
      <c r="GX138" s="30"/>
      <c r="GY138" s="30"/>
      <c r="GZ138" s="30"/>
      <c r="HA138" s="30"/>
      <c r="HB138" s="30"/>
      <c r="HC138" s="30"/>
      <c r="HD138" s="30"/>
      <c r="HE138" s="30"/>
      <c r="HF138" s="30"/>
      <c r="HG138" s="30"/>
      <c r="HH138" s="30"/>
      <c r="HI138" s="30"/>
      <c r="HJ138" s="30"/>
      <c r="HK138" s="30"/>
      <c r="HL138" s="30"/>
      <c r="HM138" s="30"/>
      <c r="HN138" s="30"/>
      <c r="HO138" s="30"/>
      <c r="HP138" s="30"/>
      <c r="HQ138" s="30"/>
      <c r="HR138" s="30"/>
      <c r="HS138" s="30"/>
      <c r="HT138" s="30"/>
      <c r="HU138" s="30"/>
      <c r="HV138" s="30"/>
      <c r="HW138" s="30"/>
      <c r="HX138" s="30"/>
      <c r="HY138" s="30"/>
      <c r="HZ138" s="30"/>
      <c r="IA138" s="30"/>
      <c r="IB138" s="30"/>
      <c r="IC138" s="30"/>
      <c r="ID138" s="30"/>
      <c r="IE138" s="30"/>
      <c r="IF138" s="30"/>
      <c r="IG138" s="30"/>
      <c r="IH138" s="30"/>
      <c r="II138" s="30"/>
      <c r="IJ138" s="30"/>
      <c r="IK138" s="30"/>
      <c r="IL138" s="30"/>
      <c r="IM138" s="30"/>
      <c r="IN138" s="30"/>
      <c r="IO138" s="30"/>
      <c r="IP138" s="30"/>
      <c r="IQ138" s="30"/>
      <c r="IR138" s="30"/>
      <c r="IS138" s="30"/>
      <c r="IT138" s="30"/>
      <c r="IU138" s="30"/>
      <c r="IV138" s="30"/>
      <c r="IW138" s="30"/>
      <c r="IX138" s="30"/>
      <c r="IY138" s="30"/>
      <c r="IZ138" s="30"/>
      <c r="JA138" s="30"/>
      <c r="JB138" s="30"/>
      <c r="JC138" s="30"/>
      <c r="JD138" s="30"/>
      <c r="JE138" s="30"/>
      <c r="JF138" s="30"/>
      <c r="JG138" s="30"/>
      <c r="JH138" s="30"/>
      <c r="JI138" s="30"/>
      <c r="JJ138" s="30"/>
      <c r="JK138" s="30"/>
      <c r="JL138" s="30"/>
      <c r="JM138" s="30"/>
      <c r="JN138" s="30"/>
      <c r="JO138" s="30"/>
      <c r="JP138" s="30"/>
      <c r="JQ138" s="30"/>
      <c r="JR138" s="30"/>
      <c r="JS138" s="30"/>
      <c r="JT138" s="30"/>
      <c r="JU138" s="30"/>
      <c r="JV138" s="30"/>
      <c r="JW138" s="30"/>
      <c r="JX138" s="30"/>
      <c r="JY138" s="30"/>
      <c r="JZ138" s="30"/>
      <c r="KA138" s="30"/>
      <c r="KB138" s="30"/>
      <c r="KC138" s="30"/>
      <c r="KD138" s="30"/>
      <c r="KE138" s="30"/>
      <c r="KF138" s="30"/>
      <c r="KG138" s="30"/>
      <c r="KH138" s="30"/>
      <c r="KI138" s="30"/>
      <c r="KJ138" s="30"/>
      <c r="KK138" s="30"/>
      <c r="KL138" s="30"/>
      <c r="KM138" s="30"/>
      <c r="KN138" s="30"/>
      <c r="KO138" s="30"/>
      <c r="KP138" s="30"/>
      <c r="KQ138" s="30"/>
      <c r="KR138" s="30"/>
      <c r="KS138" s="30"/>
      <c r="KT138" s="30"/>
      <c r="KU138" s="30"/>
      <c r="KV138" s="30"/>
      <c r="KW138" s="30"/>
      <c r="KX138" s="30"/>
      <c r="KY138" s="30"/>
      <c r="KZ138" s="30"/>
    </row>
    <row r="139" s="262" customFormat="true" ht="14.4" hidden="false" customHeight="false" outlineLevel="0" collapsed="false">
      <c r="A139" s="134" t="s">
        <v>132</v>
      </c>
      <c r="B139" s="135"/>
      <c r="C139" s="136" t="n">
        <f aca="false">SUM(C144:C153)</f>
        <v>1</v>
      </c>
      <c r="D139" s="137" t="s">
        <v>133</v>
      </c>
      <c r="E139" s="243" t="n">
        <f aca="false">IF($F$1="GWP100 without fb",E140+E141*'Common input data'!$C$5+E142*'Common input data'!$D$5+E143*'Common input data'!$E$5,IF($F$1="GWP100 with fb",E140+E141*'Common input data'!$C$6+E142*'Common input data'!$D$6+E143*'Common input data'!$E$6,IF($F$1="GTP100 without fb",E140+E141*'Common input data'!$C$7+E142*'Common input data'!$D$7+E143*'Common input data'!$E$7,IF($F$1="GTP100 with fb",E140+E141*'Common input data'!$C$8+E142*'Common input data'!$D$8+E143*'Common input data'!$E$8,E140+E141*'Common input data'!$C$9+E142*'Common input data'!$D$9+E143*'Common input data'!$E$9))))</f>
        <v>0</v>
      </c>
      <c r="F139" s="244" t="n">
        <f aca="false">IF($F$1="GWP100 without fb",F140+F141*'Common input data'!$C$5+F142*'Common input data'!$D$5+F143*'Common input data'!$E$5,IF($F$1="GWP100 with fb",F140+F141*'Common input data'!$C$6+F142*'Common input data'!$D$6+F143*'Common input data'!$E$6,IF($F$1="GTP100 without fb",F140+F141*'Common input data'!$C$7+F142*'Common input data'!$D$7+F143*'Common input data'!$E$7,IF($F$1="GTP100 with fb",F140+F141*'Common input data'!$C$8+F142*'Common input data'!$D$8+F143*'Common input data'!$E$8,F140+F141*'Common input data'!$C$9+F142*'Common input data'!$D$9+F143*'Common input data'!$E$9))))</f>
        <v>9.44844</v>
      </c>
      <c r="G139" s="245" t="n">
        <f aca="false">IF($F$1="GWP100 without fb",G140+G141*'Common input data'!$C$5+G142*'Common input data'!$D$5+G143*'Common input data'!$E$5,IF($F$1="GWP100 with fb",G140+G141*'Common input data'!$C$6+G142*'Common input data'!$D$6+G143*'Common input data'!$E$6,IF($F$1="GTP100 without fb",G140+G141*'Common input data'!$C$7+G142*'Common input data'!$D$7+G143*'Common input data'!$E$7,IF($F$1="GTP100 with fb",G140+G141*'Common input data'!$C$8+G142*'Common input data'!$D$8+G143*'Common input data'!$E$8,G140+G141*'Common input data'!$C$9+G142*'Common input data'!$D$9+G143*'Common input data'!$E$9))))</f>
        <v>23.280467364282</v>
      </c>
      <c r="H139" s="80"/>
      <c r="I139" s="271"/>
      <c r="J139" s="271"/>
      <c r="K139" s="272"/>
      <c r="L139" s="272"/>
      <c r="M139" s="273"/>
      <c r="N139" s="272"/>
      <c r="O139" s="272"/>
      <c r="P139" s="272"/>
      <c r="Q139" s="272"/>
      <c r="R139" s="272"/>
      <c r="S139" s="272"/>
      <c r="T139" s="274"/>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c r="FR139" s="30"/>
      <c r="FS139" s="30"/>
      <c r="FT139" s="30"/>
      <c r="FU139" s="30"/>
      <c r="FV139" s="30"/>
      <c r="FW139" s="30"/>
      <c r="FX139" s="30"/>
      <c r="FY139" s="30"/>
      <c r="FZ139" s="30"/>
      <c r="GA139" s="30"/>
      <c r="GB139" s="30"/>
      <c r="GC139" s="30"/>
      <c r="GD139" s="30"/>
      <c r="GE139" s="30"/>
      <c r="GF139" s="30"/>
      <c r="GG139" s="30"/>
      <c r="GH139" s="30"/>
      <c r="GI139" s="30"/>
      <c r="GJ139" s="30"/>
      <c r="GK139" s="30"/>
      <c r="GL139" s="30"/>
      <c r="GM139" s="30"/>
      <c r="GN139" s="30"/>
      <c r="GO139" s="30"/>
      <c r="GP139" s="30"/>
      <c r="GQ139" s="30"/>
      <c r="GR139" s="30"/>
      <c r="GS139" s="30"/>
      <c r="GT139" s="30"/>
      <c r="GU139" s="30"/>
      <c r="GV139" s="30"/>
      <c r="GW139" s="30"/>
      <c r="GX139" s="30"/>
      <c r="GY139" s="30"/>
      <c r="GZ139" s="30"/>
      <c r="HA139" s="30"/>
      <c r="HB139" s="30"/>
      <c r="HC139" s="30"/>
      <c r="HD139" s="30"/>
      <c r="HE139" s="30"/>
      <c r="HF139" s="30"/>
      <c r="HG139" s="30"/>
      <c r="HH139" s="30"/>
      <c r="HI139" s="30"/>
      <c r="HJ139" s="30"/>
      <c r="HK139" s="30"/>
      <c r="HL139" s="30"/>
      <c r="HM139" s="30"/>
      <c r="HN139" s="30"/>
      <c r="HO139" s="30"/>
      <c r="HP139" s="30"/>
      <c r="HQ139" s="30"/>
      <c r="HR139" s="30"/>
      <c r="HS139" s="30"/>
      <c r="HT139" s="30"/>
      <c r="HU139" s="30"/>
      <c r="HV139" s="30"/>
      <c r="HW139" s="30"/>
      <c r="HX139" s="30"/>
      <c r="HY139" s="30"/>
      <c r="HZ139" s="30"/>
      <c r="IA139" s="30"/>
      <c r="IB139" s="30"/>
      <c r="IC139" s="30"/>
      <c r="ID139" s="30"/>
      <c r="IE139" s="30"/>
      <c r="IF139" s="30"/>
      <c r="IG139" s="30"/>
      <c r="IH139" s="30"/>
      <c r="II139" s="30"/>
      <c r="IJ139" s="30"/>
      <c r="IK139" s="30"/>
      <c r="IL139" s="30"/>
      <c r="IM139" s="30"/>
      <c r="IN139" s="30"/>
      <c r="IO139" s="30"/>
      <c r="IP139" s="30"/>
      <c r="IQ139" s="30"/>
      <c r="IR139" s="30"/>
      <c r="IS139" s="30"/>
      <c r="IT139" s="30"/>
      <c r="IU139" s="30"/>
      <c r="IV139" s="30"/>
      <c r="IW139" s="30"/>
      <c r="IX139" s="30"/>
      <c r="IY139" s="30"/>
      <c r="IZ139" s="30"/>
      <c r="JA139" s="30"/>
      <c r="JB139" s="30"/>
      <c r="JC139" s="30"/>
      <c r="JD139" s="30"/>
      <c r="JE139" s="30"/>
      <c r="JF139" s="30"/>
      <c r="JG139" s="30"/>
      <c r="JH139" s="30"/>
      <c r="JI139" s="30"/>
      <c r="JJ139" s="30"/>
      <c r="JK139" s="30"/>
      <c r="JL139" s="30"/>
      <c r="JM139" s="30"/>
      <c r="JN139" s="30"/>
      <c r="JO139" s="30"/>
      <c r="JP139" s="30"/>
      <c r="JQ139" s="30"/>
      <c r="JR139" s="30"/>
      <c r="JS139" s="30"/>
      <c r="JT139" s="30"/>
      <c r="JU139" s="30"/>
      <c r="JV139" s="30"/>
      <c r="JW139" s="30"/>
      <c r="JX139" s="30"/>
      <c r="JY139" s="30"/>
      <c r="JZ139" s="30"/>
      <c r="KA139" s="30"/>
      <c r="KB139" s="30"/>
      <c r="KC139" s="30"/>
      <c r="KD139" s="30"/>
      <c r="KE139" s="30"/>
      <c r="KF139" s="30"/>
      <c r="KG139" s="30"/>
      <c r="KH139" s="30"/>
      <c r="KI139" s="30"/>
      <c r="KJ139" s="30"/>
      <c r="KK139" s="30"/>
      <c r="KL139" s="30"/>
      <c r="KM139" s="30"/>
      <c r="KN139" s="30"/>
      <c r="KO139" s="30"/>
      <c r="KP139" s="30"/>
      <c r="KQ139" s="30"/>
      <c r="KR139" s="30"/>
      <c r="KS139" s="30"/>
      <c r="KT139" s="30"/>
      <c r="KU139" s="30"/>
      <c r="KV139" s="30"/>
      <c r="KW139" s="30"/>
      <c r="KX139" s="30"/>
      <c r="KY139" s="30"/>
      <c r="KZ139" s="30"/>
    </row>
    <row r="140" customFormat="false" ht="13.2" hidden="false" customHeight="true" outlineLevel="0" collapsed="false">
      <c r="A140" s="143"/>
      <c r="B140" s="122"/>
      <c r="C140" s="122"/>
      <c r="D140" s="85" t="s">
        <v>134</v>
      </c>
      <c r="E140" s="86" t="n">
        <f aca="false">$C$144*E145+$C$149*E150</f>
        <v>0</v>
      </c>
      <c r="F140" s="87" t="n">
        <f aca="false">$C$144*F145+$C$149*F150</f>
        <v>8.74135247312587</v>
      </c>
      <c r="G140" s="118" t="n">
        <f aca="false">$C$144*G145+$C$149*G150</f>
        <v>21.5850182116555</v>
      </c>
      <c r="H140" s="87" t="n">
        <f aca="false">$C$144*H145+$C$149*H150</f>
        <v>0</v>
      </c>
      <c r="I140" s="87" t="n">
        <f aca="false">$C$144*I145+$C$149*I150</f>
        <v>0</v>
      </c>
      <c r="J140" s="87" t="n">
        <f aca="false">$C$144*J145+$C$149*J150</f>
        <v>0</v>
      </c>
      <c r="K140" s="87" t="n">
        <f aca="false">$C$144*K145+$C$149*K150</f>
        <v>0</v>
      </c>
      <c r="L140" s="87" t="n">
        <f aca="false">$C$144*L145+$C$149*L150</f>
        <v>0</v>
      </c>
      <c r="M140" s="87" t="n">
        <f aca="false">$C$144*M145+$C$149*M150</f>
        <v>0</v>
      </c>
      <c r="N140" s="87" t="n">
        <f aca="false">$C$144*N145+$C$149*N150</f>
        <v>0</v>
      </c>
      <c r="O140" s="87" t="n">
        <f aca="false">$C$144*O145+$C$149*O150</f>
        <v>8.74135247312587</v>
      </c>
      <c r="P140" s="87" t="n">
        <f aca="false">$C$144*P145+$C$149*P150</f>
        <v>0</v>
      </c>
      <c r="Q140" s="87" t="n">
        <f aca="false">$C$144*Q145+$C$149*Q150</f>
        <v>0.1239752</v>
      </c>
      <c r="R140" s="87" t="n">
        <f aca="false">$C$144*R145+$C$149*R150</f>
        <v>18.0925054553589</v>
      </c>
      <c r="S140" s="87" t="n">
        <f aca="false">$C$144*S145+$C$149*S150</f>
        <v>0.1</v>
      </c>
      <c r="T140" s="275" t="n">
        <f aca="false">$C$144*T145+$C$149*T150</f>
        <v>0.179</v>
      </c>
    </row>
    <row r="141" customFormat="false" ht="14.4" hidden="false" customHeight="false" outlineLevel="0" collapsed="false">
      <c r="A141" s="91"/>
      <c r="B141" s="92"/>
      <c r="C141" s="93"/>
      <c r="D141" s="85" t="s">
        <v>135</v>
      </c>
      <c r="E141" s="86" t="n">
        <f aca="false">$C$144*E146+$C$149*E151</f>
        <v>0</v>
      </c>
      <c r="F141" s="87" t="n">
        <f aca="false">$C$144*F146+$C$149*F151</f>
        <v>0.00387212438976848</v>
      </c>
      <c r="G141" s="118" t="n">
        <f aca="false">$C$144*G146+$C$149*G151</f>
        <v>0.00928455073238168</v>
      </c>
      <c r="H141" s="87" t="n">
        <f aca="false">$C$144*H146+$C$149*H151</f>
        <v>0</v>
      </c>
      <c r="I141" s="87" t="n">
        <f aca="false">$C$144*I146+$C$149*I151</f>
        <v>0</v>
      </c>
      <c r="J141" s="87" t="n">
        <f aca="false">$C$144*J146+$C$149*J151</f>
        <v>0</v>
      </c>
      <c r="K141" s="87" t="n">
        <f aca="false">$C$144*K146+$C$149*K151</f>
        <v>0</v>
      </c>
      <c r="L141" s="87" t="n">
        <f aca="false">$C$144*L146+$C$149*L151</f>
        <v>0</v>
      </c>
      <c r="M141" s="87" t="n">
        <f aca="false">$C$144*M146+$C$149*M151</f>
        <v>0</v>
      </c>
      <c r="N141" s="87" t="n">
        <f aca="false">$C$144*N146+$C$149*N151</f>
        <v>0</v>
      </c>
      <c r="O141" s="87" t="n">
        <f aca="false">$C$144*O146+$C$149*O151</f>
        <v>0.00387212438976848</v>
      </c>
      <c r="P141" s="87" t="n">
        <f aca="false">$C$144*P146+$C$149*P151</f>
        <v>0</v>
      </c>
      <c r="Q141" s="87" t="n">
        <f aca="false">$C$144*Q146+$C$149*Q151</f>
        <v>0</v>
      </c>
      <c r="R141" s="87" t="n">
        <f aca="false">$C$144*R146+$C$149*R151</f>
        <v>0.00790229467299689</v>
      </c>
      <c r="S141" s="87" t="n">
        <f aca="false">$C$144*S146+$C$149*S151</f>
        <v>0</v>
      </c>
      <c r="T141" s="275" t="n">
        <f aca="false">$C$144*T146+$C$149*T151</f>
        <v>0</v>
      </c>
    </row>
    <row r="142" customFormat="false" ht="14.4" hidden="false" customHeight="false" outlineLevel="0" collapsed="false">
      <c r="A142" s="91"/>
      <c r="B142" s="92"/>
      <c r="C142" s="87"/>
      <c r="D142" s="31" t="s">
        <v>136</v>
      </c>
      <c r="E142" s="86" t="n">
        <f aca="false">$C$144*E147+$C$149*E152</f>
        <v>0</v>
      </c>
      <c r="F142" s="87" t="n">
        <f aca="false">$C$144*F147+$C$149*F152</f>
        <v>0.000234883549067133</v>
      </c>
      <c r="G142" s="118" t="n">
        <f aca="false">$C$144*G147+$C$149*G152</f>
        <v>0.000563202006959816</v>
      </c>
      <c r="H142" s="87" t="n">
        <f aca="false">$C$144*H147+$C$149*H152</f>
        <v>0</v>
      </c>
      <c r="I142" s="87" t="n">
        <f aca="false">$C$144*I147+$C$149*I152</f>
        <v>0</v>
      </c>
      <c r="J142" s="87" t="n">
        <f aca="false">$C$144*J147+$C$149*J152</f>
        <v>0</v>
      </c>
      <c r="K142" s="87" t="n">
        <f aca="false">$C$144*K147+$C$149*K152</f>
        <v>0</v>
      </c>
      <c r="L142" s="87" t="n">
        <f aca="false">$C$144*L147+$C$149*L152</f>
        <v>0</v>
      </c>
      <c r="M142" s="87" t="n">
        <f aca="false">$C$144*M147+$C$149*M152</f>
        <v>0</v>
      </c>
      <c r="N142" s="87" t="n">
        <f aca="false">$C$144*N147+$C$149*N152</f>
        <v>0</v>
      </c>
      <c r="O142" s="87" t="n">
        <f aca="false">$C$144*O147+$C$149*O152</f>
        <v>0.000234883549067133</v>
      </c>
      <c r="P142" s="87" t="n">
        <f aca="false">$C$144*P147+$C$149*P152</f>
        <v>0</v>
      </c>
      <c r="Q142" s="87" t="n">
        <f aca="false">$C$144*Q147+$C$149*Q152</f>
        <v>0</v>
      </c>
      <c r="R142" s="87" t="n">
        <f aca="false">$C$144*R147+$C$149*R152</f>
        <v>0.00047935418176966</v>
      </c>
      <c r="S142" s="87" t="n">
        <f aca="false">$C$144*S147+$C$149*S152</f>
        <v>0</v>
      </c>
      <c r="T142" s="275" t="n">
        <f aca="false">$C$144*T147+$C$149*T152</f>
        <v>0</v>
      </c>
    </row>
    <row r="143" customFormat="false" ht="14.4" hidden="false" customHeight="false" outlineLevel="0" collapsed="false">
      <c r="A143" s="91"/>
      <c r="B143" s="92"/>
      <c r="C143" s="87"/>
      <c r="D143" s="31" t="s">
        <v>207</v>
      </c>
      <c r="E143" s="86" t="n">
        <f aca="false">$C$144*E148+$C$149*E153</f>
        <v>0</v>
      </c>
      <c r="F143" s="87" t="n">
        <f aca="false">$C$144*F148+$C$149*F153</f>
        <v>0.00024</v>
      </c>
      <c r="G143" s="118" t="n">
        <f aca="false">$C$144*G148+$C$149*G153</f>
        <v>0.000575470194516359</v>
      </c>
      <c r="H143" s="87" t="n">
        <f aca="false">$C$144*H148+$C$149*H153</f>
        <v>0</v>
      </c>
      <c r="I143" s="87" t="n">
        <f aca="false">$C$144*I148+$C$149*I153</f>
        <v>0</v>
      </c>
      <c r="J143" s="87" t="n">
        <f aca="false">$C$144*J148+$C$149*J153</f>
        <v>0</v>
      </c>
      <c r="K143" s="87" t="n">
        <f aca="false">$C$144*K148+$C$149*K153</f>
        <v>0</v>
      </c>
      <c r="L143" s="87" t="n">
        <f aca="false">$C$144*L148+$C$149*L153</f>
        <v>0</v>
      </c>
      <c r="M143" s="87" t="n">
        <f aca="false">$C$144*M148+$C$149*M153</f>
        <v>0</v>
      </c>
      <c r="N143" s="87" t="n">
        <f aca="false">$C$144*N148+$C$149*N153</f>
        <v>0</v>
      </c>
      <c r="O143" s="87" t="n">
        <f aca="false">$C$144*O148+$C$149*O153</f>
        <v>0</v>
      </c>
      <c r="P143" s="87" t="n">
        <f aca="false">$C$144*P148+$C$149*P153</f>
        <v>0.00024</v>
      </c>
      <c r="Q143" s="87" t="n">
        <f aca="false">$C$144*Q148+$C$149*Q153</f>
        <v>0</v>
      </c>
      <c r="R143" s="87" t="n">
        <f aca="false">$C$144*R148+$C$149*R153</f>
        <v>0.000489795918367347</v>
      </c>
      <c r="S143" s="87" t="n">
        <f aca="false">$C$144*S148+$C$149*S153</f>
        <v>0</v>
      </c>
      <c r="T143" s="275" t="n">
        <f aca="false">$C$144*T148+$C$149*T153</f>
        <v>0</v>
      </c>
    </row>
    <row r="144" s="83" customFormat="true" ht="14.4" hidden="false" customHeight="false" outlineLevel="0" collapsed="false">
      <c r="A144" s="161" t="s">
        <v>234</v>
      </c>
      <c r="B144" s="177" t="s">
        <v>213</v>
      </c>
      <c r="C144" s="289" t="n">
        <f aca="false">'Input data fish and seafood'!E28</f>
        <v>0.5</v>
      </c>
      <c r="D144" s="78" t="s">
        <v>133</v>
      </c>
      <c r="E144" s="276" t="n">
        <f aca="false">IF($F$1="GWP100 without fb",E145+E146*'Common input data'!$C$5+E147*'Common input data'!$D$5+E148*'Common input data'!$E$5,IF($F$1="GWP100 with fb",E145+E146*'Common input data'!$C$6+E147*'Common input data'!$D$6+E148*'Common input data'!$E$6,IF($F$1="GTP100 without fb",E145+E146*'Common input data'!$C$7+E147*'Common input data'!$D$7+E148*'Common input data'!$E$7,IF($F$1="GTP100 with fb",E145+E146*'Common input data'!$C$8+E147*'Common input data'!$D$8+E148*'Common input data'!$E$8,E145+E146*'Common input data'!$C$9+E147*'Common input data'!$D$9+E148*'Common input data'!$E$9))))</f>
        <v>0</v>
      </c>
      <c r="F144" s="277" t="n">
        <f aca="false">IF($F$1="GWP100 without fb",F145+F146*'Common input data'!$C$5+F147*'Common input data'!$D$5+F148*'Common input data'!$E$5,IF($F$1="GWP100 with fb",F145+F146*'Common input data'!$C$6+F147*'Common input data'!$D$6+F148*'Common input data'!$E$6,IF($F$1="GTP100 without fb",F145+F146*'Common input data'!$C$7+F147*'Common input data'!$D$7+F148*'Common input data'!$E$7,IF($F$1="GTP100 with fb",F145+F146*'Common input data'!$C$8+F147*'Common input data'!$D$8+F148*'Common input data'!$E$8,F145+F146*'Common input data'!$C$9+F147*'Common input data'!$D$9+F148*'Common input data'!$E$9))))</f>
        <v>9.44844</v>
      </c>
      <c r="G144" s="278" t="n">
        <f aca="false">IF($F$1="GWP100 without fb",G145+G146*'Common input data'!$C$5+G147*'Common input data'!$D$5+G148*'Common input data'!$E$5,IF($F$1="GWP100 with fb",G145+G146*'Common input data'!$C$6+G147*'Common input data'!$D$6+G148*'Common input data'!$E$6,IF($F$1="GTP100 without fb",G145+G146*'Common input data'!$C$7+G147*'Common input data'!$D$7+G148*'Common input data'!$E$7,IF($F$1="GTP100 with fb",G145+G146*'Common input data'!$C$8+G147*'Common input data'!$D$8+G148*'Common input data'!$E$8,G145+G146*'Common input data'!$C$9+G147*'Common input data'!$D$9+G148*'Common input data'!$E$9))))</f>
        <v>23.280467364282</v>
      </c>
      <c r="H144" s="95"/>
      <c r="I144" s="97"/>
      <c r="J144" s="97"/>
      <c r="K144" s="279"/>
      <c r="L144" s="279"/>
      <c r="M144" s="279"/>
      <c r="N144" s="279"/>
      <c r="O144" s="279"/>
      <c r="P144" s="279"/>
      <c r="Q144" s="279"/>
      <c r="R144" s="279"/>
      <c r="S144" s="279"/>
      <c r="T144" s="28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c r="FR144" s="30"/>
      <c r="FS144" s="30"/>
      <c r="FT144" s="30"/>
      <c r="FU144" s="30"/>
      <c r="FV144" s="30"/>
      <c r="FW144" s="30"/>
      <c r="FX144" s="30"/>
      <c r="FY144" s="30"/>
      <c r="FZ144" s="30"/>
      <c r="GA144" s="30"/>
      <c r="GB144" s="30"/>
      <c r="GC144" s="30"/>
      <c r="GD144" s="30"/>
      <c r="GE144" s="30"/>
      <c r="GF144" s="30"/>
      <c r="GG144" s="30"/>
      <c r="GH144" s="30"/>
      <c r="GI144" s="30"/>
      <c r="GJ144" s="30"/>
      <c r="GK144" s="30"/>
      <c r="GL144" s="30"/>
      <c r="GM144" s="30"/>
      <c r="GN144" s="30"/>
      <c r="GO144" s="30"/>
      <c r="GP144" s="30"/>
      <c r="GQ144" s="30"/>
      <c r="GR144" s="30"/>
      <c r="GS144" s="30"/>
      <c r="GT144" s="30"/>
      <c r="GU144" s="30"/>
      <c r="GV144" s="30"/>
      <c r="GW144" s="30"/>
      <c r="GX144" s="30"/>
      <c r="GY144" s="30"/>
      <c r="GZ144" s="30"/>
      <c r="HA144" s="30"/>
      <c r="HB144" s="30"/>
      <c r="HC144" s="30"/>
      <c r="HD144" s="30"/>
      <c r="HE144" s="30"/>
      <c r="HF144" s="30"/>
      <c r="HG144" s="30"/>
      <c r="HH144" s="30"/>
      <c r="HI144" s="30"/>
      <c r="HJ144" s="30"/>
      <c r="HK144" s="30"/>
      <c r="HL144" s="30"/>
      <c r="HM144" s="30"/>
      <c r="HN144" s="30"/>
      <c r="HO144" s="30"/>
      <c r="HP144" s="30"/>
      <c r="HQ144" s="30"/>
      <c r="HR144" s="30"/>
      <c r="HS144" s="30"/>
      <c r="HT144" s="30"/>
      <c r="HU144" s="30"/>
      <c r="HV144" s="30"/>
      <c r="HW144" s="30"/>
      <c r="HX144" s="30"/>
      <c r="HY144" s="30"/>
      <c r="HZ144" s="30"/>
      <c r="IA144" s="30"/>
      <c r="IB144" s="30"/>
      <c r="IC144" s="30"/>
      <c r="ID144" s="30"/>
      <c r="IE144" s="30"/>
      <c r="IF144" s="30"/>
      <c r="IG144" s="30"/>
      <c r="IH144" s="30"/>
      <c r="II144" s="30"/>
      <c r="IJ144" s="30"/>
      <c r="IK144" s="30"/>
      <c r="IL144" s="30"/>
      <c r="IM144" s="30"/>
      <c r="IN144" s="30"/>
      <c r="IO144" s="30"/>
      <c r="IP144" s="30"/>
      <c r="IQ144" s="30"/>
      <c r="IR144" s="30"/>
      <c r="IS144" s="30"/>
      <c r="IT144" s="30"/>
      <c r="IU144" s="30"/>
      <c r="IV144" s="30"/>
      <c r="IW144" s="30"/>
      <c r="IX144" s="30"/>
      <c r="IY144" s="30"/>
      <c r="IZ144" s="30"/>
      <c r="JA144" s="30"/>
      <c r="JB144" s="30"/>
      <c r="JC144" s="30"/>
      <c r="JD144" s="30"/>
      <c r="JE144" s="30"/>
      <c r="JF144" s="30"/>
      <c r="JG144" s="30"/>
      <c r="JH144" s="30"/>
      <c r="JI144" s="30"/>
      <c r="JJ144" s="30"/>
      <c r="JK144" s="30"/>
      <c r="JL144" s="30"/>
      <c r="JM144" s="30"/>
      <c r="JN144" s="30"/>
      <c r="JO144" s="30"/>
      <c r="JP144" s="30"/>
      <c r="JQ144" s="30"/>
      <c r="JR144" s="30"/>
      <c r="JS144" s="30"/>
      <c r="JT144" s="30"/>
      <c r="JU144" s="30"/>
      <c r="JV144" s="30"/>
      <c r="JW144" s="30"/>
      <c r="JX144" s="30"/>
      <c r="JY144" s="30"/>
      <c r="JZ144" s="30"/>
      <c r="KA144" s="30"/>
      <c r="KB144" s="30"/>
      <c r="KC144" s="30"/>
      <c r="KD144" s="30"/>
      <c r="KE144" s="30"/>
      <c r="KF144" s="30"/>
      <c r="KG144" s="30"/>
      <c r="KH144" s="30"/>
      <c r="KI144" s="30"/>
      <c r="KJ144" s="30"/>
      <c r="KK144" s="30"/>
      <c r="KL144" s="30"/>
      <c r="KM144" s="30"/>
      <c r="KN144" s="30"/>
      <c r="KO144" s="30"/>
      <c r="KP144" s="30"/>
      <c r="KQ144" s="30"/>
      <c r="KR144" s="30"/>
      <c r="KS144" s="30"/>
      <c r="KT144" s="30"/>
      <c r="KU144" s="30"/>
      <c r="KV144" s="30"/>
      <c r="KW144" s="30"/>
      <c r="KX144" s="30"/>
      <c r="KY144" s="30"/>
      <c r="KZ144" s="30"/>
    </row>
    <row r="145" customFormat="false" ht="14.4" hidden="false" customHeight="false" outlineLevel="0" collapsed="false">
      <c r="A145" s="99"/>
      <c r="B145" s="31"/>
      <c r="C145" s="122"/>
      <c r="D145" s="85" t="s">
        <v>134</v>
      </c>
      <c r="E145" s="264" t="n">
        <f aca="false">IF(AND($F$2="No",$F$3="No"),SUM(J145),IF(AND($F$2="Yes", $F$3="No"), SUM(J145)+L145, IF(AND($F$2="No", $F$3="Yes"),SUM(J145)+K145, SUM(J145)+L145+K145)))</f>
        <v>0</v>
      </c>
      <c r="F145" s="121" t="n">
        <f aca="false">IF(AND($F$2="No",$F$3="No"),SUM(H145:J145,M145:P145),IF(AND($F$2="Yes", $F$3="No"), SUM(H145:J145,M145:P145)+L145, IF(AND($F$2="No", $F$3="Yes"),SUM(H145:J145,M145:P145)+K145, SUM(H145:J145,M145:P145)+L145+K145)))</f>
        <v>8.74135247312587</v>
      </c>
      <c r="G145" s="118" t="n">
        <f aca="false">SUM(R145:T145)/(1-'Common input data'!B$125)</f>
        <v>21.5850182116555</v>
      </c>
      <c r="H145" s="87" t="n">
        <v>0</v>
      </c>
      <c r="I145" s="87" t="n">
        <v>0</v>
      </c>
      <c r="J145" s="87" t="n">
        <v>0</v>
      </c>
      <c r="K145" s="87" t="n">
        <v>0</v>
      </c>
      <c r="L145" s="87" t="n">
        <v>0</v>
      </c>
      <c r="M145" s="87" t="n">
        <v>0</v>
      </c>
      <c r="N145" s="87" t="n">
        <v>0</v>
      </c>
      <c r="O145" s="121" t="n">
        <f aca="false">'Input data fish and seafood'!G28*'Input data fish and seafood'!B42</f>
        <v>8.74135247312587</v>
      </c>
      <c r="P145" s="121" t="n">
        <v>0</v>
      </c>
      <c r="Q145" s="281" t="n">
        <f aca="false">'Input data fish and seafood'!B89*('Input data fish and seafood'!B103*'Common input data'!B63+'Input data fish and seafood'!C103*'Common input data'!C63)</f>
        <v>0.1239752</v>
      </c>
      <c r="R145" s="121" t="n">
        <f aca="false">(F145+Q145)/'Input data fish and seafood'!$H$28</f>
        <v>18.0925054553589</v>
      </c>
      <c r="S145" s="121" t="n">
        <f aca="false">'Common input data'!B94</f>
        <v>0.1</v>
      </c>
      <c r="T145" s="249" t="n">
        <f aca="false">'Input data fish and seafood'!B117*'Common input data'!B98+'Input data fish and seafood'!C117*'Common input data'!B102+'Common input data'!C98</f>
        <v>0.179</v>
      </c>
    </row>
    <row r="146" customFormat="false" ht="14.4" hidden="false" customHeight="false" outlineLevel="0" collapsed="false">
      <c r="A146" s="162"/>
      <c r="B146" s="282"/>
      <c r="C146" s="23"/>
      <c r="D146" s="85" t="s">
        <v>135</v>
      </c>
      <c r="E146" s="86" t="n">
        <v>0</v>
      </c>
      <c r="F146" s="121" t="n">
        <f aca="false">SUM(H146:J146,M146:P146)</f>
        <v>0.00387212438976848</v>
      </c>
      <c r="G146" s="118" t="n">
        <f aca="false">SUM(R146:T146)/(1-'Common input data'!B$125)</f>
        <v>0.00928455073238168</v>
      </c>
      <c r="H146" s="87" t="n">
        <v>0</v>
      </c>
      <c r="I146" s="87" t="n">
        <v>0</v>
      </c>
      <c r="J146" s="87" t="n">
        <v>0</v>
      </c>
      <c r="K146" s="87" t="n">
        <v>0</v>
      </c>
      <c r="L146" s="87" t="n">
        <v>0</v>
      </c>
      <c r="M146" s="87" t="n">
        <v>0</v>
      </c>
      <c r="N146" s="87" t="n">
        <v>0</v>
      </c>
      <c r="O146" s="121" t="n">
        <f aca="false">'Input data fish and seafood'!G28*'Input data fish and seafood'!B43</f>
        <v>0.00387212438976848</v>
      </c>
      <c r="P146" s="121" t="n">
        <v>0</v>
      </c>
      <c r="Q146" s="281" t="n">
        <v>0</v>
      </c>
      <c r="R146" s="121" t="n">
        <f aca="false">(F146+Q146)/'Input data fish and seafood'!$H$28</f>
        <v>0.00790229467299689</v>
      </c>
      <c r="S146" s="121" t="n">
        <v>0</v>
      </c>
      <c r="T146" s="249" t="n">
        <v>0</v>
      </c>
    </row>
    <row r="147" customFormat="false" ht="14.4" hidden="false" customHeight="false" outlineLevel="0" collapsed="false">
      <c r="A147" s="100"/>
      <c r="B147" s="101"/>
      <c r="C147" s="87"/>
      <c r="D147" s="31" t="s">
        <v>136</v>
      </c>
      <c r="E147" s="86" t="n">
        <v>0</v>
      </c>
      <c r="F147" s="121" t="n">
        <f aca="false">SUM(H147:J147,M147:P147)</f>
        <v>0.000234883549067133</v>
      </c>
      <c r="G147" s="118" t="n">
        <f aca="false">SUM(R147:T147)/(1-'Common input data'!B$125)</f>
        <v>0.000563202006959816</v>
      </c>
      <c r="H147" s="87" t="n">
        <v>0</v>
      </c>
      <c r="I147" s="87" t="n">
        <v>0</v>
      </c>
      <c r="J147" s="87" t="n">
        <v>0</v>
      </c>
      <c r="K147" s="87" t="n">
        <v>0</v>
      </c>
      <c r="L147" s="87" t="n">
        <v>0</v>
      </c>
      <c r="M147" s="87" t="n">
        <v>0</v>
      </c>
      <c r="N147" s="87" t="n">
        <v>0</v>
      </c>
      <c r="O147" s="121" t="n">
        <f aca="false">'Input data fish and seafood'!G28*'Input data fish and seafood'!B44</f>
        <v>0.000234883549067133</v>
      </c>
      <c r="P147" s="121" t="n">
        <v>0</v>
      </c>
      <c r="Q147" s="281" t="n">
        <v>0</v>
      </c>
      <c r="R147" s="121" t="n">
        <f aca="false">(F147+Q147)/'Input data fish and seafood'!$H$28</f>
        <v>0.00047935418176966</v>
      </c>
      <c r="S147" s="121" t="n">
        <v>0</v>
      </c>
      <c r="T147" s="249" t="n">
        <v>0</v>
      </c>
    </row>
    <row r="148" customFormat="false" ht="14.4" hidden="false" customHeight="false" outlineLevel="0" collapsed="false">
      <c r="A148" s="100"/>
      <c r="B148" s="101"/>
      <c r="C148" s="87"/>
      <c r="D148" s="31" t="s">
        <v>207</v>
      </c>
      <c r="E148" s="86" t="n">
        <v>0</v>
      </c>
      <c r="F148" s="121" t="n">
        <f aca="false">SUM(H148:J148,M148:P148)</f>
        <v>0.00024</v>
      </c>
      <c r="G148" s="118" t="n">
        <f aca="false">SUM(R148:T148)/(1-'Common input data'!B$125)</f>
        <v>0.000575470194516359</v>
      </c>
      <c r="H148" s="87" t="n">
        <v>0</v>
      </c>
      <c r="I148" s="87" t="n">
        <v>0</v>
      </c>
      <c r="J148" s="87" t="n">
        <v>0</v>
      </c>
      <c r="K148" s="87" t="n">
        <v>0</v>
      </c>
      <c r="L148" s="87" t="n">
        <v>0</v>
      </c>
      <c r="M148" s="87" t="n">
        <v>0</v>
      </c>
      <c r="N148" s="87" t="n">
        <v>0</v>
      </c>
      <c r="O148" s="121" t="n">
        <v>0</v>
      </c>
      <c r="P148" s="121" t="n">
        <f aca="false">'Input data fish and seafood'!C49</f>
        <v>0.00024</v>
      </c>
      <c r="Q148" s="281" t="n">
        <v>0</v>
      </c>
      <c r="R148" s="121" t="n">
        <f aca="false">(F148+Q148)/'Input data fish and seafood'!$H$28</f>
        <v>0.000489795918367347</v>
      </c>
      <c r="S148" s="121" t="n">
        <v>0</v>
      </c>
      <c r="T148" s="249" t="n">
        <v>0</v>
      </c>
    </row>
    <row r="149" s="83" customFormat="true" ht="14.4" hidden="false" customHeight="false" outlineLevel="0" collapsed="false">
      <c r="A149" s="161" t="s">
        <v>234</v>
      </c>
      <c r="B149" s="177" t="s">
        <v>235</v>
      </c>
      <c r="C149" s="289" t="n">
        <f aca="false">'Input data fish and seafood'!E29</f>
        <v>0.5</v>
      </c>
      <c r="D149" s="78" t="s">
        <v>133</v>
      </c>
      <c r="E149" s="276" t="n">
        <f aca="false">IF($F$1="GWP100 without fb",E150+E151*'Common input data'!$C$5+E152*'Common input data'!$D$5+E153*'Common input data'!$E$5,IF($F$1="GWP100 with fb",E150+E151*'Common input data'!$C$6+E152*'Common input data'!$D$6+E153*'Common input data'!$E$6,IF($F$1="GTP100 without fb",E150+E151*'Common input data'!$C$7+E152*'Common input data'!$D$7+E153*'Common input data'!$E$7,IF($F$1="GTP100 with fb",E150+E151*'Common input data'!$C$8+E152*'Common input data'!$D$8+E153*'Common input data'!$E$8,E150+E151*'Common input data'!$C$9+E152*'Common input data'!$D$9+E153*'Common input data'!$E$9))))</f>
        <v>0</v>
      </c>
      <c r="F149" s="277" t="n">
        <f aca="false">IF($F$1="GWP100 without fb",F150+F151*'Common input data'!$C$5+F152*'Common input data'!$D$5+F153*'Common input data'!$E$5,IF($F$1="GWP100 with fb",F150+F151*'Common input data'!$C$6+F152*'Common input data'!$D$6+F153*'Common input data'!$E$6,IF($F$1="GTP100 without fb",F150+F151*'Common input data'!$C$7+F152*'Common input data'!$D$7+F153*'Common input data'!$E$7,IF($F$1="GTP100 with fb",F150+F151*'Common input data'!$C$8+F152*'Common input data'!$D$8+F153*'Common input data'!$E$8,F150+F151*'Common input data'!$C$9+F152*'Common input data'!$D$9+F153*'Common input data'!$E$9))))</f>
        <v>9.44844</v>
      </c>
      <c r="G149" s="278" t="n">
        <f aca="false">IF($F$1="GWP100 without fb",G150+G151*'Common input data'!$C$5+G152*'Common input data'!$D$5+G153*'Common input data'!$E$5,IF($F$1="GWP100 with fb",G150+G151*'Common input data'!$C$6+G152*'Common input data'!$D$6+G153*'Common input data'!$E$6,IF($F$1="GTP100 without fb",G150+G151*'Common input data'!$C$7+G152*'Common input data'!$D$7+G153*'Common input data'!$E$7,IF($F$1="GTP100 with fb",G150+G151*'Common input data'!$C$8+G152*'Common input data'!$D$8+G153*'Common input data'!$E$8,G150+G151*'Common input data'!$C$9+G152*'Common input data'!$D$9+G153*'Common input data'!$E$9))))</f>
        <v>23.280467364282</v>
      </c>
      <c r="H149" s="95"/>
      <c r="I149" s="97"/>
      <c r="J149" s="97"/>
      <c r="K149" s="279"/>
      <c r="L149" s="279"/>
      <c r="M149" s="279"/>
      <c r="N149" s="279"/>
      <c r="O149" s="279"/>
      <c r="P149" s="279"/>
      <c r="Q149" s="279"/>
      <c r="R149" s="279"/>
      <c r="S149" s="279"/>
      <c r="T149" s="28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c r="GL149" s="30"/>
      <c r="GM149" s="30"/>
      <c r="GN149" s="30"/>
      <c r="GO149" s="30"/>
      <c r="GP149" s="30"/>
      <c r="GQ149" s="30"/>
      <c r="GR149" s="30"/>
      <c r="GS149" s="30"/>
      <c r="GT149" s="30"/>
      <c r="GU149" s="30"/>
      <c r="GV149" s="30"/>
      <c r="GW149" s="30"/>
      <c r="GX149" s="30"/>
      <c r="GY149" s="30"/>
      <c r="GZ149" s="30"/>
      <c r="HA149" s="30"/>
      <c r="HB149" s="30"/>
      <c r="HC149" s="30"/>
      <c r="HD149" s="30"/>
      <c r="HE149" s="30"/>
      <c r="HF149" s="30"/>
      <c r="HG149" s="30"/>
      <c r="HH149" s="30"/>
      <c r="HI149" s="30"/>
      <c r="HJ149" s="30"/>
      <c r="HK149" s="30"/>
      <c r="HL149" s="30"/>
      <c r="HM149" s="30"/>
      <c r="HN149" s="30"/>
      <c r="HO149" s="30"/>
      <c r="HP149" s="30"/>
      <c r="HQ149" s="30"/>
      <c r="HR149" s="30"/>
      <c r="HS149" s="30"/>
      <c r="HT149" s="30"/>
      <c r="HU149" s="30"/>
      <c r="HV149" s="30"/>
      <c r="HW149" s="30"/>
      <c r="HX149" s="30"/>
      <c r="HY149" s="30"/>
      <c r="HZ149" s="30"/>
      <c r="IA149" s="30"/>
      <c r="IB149" s="30"/>
      <c r="IC149" s="30"/>
      <c r="ID149" s="30"/>
      <c r="IE149" s="30"/>
      <c r="IF149" s="30"/>
      <c r="IG149" s="30"/>
      <c r="IH149" s="30"/>
      <c r="II149" s="30"/>
      <c r="IJ149" s="30"/>
      <c r="IK149" s="30"/>
      <c r="IL149" s="30"/>
      <c r="IM149" s="30"/>
      <c r="IN149" s="30"/>
      <c r="IO149" s="30"/>
      <c r="IP149" s="30"/>
      <c r="IQ149" s="30"/>
      <c r="IR149" s="30"/>
      <c r="IS149" s="30"/>
      <c r="IT149" s="30"/>
      <c r="IU149" s="30"/>
      <c r="IV149" s="30"/>
      <c r="IW149" s="30"/>
      <c r="IX149" s="30"/>
      <c r="IY149" s="30"/>
      <c r="IZ149" s="30"/>
      <c r="JA149" s="30"/>
      <c r="JB149" s="30"/>
      <c r="JC149" s="30"/>
      <c r="JD149" s="30"/>
      <c r="JE149" s="30"/>
      <c r="JF149" s="30"/>
      <c r="JG149" s="30"/>
      <c r="JH149" s="30"/>
      <c r="JI149" s="30"/>
      <c r="JJ149" s="30"/>
      <c r="JK149" s="30"/>
      <c r="JL149" s="30"/>
      <c r="JM149" s="30"/>
      <c r="JN149" s="30"/>
      <c r="JO149" s="30"/>
      <c r="JP149" s="30"/>
      <c r="JQ149" s="30"/>
      <c r="JR149" s="30"/>
      <c r="JS149" s="30"/>
      <c r="JT149" s="30"/>
      <c r="JU149" s="30"/>
      <c r="JV149" s="30"/>
      <c r="JW149" s="30"/>
      <c r="JX149" s="30"/>
      <c r="JY149" s="30"/>
      <c r="JZ149" s="30"/>
      <c r="KA149" s="30"/>
      <c r="KB149" s="30"/>
      <c r="KC149" s="30"/>
      <c r="KD149" s="30"/>
      <c r="KE149" s="30"/>
      <c r="KF149" s="30"/>
      <c r="KG149" s="30"/>
      <c r="KH149" s="30"/>
      <c r="KI149" s="30"/>
      <c r="KJ149" s="30"/>
      <c r="KK149" s="30"/>
      <c r="KL149" s="30"/>
      <c r="KM149" s="30"/>
      <c r="KN149" s="30"/>
      <c r="KO149" s="30"/>
      <c r="KP149" s="30"/>
      <c r="KQ149" s="30"/>
      <c r="KR149" s="30"/>
      <c r="KS149" s="30"/>
      <c r="KT149" s="30"/>
      <c r="KU149" s="30"/>
      <c r="KV149" s="30"/>
      <c r="KW149" s="30"/>
      <c r="KX149" s="30"/>
      <c r="KY149" s="30"/>
      <c r="KZ149" s="30"/>
    </row>
    <row r="150" customFormat="false" ht="14.4" hidden="false" customHeight="false" outlineLevel="0" collapsed="false">
      <c r="A150" s="99"/>
      <c r="B150" s="31"/>
      <c r="C150" s="122"/>
      <c r="D150" s="85" t="s">
        <v>134</v>
      </c>
      <c r="E150" s="264" t="n">
        <f aca="false">IF(AND($F$2="No",$F$3="No"),SUM(J150),IF(AND($F$2="Yes", $F$3="No"), SUM(J150)+L150, IF(AND($F$2="No", $F$3="Yes"),SUM(J150)+K150, SUM(J150)+L150+K150)))</f>
        <v>0</v>
      </c>
      <c r="F150" s="121" t="n">
        <f aca="false">IF(AND($F$2="No",$F$3="No"),SUM(H150:J150,M150:P150),IF(AND($F$2="Yes", $F$3="No"), SUM(H150:J150,M150:P150)+L150, IF(AND($F$2="No", $F$3="Yes"),SUM(H150:J150,M150:P150)+K150, SUM(H150:J150,M150:P150)+L150+K150)))</f>
        <v>8.74135247312587</v>
      </c>
      <c r="G150" s="118" t="n">
        <f aca="false">SUM(R150:T150)/(1-'Common input data'!B$125)</f>
        <v>21.5850182116555</v>
      </c>
      <c r="H150" s="87" t="n">
        <v>0</v>
      </c>
      <c r="I150" s="87" t="n">
        <v>0</v>
      </c>
      <c r="J150" s="87" t="n">
        <v>0</v>
      </c>
      <c r="K150" s="87" t="n">
        <v>0</v>
      </c>
      <c r="L150" s="87" t="n">
        <v>0</v>
      </c>
      <c r="M150" s="87" t="n">
        <v>0</v>
      </c>
      <c r="N150" s="87" t="n">
        <v>0</v>
      </c>
      <c r="O150" s="283" t="n">
        <f aca="false">'Input data fish and seafood'!G29*'Input data fish and seafood'!B42</f>
        <v>8.74135247312587</v>
      </c>
      <c r="P150" s="121" t="n">
        <v>0</v>
      </c>
      <c r="Q150" s="281" t="n">
        <f aca="false">'Input data fish and seafood'!B89*('Input data fish and seafood'!B103*'Common input data'!B63+'Input data fish and seafood'!C103*'Common input data'!C63)</f>
        <v>0.1239752</v>
      </c>
      <c r="R150" s="121" t="n">
        <f aca="false">(F150+Q150)/'Input data fish and seafood'!$H$29</f>
        <v>18.0925054553589</v>
      </c>
      <c r="S150" s="281" t="n">
        <f aca="false">'Common input data'!B94</f>
        <v>0.1</v>
      </c>
      <c r="T150" s="249" t="n">
        <f aca="false">'Input data fish and seafood'!B117*'Common input data'!B98+'Input data fish and seafood'!C117*'Common input data'!B102+'Common input data'!C98</f>
        <v>0.179</v>
      </c>
    </row>
    <row r="151" customFormat="false" ht="14.4" hidden="false" customHeight="false" outlineLevel="0" collapsed="false">
      <c r="A151" s="99"/>
      <c r="B151" s="31"/>
      <c r="C151" s="31"/>
      <c r="D151" s="85" t="s">
        <v>135</v>
      </c>
      <c r="E151" s="86" t="n">
        <v>0</v>
      </c>
      <c r="F151" s="121" t="n">
        <f aca="false">SUM(H151:J151,M151:P151)</f>
        <v>0.00387212438976848</v>
      </c>
      <c r="G151" s="118" t="n">
        <f aca="false">SUM(R151:T151)/(1-'Common input data'!B$125)</f>
        <v>0.00928455073238168</v>
      </c>
      <c r="H151" s="87" t="n">
        <v>0</v>
      </c>
      <c r="I151" s="87" t="n">
        <v>0</v>
      </c>
      <c r="J151" s="87" t="n">
        <v>0</v>
      </c>
      <c r="K151" s="87" t="n">
        <v>0</v>
      </c>
      <c r="L151" s="87" t="n">
        <v>0</v>
      </c>
      <c r="M151" s="87" t="n">
        <v>0</v>
      </c>
      <c r="N151" s="87" t="n">
        <v>0</v>
      </c>
      <c r="O151" s="283" t="n">
        <f aca="false">'Input data fish and seafood'!G29*'Input data fish and seafood'!B43</f>
        <v>0.00387212438976848</v>
      </c>
      <c r="P151" s="121" t="n">
        <v>0</v>
      </c>
      <c r="Q151" s="281" t="n">
        <v>0</v>
      </c>
      <c r="R151" s="121" t="n">
        <f aca="false">(F151+Q151)/'Input data fish and seafood'!$H$29</f>
        <v>0.00790229467299689</v>
      </c>
      <c r="S151" s="281" t="n">
        <v>0</v>
      </c>
      <c r="T151" s="249" t="n">
        <v>0</v>
      </c>
    </row>
    <row r="152" customFormat="false" ht="14.4" hidden="false" customHeight="false" outlineLevel="0" collapsed="false">
      <c r="A152" s="99"/>
      <c r="B152" s="31"/>
      <c r="C152" s="87"/>
      <c r="D152" s="31" t="s">
        <v>136</v>
      </c>
      <c r="E152" s="86" t="n">
        <v>0</v>
      </c>
      <c r="F152" s="121" t="n">
        <f aca="false">SUM(H152:J152,M152:P152)</f>
        <v>0.000234883549067133</v>
      </c>
      <c r="G152" s="118" t="n">
        <f aca="false">SUM(R152:T152)/(1-'Common input data'!B$125)</f>
        <v>0.000563202006959816</v>
      </c>
      <c r="H152" s="87" t="n">
        <v>0</v>
      </c>
      <c r="I152" s="87" t="n">
        <v>0</v>
      </c>
      <c r="J152" s="87" t="n">
        <v>0</v>
      </c>
      <c r="K152" s="87" t="n">
        <v>0</v>
      </c>
      <c r="L152" s="87" t="n">
        <v>0</v>
      </c>
      <c r="M152" s="87" t="n">
        <v>0</v>
      </c>
      <c r="N152" s="87" t="n">
        <v>0</v>
      </c>
      <c r="O152" s="121" t="n">
        <f aca="false">'Input data fish and seafood'!G29*'Input data fish and seafood'!B44</f>
        <v>0.000234883549067133</v>
      </c>
      <c r="P152" s="121" t="n">
        <v>0</v>
      </c>
      <c r="Q152" s="284" t="n">
        <v>0</v>
      </c>
      <c r="R152" s="121" t="n">
        <f aca="false">(F152+Q152)/'Input data fish and seafood'!$H$29</f>
        <v>0.00047935418176966</v>
      </c>
      <c r="S152" s="285" t="n">
        <v>0</v>
      </c>
      <c r="T152" s="249" t="n">
        <v>0</v>
      </c>
    </row>
    <row r="153" customFormat="false" ht="14.4" hidden="false" customHeight="false" outlineLevel="0" collapsed="false">
      <c r="A153" s="99"/>
      <c r="B153" s="31"/>
      <c r="C153" s="87"/>
      <c r="D153" s="31" t="s">
        <v>207</v>
      </c>
      <c r="E153" s="104" t="n">
        <v>0</v>
      </c>
      <c r="F153" s="255" t="n">
        <f aca="false">SUM(H153:J153,M153:P153)</f>
        <v>0.00024</v>
      </c>
      <c r="G153" s="292" t="n">
        <f aca="false">SUM(R153:T153)/(1-'Common input data'!B$125)</f>
        <v>0.000575470194516359</v>
      </c>
      <c r="H153" s="87" t="n">
        <v>0</v>
      </c>
      <c r="I153" s="87" t="n">
        <v>0</v>
      </c>
      <c r="J153" s="87" t="n">
        <v>0</v>
      </c>
      <c r="K153" s="87" t="n">
        <v>0</v>
      </c>
      <c r="L153" s="87" t="n">
        <v>0</v>
      </c>
      <c r="M153" s="87" t="n">
        <v>0</v>
      </c>
      <c r="N153" s="87" t="n">
        <v>0</v>
      </c>
      <c r="O153" s="121" t="n">
        <v>0</v>
      </c>
      <c r="P153" s="121" t="n">
        <f aca="false">'Input data fish and seafood'!C49</f>
        <v>0.00024</v>
      </c>
      <c r="Q153" s="281" t="n">
        <v>0</v>
      </c>
      <c r="R153" s="121" t="n">
        <f aca="false">(F153+Q153)/'Input data fish and seafood'!$H$29</f>
        <v>0.000489795918367347</v>
      </c>
      <c r="S153" s="281" t="n">
        <v>0</v>
      </c>
      <c r="T153" s="249" t="n">
        <v>0</v>
      </c>
    </row>
    <row r="154" customFormat="false" ht="14.4" hidden="false" customHeight="false" outlineLevel="0" collapsed="false">
      <c r="A154" s="127" t="s">
        <v>236</v>
      </c>
      <c r="B154" s="128"/>
      <c r="C154" s="129"/>
      <c r="D154" s="130"/>
      <c r="E154" s="110" t="s">
        <v>205</v>
      </c>
      <c r="F154" s="111" t="s">
        <v>205</v>
      </c>
      <c r="G154" s="112" t="s">
        <v>206</v>
      </c>
      <c r="H154" s="129"/>
      <c r="I154" s="129"/>
      <c r="J154" s="129"/>
      <c r="K154" s="132"/>
      <c r="L154" s="132"/>
      <c r="M154" s="133"/>
      <c r="N154" s="132"/>
      <c r="O154" s="132"/>
      <c r="P154" s="132"/>
      <c r="Q154" s="132"/>
      <c r="R154" s="132"/>
      <c r="S154" s="132"/>
      <c r="T154" s="287"/>
    </row>
    <row r="155" s="235" customFormat="true" ht="14.4" hidden="false" customHeight="false" outlineLevel="0" collapsed="false">
      <c r="A155" s="134" t="s">
        <v>132</v>
      </c>
      <c r="B155" s="135"/>
      <c r="C155" s="136" t="n">
        <f aca="false">SUM(C160:C169)</f>
        <v>1</v>
      </c>
      <c r="D155" s="137" t="s">
        <v>133</v>
      </c>
      <c r="E155" s="243" t="n">
        <f aca="false">IF($F$1="GWP100 without fb",E156+E157*'Common input data'!$C$5+E158*'Common input data'!$D$5+E159*'Common input data'!$E$5,IF($F$1="GWP100 with fb",E156+E157*'Common input data'!$C$6+E158*'Common input data'!$D$6+E159*'Common input data'!$E$6,IF($F$1="GTP100 without fb",E156+E157*'Common input data'!$C$7+E158*'Common input data'!$D$7+E159*'Common input data'!$E$7,IF($F$1="GTP100 with fb",E156+E157*'Common input data'!$C$8+E158*'Common input data'!$D$8+E159*'Common input data'!$E$8,E156+E157*'Common input data'!$C$9+E158*'Common input data'!$D$9+E159*'Common input data'!$E$9))))</f>
        <v>0</v>
      </c>
      <c r="F155" s="244" t="n">
        <f aca="false">IF($F$1="GWP100 without fb",F156+F157*'Common input data'!$C$5+F158*'Common input data'!$D$5+F159*'Common input data'!$E$5,IF($F$1="GWP100 with fb",F156+F157*'Common input data'!$C$6+F158*'Common input data'!$D$6+F159*'Common input data'!$E$6,IF($F$1="GTP100 without fb",F156+F157*'Common input data'!$C$7+F158*'Common input data'!$D$7+F159*'Common input data'!$E$7,IF($F$1="GTP100 with fb",F156+F157*'Common input data'!$C$8+F158*'Common input data'!$D$8+F159*'Common input data'!$E$8,F156+F157*'Common input data'!$C$9+F158*'Common input data'!$D$9+F159*'Common input data'!$E$9))))</f>
        <v>2.504439</v>
      </c>
      <c r="G155" s="245" t="n">
        <f aca="false">IF($F$1="GWP100 without fb",G156+G157*'Common input data'!$C$5+G158*'Common input data'!$D$5+G159*'Common input data'!$E$5,IF($F$1="GWP100 with fb",G156+G157*'Common input data'!$C$6+G158*'Common input data'!$D$6+G159*'Common input data'!$E$6,IF($F$1="GTP100 without fb",G156+G157*'Common input data'!$C$7+G158*'Common input data'!$D$7+G159*'Common input data'!$E$7,IF($F$1="GTP100 with fb",G156+G157*'Common input data'!$C$8+G158*'Common input data'!$D$8+G159*'Common input data'!$E$8,G156+G157*'Common input data'!$C$9+G158*'Common input data'!$D$9+G159*'Common input data'!$E$9))))</f>
        <v>7.14893259668763</v>
      </c>
      <c r="H155" s="80"/>
      <c r="I155" s="271"/>
      <c r="J155" s="271"/>
      <c r="K155" s="272"/>
      <c r="L155" s="272"/>
      <c r="M155" s="273"/>
      <c r="N155" s="272"/>
      <c r="O155" s="272"/>
      <c r="P155" s="272"/>
      <c r="Q155" s="272"/>
      <c r="R155" s="272"/>
      <c r="S155" s="272"/>
      <c r="T155" s="274"/>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c r="GL155" s="30"/>
      <c r="GM155" s="30"/>
      <c r="GN155" s="30"/>
      <c r="GO155" s="30"/>
      <c r="GP155" s="30"/>
      <c r="GQ155" s="30"/>
      <c r="GR155" s="30"/>
      <c r="GS155" s="30"/>
      <c r="GT155" s="30"/>
      <c r="GU155" s="30"/>
      <c r="GV155" s="30"/>
      <c r="GW155" s="30"/>
      <c r="GX155" s="30"/>
      <c r="GY155" s="30"/>
      <c r="GZ155" s="30"/>
      <c r="HA155" s="30"/>
      <c r="HB155" s="30"/>
      <c r="HC155" s="30"/>
      <c r="HD155" s="30"/>
      <c r="HE155" s="30"/>
      <c r="HF155" s="30"/>
      <c r="HG155" s="30"/>
      <c r="HH155" s="30"/>
      <c r="HI155" s="30"/>
      <c r="HJ155" s="30"/>
      <c r="HK155" s="30"/>
      <c r="HL155" s="30"/>
      <c r="HM155" s="30"/>
      <c r="HN155" s="30"/>
      <c r="HO155" s="30"/>
      <c r="HP155" s="30"/>
      <c r="HQ155" s="30"/>
      <c r="HR155" s="30"/>
      <c r="HS155" s="30"/>
      <c r="HT155" s="30"/>
      <c r="HU155" s="30"/>
      <c r="HV155" s="30"/>
      <c r="HW155" s="30"/>
      <c r="HX155" s="30"/>
      <c r="HY155" s="30"/>
      <c r="HZ155" s="30"/>
      <c r="IA155" s="30"/>
      <c r="IB155" s="30"/>
      <c r="IC155" s="30"/>
      <c r="ID155" s="30"/>
      <c r="IE155" s="30"/>
      <c r="IF155" s="30"/>
      <c r="IG155" s="30"/>
      <c r="IH155" s="30"/>
      <c r="II155" s="30"/>
      <c r="IJ155" s="30"/>
      <c r="IK155" s="30"/>
      <c r="IL155" s="30"/>
      <c r="IM155" s="30"/>
      <c r="IN155" s="30"/>
      <c r="IO155" s="30"/>
      <c r="IP155" s="30"/>
      <c r="IQ155" s="30"/>
      <c r="IR155" s="30"/>
      <c r="IS155" s="30"/>
      <c r="IT155" s="30"/>
      <c r="IU155" s="30"/>
      <c r="IV155" s="30"/>
      <c r="IW155" s="30"/>
      <c r="IX155" s="30"/>
      <c r="IY155" s="30"/>
      <c r="IZ155" s="30"/>
      <c r="JA155" s="30"/>
      <c r="JB155" s="30"/>
      <c r="JC155" s="30"/>
      <c r="JD155" s="30"/>
      <c r="JE155" s="30"/>
      <c r="JF155" s="30"/>
      <c r="JG155" s="30"/>
      <c r="JH155" s="30"/>
      <c r="JI155" s="30"/>
      <c r="JJ155" s="30"/>
      <c r="JK155" s="30"/>
      <c r="JL155" s="30"/>
      <c r="JM155" s="30"/>
      <c r="JN155" s="30"/>
      <c r="JO155" s="30"/>
      <c r="JP155" s="30"/>
      <c r="JQ155" s="30"/>
      <c r="JR155" s="30"/>
      <c r="JS155" s="30"/>
      <c r="JT155" s="30"/>
      <c r="JU155" s="30"/>
      <c r="JV155" s="30"/>
      <c r="JW155" s="30"/>
      <c r="JX155" s="30"/>
      <c r="JY155" s="30"/>
      <c r="JZ155" s="30"/>
      <c r="KA155" s="30"/>
      <c r="KB155" s="30"/>
      <c r="KC155" s="30"/>
      <c r="KD155" s="30"/>
      <c r="KE155" s="30"/>
      <c r="KF155" s="30"/>
      <c r="KG155" s="30"/>
      <c r="KH155" s="30"/>
      <c r="KI155" s="30"/>
      <c r="KJ155" s="30"/>
      <c r="KK155" s="30"/>
      <c r="KL155" s="30"/>
      <c r="KM155" s="30"/>
      <c r="KN155" s="30"/>
      <c r="KO155" s="30"/>
      <c r="KP155" s="30"/>
      <c r="KQ155" s="30"/>
      <c r="KR155" s="30"/>
      <c r="KS155" s="30"/>
      <c r="KT155" s="30"/>
      <c r="KU155" s="30"/>
      <c r="KV155" s="30"/>
      <c r="KW155" s="30"/>
      <c r="KX155" s="30"/>
      <c r="KY155" s="30"/>
      <c r="KZ155" s="30"/>
    </row>
    <row r="156" customFormat="false" ht="14.4" hidden="false" customHeight="false" outlineLevel="0" collapsed="false">
      <c r="A156" s="143"/>
      <c r="B156" s="122"/>
      <c r="C156" s="122"/>
      <c r="D156" s="85" t="s">
        <v>134</v>
      </c>
      <c r="E156" s="86" t="n">
        <f aca="false">$C$160*E161+$C$165*E166</f>
        <v>0</v>
      </c>
      <c r="F156" s="87" t="n">
        <f aca="false">$C$160*F161+$C$165*F166</f>
        <v>2.17727413998522</v>
      </c>
      <c r="G156" s="118" t="n">
        <f aca="false">$C$160*G161+$C$165*G166</f>
        <v>6.42366469920733</v>
      </c>
      <c r="H156" s="87" t="n">
        <f aca="false">$C$160*H161+$C$165*H166</f>
        <v>0</v>
      </c>
      <c r="I156" s="87" t="n">
        <f aca="false">$C$160*I161+$C$165*I166</f>
        <v>0</v>
      </c>
      <c r="J156" s="87" t="n">
        <f aca="false">$C$160*J161+$C$165*J166</f>
        <v>0</v>
      </c>
      <c r="K156" s="87" t="n">
        <f aca="false">$C$160*K161+$C$165*K166</f>
        <v>0</v>
      </c>
      <c r="L156" s="87" t="n">
        <f aca="false">$C$160*L161+$C$165*L166</f>
        <v>0</v>
      </c>
      <c r="M156" s="87" t="n">
        <f aca="false">$C$160*M161+$C$165*M166</f>
        <v>0</v>
      </c>
      <c r="N156" s="87" t="n">
        <f aca="false">$C$160*N161+$C$165*N166</f>
        <v>0</v>
      </c>
      <c r="O156" s="87" t="n">
        <f aca="false">$C$160*O161+$C$165*O166</f>
        <v>2.17727413998522</v>
      </c>
      <c r="P156" s="87" t="n">
        <f aca="false">$C$160*P161+$C$165*P166</f>
        <v>0</v>
      </c>
      <c r="Q156" s="87" t="n">
        <f aca="false">$C$160*Q161+$C$165*Q166</f>
        <v>0.386510108</v>
      </c>
      <c r="R156" s="87" t="n">
        <f aca="false">$C$160*R161+$C$165*R166</f>
        <v>4.83732876978344</v>
      </c>
      <c r="S156" s="87" t="n">
        <f aca="false">$C$160*S161+$C$165*S166</f>
        <v>0.1</v>
      </c>
      <c r="T156" s="275" t="n">
        <f aca="false">$C$160*T161+$C$165*T166</f>
        <v>0.53</v>
      </c>
    </row>
    <row r="157" customFormat="false" ht="14.4" hidden="false" customHeight="false" outlineLevel="0" collapsed="false">
      <c r="A157" s="91"/>
      <c r="B157" s="92"/>
      <c r="C157" s="93"/>
      <c r="D157" s="85" t="s">
        <v>135</v>
      </c>
      <c r="E157" s="86" t="n">
        <f aca="false">$C$160*E162+$C$165*E167</f>
        <v>0</v>
      </c>
      <c r="F157" s="87" t="n">
        <f aca="false">$C$160*F162+$C$165*F167</f>
        <v>0.000964459026971853</v>
      </c>
      <c r="G157" s="118" t="n">
        <f aca="false">$C$160*G162+$C$165*G167</f>
        <v>0.00213803881830762</v>
      </c>
      <c r="H157" s="87" t="n">
        <f aca="false">$C$160*H162+$C$165*H167</f>
        <v>0</v>
      </c>
      <c r="I157" s="87" t="n">
        <f aca="false">$C$160*I162+$C$165*I167</f>
        <v>0</v>
      </c>
      <c r="J157" s="87" t="n">
        <f aca="false">$C$160*J162+$C$165*J167</f>
        <v>0</v>
      </c>
      <c r="K157" s="87" t="n">
        <f aca="false">$C$160*K162+$C$165*K167</f>
        <v>0</v>
      </c>
      <c r="L157" s="87" t="n">
        <f aca="false">$C$160*L162+$C$165*L167</f>
        <v>0</v>
      </c>
      <c r="M157" s="87" t="n">
        <f aca="false">$C$160*M162+$C$165*M167</f>
        <v>0</v>
      </c>
      <c r="N157" s="87" t="n">
        <f aca="false">$C$160*N162+$C$165*N167</f>
        <v>0</v>
      </c>
      <c r="O157" s="87" t="n">
        <f aca="false">$C$160*O162+$C$165*O167</f>
        <v>0.000964459026971853</v>
      </c>
      <c r="P157" s="87" t="n">
        <f aca="false">$C$160*P162+$C$165*P167</f>
        <v>0</v>
      </c>
      <c r="Q157" s="87" t="n">
        <f aca="false">$C$160*Q162+$C$165*Q167</f>
        <v>0</v>
      </c>
      <c r="R157" s="87" t="n">
        <f aca="false">$C$160*R162+$C$165*R167</f>
        <v>0.00181973401315444</v>
      </c>
      <c r="S157" s="87" t="n">
        <f aca="false">$C$160*S162+$C$165*S167</f>
        <v>0</v>
      </c>
      <c r="T157" s="275" t="n">
        <f aca="false">$C$160*T162+$C$165*T167</f>
        <v>0</v>
      </c>
    </row>
    <row r="158" customFormat="false" ht="14.4" hidden="false" customHeight="false" outlineLevel="0" collapsed="false">
      <c r="A158" s="91"/>
      <c r="B158" s="92"/>
      <c r="C158" s="87"/>
      <c r="D158" s="31" t="s">
        <v>136</v>
      </c>
      <c r="E158" s="86" t="n">
        <f aca="false">$C$160*E163+$C$165*E168</f>
        <v>0</v>
      </c>
      <c r="F158" s="87" t="n">
        <f aca="false">$C$160*F163+$C$165*F168</f>
        <v>5.85042050259465E-005</v>
      </c>
      <c r="G158" s="118" t="n">
        <f aca="false">$C$160*G163+$C$165*G168</f>
        <v>0.000129693701734985</v>
      </c>
      <c r="H158" s="87" t="n">
        <f aca="false">$C$160*H163+$C$165*H168</f>
        <v>0</v>
      </c>
      <c r="I158" s="87" t="n">
        <f aca="false">$C$160*I163+$C$165*I168</f>
        <v>0</v>
      </c>
      <c r="J158" s="87" t="n">
        <f aca="false">$C$160*J163+$C$165*J168</f>
        <v>0</v>
      </c>
      <c r="K158" s="87" t="n">
        <f aca="false">$C$160*K163+$C$165*K168</f>
        <v>0</v>
      </c>
      <c r="L158" s="87" t="n">
        <f aca="false">$C$160*L163+$C$165*L168</f>
        <v>0</v>
      </c>
      <c r="M158" s="87" t="n">
        <f aca="false">$C$160*M163+$C$165*M168</f>
        <v>0</v>
      </c>
      <c r="N158" s="87" t="n">
        <f aca="false">$C$160*N163+$C$165*N168</f>
        <v>0</v>
      </c>
      <c r="O158" s="87" t="n">
        <f aca="false">$C$160*O163+$C$165*O168</f>
        <v>5.85042050259465E-005</v>
      </c>
      <c r="P158" s="87" t="n">
        <f aca="false">$C$160*P163+$C$165*P168</f>
        <v>0</v>
      </c>
      <c r="Q158" s="87" t="n">
        <f aca="false">$C$160*Q163+$C$165*Q168</f>
        <v>0</v>
      </c>
      <c r="R158" s="87" t="n">
        <f aca="false">$C$160*R163+$C$165*R168</f>
        <v>0.000110385292501786</v>
      </c>
      <c r="S158" s="87" t="n">
        <f aca="false">$C$160*S163+$C$165*S168</f>
        <v>0</v>
      </c>
      <c r="T158" s="275" t="n">
        <f aca="false">$C$160*T163+$C$165*T168</f>
        <v>0</v>
      </c>
    </row>
    <row r="159" customFormat="false" ht="14.4" hidden="false" customHeight="false" outlineLevel="0" collapsed="false">
      <c r="A159" s="91"/>
      <c r="B159" s="92"/>
      <c r="C159" s="87"/>
      <c r="D159" s="31" t="s">
        <v>207</v>
      </c>
      <c r="E159" s="86" t="n">
        <f aca="false">$C$160*E164+$C$165*E169</f>
        <v>0</v>
      </c>
      <c r="F159" s="87" t="n">
        <f aca="false">$C$160*F164+$C$165*F169</f>
        <v>0.0001315</v>
      </c>
      <c r="G159" s="118" t="n">
        <f aca="false">$C$160*G164+$C$165*G169</f>
        <v>0.00029151275144388</v>
      </c>
      <c r="H159" s="87" t="n">
        <f aca="false">$C$160*H164+$C$165*H169</f>
        <v>0</v>
      </c>
      <c r="I159" s="87" t="n">
        <f aca="false">$C$160*I164+$C$165*I169</f>
        <v>0</v>
      </c>
      <c r="J159" s="87" t="n">
        <f aca="false">$C$160*J164+$C$165*J169</f>
        <v>0</v>
      </c>
      <c r="K159" s="87" t="n">
        <f aca="false">$C$160*K164+$C$165*K169</f>
        <v>0</v>
      </c>
      <c r="L159" s="87" t="n">
        <f aca="false">$C$160*L164+$C$165*L169</f>
        <v>0</v>
      </c>
      <c r="M159" s="87" t="n">
        <f aca="false">$C$160*M164+$C$165*M169</f>
        <v>0</v>
      </c>
      <c r="N159" s="87" t="n">
        <f aca="false">$C$160*N164+$C$165*N169</f>
        <v>0</v>
      </c>
      <c r="O159" s="87" t="n">
        <f aca="false">$C$160*O164+$C$165*O169</f>
        <v>0</v>
      </c>
      <c r="P159" s="87" t="n">
        <f aca="false">$C$160*P164+$C$165*P169</f>
        <v>0.0001315</v>
      </c>
      <c r="Q159" s="87" t="n">
        <f aca="false">$C$160*Q164+$C$165*Q169</f>
        <v>0</v>
      </c>
      <c r="R159" s="87" t="n">
        <f aca="false">$C$160*R164+$C$165*R169</f>
        <v>0.00024811320754717</v>
      </c>
      <c r="S159" s="87" t="n">
        <f aca="false">$C$160*S164+$C$165*S169</f>
        <v>0</v>
      </c>
      <c r="T159" s="275" t="n">
        <f aca="false">$C$160*T164+$C$165*T169</f>
        <v>0</v>
      </c>
    </row>
    <row r="160" customFormat="false" ht="14.4" hidden="false" customHeight="false" outlineLevel="0" collapsed="false">
      <c r="A160" s="161" t="s">
        <v>237</v>
      </c>
      <c r="B160" s="177" t="s">
        <v>213</v>
      </c>
      <c r="C160" s="289" t="n">
        <f aca="false">'Input data fish and seafood'!E30</f>
        <v>0.5</v>
      </c>
      <c r="D160" s="78" t="s">
        <v>133</v>
      </c>
      <c r="E160" s="276" t="n">
        <f aca="false">IF($F$1="GWP100 without fb",E161+E162*'Common input data'!$C$5+E163*'Common input data'!$D$5+E164*'Common input data'!$E$5,IF($F$1="GWP100 with fb",E161+E162*'Common input data'!$C$6+E163*'Common input data'!$D$6+E164*'Common input data'!$E$6,IF($F$1="GTP100 without fb",E161+E162*'Common input data'!$C$7+E163*'Common input data'!$D$7+E164*'Common input data'!$E$7,IF($F$1="GTP100 with fb",E161+E162*'Common input data'!$C$8+E163*'Common input data'!$D$8+E164*'Common input data'!$E$8,E161+E162*'Common input data'!$C$9+E163*'Common input data'!$D$9+E164*'Common input data'!$E$9))))</f>
        <v>0</v>
      </c>
      <c r="F160" s="277" t="n">
        <f aca="false">IF($F$1="GWP100 without fb",F161+F162*'Common input data'!$C$5+F163*'Common input data'!$D$5+F164*'Common input data'!$E$5,IF($F$1="GWP100 with fb",F161+F162*'Common input data'!$C$6+F163*'Common input data'!$D$6+F164*'Common input data'!$E$6,IF($F$1="GTP100 without fb",F161+F162*'Common input data'!$C$7+F163*'Common input data'!$D$7+F164*'Common input data'!$E$7,IF($F$1="GTP100 with fb",F161+F162*'Common input data'!$C$8+F163*'Common input data'!$D$8+F164*'Common input data'!$E$8,F161+F162*'Common input data'!$C$9+F163*'Common input data'!$D$9+F164*'Common input data'!$E$9))))</f>
        <v>2.487939</v>
      </c>
      <c r="G160" s="278" t="n">
        <f aca="false">IF($F$1="GWP100 without fb",G161+G162*'Common input data'!$C$5+G163*'Common input data'!$D$5+G164*'Common input data'!$E$5,IF($F$1="GWP100 with fb",G161+G162*'Common input data'!$C$6+G163*'Common input data'!$D$6+G164*'Common input data'!$E$6,IF($F$1="GTP100 without fb",G161+G162*'Common input data'!$C$7+G163*'Common input data'!$D$7+G164*'Common input data'!$E$7,IF($F$1="GTP100 with fb",G161+G162*'Common input data'!$C$8+G163*'Common input data'!$D$8+G164*'Common input data'!$E$8,G161+G162*'Common input data'!$C$9+G163*'Common input data'!$D$9+G164*'Common input data'!$E$9))))</f>
        <v>7.1123549510692</v>
      </c>
      <c r="H160" s="95"/>
      <c r="I160" s="97"/>
      <c r="J160" s="97"/>
      <c r="K160" s="279"/>
      <c r="L160" s="279"/>
      <c r="M160" s="279"/>
      <c r="N160" s="279"/>
      <c r="O160" s="279"/>
      <c r="P160" s="279"/>
      <c r="Q160" s="279"/>
      <c r="R160" s="279"/>
      <c r="S160" s="279"/>
      <c r="T160" s="280"/>
    </row>
    <row r="161" customFormat="false" ht="14.4" hidden="false" customHeight="false" outlineLevel="0" collapsed="false">
      <c r="A161" s="99"/>
      <c r="B161" s="31"/>
      <c r="C161" s="122"/>
      <c r="D161" s="85" t="s">
        <v>134</v>
      </c>
      <c r="E161" s="264" t="n">
        <f aca="false">IF(AND($F$2="No",$F$3="No"),SUM(J161),IF(AND($F$2="Yes", $F$3="No"), SUM(J161)+L161, IF(AND($F$2="No", $F$3="Yes"),SUM(J161)+K161, SUM(J161)+L161+K161)))</f>
        <v>0</v>
      </c>
      <c r="F161" s="121" t="n">
        <f aca="false">IF(AND($F$2="No",$F$3="No"),SUM(H161:J161,M161:P161),IF(AND($F$2="Yes", $F$3="No"), SUM(H161:J161,M161:P161)+L161, IF(AND($F$2="No", $F$3="Yes"),SUM(H161:J161,M161:P161)+K161, SUM(H161:J161,M161:P161)+L161+K161)))</f>
        <v>2.16114618339274</v>
      </c>
      <c r="G161" s="118" t="n">
        <f aca="false">SUM(R161:T161)/(1-'Common input data'!C$125)</f>
        <v>6.38791180946253</v>
      </c>
      <c r="H161" s="87" t="n">
        <v>0</v>
      </c>
      <c r="I161" s="87" t="n">
        <v>0</v>
      </c>
      <c r="J161" s="87" t="n">
        <v>0</v>
      </c>
      <c r="K161" s="87" t="n">
        <v>0</v>
      </c>
      <c r="L161" s="87" t="n">
        <v>0</v>
      </c>
      <c r="M161" s="87" t="n">
        <v>0</v>
      </c>
      <c r="N161" s="87" t="n">
        <v>0</v>
      </c>
      <c r="O161" s="87" t="n">
        <f aca="false">'Input data fish and seafood'!G30*'Input data fish and seafood'!B42</f>
        <v>2.16114618339274</v>
      </c>
      <c r="P161" s="87" t="n">
        <v>0</v>
      </c>
      <c r="Q161" s="89" t="n">
        <f aca="false">'Input data fish and seafood'!B89*('Input data fish and seafood'!B104*'Common input data'!B63+'Input data fish and seafood'!C104*'Common input data'!C63+'Input data fish and seafood'!D104*'Common input data'!E63+'Input data fish and seafood'!E104*'Common input data'!F63+'Input data fish and seafood'!H104*'Common input data'!K63)</f>
        <v>0.386510108</v>
      </c>
      <c r="R161" s="87" t="n">
        <f aca="false">(F161+Q161)/'Input data fish and seafood'!$H$30</f>
        <v>4.80689866300517</v>
      </c>
      <c r="S161" s="87" t="n">
        <f aca="false">'Common input data'!B94</f>
        <v>0.1</v>
      </c>
      <c r="T161" s="275" t="n">
        <f aca="false">'Input data fish and seafood'!E118*'Common input data'!B107+'Common input data'!C107</f>
        <v>0.53</v>
      </c>
    </row>
    <row r="162" customFormat="false" ht="14.4" hidden="false" customHeight="false" outlineLevel="0" collapsed="false">
      <c r="A162" s="162"/>
      <c r="B162" s="282"/>
      <c r="C162" s="23"/>
      <c r="D162" s="85" t="s">
        <v>135</v>
      </c>
      <c r="E162" s="86" t="n">
        <v>0</v>
      </c>
      <c r="F162" s="121" t="n">
        <f aca="false">SUM(H162:J162,M162:P162)</f>
        <v>0.000957314886031321</v>
      </c>
      <c r="G162" s="118" t="n">
        <f aca="false">SUM(R162:T162)/(1-'Common input data'!C$125)</f>
        <v>0.00212220149372757</v>
      </c>
      <c r="H162" s="87" t="n">
        <v>0</v>
      </c>
      <c r="I162" s="87" t="n">
        <v>0</v>
      </c>
      <c r="J162" s="87" t="n">
        <v>0</v>
      </c>
      <c r="K162" s="87" t="n">
        <v>0</v>
      </c>
      <c r="L162" s="87" t="n">
        <v>0</v>
      </c>
      <c r="M162" s="87" t="n">
        <v>0</v>
      </c>
      <c r="N162" s="87" t="n">
        <v>0</v>
      </c>
      <c r="O162" s="87" t="n">
        <f aca="false">'Input data fish and seafood'!G30*'Input data fish and seafood'!B43</f>
        <v>0.000957314886031321</v>
      </c>
      <c r="P162" s="87" t="n">
        <v>0</v>
      </c>
      <c r="Q162" s="89" t="n">
        <v>0</v>
      </c>
      <c r="R162" s="87" t="n">
        <f aca="false">(F162+Q162)/'Input data fish and seafood'!$H$30</f>
        <v>0.00180625450194589</v>
      </c>
      <c r="S162" s="87" t="n">
        <v>0</v>
      </c>
      <c r="T162" s="275" t="n">
        <v>0</v>
      </c>
    </row>
    <row r="163" customFormat="false" ht="14.4" hidden="false" customHeight="false" outlineLevel="0" collapsed="false">
      <c r="A163" s="100"/>
      <c r="B163" s="101"/>
      <c r="C163" s="87"/>
      <c r="D163" s="31" t="s">
        <v>136</v>
      </c>
      <c r="E163" s="86" t="n">
        <v>0</v>
      </c>
      <c r="F163" s="121" t="n">
        <f aca="false">SUM(H163:J163,M163:P163)</f>
        <v>5.80708405442728E-005</v>
      </c>
      <c r="G163" s="118" t="n">
        <f aca="false">SUM(R163:T163)/(1-'Common input data'!C$125)</f>
        <v>0.000128733007648059</v>
      </c>
      <c r="H163" s="87" t="n">
        <v>0</v>
      </c>
      <c r="I163" s="87" t="n">
        <v>0</v>
      </c>
      <c r="J163" s="87" t="n">
        <v>0</v>
      </c>
      <c r="K163" s="87" t="n">
        <v>0</v>
      </c>
      <c r="L163" s="87" t="n">
        <v>0</v>
      </c>
      <c r="M163" s="87" t="n">
        <v>0</v>
      </c>
      <c r="N163" s="87" t="n">
        <v>0</v>
      </c>
      <c r="O163" s="87" t="n">
        <f aca="false">'Input data fish and seafood'!G30*'Input data fish and seafood'!B44</f>
        <v>5.80708405442728E-005</v>
      </c>
      <c r="P163" s="87" t="n">
        <v>0</v>
      </c>
      <c r="Q163" s="89" t="n">
        <v>0</v>
      </c>
      <c r="R163" s="87" t="n">
        <f aca="false">(F163+Q163)/'Input data fish and seafood'!$H$30</f>
        <v>0.000109567623668439</v>
      </c>
      <c r="S163" s="87" t="n">
        <v>0</v>
      </c>
      <c r="T163" s="275" t="n">
        <v>0</v>
      </c>
    </row>
    <row r="164" customFormat="false" ht="14.4" hidden="false" customHeight="false" outlineLevel="0" collapsed="false">
      <c r="A164" s="100"/>
      <c r="B164" s="101"/>
      <c r="C164" s="87"/>
      <c r="D164" s="31" t="s">
        <v>207</v>
      </c>
      <c r="E164" s="86" t="n">
        <v>0</v>
      </c>
      <c r="F164" s="121" t="n">
        <f aca="false">SUM(H164:J164,M164:P164)</f>
        <v>0.0001315</v>
      </c>
      <c r="G164" s="118" t="n">
        <f aca="false">SUM(R164:T164)/(1-'Common input data'!C$125)</f>
        <v>0.00029151275144388</v>
      </c>
      <c r="H164" s="87" t="n">
        <v>0</v>
      </c>
      <c r="I164" s="87" t="n">
        <v>0</v>
      </c>
      <c r="J164" s="87" t="n">
        <v>0</v>
      </c>
      <c r="K164" s="87" t="n">
        <v>0</v>
      </c>
      <c r="L164" s="87" t="n">
        <v>0</v>
      </c>
      <c r="M164" s="87" t="n">
        <v>0</v>
      </c>
      <c r="N164" s="87" t="n">
        <v>0</v>
      </c>
      <c r="O164" s="87" t="n">
        <v>0</v>
      </c>
      <c r="P164" s="87" t="n">
        <f aca="false">AVERAGE('Input data fish and seafood'!B49,'Input data fish and seafood'!C49)</f>
        <v>0.0001315</v>
      </c>
      <c r="Q164" s="89" t="n">
        <v>0</v>
      </c>
      <c r="R164" s="87" t="n">
        <f aca="false">(F164+Q164)/'Input data fish and seafood'!$H$30</f>
        <v>0.00024811320754717</v>
      </c>
      <c r="S164" s="87" t="n">
        <v>0</v>
      </c>
      <c r="T164" s="275" t="n">
        <v>0</v>
      </c>
    </row>
    <row r="165" customFormat="false" ht="14.4" hidden="false" customHeight="false" outlineLevel="0" collapsed="false">
      <c r="A165" s="161" t="s">
        <v>237</v>
      </c>
      <c r="B165" s="177" t="s">
        <v>221</v>
      </c>
      <c r="C165" s="289" t="n">
        <f aca="false">'Input data fish and seafood'!E31</f>
        <v>0.5</v>
      </c>
      <c r="D165" s="78" t="s">
        <v>133</v>
      </c>
      <c r="E165" s="276" t="n">
        <f aca="false">IF($F$1="GWP100 without fb",E166+E167*'Common input data'!$C$5+E168*'Common input data'!$D$5+E169*'Common input data'!$E$5,IF($F$1="GWP100 with fb",E166+E167*'Common input data'!$C$6+E168*'Common input data'!$D$6+E169*'Common input data'!$E$6,IF($F$1="GTP100 without fb",E166+E167*'Common input data'!$C$7+E168*'Common input data'!$D$7+E169*'Common input data'!$E$7,IF($F$1="GTP100 with fb",E166+E167*'Common input data'!$C$8+E168*'Common input data'!$D$8+E169*'Common input data'!$E$8,E166+E167*'Common input data'!$C$9+E168*'Common input data'!$D$9+E169*'Common input data'!$E$9))))</f>
        <v>0</v>
      </c>
      <c r="F165" s="277" t="n">
        <f aca="false">IF($F$1="GWP100 without fb",F166+F167*'Common input data'!$C$5+F168*'Common input data'!$D$5+F169*'Common input data'!$E$5,IF($F$1="GWP100 with fb",F166+F167*'Common input data'!$C$6+F168*'Common input data'!$D$6+F169*'Common input data'!$E$6,IF($F$1="GTP100 without fb",F166+F167*'Common input data'!$C$7+F168*'Common input data'!$D$7+F169*'Common input data'!$E$7,IF($F$1="GTP100 with fb",F166+F167*'Common input data'!$C$8+F168*'Common input data'!$D$8+F169*'Common input data'!$E$8,F166+F167*'Common input data'!$C$9+F168*'Common input data'!$D$9+F169*'Common input data'!$E$9))))</f>
        <v>2.520939</v>
      </c>
      <c r="G165" s="278" t="n">
        <f aca="false">IF($F$1="GWP100 without fb",G166+G167*'Common input data'!$C$5+G168*'Common input data'!$D$5+G169*'Common input data'!$E$5,IF($F$1="GWP100 with fb",G166+G167*'Common input data'!$C$6+G168*'Common input data'!$D$6+G169*'Common input data'!$E$6,IF($F$1="GTP100 without fb",G166+G167*'Common input data'!$C$7+G168*'Common input data'!$D$7+G169*'Common input data'!$E$7,IF($F$1="GTP100 with fb",G166+G167*'Common input data'!$C$8+G168*'Common input data'!$D$8+G169*'Common input data'!$E$8,G166+G167*'Common input data'!$C$9+G168*'Common input data'!$D$9+G169*'Common input data'!$E$9))))</f>
        <v>7.18551024230606</v>
      </c>
      <c r="H165" s="95"/>
      <c r="I165" s="97"/>
      <c r="J165" s="97"/>
      <c r="K165" s="279"/>
      <c r="L165" s="279"/>
      <c r="M165" s="279"/>
      <c r="N165" s="279"/>
      <c r="O165" s="279"/>
      <c r="P165" s="279"/>
      <c r="Q165" s="279"/>
      <c r="R165" s="279"/>
      <c r="S165" s="279"/>
      <c r="T165" s="280"/>
    </row>
    <row r="166" customFormat="false" ht="14.4" hidden="false" customHeight="false" outlineLevel="0" collapsed="false">
      <c r="A166" s="99"/>
      <c r="B166" s="31"/>
      <c r="C166" s="122"/>
      <c r="D166" s="85" t="s">
        <v>134</v>
      </c>
      <c r="E166" s="264" t="n">
        <f aca="false">IF(AND($F$2="No",$F$3="No"),SUM(J166),IF(AND($F$2="Yes", $F$3="No"), SUM(J166)+L166, IF(AND($F$2="No", $F$3="Yes"),SUM(J166)+K166, SUM(J166)+L166+K166)))</f>
        <v>0</v>
      </c>
      <c r="F166" s="121" t="n">
        <f aca="false">IF(AND($F$2="No",$F$3="No"),SUM(H166:J166,M166:P166),IF(AND($F$2="Yes", $F$3="No"), SUM(H166:J166,M166:P166)+L166, IF(AND($F$2="No", $F$3="Yes"),SUM(H166:J166,M166:P166)+K166, SUM(H166:J166,M166:P166)+L166+K166)))</f>
        <v>2.19340209657771</v>
      </c>
      <c r="G166" s="118" t="n">
        <f aca="false">SUM(R166:T166)/(1-'Common input data'!C$125)</f>
        <v>6.45941758895214</v>
      </c>
      <c r="H166" s="87" t="n">
        <v>0</v>
      </c>
      <c r="I166" s="87" t="n">
        <v>0</v>
      </c>
      <c r="J166" s="87" t="n">
        <v>0</v>
      </c>
      <c r="K166" s="87" t="n">
        <v>0</v>
      </c>
      <c r="L166" s="87" t="n">
        <v>0</v>
      </c>
      <c r="M166" s="87" t="n">
        <v>0</v>
      </c>
      <c r="N166" s="87" t="n">
        <v>0</v>
      </c>
      <c r="O166" s="290" t="n">
        <f aca="false">'Input data fish and seafood'!G31*'Input data fish and seafood'!B42</f>
        <v>2.19340209657771</v>
      </c>
      <c r="P166" s="87" t="n">
        <v>0</v>
      </c>
      <c r="Q166" s="89" t="n">
        <f aca="false">'Input data fish and seafood'!B89*('Input data fish and seafood'!B104*'Common input data'!B63+'Input data fish and seafood'!C104*'Common input data'!C63+'Input data fish and seafood'!D104*'Common input data'!E63+'Input data fish and seafood'!E104*'Common input data'!F63+'Input data fish and seafood'!H104*'Common input data'!K63)</f>
        <v>0.386510108</v>
      </c>
      <c r="R166" s="87" t="n">
        <f aca="false">(F166+Q166)/'Input data fish and seafood'!$H$31</f>
        <v>4.86775887656171</v>
      </c>
      <c r="S166" s="89" t="n">
        <f aca="false">'Common input data'!B94</f>
        <v>0.1</v>
      </c>
      <c r="T166" s="275" t="n">
        <f aca="false">'Input data fish and seafood'!E118*'Common input data'!B107+'Common input data'!C107</f>
        <v>0.53</v>
      </c>
    </row>
    <row r="167" customFormat="false" ht="14.4" hidden="false" customHeight="false" outlineLevel="0" collapsed="false">
      <c r="A167" s="99"/>
      <c r="B167" s="31"/>
      <c r="C167" s="31"/>
      <c r="D167" s="85" t="s">
        <v>135</v>
      </c>
      <c r="E167" s="86" t="n">
        <v>0</v>
      </c>
      <c r="F167" s="121" t="n">
        <f aca="false">SUM(H167:J167,M167:P167)</f>
        <v>0.000971603167912386</v>
      </c>
      <c r="G167" s="118" t="n">
        <f aca="false">SUM(R167:T167)/(1-'Common input data'!C$125)</f>
        <v>0.00215387614288768</v>
      </c>
      <c r="H167" s="87" t="n">
        <v>0</v>
      </c>
      <c r="I167" s="87" t="n">
        <v>0</v>
      </c>
      <c r="J167" s="87" t="n">
        <v>0</v>
      </c>
      <c r="K167" s="87" t="n">
        <v>0</v>
      </c>
      <c r="L167" s="87" t="n">
        <v>0</v>
      </c>
      <c r="M167" s="87" t="n">
        <v>0</v>
      </c>
      <c r="N167" s="87" t="n">
        <v>0</v>
      </c>
      <c r="O167" s="290" t="n">
        <f aca="false">'Input data fish and seafood'!G31*'Input data fish and seafood'!B43</f>
        <v>0.000971603167912386</v>
      </c>
      <c r="P167" s="87" t="n">
        <v>0</v>
      </c>
      <c r="Q167" s="89" t="n">
        <v>0</v>
      </c>
      <c r="R167" s="87" t="n">
        <f aca="false">(F167+Q167)/'Input data fish and seafood'!$H$31</f>
        <v>0.00183321352436299</v>
      </c>
      <c r="S167" s="89" t="n">
        <v>0</v>
      </c>
      <c r="T167" s="275" t="n">
        <v>0</v>
      </c>
    </row>
    <row r="168" customFormat="false" ht="14.4" hidden="false" customHeight="false" outlineLevel="0" collapsed="false">
      <c r="A168" s="99"/>
      <c r="B168" s="31"/>
      <c r="C168" s="87"/>
      <c r="D168" s="31" t="s">
        <v>136</v>
      </c>
      <c r="E168" s="86" t="n">
        <v>0</v>
      </c>
      <c r="F168" s="121" t="n">
        <f aca="false">SUM(H168:J168,M168:P168)</f>
        <v>5.89375695076202E-005</v>
      </c>
      <c r="G168" s="118" t="n">
        <f aca="false">SUM(R168:T168)/(1-'Common input data'!C$125)</f>
        <v>0.000130654395821911</v>
      </c>
      <c r="H168" s="87" t="n">
        <v>0</v>
      </c>
      <c r="I168" s="87" t="n">
        <v>0</v>
      </c>
      <c r="J168" s="87" t="n">
        <v>0</v>
      </c>
      <c r="K168" s="87" t="n">
        <v>0</v>
      </c>
      <c r="L168" s="87" t="n">
        <v>0</v>
      </c>
      <c r="M168" s="87" t="n">
        <v>0</v>
      </c>
      <c r="N168" s="87" t="n">
        <v>0</v>
      </c>
      <c r="O168" s="87" t="n">
        <f aca="false">'Input data fish and seafood'!G31*'Input data fish and seafood'!B44</f>
        <v>5.89375695076202E-005</v>
      </c>
      <c r="P168" s="87" t="n">
        <v>0</v>
      </c>
      <c r="Q168" s="291" t="n">
        <v>0</v>
      </c>
      <c r="R168" s="87" t="n">
        <f aca="false">(F168+Q168)/'Input data fish and seafood'!$H$31</f>
        <v>0.000111202961335132</v>
      </c>
      <c r="S168" s="102" t="n">
        <v>0</v>
      </c>
      <c r="T168" s="275" t="n">
        <v>0</v>
      </c>
    </row>
    <row r="169" customFormat="false" ht="15" hidden="false" customHeight="false" outlineLevel="0" collapsed="false">
      <c r="A169" s="124"/>
      <c r="B169" s="125"/>
      <c r="C169" s="105"/>
      <c r="D169" s="125" t="s">
        <v>207</v>
      </c>
      <c r="E169" s="198" t="n">
        <v>0</v>
      </c>
      <c r="F169" s="306" t="n">
        <f aca="false">SUM(H169:J169,M169:P169)</f>
        <v>0.0001315</v>
      </c>
      <c r="G169" s="307" t="n">
        <f aca="false">SUM(R169:T169)/(1-'Common input data'!C$125)</f>
        <v>0.00029151275144388</v>
      </c>
      <c r="H169" s="105" t="n">
        <v>0</v>
      </c>
      <c r="I169" s="105" t="n">
        <v>0</v>
      </c>
      <c r="J169" s="105" t="n">
        <v>0</v>
      </c>
      <c r="K169" s="105" t="n">
        <v>0</v>
      </c>
      <c r="L169" s="105" t="n">
        <v>0</v>
      </c>
      <c r="M169" s="105" t="n">
        <v>0</v>
      </c>
      <c r="N169" s="105" t="n">
        <v>0</v>
      </c>
      <c r="O169" s="105" t="n">
        <v>0</v>
      </c>
      <c r="P169" s="105" t="n">
        <f aca="false">AVERAGE('Input data fish and seafood'!B49,'Input data fish and seafood'!C49)</f>
        <v>0.0001315</v>
      </c>
      <c r="Q169" s="126" t="n">
        <v>0</v>
      </c>
      <c r="R169" s="105" t="n">
        <f aca="false">(F169+Q169)/'Input data fish and seafood'!$H$31</f>
        <v>0.00024811320754717</v>
      </c>
      <c r="S169" s="126" t="n">
        <v>0</v>
      </c>
      <c r="T169" s="301" t="n">
        <v>0</v>
      </c>
    </row>
  </sheetData>
  <mergeCells count="1">
    <mergeCell ref="I4:J4"/>
  </mergeCells>
  <dataValidations count="2">
    <dataValidation allowBlank="true" operator="between" showDropDown="false" showErrorMessage="true" showInputMessage="true" sqref="F2:F3" type="list">
      <formula1>"Yes,No"</formula1>
      <formula2>0</formula2>
    </dataValidation>
    <dataValidation allowBlank="true" operator="between" showDropDown="false" showErrorMessage="true" showInputMessage="true" sqref="F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4B183"/>
    <pageSetUpPr fitToPage="false"/>
  </sheetPr>
  <dimension ref="A1:IX114"/>
  <sheetViews>
    <sheetView showFormulas="false" showGridLines="true" showRowColHeaders="true" showZeros="true" rightToLeft="false" tabSelected="false" showOutlineSymbols="true" defaultGridColor="true" view="normal" topLeftCell="A67" colorId="64" zoomScale="50" zoomScaleNormal="50" zoomScalePageLayoutView="100" workbookViewId="0">
      <selection pane="topLeft" activeCell="A1" activeCellId="0" sqref="A1"/>
    </sheetView>
  </sheetViews>
  <sheetFormatPr defaultColWidth="8.90234375" defaultRowHeight="14.4" zeroHeight="false" outlineLevelRow="0" outlineLevelCol="0"/>
  <cols>
    <col collapsed="false" customWidth="true" hidden="false" outlineLevel="0" max="1" min="1" style="30" width="52.89"/>
    <col collapsed="false" customWidth="true" hidden="false" outlineLevel="0" max="2" min="2" style="30" width="37.66"/>
    <col collapsed="false" customWidth="true" hidden="false" outlineLevel="0" max="3" min="3" style="30" width="19.89"/>
    <col collapsed="false" customWidth="true" hidden="false" outlineLevel="0" max="4" min="4" style="30" width="27.99"/>
    <col collapsed="false" customWidth="true" hidden="false" outlineLevel="0" max="7" min="5" style="30" width="38.89"/>
    <col collapsed="false" customWidth="true" hidden="false" outlineLevel="0" max="8" min="8" style="30" width="34.44"/>
    <col collapsed="false" customWidth="true" hidden="false" outlineLevel="0" max="9" min="9" style="30" width="35.44"/>
    <col collapsed="false" customWidth="true" hidden="false" outlineLevel="0" max="10" min="10" style="30" width="18.44"/>
    <col collapsed="false" customWidth="true" hidden="false" outlineLevel="0" max="11" min="11" style="30" width="23.11"/>
    <col collapsed="false" customWidth="true" hidden="false" outlineLevel="0" max="12" min="12" style="30" width="19"/>
    <col collapsed="false" customWidth="true" hidden="false" outlineLevel="0" max="13" min="13" style="30" width="29.33"/>
    <col collapsed="false" customWidth="true" hidden="false" outlineLevel="0" max="17" min="14" style="30" width="28.66"/>
    <col collapsed="false" customWidth="true" hidden="false" outlineLevel="0" max="18" min="18" style="30" width="27.66"/>
    <col collapsed="false" customWidth="true" hidden="false" outlineLevel="0" max="19" min="19" style="30" width="27.11"/>
    <col collapsed="false" customWidth="true" hidden="false" outlineLevel="0" max="20" min="20" style="30" width="19"/>
    <col collapsed="false" customWidth="true" hidden="false" outlineLevel="0" max="21" min="21" style="30" width="22.33"/>
    <col collapsed="false" customWidth="false" hidden="false" outlineLevel="0" max="26" min="22" style="30" width="8.89"/>
    <col collapsed="false" customWidth="true" hidden="false" outlineLevel="0" max="27" min="27" style="30" width="39.66"/>
    <col collapsed="false" customWidth="false" hidden="false" outlineLevel="0" max="31" min="28" style="30" width="8.89"/>
    <col collapsed="false" customWidth="true" hidden="false" outlineLevel="0" max="32" min="32" style="30" width="33.89"/>
    <col collapsed="false" customWidth="true" hidden="false" outlineLevel="0" max="33" min="33" style="30" width="27.66"/>
    <col collapsed="false" customWidth="true" hidden="false" outlineLevel="0" max="34" min="34" style="30" width="19"/>
    <col collapsed="false" customWidth="true" hidden="false" outlineLevel="0" max="35" min="35" style="30" width="17.67"/>
    <col collapsed="false" customWidth="false" hidden="false" outlineLevel="0" max="36" min="36" style="30" width="8.89"/>
    <col collapsed="false" customWidth="true" hidden="false" outlineLevel="0" max="37" min="37" style="30" width="28.66"/>
    <col collapsed="false" customWidth="true" hidden="false" outlineLevel="0" max="38" min="38" style="30" width="27.66"/>
    <col collapsed="false" customWidth="false" hidden="false" outlineLevel="0" max="1025" min="39" style="30" width="8.89"/>
  </cols>
  <sheetData>
    <row r="1" customFormat="false" ht="31.2" hidden="false" customHeight="false" outlineLevel="0" collapsed="false">
      <c r="A1" s="32" t="s">
        <v>14</v>
      </c>
      <c r="E1" s="33" t="s">
        <v>104</v>
      </c>
      <c r="F1" s="34" t="s">
        <v>105</v>
      </c>
    </row>
    <row r="2" customFormat="false" ht="17.4" hidden="false" customHeight="false" outlineLevel="0" collapsed="false">
      <c r="E2" s="33" t="s">
        <v>106</v>
      </c>
      <c r="F2" s="34" t="s">
        <v>107</v>
      </c>
      <c r="G2" s="33"/>
      <c r="H2" s="37"/>
      <c r="I2" s="92"/>
      <c r="J2" s="117"/>
      <c r="K2" s="92"/>
      <c r="L2" s="92"/>
      <c r="M2" s="92"/>
      <c r="N2" s="92"/>
      <c r="O2" s="92"/>
      <c r="P2" s="92"/>
      <c r="Q2" s="92"/>
      <c r="R2" s="92"/>
      <c r="S2" s="92"/>
      <c r="T2" s="92"/>
      <c r="U2" s="92"/>
      <c r="V2" s="19"/>
    </row>
    <row r="3" customFormat="false" ht="69.6" hidden="false" customHeight="false" outlineLevel="0" collapsed="false">
      <c r="E3" s="38" t="s">
        <v>108</v>
      </c>
      <c r="F3" s="34" t="s">
        <v>107</v>
      </c>
      <c r="G3" s="33"/>
    </row>
    <row r="4" customFormat="false" ht="18" hidden="false" customHeight="false" outlineLevel="0" collapsed="false">
      <c r="G4" s="33"/>
    </row>
    <row r="5" customFormat="false" ht="17.4" hidden="false" customHeight="false" outlineLevel="0" collapsed="false">
      <c r="A5" s="49"/>
      <c r="B5" s="42"/>
      <c r="C5" s="42"/>
      <c r="D5" s="42"/>
      <c r="E5" s="43" t="s">
        <v>109</v>
      </c>
      <c r="F5" s="44"/>
      <c r="G5" s="45"/>
      <c r="H5" s="232"/>
      <c r="I5" s="204"/>
      <c r="J5" s="308" t="s">
        <v>119</v>
      </c>
      <c r="K5" s="51"/>
      <c r="L5" s="50"/>
      <c r="M5" s="50"/>
      <c r="N5" s="50"/>
      <c r="O5" s="50"/>
      <c r="P5" s="50"/>
      <c r="Q5" s="50"/>
      <c r="R5" s="50"/>
      <c r="S5" s="50"/>
      <c r="T5" s="50"/>
      <c r="U5" s="50"/>
      <c r="V5" s="74"/>
    </row>
    <row r="6" s="310" customFormat="true" ht="34.8" hidden="false" customHeight="false" outlineLevel="0" collapsed="false">
      <c r="A6" s="207"/>
      <c r="B6" s="54" t="s">
        <v>112</v>
      </c>
      <c r="C6" s="55" t="s">
        <v>238</v>
      </c>
      <c r="D6" s="55" t="s">
        <v>114</v>
      </c>
      <c r="E6" s="56" t="s">
        <v>115</v>
      </c>
      <c r="F6" s="57" t="s">
        <v>116</v>
      </c>
      <c r="G6" s="58" t="s">
        <v>117</v>
      </c>
      <c r="H6" s="55" t="s">
        <v>239</v>
      </c>
      <c r="I6" s="54" t="s">
        <v>240</v>
      </c>
      <c r="J6" s="207" t="s">
        <v>120</v>
      </c>
      <c r="K6" s="59" t="s">
        <v>121</v>
      </c>
      <c r="L6" s="55" t="s">
        <v>241</v>
      </c>
      <c r="M6" s="55" t="s">
        <v>242</v>
      </c>
      <c r="N6" s="55" t="s">
        <v>243</v>
      </c>
      <c r="O6" s="55" t="s">
        <v>244</v>
      </c>
      <c r="P6" s="54" t="s">
        <v>123</v>
      </c>
      <c r="Q6" s="54" t="s">
        <v>124</v>
      </c>
      <c r="R6" s="55" t="s">
        <v>245</v>
      </c>
      <c r="S6" s="54" t="s">
        <v>127</v>
      </c>
      <c r="T6" s="54" t="s">
        <v>128</v>
      </c>
      <c r="U6" s="54" t="s">
        <v>129</v>
      </c>
      <c r="V6" s="309"/>
      <c r="W6" s="92"/>
      <c r="X6" s="209"/>
      <c r="Y6" s="209"/>
      <c r="Z6" s="30"/>
      <c r="AA6" s="209"/>
      <c r="AB6" s="209"/>
      <c r="AC6" s="209"/>
      <c r="AD6" s="209"/>
      <c r="AE6" s="209"/>
      <c r="AF6" s="209"/>
      <c r="AG6" s="209"/>
      <c r="AH6" s="209"/>
      <c r="AI6" s="209"/>
      <c r="AJ6" s="209"/>
      <c r="AK6" s="209"/>
      <c r="AL6" s="209"/>
      <c r="AM6" s="209"/>
      <c r="AN6" s="209"/>
      <c r="AO6" s="209"/>
      <c r="AP6" s="209"/>
      <c r="AQ6" s="209"/>
      <c r="AR6" s="209"/>
      <c r="AS6" s="209"/>
      <c r="AT6" s="209"/>
      <c r="AU6" s="209"/>
      <c r="AV6" s="209"/>
      <c r="AW6" s="209"/>
      <c r="AX6" s="209"/>
      <c r="AY6" s="209"/>
      <c r="AZ6" s="209"/>
      <c r="BA6" s="209"/>
      <c r="BB6" s="209"/>
      <c r="BC6" s="209"/>
      <c r="BD6" s="209"/>
      <c r="BE6" s="209"/>
      <c r="BF6" s="209"/>
      <c r="BG6" s="209"/>
      <c r="BH6" s="209"/>
      <c r="BI6" s="209"/>
      <c r="BJ6" s="209"/>
      <c r="BK6" s="209"/>
      <c r="BL6" s="209"/>
      <c r="BM6" s="209"/>
      <c r="BN6" s="209"/>
      <c r="BO6" s="209"/>
      <c r="BP6" s="209"/>
      <c r="BQ6" s="209"/>
      <c r="BR6" s="209"/>
      <c r="BS6" s="209"/>
      <c r="BT6" s="209"/>
      <c r="BU6" s="209"/>
      <c r="BV6" s="209"/>
      <c r="BW6" s="209"/>
      <c r="BX6" s="209"/>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c r="DI6" s="209"/>
      <c r="DJ6" s="209"/>
      <c r="DK6" s="209"/>
      <c r="DL6" s="209"/>
      <c r="DM6" s="209"/>
      <c r="DN6" s="209"/>
      <c r="DO6" s="209"/>
      <c r="DP6" s="209"/>
      <c r="DQ6" s="209"/>
      <c r="DR6" s="209"/>
      <c r="DS6" s="209"/>
      <c r="DT6" s="209"/>
      <c r="DU6" s="209"/>
      <c r="DV6" s="209"/>
      <c r="DW6" s="209"/>
      <c r="DX6" s="209"/>
      <c r="DY6" s="209"/>
      <c r="DZ6" s="209"/>
      <c r="EA6" s="209"/>
      <c r="EB6" s="209"/>
      <c r="EC6" s="209"/>
      <c r="ED6" s="209"/>
      <c r="EE6" s="209"/>
      <c r="EF6" s="209"/>
      <c r="EG6" s="209"/>
      <c r="EH6" s="209"/>
      <c r="EI6" s="209"/>
      <c r="EJ6" s="209"/>
      <c r="EK6" s="209"/>
      <c r="EL6" s="209"/>
      <c r="EM6" s="209"/>
      <c r="EN6" s="209"/>
      <c r="EO6" s="209"/>
      <c r="EP6" s="209"/>
      <c r="EQ6" s="209"/>
      <c r="ER6" s="209"/>
      <c r="ES6" s="209"/>
      <c r="ET6" s="209"/>
      <c r="EU6" s="209"/>
      <c r="EV6" s="209"/>
      <c r="EW6" s="209"/>
      <c r="EX6" s="209"/>
      <c r="EY6" s="209"/>
      <c r="EZ6" s="209"/>
      <c r="FA6" s="209"/>
      <c r="FB6" s="209"/>
      <c r="FC6" s="209"/>
      <c r="FD6" s="209"/>
      <c r="FE6" s="209"/>
      <c r="FF6" s="209"/>
      <c r="FG6" s="209"/>
      <c r="FH6" s="209"/>
      <c r="FI6" s="209"/>
      <c r="FJ6" s="209"/>
      <c r="FK6" s="209"/>
      <c r="FL6" s="209"/>
      <c r="FM6" s="209"/>
      <c r="FN6" s="209"/>
      <c r="FO6" s="209"/>
      <c r="FP6" s="209"/>
      <c r="FQ6" s="209"/>
      <c r="FR6" s="209"/>
      <c r="FS6" s="209"/>
      <c r="FT6" s="209"/>
      <c r="FU6" s="209"/>
      <c r="FV6" s="209"/>
      <c r="FW6" s="209"/>
      <c r="FX6" s="209"/>
      <c r="FY6" s="209"/>
      <c r="FZ6" s="209"/>
      <c r="GA6" s="209"/>
      <c r="GB6" s="209"/>
      <c r="GC6" s="209"/>
      <c r="GD6" s="209"/>
      <c r="GE6" s="209"/>
      <c r="GF6" s="209"/>
      <c r="GG6" s="209"/>
      <c r="GH6" s="209"/>
      <c r="GI6" s="209"/>
      <c r="GJ6" s="209"/>
      <c r="GK6" s="209"/>
      <c r="GL6" s="209"/>
      <c r="GM6" s="209"/>
      <c r="GN6" s="209"/>
      <c r="GO6" s="209"/>
      <c r="GP6" s="209"/>
      <c r="GQ6" s="209"/>
      <c r="GR6" s="209"/>
      <c r="GS6" s="209"/>
      <c r="GT6" s="209"/>
      <c r="GU6" s="209"/>
      <c r="GV6" s="209"/>
      <c r="GW6" s="209"/>
      <c r="GX6" s="209"/>
      <c r="GY6" s="209"/>
      <c r="GZ6" s="209"/>
      <c r="HA6" s="209"/>
      <c r="HB6" s="209"/>
      <c r="HC6" s="209"/>
      <c r="HD6" s="209"/>
      <c r="HE6" s="209"/>
      <c r="HF6" s="209"/>
      <c r="HG6" s="209"/>
      <c r="HH6" s="209"/>
      <c r="HI6" s="209"/>
      <c r="HJ6" s="209"/>
      <c r="HK6" s="209"/>
      <c r="HL6" s="209"/>
      <c r="HM6" s="209"/>
      <c r="HN6" s="209"/>
      <c r="HO6" s="209"/>
      <c r="HP6" s="209"/>
      <c r="HQ6" s="209"/>
      <c r="HR6" s="209"/>
      <c r="HS6" s="209"/>
      <c r="HT6" s="209"/>
      <c r="HU6" s="209"/>
      <c r="HV6" s="209"/>
      <c r="HW6" s="209"/>
      <c r="HX6" s="209"/>
      <c r="HY6" s="209"/>
      <c r="HZ6" s="209"/>
      <c r="IA6" s="209"/>
      <c r="IB6" s="209"/>
      <c r="IC6" s="209"/>
      <c r="ID6" s="209"/>
      <c r="IE6" s="209"/>
      <c r="IF6" s="209"/>
      <c r="IG6" s="209"/>
      <c r="IH6" s="209"/>
      <c r="II6" s="209"/>
      <c r="IJ6" s="209"/>
      <c r="IK6" s="209"/>
      <c r="IL6" s="209"/>
      <c r="IM6" s="209"/>
      <c r="IN6" s="209"/>
      <c r="IO6" s="209"/>
      <c r="IP6" s="209"/>
      <c r="IQ6" s="209"/>
      <c r="IR6" s="209"/>
      <c r="IS6" s="209"/>
      <c r="IT6" s="209"/>
      <c r="IU6" s="209"/>
      <c r="IV6" s="209"/>
      <c r="IW6" s="209"/>
      <c r="IX6" s="209"/>
    </row>
    <row r="7" s="311" customFormat="true" ht="17.4" hidden="false" customHeight="false" outlineLevel="0" collapsed="false">
      <c r="A7" s="268" t="s">
        <v>246</v>
      </c>
      <c r="B7" s="269"/>
      <c r="C7" s="257"/>
      <c r="D7" s="270"/>
      <c r="E7" s="66" t="s">
        <v>247</v>
      </c>
      <c r="F7" s="67" t="s">
        <v>247</v>
      </c>
      <c r="G7" s="68" t="s">
        <v>248</v>
      </c>
      <c r="H7" s="257"/>
      <c r="I7" s="257"/>
      <c r="J7" s="257"/>
      <c r="K7" s="258"/>
      <c r="L7" s="258"/>
      <c r="M7" s="259"/>
      <c r="N7" s="258"/>
      <c r="O7" s="258"/>
      <c r="P7" s="258"/>
      <c r="Q7" s="258"/>
      <c r="R7" s="258"/>
      <c r="S7" s="258"/>
      <c r="T7" s="258"/>
      <c r="U7" s="258"/>
      <c r="V7" s="309"/>
      <c r="W7" s="92"/>
      <c r="X7" s="209"/>
      <c r="Y7" s="209"/>
      <c r="Z7" s="30"/>
      <c r="AA7" s="209"/>
      <c r="AB7" s="209"/>
      <c r="AC7" s="209"/>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c r="EO7" s="209"/>
      <c r="EP7" s="209"/>
      <c r="EQ7" s="209"/>
      <c r="ER7" s="209"/>
      <c r="ES7" s="209"/>
      <c r="ET7" s="209"/>
      <c r="EU7" s="209"/>
      <c r="EV7" s="209"/>
      <c r="EW7" s="209"/>
      <c r="EX7" s="209"/>
      <c r="EY7" s="209"/>
      <c r="EZ7" s="209"/>
      <c r="FA7" s="209"/>
      <c r="FB7" s="209"/>
      <c r="FC7" s="209"/>
      <c r="FD7" s="209"/>
      <c r="FE7" s="209"/>
      <c r="FF7" s="209"/>
      <c r="FG7" s="209"/>
      <c r="FH7" s="209"/>
      <c r="FI7" s="209"/>
      <c r="FJ7" s="209"/>
      <c r="FK7" s="209"/>
      <c r="FL7" s="209"/>
      <c r="FM7" s="209"/>
      <c r="FN7" s="209"/>
      <c r="FO7" s="209"/>
      <c r="FP7" s="209"/>
      <c r="FQ7" s="209"/>
      <c r="FR7" s="209"/>
      <c r="FS7" s="209"/>
      <c r="FT7" s="209"/>
      <c r="FU7" s="209"/>
      <c r="FV7" s="209"/>
      <c r="FW7" s="209"/>
      <c r="FX7" s="209"/>
      <c r="FY7" s="209"/>
      <c r="FZ7" s="209"/>
      <c r="GA7" s="209"/>
      <c r="GB7" s="209"/>
      <c r="GC7" s="209"/>
      <c r="GD7" s="209"/>
      <c r="GE7" s="209"/>
      <c r="GF7" s="209"/>
      <c r="GG7" s="209"/>
      <c r="GH7" s="209"/>
      <c r="GI7" s="209"/>
      <c r="GJ7" s="209"/>
      <c r="GK7" s="209"/>
      <c r="GL7" s="209"/>
      <c r="GM7" s="209"/>
      <c r="GN7" s="209"/>
      <c r="GO7" s="209"/>
      <c r="GP7" s="209"/>
      <c r="GQ7" s="209"/>
      <c r="GR7" s="209"/>
      <c r="GS7" s="209"/>
      <c r="GT7" s="209"/>
      <c r="GU7" s="209"/>
      <c r="GV7" s="209"/>
      <c r="GW7" s="209"/>
      <c r="GX7" s="209"/>
      <c r="GY7" s="209"/>
      <c r="GZ7" s="209"/>
      <c r="HA7" s="209"/>
      <c r="HB7" s="209"/>
      <c r="HC7" s="209"/>
      <c r="HD7" s="209"/>
      <c r="HE7" s="209"/>
      <c r="HF7" s="209"/>
      <c r="HG7" s="209"/>
      <c r="HH7" s="209"/>
      <c r="HI7" s="209"/>
      <c r="HJ7" s="209"/>
      <c r="HK7" s="209"/>
      <c r="HL7" s="209"/>
      <c r="HM7" s="209"/>
      <c r="HN7" s="209"/>
      <c r="HO7" s="209"/>
      <c r="HP7" s="209"/>
      <c r="HQ7" s="209"/>
      <c r="HR7" s="209"/>
      <c r="HS7" s="209"/>
      <c r="HT7" s="209"/>
      <c r="HU7" s="209"/>
      <c r="HV7" s="209"/>
      <c r="HW7" s="209"/>
      <c r="HX7" s="209"/>
      <c r="HY7" s="209"/>
      <c r="HZ7" s="209"/>
      <c r="IA7" s="209"/>
      <c r="IB7" s="209"/>
      <c r="IC7" s="209"/>
      <c r="ID7" s="209"/>
      <c r="IE7" s="209"/>
      <c r="IF7" s="209"/>
      <c r="IG7" s="209"/>
      <c r="IH7" s="209"/>
      <c r="II7" s="209"/>
      <c r="IJ7" s="209"/>
      <c r="IK7" s="209"/>
      <c r="IL7" s="209"/>
      <c r="IM7" s="209"/>
      <c r="IN7" s="209"/>
      <c r="IO7" s="209"/>
      <c r="IP7" s="209"/>
      <c r="IQ7" s="209"/>
      <c r="IR7" s="209"/>
      <c r="IS7" s="209"/>
      <c r="IT7" s="209"/>
      <c r="IU7" s="209"/>
      <c r="IV7" s="209"/>
      <c r="IW7" s="209"/>
      <c r="IX7" s="209"/>
    </row>
    <row r="8" s="314" customFormat="true" ht="17.4" hidden="false" customHeight="false" outlineLevel="0" collapsed="false">
      <c r="A8" s="312" t="s">
        <v>249</v>
      </c>
      <c r="B8" s="135"/>
      <c r="C8" s="313" t="n">
        <f aca="false">SUM(C18:C51)</f>
        <v>1</v>
      </c>
      <c r="D8" s="137" t="s">
        <v>133</v>
      </c>
      <c r="E8" s="79" t="n">
        <f aca="false">IF($F$1="GWP100 without fb",E9+E10*'Common input data'!$C$5+E11*'Common input data'!$D$5,IF($F$1="GWP100 with fb",E9+E10*'Common input data'!$C$6+E11*'Common input data'!$D$6,IF($F$1="GTP100 without fb",E9+E10*'Common input data'!$C$7+E11*'Common input data'!$D$7,IF($F$1="GTP100 with fb",E9+E10*'Common input data'!$C$8+E11*'Common input data'!$D$8,E9+E10*'Common input data'!$C$9+E11*'Common input data'!$D$9))))</f>
        <v>0.377651424343256</v>
      </c>
      <c r="F8" s="80" t="n">
        <f aca="false">IF($F$1="GWP100 without fb",F9+F10*'Common input data'!$C$5+F11*'Common input data'!$D$5,IF($F$1="GWP100 with fb",F9+F10*'Common input data'!$C$6+F11*'Common input data'!$D$6,IF($F$1="GTP100 without fb",F9+F10*'Common input data'!$C$7+F11*'Common input data'!$D$7,IF($F$1="GTP100 with fb",F9+F10*'Common input data'!$C$8+F11*'Common input data'!$D$8,F9+F10*'Common input data'!$C$9+F11*'Common input data'!$D$9))))</f>
        <v>0.629926950073933</v>
      </c>
      <c r="G8" s="81" t="n">
        <f aca="false">IF($F$1="GWP100 without fb",G9+G10*'Common input data'!$C$5+G11*'Common input data'!$D$5,IF($F$1="GWP100 with fb",G9+G10*'Common input data'!$C$6+G11*'Common input data'!$D$6,IF($F$1="GTP100 without fb",G9+G10*'Common input data'!$C$7+G11*'Common input data'!$D$7,IF($F$1="GTP100 with fb",G9+G10*'Common input data'!$C$8+G11*'Common input data'!$D$8,G9+G10*'Common input data'!$C$9+G11*'Common input data'!$D$9))))</f>
        <v>1.16269888584722</v>
      </c>
      <c r="H8" s="80"/>
      <c r="I8" s="261"/>
      <c r="J8" s="261"/>
      <c r="K8" s="262"/>
      <c r="L8" s="262"/>
      <c r="M8" s="262"/>
      <c r="N8" s="262"/>
      <c r="O8" s="262"/>
      <c r="P8" s="262"/>
      <c r="Q8" s="262"/>
      <c r="R8" s="262"/>
      <c r="S8" s="262"/>
      <c r="T8" s="262"/>
      <c r="U8" s="262"/>
      <c r="V8" s="309"/>
      <c r="W8" s="92"/>
      <c r="X8" s="209"/>
      <c r="Y8" s="209"/>
      <c r="Z8" s="30"/>
      <c r="AA8" s="209"/>
      <c r="AB8" s="209"/>
      <c r="AC8" s="209"/>
      <c r="AD8" s="209"/>
      <c r="AE8" s="209"/>
      <c r="AF8" s="209"/>
      <c r="AG8" s="209"/>
      <c r="AH8" s="209"/>
      <c r="AI8" s="209"/>
      <c r="AJ8" s="209"/>
      <c r="AK8" s="209"/>
      <c r="AL8" s="209"/>
      <c r="AM8" s="209"/>
      <c r="AN8" s="209"/>
      <c r="AO8" s="209"/>
      <c r="AP8" s="209"/>
      <c r="AQ8" s="209"/>
      <c r="AR8" s="209"/>
      <c r="AS8" s="209"/>
      <c r="AT8" s="209"/>
      <c r="AU8" s="209"/>
      <c r="AV8" s="209"/>
      <c r="AW8" s="209"/>
      <c r="AX8" s="209"/>
      <c r="AY8" s="209"/>
      <c r="AZ8" s="209"/>
      <c r="BA8" s="209"/>
      <c r="BB8" s="209"/>
      <c r="BC8" s="209"/>
      <c r="BD8" s="209"/>
      <c r="BE8" s="209"/>
      <c r="BF8" s="209"/>
      <c r="BG8" s="209"/>
      <c r="BH8" s="209"/>
      <c r="BI8" s="209"/>
      <c r="BJ8" s="209"/>
      <c r="BK8" s="209"/>
      <c r="BL8" s="209"/>
      <c r="BM8" s="209"/>
      <c r="BN8" s="209"/>
      <c r="BO8" s="209"/>
      <c r="BP8" s="209"/>
      <c r="BQ8" s="209"/>
      <c r="BR8" s="209"/>
      <c r="BS8" s="209"/>
      <c r="BT8" s="209"/>
      <c r="BU8" s="209"/>
      <c r="BV8" s="209"/>
      <c r="BW8" s="209"/>
      <c r="BX8" s="209"/>
      <c r="BY8" s="209"/>
      <c r="BZ8" s="209"/>
      <c r="CA8" s="209"/>
      <c r="CB8" s="209"/>
      <c r="CC8" s="209"/>
      <c r="CD8" s="209"/>
      <c r="CE8" s="209"/>
      <c r="CF8" s="209"/>
      <c r="CG8" s="209"/>
      <c r="CH8" s="209"/>
      <c r="CI8" s="209"/>
      <c r="CJ8" s="209"/>
      <c r="CK8" s="209"/>
      <c r="CL8" s="209"/>
      <c r="CM8" s="209"/>
      <c r="CN8" s="209"/>
      <c r="CO8" s="209"/>
      <c r="CP8" s="209"/>
      <c r="CQ8" s="209"/>
      <c r="CR8" s="209"/>
      <c r="CS8" s="209"/>
      <c r="CT8" s="209"/>
      <c r="CU8" s="209"/>
      <c r="CV8" s="209"/>
      <c r="CW8" s="209"/>
      <c r="CX8" s="209"/>
      <c r="CY8" s="209"/>
      <c r="CZ8" s="209"/>
      <c r="DA8" s="209"/>
      <c r="DB8" s="209"/>
      <c r="DC8" s="209"/>
      <c r="DD8" s="209"/>
      <c r="DE8" s="209"/>
      <c r="DF8" s="209"/>
      <c r="DG8" s="209"/>
      <c r="DH8" s="209"/>
      <c r="DI8" s="209"/>
      <c r="DJ8" s="209"/>
      <c r="DK8" s="209"/>
      <c r="DL8" s="209"/>
      <c r="DM8" s="209"/>
      <c r="DN8" s="209"/>
      <c r="DO8" s="209"/>
      <c r="DP8" s="209"/>
      <c r="DQ8" s="209"/>
      <c r="DR8" s="209"/>
      <c r="DS8" s="209"/>
      <c r="DT8" s="209"/>
      <c r="DU8" s="209"/>
      <c r="DV8" s="209"/>
      <c r="DW8" s="209"/>
      <c r="DX8" s="209"/>
      <c r="DY8" s="209"/>
      <c r="DZ8" s="209"/>
      <c r="EA8" s="209"/>
      <c r="EB8" s="209"/>
      <c r="EC8" s="209"/>
      <c r="ED8" s="209"/>
      <c r="EE8" s="209"/>
      <c r="EF8" s="209"/>
      <c r="EG8" s="209"/>
      <c r="EH8" s="209"/>
      <c r="EI8" s="209"/>
      <c r="EJ8" s="209"/>
      <c r="EK8" s="209"/>
      <c r="EL8" s="209"/>
      <c r="EM8" s="209"/>
      <c r="EN8" s="209"/>
      <c r="EO8" s="209"/>
      <c r="EP8" s="209"/>
      <c r="EQ8" s="209"/>
      <c r="ER8" s="209"/>
      <c r="ES8" s="209"/>
      <c r="ET8" s="209"/>
      <c r="EU8" s="209"/>
      <c r="EV8" s="209"/>
      <c r="EW8" s="209"/>
      <c r="EX8" s="209"/>
      <c r="EY8" s="209"/>
      <c r="EZ8" s="209"/>
      <c r="FA8" s="209"/>
      <c r="FB8" s="209"/>
      <c r="FC8" s="209"/>
      <c r="FD8" s="209"/>
      <c r="FE8" s="209"/>
      <c r="FF8" s="209"/>
      <c r="FG8" s="209"/>
      <c r="FH8" s="209"/>
      <c r="FI8" s="209"/>
      <c r="FJ8" s="209"/>
      <c r="FK8" s="209"/>
      <c r="FL8" s="209"/>
      <c r="FM8" s="209"/>
      <c r="FN8" s="209"/>
      <c r="FO8" s="209"/>
      <c r="FP8" s="209"/>
      <c r="FQ8" s="209"/>
      <c r="FR8" s="209"/>
      <c r="FS8" s="209"/>
      <c r="FT8" s="209"/>
      <c r="FU8" s="209"/>
      <c r="FV8" s="209"/>
      <c r="FW8" s="209"/>
      <c r="FX8" s="209"/>
      <c r="FY8" s="209"/>
      <c r="FZ8" s="209"/>
      <c r="GA8" s="209"/>
      <c r="GB8" s="209"/>
      <c r="GC8" s="209"/>
      <c r="GD8" s="209"/>
      <c r="GE8" s="209"/>
      <c r="GF8" s="209"/>
      <c r="GG8" s="209"/>
      <c r="GH8" s="209"/>
      <c r="GI8" s="209"/>
      <c r="GJ8" s="209"/>
      <c r="GK8" s="209"/>
      <c r="GL8" s="209"/>
      <c r="GM8" s="209"/>
      <c r="GN8" s="209"/>
      <c r="GO8" s="209"/>
      <c r="GP8" s="209"/>
      <c r="GQ8" s="209"/>
      <c r="GR8" s="209"/>
      <c r="GS8" s="209"/>
      <c r="GT8" s="209"/>
      <c r="GU8" s="209"/>
      <c r="GV8" s="209"/>
      <c r="GW8" s="209"/>
      <c r="GX8" s="209"/>
      <c r="GY8" s="209"/>
      <c r="GZ8" s="209"/>
      <c r="HA8" s="209"/>
      <c r="HB8" s="209"/>
      <c r="HC8" s="209"/>
      <c r="HD8" s="209"/>
      <c r="HE8" s="209"/>
      <c r="HF8" s="209"/>
      <c r="HG8" s="209"/>
      <c r="HH8" s="209"/>
      <c r="HI8" s="209"/>
      <c r="HJ8" s="209"/>
      <c r="HK8" s="209"/>
      <c r="HL8" s="209"/>
      <c r="HM8" s="209"/>
      <c r="HN8" s="209"/>
      <c r="HO8" s="209"/>
      <c r="HP8" s="209"/>
      <c r="HQ8" s="209"/>
      <c r="HR8" s="209"/>
      <c r="HS8" s="209"/>
      <c r="HT8" s="209"/>
      <c r="HU8" s="209"/>
      <c r="HV8" s="209"/>
      <c r="HW8" s="209"/>
      <c r="HX8" s="209"/>
      <c r="HY8" s="209"/>
      <c r="HZ8" s="209"/>
      <c r="IA8" s="209"/>
      <c r="IB8" s="209"/>
      <c r="IC8" s="209"/>
      <c r="ID8" s="209"/>
      <c r="IE8" s="209"/>
      <c r="IF8" s="209"/>
      <c r="IG8" s="209"/>
      <c r="IH8" s="209"/>
      <c r="II8" s="209"/>
      <c r="IJ8" s="209"/>
      <c r="IK8" s="209"/>
      <c r="IL8" s="209"/>
      <c r="IM8" s="209"/>
      <c r="IN8" s="209"/>
      <c r="IO8" s="209"/>
      <c r="IP8" s="209"/>
      <c r="IQ8" s="209"/>
      <c r="IR8" s="209"/>
      <c r="IS8" s="209"/>
      <c r="IT8" s="209"/>
      <c r="IU8" s="209"/>
      <c r="IV8" s="209"/>
      <c r="IW8" s="209"/>
      <c r="IX8" s="209"/>
    </row>
    <row r="9" s="209" customFormat="true" ht="17.4" hidden="false" customHeight="false" outlineLevel="0" collapsed="false">
      <c r="A9" s="315"/>
      <c r="B9" s="31"/>
      <c r="C9" s="30"/>
      <c r="D9" s="85" t="s">
        <v>134</v>
      </c>
      <c r="E9" s="217" t="n">
        <f aca="false">E19*$C$18+E24*$C$23+$C$28*E29+$C$38*E39+$C$43*E44+$C$48*E49</f>
        <v>0.116392150583301</v>
      </c>
      <c r="F9" s="89" t="n">
        <f aca="false">F19*$C$18+F24*$C$23+$C$28*F29+$C$38*F39+$C$43*F44+$C$48*F49</f>
        <v>0.299469135899446</v>
      </c>
      <c r="G9" s="88" t="n">
        <f aca="false">G19*$C$18+G24*$C$23+$C$28*G29+$C$38*G39+$C$43*G44+$C$48*G49</f>
        <v>0.698373641079549</v>
      </c>
      <c r="H9" s="89" t="n">
        <f aca="false">H19*$C$18+H24*$C$23+$C$28*H29+$C$38*H39+$C$43*H44+$C$48*H49</f>
        <v>0.0519007585121562</v>
      </c>
      <c r="I9" s="89" t="n">
        <f aca="false">I19*$C$18+I24*$C$23+$C$28*I29+$C$38*I39+$C$43*I44+$C$48*I49</f>
        <v>0.03</v>
      </c>
      <c r="J9" s="89" t="n">
        <f aca="false">J19*$C$18+J24*$C$23+$C$28*J29+$C$38*J39+$C$43*J44+$C$48*J49</f>
        <v>0</v>
      </c>
      <c r="K9" s="89" t="n">
        <f aca="false">K19*$C$18+K24*$C$23+$C$28*K29+$C$38*K39+$C$43*K44+$C$48*K49</f>
        <v>0</v>
      </c>
      <c r="L9" s="89" t="n">
        <f aca="false">L19*$C$18+L24*$C$23+$C$28*L29+$C$38*L39+$C$43*L44+$C$48*L49</f>
        <v>0.0292563658749557</v>
      </c>
      <c r="M9" s="89" t="n">
        <f aca="false">M19*$C$18+M24*$C$23+$C$28*M29+$C$38*M39+$C$43*M44+$C$48*M49</f>
        <v>0</v>
      </c>
      <c r="N9" s="89" t="n">
        <f aca="false">N19*$C$18+N24*$C$23+$C$28*N29+$C$38*N39+$C$43*N44+$C$48*N49</f>
        <v>0.02</v>
      </c>
      <c r="O9" s="89" t="n">
        <f aca="false">O19*$C$18+O24*$C$23+$C$28*O29+$C$38*O39+$C$43*O44+$C$48*O49</f>
        <v>0.039147048</v>
      </c>
      <c r="P9" s="89" t="n">
        <f aca="false">P19*$C$18+P24*$C$23+$C$28*P29+$C$38*P39+$C$43*P44+$C$48*P49</f>
        <v>0.108271767984466</v>
      </c>
      <c r="Q9" s="89" t="n">
        <f aca="false">Q19*$C$18+Q24*$C$23+$C$28*Q29+$C$38*Q39+$C$43*Q44+$C$48*Q49</f>
        <v>0</v>
      </c>
      <c r="R9" s="89" t="n">
        <f aca="false">R19*$C$18+R24*$C$23+$C$28*R29+$C$38*R39+$C$43*R44+$C$48*R49</f>
        <v>0.130690344255017</v>
      </c>
      <c r="S9" s="89" t="n">
        <f aca="false">S19*$C$18+S24*$C$23+$C$28*S29+$C$38*S39+$C$43*S44+$C$48*S49</f>
        <v>0.508370294728002</v>
      </c>
      <c r="T9" s="89" t="n">
        <f aca="false">T19*$C$18+T24*$C$23+$C$28*T29+$C$38*T39+$C$43*T44+$C$48*T49</f>
        <v>0.05</v>
      </c>
      <c r="U9" s="89" t="n">
        <f aca="false">U19*$C$18+U24*$C$23+$C$28*U29+$C$38*U39+$C$43*U44+$C$48*U49</f>
        <v>0.03</v>
      </c>
      <c r="V9" s="309"/>
      <c r="W9" s="92"/>
      <c r="Z9" s="30"/>
    </row>
    <row r="10" s="209" customFormat="true" ht="17.4" hidden="false" customHeight="false" outlineLevel="0" collapsed="false">
      <c r="A10" s="315"/>
      <c r="B10" s="31"/>
      <c r="C10" s="93"/>
      <c r="D10" s="85" t="s">
        <v>135</v>
      </c>
      <c r="E10" s="217" t="n">
        <f aca="false">E20*$C$18+E25*$C$23+$C$28*E30+$C$38*E40+$C$43*E45+$C$48*E50</f>
        <v>0</v>
      </c>
      <c r="F10" s="89" t="n">
        <f aca="false">F20*$C$18+F25*$C$23+$C$28*F30+$C$38*F40+$C$43*F45+$C$48*F50</f>
        <v>2.91719552058137E-005</v>
      </c>
      <c r="G10" s="88" t="n">
        <f aca="false">G20*$C$18+G25*$C$23+$C$28*G30+$C$38*G40+$C$43*G45+$C$48*G50</f>
        <v>5.33455514677901E-005</v>
      </c>
      <c r="H10" s="89" t="n">
        <f aca="false">H20*$C$18+H25*$C$23+$C$28*H30+$C$38*H40+$C$43*H45+$C$48*H50</f>
        <v>1.3895045593018E-010</v>
      </c>
      <c r="I10" s="89" t="n">
        <f aca="false">I20*$C$18+I25*$C$23+$C$28*I30+$C$38*I40+$C$43*I45+$C$48*I50</f>
        <v>0</v>
      </c>
      <c r="J10" s="89" t="n">
        <f aca="false">J20*$C$18+J25*$C$23+$C$28*J30+$C$38*J40+$C$43*J45+$C$48*J50</f>
        <v>0</v>
      </c>
      <c r="K10" s="89" t="n">
        <f aca="false">K20*$C$18+K25*$C$23+$C$28*K30+$C$38*K40+$C$43*K45+$C$48*K50</f>
        <v>0</v>
      </c>
      <c r="L10" s="89" t="n">
        <f aca="false">L20*$C$18+L25*$C$23+$C$28*L30+$C$38*L40+$C$43*L45+$C$48*L50</f>
        <v>1.29595835665801E-005</v>
      </c>
      <c r="M10" s="89" t="n">
        <f aca="false">M20*$C$18+M25*$C$23+$C$28*M30+$C$38*M40+$C$43*M45+$C$48*M50</f>
        <v>0</v>
      </c>
      <c r="N10" s="89" t="n">
        <f aca="false">N20*$C$18+N25*$C$23+$C$28*N30+$C$38*N40+$C$43*N45+$C$48*N50</f>
        <v>0</v>
      </c>
      <c r="O10" s="89" t="n">
        <f aca="false">O20*$C$18+O25*$C$23+$C$28*O30+$C$38*O40+$C$43*O45+$C$48*O50</f>
        <v>1.417698E-005</v>
      </c>
      <c r="P10" s="89" t="n">
        <f aca="false">P20*$C$18+P25*$C$23+$C$28*P30+$C$38*P40+$C$43*P45+$C$48*P50</f>
        <v>0</v>
      </c>
      <c r="Q10" s="89" t="n">
        <f aca="false">Q20*$C$18+Q25*$C$23+$C$28*Q30+$C$38*Q40+$C$43*Q45+$C$48*Q50</f>
        <v>0</v>
      </c>
      <c r="R10" s="89" t="n">
        <f aca="false">R20*$C$18+R25*$C$23+$C$28*R30+$C$38*R40+$C$43*R45+$C$48*R50</f>
        <v>8.85665385058978E-006</v>
      </c>
      <c r="S10" s="89" t="n">
        <f aca="false">S20*$C$18+S25*$C$23+$C$28*S30+$C$38*S40+$C$43*S45+$C$48*S50</f>
        <v>4.49429016121132E-005</v>
      </c>
      <c r="T10" s="89" t="n">
        <f aca="false">T20*$C$18+T25*$C$23+$C$28*T30+$C$38*T40+$C$43*T45+$C$48*T50</f>
        <v>0</v>
      </c>
      <c r="U10" s="89" t="n">
        <f aca="false">U20*$C$18+U25*$C$23+$C$28*U30+$C$38*U40+$C$43*U45+$C$48*U50</f>
        <v>0</v>
      </c>
      <c r="V10" s="309"/>
      <c r="W10" s="92"/>
      <c r="Z10" s="30"/>
    </row>
    <row r="11" s="209" customFormat="true" ht="17.4" hidden="false" customHeight="false" outlineLevel="0" collapsed="false">
      <c r="A11" s="74"/>
      <c r="B11" s="101"/>
      <c r="C11" s="87"/>
      <c r="D11" s="31" t="s">
        <v>136</v>
      </c>
      <c r="E11" s="219" t="n">
        <f aca="false">E21*$C$18+E26*$C$23+$C$28*E31+$C$38*E41+$C$43*E46+$C$48*E51</f>
        <v>0.000876708972348844</v>
      </c>
      <c r="F11" s="126" t="n">
        <f aca="false">F21*$C$18+F26*$C$23+$C$28*F31+$C$38*F41+$C$43*F46+$C$48*F51</f>
        <v>0.00110559049562916</v>
      </c>
      <c r="G11" s="106" t="n">
        <f aca="false">G21*$C$18+G26*$C$23+$C$28*G31+$C$38*G41+$C$43*G46+$C$48*G51</f>
        <v>0.00155205200005962</v>
      </c>
      <c r="H11" s="89" t="n">
        <f aca="false">H21*$C$18+H26*$C$23+$C$28*H31+$C$38*H41+$C$43*H46+$C$48*H51</f>
        <v>0.000210805305374267</v>
      </c>
      <c r="I11" s="89" t="n">
        <f aca="false">I21*$C$18+I26*$C$23+$C$28*I31+$C$38*I41+$C$43*I46+$C$48*I51</f>
        <v>0</v>
      </c>
      <c r="J11" s="89" t="n">
        <f aca="false">J21*$C$18+J26*$C$23+$C$28*J31+$C$38*J41+$C$43*J46+$C$48*J51</f>
        <v>0.000741402936447226</v>
      </c>
      <c r="K11" s="89" t="n">
        <f aca="false">K21*$C$18+K26*$C$23+$C$28*K31+$C$38*K41+$C$43*K46+$C$48*K51</f>
        <v>7.41402936447226E-005</v>
      </c>
      <c r="L11" s="89" t="n">
        <f aca="false">L21*$C$18+L26*$C$23+$C$28*L31+$C$38*L41+$C$43*L46+$C$48*L51</f>
        <v>7.86129957651602E-007</v>
      </c>
      <c r="M11" s="89" t="n">
        <f aca="false">M21*$C$18+M26*$C$23+$C$28*M31+$C$38*M41+$C$43*M46+$C$48*M51</f>
        <v>0</v>
      </c>
      <c r="N11" s="89" t="n">
        <f aca="false">N21*$C$18+N26*$C$23+$C$28*N31+$C$38*N41+$C$43*N46+$C$48*N51</f>
        <v>0</v>
      </c>
      <c r="O11" s="89" t="n">
        <f aca="false">O21*$C$18+O26*$C$23+$C$28*O31+$C$38*O41+$C$43*O46+$C$48*O51</f>
        <v>1.32160958E-006</v>
      </c>
      <c r="P11" s="89" t="n">
        <f aca="false">P21*$C$18+P26*$C$23+$C$28*P31+$C$38*P41+$C$43*P46+$C$48*P51</f>
        <v>0</v>
      </c>
      <c r="Q11" s="89" t="n">
        <f aca="false">Q21*$C$18+Q26*$C$23+$C$28*Q31+$C$38*Q41+$C$43*Q46+$C$48*Q51</f>
        <v>0</v>
      </c>
      <c r="R11" s="89" t="n">
        <f aca="false">R21*$C$18+R26*$C$23+$C$28*R31+$C$38*R41+$C$43*R46+$C$48*R51</f>
        <v>8.2563695340498E-007</v>
      </c>
      <c r="S11" s="89" t="n">
        <f aca="false">S21*$C$18+S26*$C$23+$C$28*S31+$C$38*S41+$C$43*S46+$C$48*S51</f>
        <v>0.00130758270214303</v>
      </c>
      <c r="T11" s="89" t="n">
        <f aca="false">T21*$C$18+T26*$C$23+$C$28*T31+$C$38*T41+$C$43*T46+$C$48*T51</f>
        <v>0</v>
      </c>
      <c r="U11" s="89" t="n">
        <f aca="false">U21*$C$18+U26*$C$23+$C$28*U31+$C$38*U41+$C$43*U46+$C$48*U51</f>
        <v>0</v>
      </c>
      <c r="V11" s="309"/>
      <c r="W11" s="92"/>
      <c r="Z11" s="30"/>
    </row>
    <row r="12" s="316" customFormat="true" ht="17.4" hidden="false" customHeight="false" outlineLevel="0" collapsed="false">
      <c r="A12" s="127" t="s">
        <v>250</v>
      </c>
      <c r="B12" s="128"/>
      <c r="C12" s="129"/>
      <c r="D12" s="130"/>
      <c r="E12" s="110" t="s">
        <v>251</v>
      </c>
      <c r="F12" s="111" t="s">
        <v>251</v>
      </c>
      <c r="G12" s="112" t="s">
        <v>252</v>
      </c>
      <c r="H12" s="129"/>
      <c r="I12" s="129"/>
      <c r="J12" s="129"/>
      <c r="K12" s="132"/>
      <c r="L12" s="132"/>
      <c r="M12" s="133"/>
      <c r="N12" s="132"/>
      <c r="O12" s="132"/>
      <c r="P12" s="132"/>
      <c r="Q12" s="132"/>
      <c r="R12" s="132"/>
      <c r="S12" s="132"/>
      <c r="T12" s="132"/>
      <c r="U12" s="132"/>
      <c r="V12" s="309"/>
      <c r="W12" s="92"/>
      <c r="X12" s="209"/>
      <c r="Y12" s="209"/>
      <c r="Z12" s="30"/>
      <c r="AA12" s="209"/>
      <c r="AB12" s="209"/>
      <c r="AC12" s="209"/>
      <c r="AD12" s="209"/>
      <c r="AE12" s="209"/>
      <c r="AF12" s="209"/>
      <c r="AG12" s="209"/>
      <c r="AH12" s="209"/>
      <c r="AI12" s="209"/>
      <c r="AJ12" s="209"/>
      <c r="AK12" s="209"/>
      <c r="AL12" s="209"/>
      <c r="AM12" s="209"/>
      <c r="AN12" s="209"/>
      <c r="AO12" s="209"/>
      <c r="AP12" s="209"/>
      <c r="AQ12" s="209"/>
      <c r="AR12" s="209"/>
      <c r="AS12" s="209"/>
      <c r="AT12" s="209"/>
      <c r="AU12" s="209"/>
      <c r="AV12" s="209"/>
      <c r="AW12" s="209"/>
      <c r="AX12" s="209"/>
      <c r="AY12" s="209"/>
      <c r="AZ12" s="209"/>
      <c r="BA12" s="209"/>
      <c r="BB12" s="209"/>
      <c r="BC12" s="209"/>
      <c r="BD12" s="209"/>
      <c r="BE12" s="209"/>
      <c r="BF12" s="209"/>
      <c r="BG12" s="209"/>
      <c r="BH12" s="209"/>
      <c r="BI12" s="209"/>
      <c r="BJ12" s="209"/>
      <c r="BK12" s="209"/>
      <c r="BL12" s="209"/>
      <c r="BM12" s="209"/>
      <c r="BN12" s="209"/>
      <c r="BO12" s="209"/>
      <c r="BP12" s="209"/>
      <c r="BQ12" s="209"/>
      <c r="BR12" s="209"/>
      <c r="BS12" s="209"/>
      <c r="BT12" s="209"/>
      <c r="BU12" s="209"/>
      <c r="BV12" s="209"/>
      <c r="BW12" s="209"/>
      <c r="BX12" s="209"/>
      <c r="BY12" s="209"/>
      <c r="BZ12" s="209"/>
      <c r="CA12" s="209"/>
      <c r="CB12" s="209"/>
      <c r="CC12" s="209"/>
      <c r="CD12" s="209"/>
      <c r="CE12" s="209"/>
      <c r="CF12" s="209"/>
      <c r="CG12" s="209"/>
      <c r="CH12" s="209"/>
      <c r="CI12" s="209"/>
      <c r="CJ12" s="209"/>
      <c r="CK12" s="209"/>
      <c r="CL12" s="209"/>
      <c r="CM12" s="209"/>
      <c r="CN12" s="209"/>
      <c r="CO12" s="209"/>
      <c r="CP12" s="209"/>
      <c r="CQ12" s="209"/>
      <c r="CR12" s="209"/>
      <c r="CS12" s="209"/>
      <c r="CT12" s="209"/>
      <c r="CU12" s="209"/>
      <c r="CV12" s="209"/>
      <c r="CW12" s="209"/>
      <c r="CX12" s="209"/>
      <c r="CY12" s="209"/>
      <c r="CZ12" s="209"/>
      <c r="DA12" s="209"/>
      <c r="DB12" s="209"/>
      <c r="DC12" s="209"/>
      <c r="DD12" s="209"/>
      <c r="DE12" s="209"/>
      <c r="DF12" s="209"/>
      <c r="DG12" s="209"/>
      <c r="DH12" s="209"/>
      <c r="DI12" s="209"/>
      <c r="DJ12" s="209"/>
      <c r="DK12" s="209"/>
      <c r="DL12" s="209"/>
      <c r="DM12" s="209"/>
      <c r="DN12" s="209"/>
      <c r="DO12" s="209"/>
      <c r="DP12" s="209"/>
      <c r="DQ12" s="209"/>
      <c r="DR12" s="209"/>
      <c r="DS12" s="209"/>
      <c r="DT12" s="209"/>
      <c r="DU12" s="209"/>
      <c r="DV12" s="209"/>
      <c r="DW12" s="209"/>
      <c r="DX12" s="209"/>
      <c r="DY12" s="209"/>
      <c r="DZ12" s="209"/>
      <c r="EA12" s="209"/>
      <c r="EB12" s="209"/>
      <c r="EC12" s="209"/>
      <c r="ED12" s="209"/>
      <c r="EE12" s="209"/>
      <c r="EF12" s="209"/>
      <c r="EG12" s="209"/>
      <c r="EH12" s="209"/>
      <c r="EI12" s="209"/>
      <c r="EJ12" s="209"/>
      <c r="EK12" s="209"/>
      <c r="EL12" s="209"/>
      <c r="EM12" s="209"/>
      <c r="EN12" s="209"/>
      <c r="EO12" s="209"/>
      <c r="EP12" s="209"/>
      <c r="EQ12" s="209"/>
      <c r="ER12" s="209"/>
      <c r="ES12" s="209"/>
      <c r="ET12" s="209"/>
      <c r="EU12" s="209"/>
      <c r="EV12" s="209"/>
      <c r="EW12" s="209"/>
      <c r="EX12" s="209"/>
      <c r="EY12" s="209"/>
      <c r="EZ12" s="209"/>
      <c r="FA12" s="209"/>
      <c r="FB12" s="209"/>
      <c r="FC12" s="209"/>
      <c r="FD12" s="209"/>
      <c r="FE12" s="209"/>
      <c r="FF12" s="209"/>
      <c r="FG12" s="209"/>
      <c r="FH12" s="209"/>
      <c r="FI12" s="209"/>
      <c r="FJ12" s="209"/>
      <c r="FK12" s="209"/>
      <c r="FL12" s="209"/>
      <c r="FM12" s="209"/>
      <c r="FN12" s="209"/>
      <c r="FO12" s="209"/>
      <c r="FP12" s="209"/>
      <c r="FQ12" s="209"/>
      <c r="FR12" s="209"/>
      <c r="FS12" s="209"/>
      <c r="FT12" s="209"/>
      <c r="FU12" s="209"/>
      <c r="FV12" s="209"/>
      <c r="FW12" s="209"/>
      <c r="FX12" s="209"/>
      <c r="FY12" s="209"/>
      <c r="FZ12" s="209"/>
      <c r="GA12" s="209"/>
      <c r="GB12" s="209"/>
      <c r="GC12" s="209"/>
      <c r="GD12" s="209"/>
      <c r="GE12" s="209"/>
      <c r="GF12" s="209"/>
      <c r="GG12" s="209"/>
      <c r="GH12" s="209"/>
      <c r="GI12" s="209"/>
      <c r="GJ12" s="209"/>
      <c r="GK12" s="209"/>
      <c r="GL12" s="209"/>
      <c r="GM12" s="209"/>
      <c r="GN12" s="209"/>
      <c r="GO12" s="209"/>
      <c r="GP12" s="209"/>
      <c r="GQ12" s="209"/>
      <c r="GR12" s="209"/>
      <c r="GS12" s="209"/>
      <c r="GT12" s="209"/>
      <c r="GU12" s="209"/>
      <c r="GV12" s="209"/>
      <c r="GW12" s="209"/>
      <c r="GX12" s="209"/>
      <c r="GY12" s="209"/>
      <c r="GZ12" s="209"/>
      <c r="HA12" s="209"/>
      <c r="HB12" s="209"/>
      <c r="HC12" s="209"/>
      <c r="HD12" s="209"/>
      <c r="HE12" s="209"/>
      <c r="HF12" s="209"/>
      <c r="HG12" s="209"/>
      <c r="HH12" s="209"/>
      <c r="HI12" s="209"/>
      <c r="HJ12" s="209"/>
      <c r="HK12" s="209"/>
      <c r="HL12" s="209"/>
      <c r="HM12" s="209"/>
      <c r="HN12" s="209"/>
      <c r="HO12" s="209"/>
      <c r="HP12" s="209"/>
      <c r="HQ12" s="209"/>
      <c r="HR12" s="209"/>
      <c r="HS12" s="209"/>
      <c r="HT12" s="209"/>
      <c r="HU12" s="209"/>
      <c r="HV12" s="209"/>
      <c r="HW12" s="209"/>
      <c r="HX12" s="209"/>
      <c r="HY12" s="209"/>
      <c r="HZ12" s="209"/>
      <c r="IA12" s="209"/>
      <c r="IB12" s="209"/>
      <c r="IC12" s="209"/>
      <c r="ID12" s="209"/>
      <c r="IE12" s="209"/>
      <c r="IF12" s="209"/>
      <c r="IG12" s="209"/>
      <c r="IH12" s="209"/>
      <c r="II12" s="209"/>
      <c r="IJ12" s="209"/>
      <c r="IK12" s="209"/>
      <c r="IL12" s="209"/>
      <c r="IM12" s="209"/>
      <c r="IN12" s="209"/>
      <c r="IO12" s="209"/>
      <c r="IP12" s="209"/>
      <c r="IQ12" s="209"/>
      <c r="IR12" s="209"/>
      <c r="IS12" s="209"/>
      <c r="IT12" s="209"/>
      <c r="IU12" s="209"/>
      <c r="IV12" s="209"/>
      <c r="IW12" s="209"/>
      <c r="IX12" s="209"/>
    </row>
    <row r="13" s="314" customFormat="true" ht="17.4" hidden="false" customHeight="false" outlineLevel="0" collapsed="false">
      <c r="A13" s="317" t="s">
        <v>253</v>
      </c>
      <c r="B13" s="317" t="s">
        <v>254</v>
      </c>
      <c r="C13" s="317"/>
      <c r="D13" s="137" t="s">
        <v>133</v>
      </c>
      <c r="E13" s="79" t="n">
        <f aca="false">IF($F$1="GWP100 without fb",E14+E15*'Common input data'!$C$5+E16*'Common input data'!$D$5,IF($F$1="GWP100 with fb",E14+E15*'Common input data'!$C$6+E16*'Common input data'!$D$6,IF($F$1="GTP100 without fb",E14+E15*'Common input data'!$C$7+E16*'Common input data'!$D$7,IF($F$1="GTP100 with fb",E14+E15*'Common input data'!$C$8+E16*'Common input data'!$D$8,E14+E15*'Common input data'!$C$9+E16*'Common input data'!$D$9))))</f>
        <v>0.38334570445811</v>
      </c>
      <c r="F13" s="80" t="n">
        <f aca="false">IF($F$1="GWP100 without fb",F14+F15*'Common input data'!$C$5+F16*'Common input data'!$D$5,IF($F$1="GWP100 with fb",F14+F15*'Common input data'!$C$6+F16*'Common input data'!$D$6,IF($F$1="GTP100 without fb",F14+F15*'Common input data'!$C$7+F16*'Common input data'!$D$7,IF($F$1="GTP100 with fb",F14+F15*'Common input data'!$C$8+F16*'Common input data'!$D$8,F14+F15*'Common input data'!$C$9+F16*'Common input data'!$D$9))))</f>
        <v>0.64001888150274</v>
      </c>
      <c r="G13" s="81" t="n">
        <f aca="false">IF($F$1="GWP100 without fb",G14+G15*'Common input data'!$C$5+G16*'Common input data'!$D$5,IF($F$1="GWP100 with fb",G14+G15*'Common input data'!$C$6+G16*'Common input data'!$D$6,IF($F$1="GTP100 without fb",G14+G15*'Common input data'!$C$7+G16*'Common input data'!$D$7,IF($F$1="GTP100 with fb",G14+G15*'Common input data'!$C$8+G16*'Common input data'!$D$8,G14+G15*'Common input data'!$C$9+G16*'Common input data'!$D$9))))</f>
        <v>1.17685558683637</v>
      </c>
      <c r="H13" s="262"/>
      <c r="I13" s="262"/>
      <c r="J13" s="262"/>
      <c r="K13" s="262"/>
      <c r="L13" s="262"/>
      <c r="M13" s="262"/>
      <c r="N13" s="262"/>
      <c r="O13" s="262"/>
      <c r="P13" s="262"/>
      <c r="Q13" s="262"/>
      <c r="R13" s="262"/>
      <c r="S13" s="262"/>
      <c r="T13" s="262"/>
      <c r="U13" s="262"/>
      <c r="V13" s="309"/>
      <c r="W13" s="92"/>
      <c r="X13" s="209"/>
      <c r="Y13" s="209"/>
      <c r="Z13" s="30"/>
      <c r="AA13" s="209"/>
      <c r="AB13" s="209"/>
      <c r="AC13" s="209"/>
      <c r="AD13" s="209"/>
      <c r="AE13" s="209"/>
      <c r="AF13" s="209"/>
      <c r="AG13" s="209"/>
      <c r="AH13" s="209"/>
      <c r="AI13" s="209"/>
      <c r="AJ13" s="209"/>
      <c r="AK13" s="209"/>
      <c r="AL13" s="209"/>
      <c r="AM13" s="209"/>
      <c r="AN13" s="209"/>
      <c r="AO13" s="209"/>
      <c r="AP13" s="209"/>
      <c r="AQ13" s="209"/>
      <c r="AR13" s="209"/>
      <c r="AS13" s="209"/>
      <c r="AT13" s="209"/>
      <c r="AU13" s="209"/>
      <c r="AV13" s="209"/>
      <c r="AW13" s="209"/>
      <c r="AX13" s="209"/>
      <c r="AY13" s="209"/>
      <c r="AZ13" s="209"/>
      <c r="BA13" s="209"/>
      <c r="BB13" s="209"/>
      <c r="BC13" s="209"/>
      <c r="BD13" s="209"/>
      <c r="BE13" s="209"/>
      <c r="BF13" s="209"/>
      <c r="BG13" s="209"/>
      <c r="BH13" s="209"/>
      <c r="BI13" s="209"/>
      <c r="BJ13" s="209"/>
      <c r="BK13" s="209"/>
      <c r="BL13" s="209"/>
      <c r="BM13" s="209"/>
      <c r="BN13" s="209"/>
      <c r="BO13" s="209"/>
      <c r="BP13" s="209"/>
      <c r="BQ13" s="209"/>
      <c r="BR13" s="209"/>
      <c r="BS13" s="209"/>
      <c r="BT13" s="209"/>
      <c r="BU13" s="209"/>
      <c r="BV13" s="209"/>
      <c r="BW13" s="209"/>
      <c r="BX13" s="209"/>
      <c r="BY13" s="209"/>
      <c r="BZ13" s="209"/>
      <c r="CA13" s="209"/>
      <c r="CB13" s="209"/>
      <c r="CC13" s="209"/>
      <c r="CD13" s="209"/>
      <c r="CE13" s="209"/>
      <c r="CF13" s="209"/>
      <c r="CG13" s="209"/>
      <c r="CH13" s="209"/>
      <c r="CI13" s="209"/>
      <c r="CJ13" s="209"/>
      <c r="CK13" s="209"/>
      <c r="CL13" s="209"/>
      <c r="CM13" s="209"/>
      <c r="CN13" s="209"/>
      <c r="CO13" s="209"/>
      <c r="CP13" s="209"/>
      <c r="CQ13" s="209"/>
      <c r="CR13" s="209"/>
      <c r="CS13" s="209"/>
      <c r="CT13" s="209"/>
      <c r="CU13" s="209"/>
      <c r="CV13" s="209"/>
      <c r="CW13" s="209"/>
      <c r="CX13" s="209"/>
      <c r="CY13" s="209"/>
      <c r="CZ13" s="209"/>
      <c r="DA13" s="209"/>
      <c r="DB13" s="209"/>
      <c r="DC13" s="209"/>
      <c r="DD13" s="209"/>
      <c r="DE13" s="209"/>
      <c r="DF13" s="209"/>
      <c r="DG13" s="209"/>
      <c r="DH13" s="209"/>
      <c r="DI13" s="209"/>
      <c r="DJ13" s="209"/>
      <c r="DK13" s="209"/>
      <c r="DL13" s="209"/>
      <c r="DM13" s="209"/>
      <c r="DN13" s="209"/>
      <c r="DO13" s="209"/>
      <c r="DP13" s="209"/>
      <c r="DQ13" s="209"/>
      <c r="DR13" s="209"/>
      <c r="DS13" s="209"/>
      <c r="DT13" s="209"/>
      <c r="DU13" s="209"/>
      <c r="DV13" s="209"/>
      <c r="DW13" s="209"/>
      <c r="DX13" s="209"/>
      <c r="DY13" s="209"/>
      <c r="DZ13" s="209"/>
      <c r="EA13" s="209"/>
      <c r="EB13" s="209"/>
      <c r="EC13" s="209"/>
      <c r="ED13" s="209"/>
      <c r="EE13" s="209"/>
      <c r="EF13" s="209"/>
      <c r="EG13" s="209"/>
      <c r="EH13" s="209"/>
      <c r="EI13" s="209"/>
      <c r="EJ13" s="209"/>
      <c r="EK13" s="209"/>
      <c r="EL13" s="209"/>
      <c r="EM13" s="209"/>
      <c r="EN13" s="209"/>
      <c r="EO13" s="209"/>
      <c r="EP13" s="209"/>
      <c r="EQ13" s="209"/>
      <c r="ER13" s="209"/>
      <c r="ES13" s="209"/>
      <c r="ET13" s="209"/>
      <c r="EU13" s="209"/>
      <c r="EV13" s="209"/>
      <c r="EW13" s="209"/>
      <c r="EX13" s="209"/>
      <c r="EY13" s="209"/>
      <c r="EZ13" s="209"/>
      <c r="FA13" s="209"/>
      <c r="FB13" s="209"/>
      <c r="FC13" s="209"/>
      <c r="FD13" s="209"/>
      <c r="FE13" s="209"/>
      <c r="FF13" s="209"/>
      <c r="FG13" s="209"/>
      <c r="FH13" s="209"/>
      <c r="FI13" s="209"/>
      <c r="FJ13" s="209"/>
      <c r="FK13" s="209"/>
      <c r="FL13" s="209"/>
      <c r="FM13" s="209"/>
      <c r="FN13" s="209"/>
      <c r="FO13" s="209"/>
      <c r="FP13" s="209"/>
      <c r="FQ13" s="209"/>
      <c r="FR13" s="209"/>
      <c r="FS13" s="209"/>
      <c r="FT13" s="209"/>
      <c r="FU13" s="209"/>
      <c r="FV13" s="209"/>
      <c r="FW13" s="209"/>
      <c r="FX13" s="209"/>
      <c r="FY13" s="209"/>
      <c r="FZ13" s="209"/>
      <c r="GA13" s="209"/>
      <c r="GB13" s="209"/>
      <c r="GC13" s="209"/>
      <c r="GD13" s="209"/>
      <c r="GE13" s="209"/>
      <c r="GF13" s="209"/>
      <c r="GG13" s="209"/>
      <c r="GH13" s="209"/>
      <c r="GI13" s="209"/>
      <c r="GJ13" s="209"/>
      <c r="GK13" s="209"/>
      <c r="GL13" s="209"/>
      <c r="GM13" s="209"/>
      <c r="GN13" s="209"/>
      <c r="GO13" s="209"/>
      <c r="GP13" s="209"/>
      <c r="GQ13" s="209"/>
      <c r="GR13" s="209"/>
      <c r="GS13" s="209"/>
      <c r="GT13" s="209"/>
      <c r="GU13" s="209"/>
      <c r="GV13" s="209"/>
      <c r="GW13" s="209"/>
      <c r="GX13" s="209"/>
      <c r="GY13" s="209"/>
      <c r="GZ13" s="209"/>
      <c r="HA13" s="209"/>
      <c r="HB13" s="209"/>
      <c r="HC13" s="209"/>
      <c r="HD13" s="209"/>
      <c r="HE13" s="209"/>
      <c r="HF13" s="209"/>
      <c r="HG13" s="209"/>
      <c r="HH13" s="209"/>
      <c r="HI13" s="209"/>
      <c r="HJ13" s="209"/>
      <c r="HK13" s="209"/>
      <c r="HL13" s="209"/>
      <c r="HM13" s="209"/>
      <c r="HN13" s="209"/>
      <c r="HO13" s="209"/>
      <c r="HP13" s="209"/>
      <c r="HQ13" s="209"/>
      <c r="HR13" s="209"/>
      <c r="HS13" s="209"/>
      <c r="HT13" s="209"/>
      <c r="HU13" s="209"/>
      <c r="HV13" s="209"/>
      <c r="HW13" s="209"/>
      <c r="HX13" s="209"/>
      <c r="HY13" s="209"/>
      <c r="HZ13" s="209"/>
      <c r="IA13" s="209"/>
      <c r="IB13" s="209"/>
      <c r="IC13" s="209"/>
      <c r="ID13" s="209"/>
      <c r="IE13" s="209"/>
      <c r="IF13" s="209"/>
      <c r="IG13" s="209"/>
      <c r="IH13" s="209"/>
      <c r="II13" s="209"/>
      <c r="IJ13" s="209"/>
      <c r="IK13" s="209"/>
      <c r="IL13" s="209"/>
      <c r="IM13" s="209"/>
      <c r="IN13" s="209"/>
      <c r="IO13" s="209"/>
      <c r="IP13" s="209"/>
      <c r="IQ13" s="209"/>
      <c r="IR13" s="209"/>
      <c r="IS13" s="209"/>
      <c r="IT13" s="209"/>
      <c r="IU13" s="209"/>
      <c r="IV13" s="209"/>
      <c r="IW13" s="209"/>
      <c r="IX13" s="209"/>
    </row>
    <row r="14" s="209" customFormat="true" ht="17.4" hidden="false" customHeight="false" outlineLevel="0" collapsed="false">
      <c r="A14" s="315"/>
      <c r="B14" s="30"/>
      <c r="C14" s="30"/>
      <c r="D14" s="85" t="s">
        <v>134</v>
      </c>
      <c r="E14" s="217" t="n">
        <f aca="false">($C$18/($C$18+$C$23))*E19+($C$23/($C$18+$C$23))*E24</f>
        <v>0.116392150583301</v>
      </c>
      <c r="F14" s="89" t="n">
        <f aca="false">($C$18/($C$18+$C$23))*F19+($C$23/($C$18+$C$23))*F24</f>
        <v>0.300753933146482</v>
      </c>
      <c r="G14" s="88" t="n">
        <f aca="false">($C$18/($C$18+$C$23))*G19+($C$23/($C$18+$C$23))*G24</f>
        <v>0.700175921503895</v>
      </c>
      <c r="H14" s="89" t="n">
        <f aca="false">($C$18/($C$18+$C$23))*H19+($C$23/($C$18+$C$23))*H24</f>
        <v>0.0543163766806986</v>
      </c>
      <c r="I14" s="89" t="n">
        <f aca="false">($C$18/($C$18+$C$23))*I19+($C$23/($C$18+$C$23))*I24</f>
        <v>0.03</v>
      </c>
      <c r="J14" s="89" t="n">
        <f aca="false">($C$18/($C$18+$C$23))*J19+($C$23/($C$18+$C$23))*J24</f>
        <v>0</v>
      </c>
      <c r="K14" s="89" t="n">
        <f aca="false">($C$18/($C$18+$C$23))*K19+($C$23/($C$18+$C$23))*K24</f>
        <v>0</v>
      </c>
      <c r="L14" s="89" t="n">
        <f aca="false">($C$18/($C$18+$C$23))*L19+($C$23/($C$18+$C$23))*L24</f>
        <v>0.0280359079362144</v>
      </c>
      <c r="M14" s="89" t="n">
        <f aca="false">($C$18/($C$18+$C$23))*M19+($C$23/($C$18+$C$23))*M24</f>
        <v>0</v>
      </c>
      <c r="N14" s="89" t="n">
        <f aca="false">($C$18/($C$18+$C$23))*N19+($C$23/($C$18+$C$23))*N24</f>
        <v>0.02</v>
      </c>
      <c r="O14" s="89" t="n">
        <f aca="false">($C$18/($C$18+$C$23))*O19+($C$23/($C$18+$C$23))*O24</f>
        <v>0.039147048</v>
      </c>
      <c r="P14" s="89" t="n">
        <f aca="false">($C$18/($C$18+$C$23))*P19+($C$23/($C$18+$C$23))*P24</f>
        <v>0.108271767984466</v>
      </c>
      <c r="Q14" s="89" t="n">
        <f aca="false">($C$18/($C$18+$C$23))*Q19+($C$23/($C$18+$C$23))*Q24</f>
        <v>0</v>
      </c>
      <c r="R14" s="89" t="n">
        <f aca="false">($C$18/($C$18+$C$23))*R19+($C$23/($C$18+$C$23))*R24</f>
        <v>0.130690344255017</v>
      </c>
      <c r="S14" s="89" t="n">
        <f aca="false">($C$18/($C$18+$C$23))*S19+($C$23/($C$18+$C$23))*S24</f>
        <v>0.509888691474499</v>
      </c>
      <c r="T14" s="89" t="n">
        <f aca="false">($C$18/($C$18+$C$23))*T19+($C$23/($C$18+$C$23))*T24</f>
        <v>0.05</v>
      </c>
      <c r="U14" s="318" t="n">
        <f aca="false">($C$18/($C$18+$C$23))*U19+($C$23/($C$18+$C$23))*U24</f>
        <v>0.03</v>
      </c>
      <c r="W14" s="92"/>
      <c r="Z14" s="30"/>
    </row>
    <row r="15" s="209" customFormat="true" ht="17.4" hidden="false" customHeight="false" outlineLevel="0" collapsed="false">
      <c r="A15" s="315"/>
      <c r="B15" s="30"/>
      <c r="C15" s="93"/>
      <c r="D15" s="85" t="s">
        <v>135</v>
      </c>
      <c r="E15" s="217" t="n">
        <f aca="false">($C$18/($C$18+$C$23))*E20+($C$23/($C$18+$C$23))*E25</f>
        <v>0</v>
      </c>
      <c r="F15" s="89" t="n">
        <f aca="false">($C$18/($C$18+$C$23))*F20+($C$23/($C$18+$C$23))*F25</f>
        <v>2.85907938161416E-005</v>
      </c>
      <c r="G15" s="88" t="n">
        <f aca="false">($C$18/($C$18+$C$23))*G20+($C$23/($C$18+$C$23))*G25</f>
        <v>5.25303132670486E-005</v>
      </c>
      <c r="H15" s="89" t="n">
        <f aca="false">($C$18/($C$18+$C$23))*H20+($C$23/($C$18+$C$23))*H25</f>
        <v>1.45417630119813E-010</v>
      </c>
      <c r="I15" s="89" t="n">
        <f aca="false">($C$18/($C$18+$C$23))*I20+($C$23/($C$18+$C$23))*I25</f>
        <v>0</v>
      </c>
      <c r="J15" s="89" t="n">
        <f aca="false">($C$18/($C$18+$C$23))*J20+($C$23/($C$18+$C$23))*J25</f>
        <v>0</v>
      </c>
      <c r="K15" s="89" t="n">
        <f aca="false">($C$18/($C$18+$C$23))*K20+($C$23/($C$18+$C$23))*K25</f>
        <v>0</v>
      </c>
      <c r="L15" s="89" t="n">
        <f aca="false">($C$18/($C$18+$C$23))*L20+($C$23/($C$18+$C$23))*L25</f>
        <v>1.24189618531993E-005</v>
      </c>
      <c r="M15" s="89" t="n">
        <f aca="false">($C$18/($C$18+$C$23))*M20+($C$23/($C$18+$C$23))*M25</f>
        <v>0</v>
      </c>
      <c r="N15" s="89" t="n">
        <f aca="false">($C$18/($C$18+$C$23))*N20+($C$23/($C$18+$C$23))*N25</f>
        <v>0</v>
      </c>
      <c r="O15" s="89" t="n">
        <f aca="false">($C$18/($C$18+$C$23))*O20+($C$23/($C$18+$C$23))*O25</f>
        <v>1.417698E-005</v>
      </c>
      <c r="P15" s="89" t="n">
        <f aca="false">($C$18/($C$18+$C$23))*P20+($C$23/($C$18+$C$23))*P25</f>
        <v>0</v>
      </c>
      <c r="Q15" s="89" t="n">
        <f aca="false">($C$18/($C$18+$C$23))*Q20+($C$23/($C$18+$C$23))*Q25</f>
        <v>0</v>
      </c>
      <c r="R15" s="89" t="n">
        <f aca="false">($C$18/($C$18+$C$23))*R20+($C$23/($C$18+$C$23))*R25</f>
        <v>8.85665385058978E-006</v>
      </c>
      <c r="S15" s="89" t="n">
        <f aca="false">($C$18/($C$18+$C$23))*S20+($C$23/($C$18+$C$23))*S25</f>
        <v>4.4256074515228E-005</v>
      </c>
      <c r="T15" s="89" t="n">
        <f aca="false">($C$18/($C$18+$C$23))*T20+($C$23/($C$18+$C$23))*T25</f>
        <v>0</v>
      </c>
      <c r="U15" s="318" t="n">
        <f aca="false">($C$18/($C$18+$C$23))*U20+($C$23/($C$18+$C$23))*U25</f>
        <v>0</v>
      </c>
      <c r="W15" s="92"/>
      <c r="Z15" s="30"/>
    </row>
    <row r="16" s="209" customFormat="true" ht="17.4" hidden="false" customHeight="false" outlineLevel="0" collapsed="false">
      <c r="A16" s="74"/>
      <c r="B16" s="30"/>
      <c r="C16" s="87"/>
      <c r="D16" s="31" t="s">
        <v>136</v>
      </c>
      <c r="E16" s="217" t="n">
        <f aca="false">($C$18/($C$18+$C$23))*E21+($C$23/($C$18+$C$23))*E26</f>
        <v>0.000895817294881908</v>
      </c>
      <c r="F16" s="89" t="n">
        <f aca="false">($C$18/($C$18+$C$23))*F21+($C$23/($C$18+$C$23))*F26</f>
        <v>0.00113521094418291</v>
      </c>
      <c r="G16" s="88" t="n">
        <f aca="false">($C$18/($C$18+$C$23))*G21+($C$23/($C$18+$C$23))*G26</f>
        <v>0.00159360280094429</v>
      </c>
      <c r="H16" s="89" t="n">
        <f aca="false">($C$18/($C$18+$C$23))*H21+($C$23/($C$18+$C$23))*H26</f>
        <v>0.000220616821434633</v>
      </c>
      <c r="I16" s="89" t="n">
        <f aca="false">($C$18/($C$18+$C$23))*I21+($C$23/($C$18+$C$23))*I26</f>
        <v>0</v>
      </c>
      <c r="J16" s="89" t="n">
        <f aca="false">($C$18/($C$18+$C$23))*J21+($C$23/($C$18+$C$23))*J26</f>
        <v>0.000757562194403305</v>
      </c>
      <c r="K16" s="89" t="n">
        <f aca="false">($C$18/($C$18+$C$23))*K21+($C$23/($C$18+$C$23))*K26</f>
        <v>7.57562194403305E-005</v>
      </c>
      <c r="L16" s="89" t="n">
        <f aca="false">($C$18/($C$18+$C$23))*L21+($C$23/($C$18+$C$23))*L26</f>
        <v>7.53335777000492E-007</v>
      </c>
      <c r="M16" s="89" t="n">
        <f aca="false">($C$18/($C$18+$C$23))*M21+($C$23/($C$18+$C$23))*M26</f>
        <v>0</v>
      </c>
      <c r="N16" s="89" t="n">
        <f aca="false">($C$18/($C$18+$C$23))*N21+($C$23/($C$18+$C$23))*N26</f>
        <v>0</v>
      </c>
      <c r="O16" s="89" t="n">
        <f aca="false">($C$18/($C$18+$C$23))*O21+($C$23/($C$18+$C$23))*O26</f>
        <v>1.32160958E-006</v>
      </c>
      <c r="P16" s="89" t="n">
        <f aca="false">($C$18/($C$18+$C$23))*P21+($C$23/($C$18+$C$23))*P26</f>
        <v>0</v>
      </c>
      <c r="Q16" s="89" t="n">
        <f aca="false">($C$18/($C$18+$C$23))*Q21+($C$23/($C$18+$C$23))*Q26</f>
        <v>0</v>
      </c>
      <c r="R16" s="89" t="n">
        <f aca="false">($C$18/($C$18+$C$23))*R21+($C$23/($C$18+$C$23))*R26</f>
        <v>8.2563695340498E-007</v>
      </c>
      <c r="S16" s="89" t="n">
        <f aca="false">($C$18/($C$18+$C$23))*S21+($C$23/($C$18+$C$23))*S26</f>
        <v>0.00134258868679747</v>
      </c>
      <c r="T16" s="89" t="n">
        <f aca="false">($C$18/($C$18+$C$23))*T21+($C$23/($C$18+$C$23))*T26</f>
        <v>0</v>
      </c>
      <c r="U16" s="318" t="n">
        <f aca="false">($C$18/($C$18+$C$23))*U21+($C$23/($C$18+$C$23))*U26</f>
        <v>0</v>
      </c>
      <c r="W16" s="92"/>
      <c r="Z16" s="30"/>
    </row>
    <row r="17" s="329" customFormat="true" ht="17.4" hidden="false" customHeight="false" outlineLevel="0" collapsed="false">
      <c r="A17" s="319" t="s">
        <v>255</v>
      </c>
      <c r="B17" s="320"/>
      <c r="C17" s="321"/>
      <c r="D17" s="322"/>
      <c r="E17" s="323"/>
      <c r="F17" s="324"/>
      <c r="G17" s="325"/>
      <c r="H17" s="321"/>
      <c r="I17" s="321"/>
      <c r="J17" s="321"/>
      <c r="K17" s="326"/>
      <c r="L17" s="326"/>
      <c r="M17" s="327"/>
      <c r="N17" s="326"/>
      <c r="O17" s="326"/>
      <c r="P17" s="326"/>
      <c r="Q17" s="326"/>
      <c r="R17" s="326"/>
      <c r="S17" s="326"/>
      <c r="T17" s="326"/>
      <c r="U17" s="328"/>
      <c r="V17" s="209"/>
      <c r="W17" s="92"/>
      <c r="X17" s="209"/>
      <c r="Y17" s="209"/>
      <c r="Z17" s="30"/>
      <c r="AA17" s="209"/>
      <c r="AB17" s="209"/>
      <c r="AC17" s="209"/>
      <c r="AD17" s="209"/>
      <c r="AE17" s="209"/>
      <c r="AF17" s="209"/>
      <c r="AG17" s="209"/>
      <c r="AH17" s="209"/>
      <c r="AI17" s="209"/>
      <c r="AJ17" s="209"/>
      <c r="AK17" s="209"/>
      <c r="AL17" s="209"/>
      <c r="AM17" s="209"/>
      <c r="AN17" s="209"/>
      <c r="AO17" s="209"/>
      <c r="AP17" s="209"/>
      <c r="AQ17" s="209"/>
      <c r="AR17" s="209"/>
      <c r="AS17" s="209"/>
      <c r="AT17" s="209"/>
      <c r="AU17" s="209"/>
      <c r="AV17" s="209"/>
      <c r="AW17" s="209"/>
      <c r="AX17" s="209"/>
      <c r="AY17" s="209"/>
      <c r="AZ17" s="209"/>
      <c r="BA17" s="209"/>
      <c r="BB17" s="209"/>
      <c r="BC17" s="209"/>
      <c r="BD17" s="209"/>
      <c r="BE17" s="209"/>
      <c r="BF17" s="209"/>
      <c r="BG17" s="209"/>
      <c r="BH17" s="209"/>
      <c r="BI17" s="209"/>
      <c r="BJ17" s="209"/>
      <c r="BK17" s="209"/>
      <c r="BL17" s="209"/>
      <c r="BM17" s="209"/>
      <c r="BN17" s="209"/>
      <c r="BO17" s="209"/>
      <c r="BP17" s="209"/>
      <c r="BQ17" s="209"/>
      <c r="BR17" s="209"/>
      <c r="BS17" s="209"/>
      <c r="BT17" s="209"/>
      <c r="BU17" s="209"/>
      <c r="BV17" s="209"/>
      <c r="BW17" s="209"/>
      <c r="BX17" s="209"/>
      <c r="BY17" s="209"/>
      <c r="BZ17" s="209"/>
      <c r="CA17" s="209"/>
      <c r="CB17" s="209"/>
      <c r="CC17" s="209"/>
      <c r="CD17" s="209"/>
      <c r="CE17" s="209"/>
      <c r="CF17" s="209"/>
      <c r="CG17" s="209"/>
      <c r="CH17" s="209"/>
      <c r="CI17" s="209"/>
      <c r="CJ17" s="209"/>
      <c r="CK17" s="209"/>
      <c r="CL17" s="209"/>
      <c r="CM17" s="209"/>
      <c r="CN17" s="209"/>
      <c r="CO17" s="209"/>
      <c r="CP17" s="209"/>
      <c r="CQ17" s="209"/>
      <c r="CR17" s="209"/>
      <c r="CS17" s="209"/>
      <c r="CT17" s="209"/>
      <c r="CU17" s="209"/>
      <c r="CV17" s="209"/>
      <c r="CW17" s="209"/>
      <c r="CX17" s="209"/>
      <c r="CY17" s="209"/>
      <c r="CZ17" s="209"/>
      <c r="DA17" s="209"/>
      <c r="DB17" s="209"/>
      <c r="DC17" s="209"/>
      <c r="DD17" s="209"/>
      <c r="DE17" s="209"/>
      <c r="DF17" s="209"/>
      <c r="DG17" s="209"/>
      <c r="DH17" s="209"/>
      <c r="DI17" s="209"/>
      <c r="DJ17" s="209"/>
      <c r="DK17" s="209"/>
      <c r="DL17" s="209"/>
      <c r="DM17" s="209"/>
      <c r="DN17" s="209"/>
      <c r="DO17" s="209"/>
      <c r="DP17" s="209"/>
      <c r="DQ17" s="209"/>
      <c r="DR17" s="209"/>
      <c r="DS17" s="209"/>
      <c r="DT17" s="209"/>
      <c r="DU17" s="209"/>
      <c r="DV17" s="209"/>
      <c r="DW17" s="209"/>
      <c r="DX17" s="209"/>
      <c r="DY17" s="209"/>
      <c r="DZ17" s="209"/>
      <c r="EA17" s="209"/>
      <c r="EB17" s="209"/>
      <c r="EC17" s="209"/>
      <c r="ED17" s="209"/>
      <c r="EE17" s="209"/>
      <c r="EF17" s="209"/>
      <c r="EG17" s="209"/>
      <c r="EH17" s="209"/>
      <c r="EI17" s="209"/>
      <c r="EJ17" s="209"/>
      <c r="EK17" s="209"/>
      <c r="EL17" s="209"/>
      <c r="EM17" s="209"/>
      <c r="EN17" s="209"/>
      <c r="EO17" s="209"/>
      <c r="EP17" s="209"/>
      <c r="EQ17" s="209"/>
      <c r="ER17" s="209"/>
      <c r="ES17" s="209"/>
      <c r="ET17" s="209"/>
      <c r="EU17" s="209"/>
      <c r="EV17" s="209"/>
      <c r="EW17" s="209"/>
      <c r="EX17" s="209"/>
      <c r="EY17" s="209"/>
      <c r="EZ17" s="209"/>
      <c r="FA17" s="209"/>
      <c r="FB17" s="209"/>
      <c r="FC17" s="209"/>
      <c r="FD17" s="209"/>
      <c r="FE17" s="209"/>
      <c r="FF17" s="209"/>
      <c r="FG17" s="209"/>
      <c r="FH17" s="209"/>
      <c r="FI17" s="209"/>
      <c r="FJ17" s="209"/>
      <c r="FK17" s="209"/>
      <c r="FL17" s="209"/>
      <c r="FM17" s="209"/>
      <c r="FN17" s="209"/>
      <c r="FO17" s="209"/>
      <c r="FP17" s="209"/>
      <c r="FQ17" s="209"/>
      <c r="FR17" s="209"/>
      <c r="FS17" s="209"/>
      <c r="FT17" s="209"/>
      <c r="FU17" s="209"/>
      <c r="FV17" s="209"/>
      <c r="FW17" s="209"/>
      <c r="FX17" s="209"/>
      <c r="FY17" s="209"/>
      <c r="FZ17" s="209"/>
      <c r="GA17" s="209"/>
      <c r="GB17" s="209"/>
      <c r="GC17" s="209"/>
      <c r="GD17" s="209"/>
      <c r="GE17" s="209"/>
      <c r="GF17" s="209"/>
      <c r="GG17" s="209"/>
      <c r="GH17" s="209"/>
      <c r="GI17" s="209"/>
      <c r="GJ17" s="209"/>
      <c r="GK17" s="209"/>
      <c r="GL17" s="209"/>
      <c r="GM17" s="209"/>
      <c r="GN17" s="209"/>
      <c r="GO17" s="209"/>
      <c r="GP17" s="209"/>
      <c r="GQ17" s="209"/>
      <c r="GR17" s="209"/>
      <c r="GS17" s="209"/>
      <c r="GT17" s="209"/>
      <c r="GU17" s="209"/>
      <c r="GV17" s="209"/>
      <c r="GW17" s="209"/>
      <c r="GX17" s="209"/>
      <c r="GY17" s="209"/>
      <c r="GZ17" s="209"/>
      <c r="HA17" s="209"/>
      <c r="HB17" s="209"/>
      <c r="HC17" s="209"/>
      <c r="HD17" s="209"/>
      <c r="HE17" s="209"/>
      <c r="HF17" s="209"/>
      <c r="HG17" s="209"/>
      <c r="HH17" s="209"/>
      <c r="HI17" s="209"/>
      <c r="HJ17" s="209"/>
      <c r="HK17" s="209"/>
      <c r="HL17" s="209"/>
      <c r="HM17" s="209"/>
      <c r="HN17" s="209"/>
      <c r="HO17" s="209"/>
      <c r="HP17" s="209"/>
      <c r="HQ17" s="209"/>
      <c r="HR17" s="209"/>
      <c r="HS17" s="209"/>
      <c r="HT17" s="209"/>
      <c r="HU17" s="209"/>
      <c r="HV17" s="209"/>
      <c r="HW17" s="209"/>
      <c r="HX17" s="209"/>
      <c r="HY17" s="209"/>
      <c r="HZ17" s="209"/>
      <c r="IA17" s="209"/>
      <c r="IB17" s="209"/>
      <c r="IC17" s="209"/>
      <c r="ID17" s="209"/>
      <c r="IE17" s="209"/>
      <c r="IF17" s="209"/>
      <c r="IG17" s="209"/>
      <c r="IH17" s="209"/>
      <c r="II17" s="209"/>
      <c r="IJ17" s="209"/>
      <c r="IK17" s="209"/>
      <c r="IL17" s="209"/>
      <c r="IM17" s="209"/>
      <c r="IN17" s="209"/>
      <c r="IO17" s="209"/>
      <c r="IP17" s="209"/>
      <c r="IQ17" s="209"/>
      <c r="IR17" s="209"/>
      <c r="IS17" s="209"/>
      <c r="IT17" s="209"/>
      <c r="IU17" s="209"/>
      <c r="IV17" s="209"/>
      <c r="IW17" s="209"/>
      <c r="IX17" s="209"/>
    </row>
    <row r="18" s="332" customFormat="true" ht="17.4" hidden="false" customHeight="false" outlineLevel="0" collapsed="false">
      <c r="A18" s="330" t="s">
        <v>137</v>
      </c>
      <c r="B18" s="331" t="s">
        <v>254</v>
      </c>
      <c r="C18" s="97" t="n">
        <f aca="false">'Input data plant-based products'!D5</f>
        <v>0.64998250344785</v>
      </c>
      <c r="D18" s="78" t="s">
        <v>133</v>
      </c>
      <c r="E18" s="94" t="n">
        <f aca="false">IF($F$1="GWP100 without fb",E19+E20*'Common input data'!$C$5+E21*'Common input data'!$D$5,IF($F$1="GWP100 with fb",E19+E20*'Common input data'!$C$6+E21*'Common input data'!$D$6,IF($F$1="GTP100 without fb",E19+E20*'Common input data'!$C$7+E21*'Common input data'!$D$7,IF($F$1="GTP100 with fb",E19+E20*'Common input data'!$C$8+E21*'Common input data'!$D$8,E19+E20*'Common input data'!$C$9+E21*'Common input data'!$D$9))))</f>
        <v>0.376318148914037</v>
      </c>
      <c r="F18" s="95" t="n">
        <f aca="false">IF($F$1="GWP100 without fb",F19+F20*'Common input data'!$C$5+F21*'Common input data'!$D$5,IF($F$1="GWP100 with fb",F19+F20*'Common input data'!$C$6+F21*'Common input data'!$D$6,IF($F$1="GTP100 without fb",F19+F20*'Common input data'!$C$7+F21*'Common input data'!$D$7,IF($F$1="GTP100 with fb",F19+F20*'Common input data'!$C$8+F21*'Common input data'!$D$8,F19+F20*'Common input data'!$C$9+F21*'Common input data'!$D$9))))</f>
        <v>0.627954742775416</v>
      </c>
      <c r="G18" s="96" t="n">
        <f aca="false">IF($F$1="GWP100 without fb",G19+G20*'Common input data'!$C$5+G21*'Common input data'!$D$5,IF($F$1="GWP100 with fb",G19+G20*'Common input data'!$C$6+G21*'Common input data'!$D$6,IF($F$1="GTP100 without fb",G19+G20*'Common input data'!$C$7+G21*'Common input data'!$D$7,IF($F$1="GTP100 with fb",G19+G20*'Common input data'!$C$8+G21*'Common input data'!$D$8,G19+G20*'Common input data'!$C$9+G21*'Common input data'!$D$9))))</f>
        <v>1.15993232434106</v>
      </c>
      <c r="H18" s="83"/>
      <c r="I18" s="83"/>
      <c r="J18" s="83"/>
      <c r="K18" s="83"/>
      <c r="L18" s="83"/>
      <c r="M18" s="83"/>
      <c r="N18" s="83"/>
      <c r="O18" s="83"/>
      <c r="P18" s="83"/>
      <c r="Q18" s="83"/>
      <c r="R18" s="83"/>
      <c r="S18" s="83"/>
      <c r="T18" s="83"/>
      <c r="U18" s="83"/>
      <c r="V18" s="309"/>
      <c r="W18" s="92"/>
      <c r="X18" s="209"/>
      <c r="Y18" s="209"/>
      <c r="Z18" s="30"/>
      <c r="AA18" s="209"/>
      <c r="AB18" s="209"/>
      <c r="AC18" s="209"/>
      <c r="AD18" s="209"/>
      <c r="AE18" s="209"/>
      <c r="AF18" s="209"/>
      <c r="AG18" s="209"/>
      <c r="AH18" s="209"/>
      <c r="AI18" s="209"/>
      <c r="AJ18" s="209"/>
      <c r="AK18" s="209"/>
      <c r="AL18" s="209"/>
      <c r="AM18" s="209"/>
      <c r="AN18" s="209"/>
      <c r="AO18" s="209"/>
      <c r="AP18" s="209"/>
      <c r="AQ18" s="209"/>
      <c r="AR18" s="209"/>
      <c r="AS18" s="209"/>
      <c r="AT18" s="209"/>
      <c r="AU18" s="209"/>
      <c r="AV18" s="209"/>
      <c r="AW18" s="209"/>
      <c r="AX18" s="209"/>
      <c r="AY18" s="209"/>
      <c r="AZ18" s="209"/>
      <c r="BA18" s="209"/>
      <c r="BB18" s="209"/>
      <c r="BC18" s="209"/>
      <c r="BD18" s="209"/>
      <c r="BE18" s="209"/>
      <c r="BF18" s="209"/>
      <c r="BG18" s="209"/>
      <c r="BH18" s="209"/>
      <c r="BI18" s="209"/>
      <c r="BJ18" s="209"/>
      <c r="BK18" s="209"/>
      <c r="BL18" s="209"/>
      <c r="BM18" s="209"/>
      <c r="BN18" s="209"/>
      <c r="BO18" s="209"/>
      <c r="BP18" s="209"/>
      <c r="BQ18" s="209"/>
      <c r="BR18" s="209"/>
      <c r="BS18" s="209"/>
      <c r="BT18" s="209"/>
      <c r="BU18" s="209"/>
      <c r="BV18" s="209"/>
      <c r="BW18" s="209"/>
      <c r="BX18" s="209"/>
      <c r="BY18" s="209"/>
      <c r="BZ18" s="209"/>
      <c r="CA18" s="209"/>
      <c r="CB18" s="209"/>
      <c r="CC18" s="209"/>
      <c r="CD18" s="209"/>
      <c r="CE18" s="209"/>
      <c r="CF18" s="209"/>
      <c r="CG18" s="209"/>
      <c r="CH18" s="209"/>
      <c r="CI18" s="209"/>
      <c r="CJ18" s="209"/>
      <c r="CK18" s="209"/>
      <c r="CL18" s="209"/>
      <c r="CM18" s="209"/>
      <c r="CN18" s="209"/>
      <c r="CO18" s="209"/>
      <c r="CP18" s="209"/>
      <c r="CQ18" s="209"/>
      <c r="CR18" s="209"/>
      <c r="CS18" s="209"/>
      <c r="CT18" s="209"/>
      <c r="CU18" s="209"/>
      <c r="CV18" s="209"/>
      <c r="CW18" s="209"/>
      <c r="CX18" s="209"/>
      <c r="CY18" s="209"/>
      <c r="CZ18" s="209"/>
      <c r="DA18" s="209"/>
      <c r="DB18" s="209"/>
      <c r="DC18" s="209"/>
      <c r="DD18" s="209"/>
      <c r="DE18" s="209"/>
      <c r="DF18" s="209"/>
      <c r="DG18" s="209"/>
      <c r="DH18" s="209"/>
      <c r="DI18" s="209"/>
      <c r="DJ18" s="209"/>
      <c r="DK18" s="209"/>
      <c r="DL18" s="209"/>
      <c r="DM18" s="209"/>
      <c r="DN18" s="209"/>
      <c r="DO18" s="209"/>
      <c r="DP18" s="209"/>
      <c r="DQ18" s="209"/>
      <c r="DR18" s="209"/>
      <c r="DS18" s="209"/>
      <c r="DT18" s="209"/>
      <c r="DU18" s="209"/>
      <c r="DV18" s="209"/>
      <c r="DW18" s="209"/>
      <c r="DX18" s="209"/>
      <c r="DY18" s="209"/>
      <c r="DZ18" s="209"/>
      <c r="EA18" s="209"/>
      <c r="EB18" s="209"/>
      <c r="EC18" s="209"/>
      <c r="ED18" s="209"/>
      <c r="EE18" s="209"/>
      <c r="EF18" s="209"/>
      <c r="EG18" s="209"/>
      <c r="EH18" s="209"/>
      <c r="EI18" s="209"/>
      <c r="EJ18" s="209"/>
      <c r="EK18" s="209"/>
      <c r="EL18" s="209"/>
      <c r="EM18" s="209"/>
      <c r="EN18" s="209"/>
      <c r="EO18" s="209"/>
      <c r="EP18" s="209"/>
      <c r="EQ18" s="209"/>
      <c r="ER18" s="209"/>
      <c r="ES18" s="209"/>
      <c r="ET18" s="209"/>
      <c r="EU18" s="209"/>
      <c r="EV18" s="209"/>
      <c r="EW18" s="209"/>
      <c r="EX18" s="209"/>
      <c r="EY18" s="209"/>
      <c r="EZ18" s="209"/>
      <c r="FA18" s="209"/>
      <c r="FB18" s="209"/>
      <c r="FC18" s="209"/>
      <c r="FD18" s="209"/>
      <c r="FE18" s="209"/>
      <c r="FF18" s="209"/>
      <c r="FG18" s="209"/>
      <c r="FH18" s="209"/>
      <c r="FI18" s="209"/>
      <c r="FJ18" s="209"/>
      <c r="FK18" s="209"/>
      <c r="FL18" s="209"/>
      <c r="FM18" s="209"/>
      <c r="FN18" s="209"/>
      <c r="FO18" s="209"/>
      <c r="FP18" s="209"/>
      <c r="FQ18" s="209"/>
      <c r="FR18" s="209"/>
      <c r="FS18" s="209"/>
      <c r="FT18" s="209"/>
      <c r="FU18" s="209"/>
      <c r="FV18" s="209"/>
      <c r="FW18" s="209"/>
      <c r="FX18" s="209"/>
      <c r="FY18" s="209"/>
      <c r="FZ18" s="209"/>
      <c r="GA18" s="209"/>
      <c r="GB18" s="209"/>
      <c r="GC18" s="209"/>
      <c r="GD18" s="209"/>
      <c r="GE18" s="209"/>
      <c r="GF18" s="209"/>
      <c r="GG18" s="209"/>
      <c r="GH18" s="209"/>
      <c r="GI18" s="209"/>
      <c r="GJ18" s="209"/>
      <c r="GK18" s="209"/>
      <c r="GL18" s="209"/>
      <c r="GM18" s="209"/>
      <c r="GN18" s="209"/>
      <c r="GO18" s="209"/>
      <c r="GP18" s="209"/>
      <c r="GQ18" s="209"/>
      <c r="GR18" s="209"/>
      <c r="GS18" s="209"/>
      <c r="GT18" s="209"/>
      <c r="GU18" s="209"/>
      <c r="GV18" s="209"/>
      <c r="GW18" s="209"/>
      <c r="GX18" s="209"/>
      <c r="GY18" s="209"/>
      <c r="GZ18" s="209"/>
      <c r="HA18" s="209"/>
      <c r="HB18" s="209"/>
      <c r="HC18" s="209"/>
      <c r="HD18" s="209"/>
      <c r="HE18" s="209"/>
      <c r="HF18" s="209"/>
      <c r="HG18" s="209"/>
      <c r="HH18" s="209"/>
      <c r="HI18" s="209"/>
      <c r="HJ18" s="209"/>
      <c r="HK18" s="209"/>
      <c r="HL18" s="209"/>
      <c r="HM18" s="209"/>
      <c r="HN18" s="209"/>
      <c r="HO18" s="209"/>
      <c r="HP18" s="209"/>
      <c r="HQ18" s="209"/>
      <c r="HR18" s="209"/>
      <c r="HS18" s="209"/>
      <c r="HT18" s="209"/>
      <c r="HU18" s="209"/>
      <c r="HV18" s="209"/>
      <c r="HW18" s="209"/>
      <c r="HX18" s="209"/>
      <c r="HY18" s="209"/>
      <c r="HZ18" s="209"/>
      <c r="IA18" s="209"/>
      <c r="IB18" s="209"/>
      <c r="IC18" s="209"/>
      <c r="ID18" s="209"/>
      <c r="IE18" s="209"/>
      <c r="IF18" s="209"/>
      <c r="IG18" s="209"/>
      <c r="IH18" s="209"/>
      <c r="II18" s="209"/>
      <c r="IJ18" s="209"/>
      <c r="IK18" s="209"/>
      <c r="IL18" s="209"/>
      <c r="IM18" s="209"/>
      <c r="IN18" s="209"/>
      <c r="IO18" s="209"/>
      <c r="IP18" s="209"/>
      <c r="IQ18" s="209"/>
      <c r="IR18" s="209"/>
      <c r="IS18" s="209"/>
      <c r="IT18" s="209"/>
      <c r="IU18" s="209"/>
      <c r="IV18" s="209"/>
      <c r="IW18" s="209"/>
      <c r="IX18" s="209"/>
    </row>
    <row r="19" s="209" customFormat="true" ht="17.4" hidden="false" customHeight="false" outlineLevel="0" collapsed="false">
      <c r="A19" s="315"/>
      <c r="B19" s="30"/>
      <c r="C19" s="30"/>
      <c r="D19" s="85" t="s">
        <v>134</v>
      </c>
      <c r="E19" s="217" t="n">
        <f aca="false">IF(AND($F$2="No",$F$3="No"),SUM(J19:K19)*'Input data plant-based products'!O$120,IF(AND($F$2="Yes", $F$3="No"), (SUM(J19:K19)+Q19)*'Input data plant-based products'!O$120, IF(AND($F$2="No", $F$3="Yes"),(SUM(J19:K19)+P19)*'Input data plant-based products'!O$120, (SUM(J19:K19)+Q19+P19)*'Input data plant-based products'!O$120)))</f>
        <v>0.116392150583301</v>
      </c>
      <c r="F19" s="89" t="n">
        <f aca="false">IF(AND($F$2="No",$F$3="No"),SUM(H19:O19)*'Input data plant-based products'!O$120,IF(AND($F$2="Yes", $F$3="No"), (SUM(H19:O19)+Q19)*'Input data plant-based products'!O$120, IF(AND($F$2="No", $F$3="Yes"),(SUM(H19:O19)+P19)*'Input data plant-based products'!O$120, (SUM(H19:O19)+Q19+P19)*'Input data plant-based products'!O$120)))</f>
        <v>0.297248105193605</v>
      </c>
      <c r="G19" s="88" t="n">
        <f aca="false">SUM(S19:U19)/(1-'Common input data'!$B$122)</f>
        <v>0.695258036518408</v>
      </c>
      <c r="H19" s="89" t="n">
        <f aca="false">('Input data plant-based products'!$F$5*('Common input data'!$B$76*'Common input data'!B69+'Common input data'!$B$77*'Common input data'!C69))/'Input data plant-based products'!$E$5</f>
        <v>0.0531804325272799</v>
      </c>
      <c r="I19" s="89" t="n">
        <f aca="false">'Common input data'!$B$81</f>
        <v>0.03</v>
      </c>
      <c r="J19" s="89" t="n">
        <v>0</v>
      </c>
      <c r="K19" s="89" t="n">
        <v>0</v>
      </c>
      <c r="L19" s="89" t="n">
        <f aca="false">('Input data plant-based products'!$I$5*'Common input data'!$C$59*'Common input data'!H49)/'Input data plant-based products'!$E$5</f>
        <v>0.0259106167846309</v>
      </c>
      <c r="M19" s="89" t="n">
        <v>0</v>
      </c>
      <c r="N19" s="89" t="n">
        <f aca="false">'Input data plant-based products'!G$152</f>
        <v>0.02</v>
      </c>
      <c r="O19" s="89" t="n">
        <f aca="false">'Input data plant-based products'!$B$120*'Common input data'!$B$59*'Common input data'!B49+'Input data plant-based products'!C$120*'Common input data'!B63</f>
        <v>0.039147048</v>
      </c>
      <c r="P19" s="89" t="n">
        <f aca="false">'Common input data'!B$13</f>
        <v>0.108271767984466</v>
      </c>
      <c r="Q19" s="89" t="n">
        <v>0</v>
      </c>
      <c r="R19" s="89" t="n">
        <f aca="false">'Input data plant-based products'!$E$120*'Common input data'!$B$59*'Common input data'!B49+'Input data plant-based products'!F$120*'Common input data'!B63</f>
        <v>0.130690344255017</v>
      </c>
      <c r="S19" s="89" t="n">
        <f aca="false">(F19+R19)*'Common input data'!$D$28/'Common input data'!$C$28</f>
        <v>0.505745440257462</v>
      </c>
      <c r="T19" s="89" t="n">
        <f aca="false">'Common input data'!$B$88</f>
        <v>0.05</v>
      </c>
      <c r="U19" s="89" t="n">
        <f aca="false">'Common input data'!C$98</f>
        <v>0.03</v>
      </c>
      <c r="V19" s="309"/>
      <c r="W19" s="92"/>
      <c r="Z19" s="30"/>
    </row>
    <row r="20" s="209" customFormat="true" ht="17.4" hidden="false" customHeight="false" outlineLevel="0" collapsed="false">
      <c r="A20" s="315"/>
      <c r="B20" s="30"/>
      <c r="C20" s="93"/>
      <c r="D20" s="85" t="s">
        <v>135</v>
      </c>
      <c r="E20" s="217" t="n">
        <f aca="false">SUM(J20:K20)*'Input data plant-based products'!O$120</f>
        <v>0</v>
      </c>
      <c r="F20" s="89" t="n">
        <f aca="false">SUM(H20:O20)*'Input data plant-based products'!O$120</f>
        <v>2.75787508072067E-005</v>
      </c>
      <c r="G20" s="88" t="n">
        <f aca="false">SUM(S20:U20)/(1-'Common input data'!$B$122)</f>
        <v>5.11106454495725E-005</v>
      </c>
      <c r="H20" s="89" t="n">
        <f aca="false">('Input data plant-based products'!$F$5*('Common input data'!$B$76*'Common input data'!B70+'Common input data'!$B$77*'Common input data'!C70))/'Input data plant-based products'!$E$5</f>
        <v>1.42376442234442E-010</v>
      </c>
      <c r="I20" s="89" t="n">
        <v>0</v>
      </c>
      <c r="J20" s="89" t="n">
        <v>0</v>
      </c>
      <c r="K20" s="89" t="n">
        <v>0</v>
      </c>
      <c r="L20" s="89" t="n">
        <f aca="false">('Input data plant-based products'!$I$5*'Common input data'!$C$59*'Common input data'!H50)/'Input data plant-based products'!$E$5</f>
        <v>1.14775295372384E-005</v>
      </c>
      <c r="M20" s="89" t="n">
        <v>0</v>
      </c>
      <c r="N20" s="89" t="n">
        <v>0</v>
      </c>
      <c r="O20" s="89" t="n">
        <f aca="false">'Input data plant-based products'!$B$120*'Common input data'!$B$59*'Common input data'!B50</f>
        <v>1.417698E-005</v>
      </c>
      <c r="P20" s="89" t="n">
        <v>0</v>
      </c>
      <c r="Q20" s="89" t="n">
        <v>0</v>
      </c>
      <c r="R20" s="89" t="n">
        <f aca="false">'Input data plant-based products'!$E$120*'Common input data'!$B$59*'Common input data'!B50</f>
        <v>8.85665385058978E-006</v>
      </c>
      <c r="S20" s="89" t="n">
        <f aca="false">(F20+R20)*'Common input data'!$D$28/'Common input data'!$C$28</f>
        <v>4.30600236864867E-005</v>
      </c>
      <c r="T20" s="89" t="n">
        <v>0</v>
      </c>
      <c r="U20" s="89" t="n">
        <v>0</v>
      </c>
      <c r="V20" s="309"/>
      <c r="W20" s="92"/>
      <c r="Z20" s="30"/>
    </row>
    <row r="21" s="209" customFormat="true" ht="17.4" hidden="false" customHeight="false" outlineLevel="0" collapsed="false">
      <c r="A21" s="74"/>
      <c r="B21" s="30"/>
      <c r="C21" s="87"/>
      <c r="D21" s="31" t="s">
        <v>136</v>
      </c>
      <c r="E21" s="217" t="n">
        <f aca="false">SUM(J21:K21)*'Input data plant-based products'!O$120</f>
        <v>0.000872234893727304</v>
      </c>
      <c r="F21" s="89" t="n">
        <f aca="false">SUM(H21:O21)*'Input data plant-based products'!O$120</f>
        <v>0.00110660724850458</v>
      </c>
      <c r="G21" s="88" t="n">
        <f aca="false">SUM(S21:U21)/(1-'Common input data'!$B$122)</f>
        <v>0.00155347827475627</v>
      </c>
      <c r="H21" s="89" t="n">
        <f aca="false">('Input data plant-based products'!$F$5*('Common input data'!$B$76*'Common input data'!B71+'Common input data'!$B$77*'Common input data'!C71))/'Input data plant-based products'!$E$5</f>
        <v>0.000216002957186514</v>
      </c>
      <c r="I21" s="89" t="n">
        <v>0</v>
      </c>
      <c r="J21" s="89" t="n">
        <f aca="false">(SUM('Input data plant-based products'!F5:H5)*'Input data plant-based products'!$B$114*44/28)/'Input data plant-based products'!E5</f>
        <v>0.000737619360445923</v>
      </c>
      <c r="K21" s="89" t="n">
        <f aca="false">J21*'Input data plant-based products'!$B$115</f>
        <v>7.37619360445923E-005</v>
      </c>
      <c r="L21" s="89" t="n">
        <f aca="false">('Input data plant-based products'!$I$5*'Common input data'!$C$59*'Common input data'!H51)/'Input data plant-based products'!$E$5</f>
        <v>6.96228375140241E-007</v>
      </c>
      <c r="M21" s="89" t="n">
        <v>0</v>
      </c>
      <c r="N21" s="89" t="n">
        <v>0</v>
      </c>
      <c r="O21" s="89" t="n">
        <f aca="false">'Input data plant-based products'!$B$120*'Common input data'!$B$59*'Common input data'!B51</f>
        <v>1.32160958E-006</v>
      </c>
      <c r="P21" s="89" t="n">
        <v>0</v>
      </c>
      <c r="Q21" s="89" t="n">
        <v>0</v>
      </c>
      <c r="R21" s="89" t="n">
        <f aca="false">'Input data plant-based products'!$E$120*'Common input data'!$B$59*'Common input data'!B51</f>
        <v>8.2563695340498E-007</v>
      </c>
      <c r="S21" s="89" t="n">
        <f aca="false">(F21+R21)*'Common input data'!$D$28/'Common input data'!$C$28</f>
        <v>0.00130878431917762</v>
      </c>
      <c r="T21" s="89" t="n">
        <v>0</v>
      </c>
      <c r="U21" s="89" t="n">
        <v>0</v>
      </c>
      <c r="V21" s="309"/>
      <c r="W21" s="92"/>
      <c r="Z21" s="30"/>
    </row>
    <row r="22" s="329" customFormat="true" ht="17.4" hidden="false" customHeight="false" outlineLevel="0" collapsed="false">
      <c r="A22" s="319" t="s">
        <v>256</v>
      </c>
      <c r="B22" s="320"/>
      <c r="C22" s="321"/>
      <c r="D22" s="322"/>
      <c r="E22" s="323"/>
      <c r="F22" s="324"/>
      <c r="G22" s="325"/>
      <c r="H22" s="321"/>
      <c r="I22" s="321"/>
      <c r="J22" s="321"/>
      <c r="K22" s="326"/>
      <c r="L22" s="326"/>
      <c r="M22" s="327"/>
      <c r="N22" s="326"/>
      <c r="O22" s="326"/>
      <c r="P22" s="326"/>
      <c r="Q22" s="326"/>
      <c r="R22" s="326"/>
      <c r="S22" s="326"/>
      <c r="T22" s="326"/>
      <c r="U22" s="326"/>
      <c r="V22" s="309"/>
      <c r="W22" s="92"/>
      <c r="X22" s="209"/>
      <c r="Y22" s="209"/>
      <c r="Z22" s="30"/>
      <c r="AA22" s="209"/>
      <c r="AB22" s="209"/>
      <c r="AC22" s="209"/>
      <c r="AD22" s="209"/>
      <c r="AE22" s="209"/>
      <c r="AF22" s="209"/>
      <c r="AG22" s="209"/>
      <c r="AH22" s="209"/>
      <c r="AI22" s="209"/>
      <c r="AJ22" s="209"/>
      <c r="AK22" s="209"/>
      <c r="AL22" s="209"/>
      <c r="AM22" s="209"/>
      <c r="AN22" s="209"/>
      <c r="AO22" s="209"/>
      <c r="AP22" s="209"/>
      <c r="AQ22" s="209"/>
      <c r="AR22" s="209"/>
      <c r="AS22" s="209"/>
      <c r="AT22" s="209"/>
      <c r="AU22" s="209"/>
      <c r="AV22" s="209"/>
      <c r="AW22" s="209"/>
      <c r="AX22" s="209"/>
      <c r="AY22" s="209"/>
      <c r="AZ22" s="209"/>
      <c r="BA22" s="209"/>
      <c r="BB22" s="209"/>
      <c r="BC22" s="209"/>
      <c r="BD22" s="209"/>
      <c r="BE22" s="209"/>
      <c r="BF22" s="209"/>
      <c r="BG22" s="209"/>
      <c r="BH22" s="209"/>
      <c r="BI22" s="209"/>
      <c r="BJ22" s="209"/>
      <c r="BK22" s="209"/>
      <c r="BL22" s="209"/>
      <c r="BM22" s="209"/>
      <c r="BN22" s="209"/>
      <c r="BO22" s="209"/>
      <c r="BP22" s="209"/>
      <c r="BQ22" s="209"/>
      <c r="BR22" s="209"/>
      <c r="BS22" s="209"/>
      <c r="BT22" s="209"/>
      <c r="BU22" s="209"/>
      <c r="BV22" s="209"/>
      <c r="BW22" s="209"/>
      <c r="BX22" s="209"/>
      <c r="BY22" s="209"/>
      <c r="BZ22" s="209"/>
      <c r="CA22" s="209"/>
      <c r="CB22" s="209"/>
      <c r="CC22" s="209"/>
      <c r="CD22" s="209"/>
      <c r="CE22" s="209"/>
      <c r="CF22" s="209"/>
      <c r="CG22" s="209"/>
      <c r="CH22" s="209"/>
      <c r="CI22" s="209"/>
      <c r="CJ22" s="209"/>
      <c r="CK22" s="209"/>
      <c r="CL22" s="209"/>
      <c r="CM22" s="209"/>
      <c r="CN22" s="209"/>
      <c r="CO22" s="209"/>
      <c r="CP22" s="209"/>
      <c r="CQ22" s="209"/>
      <c r="CR22" s="209"/>
      <c r="CS22" s="209"/>
      <c r="CT22" s="209"/>
      <c r="CU22" s="209"/>
      <c r="CV22" s="209"/>
      <c r="CW22" s="209"/>
      <c r="CX22" s="209"/>
      <c r="CY22" s="209"/>
      <c r="CZ22" s="209"/>
      <c r="DA22" s="209"/>
      <c r="DB22" s="209"/>
      <c r="DC22" s="209"/>
      <c r="DD22" s="209"/>
      <c r="DE22" s="209"/>
      <c r="DF22" s="209"/>
      <c r="DG22" s="209"/>
      <c r="DH22" s="209"/>
      <c r="DI22" s="209"/>
      <c r="DJ22" s="209"/>
      <c r="DK22" s="209"/>
      <c r="DL22" s="209"/>
      <c r="DM22" s="209"/>
      <c r="DN22" s="209"/>
      <c r="DO22" s="209"/>
      <c r="DP22" s="209"/>
      <c r="DQ22" s="209"/>
      <c r="DR22" s="209"/>
      <c r="DS22" s="209"/>
      <c r="DT22" s="209"/>
      <c r="DU22" s="209"/>
      <c r="DV22" s="209"/>
      <c r="DW22" s="209"/>
      <c r="DX22" s="209"/>
      <c r="DY22" s="209"/>
      <c r="DZ22" s="209"/>
      <c r="EA22" s="209"/>
      <c r="EB22" s="209"/>
      <c r="EC22" s="209"/>
      <c r="ED22" s="209"/>
      <c r="EE22" s="209"/>
      <c r="EF22" s="209"/>
      <c r="EG22" s="209"/>
      <c r="EH22" s="209"/>
      <c r="EI22" s="209"/>
      <c r="EJ22" s="209"/>
      <c r="EK22" s="209"/>
      <c r="EL22" s="209"/>
      <c r="EM22" s="209"/>
      <c r="EN22" s="209"/>
      <c r="EO22" s="209"/>
      <c r="EP22" s="209"/>
      <c r="EQ22" s="209"/>
      <c r="ER22" s="209"/>
      <c r="ES22" s="209"/>
      <c r="ET22" s="209"/>
      <c r="EU22" s="209"/>
      <c r="EV22" s="209"/>
      <c r="EW22" s="209"/>
      <c r="EX22" s="209"/>
      <c r="EY22" s="209"/>
      <c r="EZ22" s="209"/>
      <c r="FA22" s="209"/>
      <c r="FB22" s="209"/>
      <c r="FC22" s="209"/>
      <c r="FD22" s="209"/>
      <c r="FE22" s="209"/>
      <c r="FF22" s="209"/>
      <c r="FG22" s="209"/>
      <c r="FH22" s="209"/>
      <c r="FI22" s="209"/>
      <c r="FJ22" s="209"/>
      <c r="FK22" s="209"/>
      <c r="FL22" s="209"/>
      <c r="FM22" s="209"/>
      <c r="FN22" s="209"/>
      <c r="FO22" s="209"/>
      <c r="FP22" s="209"/>
      <c r="FQ22" s="209"/>
      <c r="FR22" s="209"/>
      <c r="FS22" s="209"/>
      <c r="FT22" s="209"/>
      <c r="FU22" s="209"/>
      <c r="FV22" s="209"/>
      <c r="FW22" s="209"/>
      <c r="FX22" s="209"/>
      <c r="FY22" s="209"/>
      <c r="FZ22" s="209"/>
      <c r="GA22" s="209"/>
      <c r="GB22" s="209"/>
      <c r="GC22" s="209"/>
      <c r="GD22" s="209"/>
      <c r="GE22" s="209"/>
      <c r="GF22" s="209"/>
      <c r="GG22" s="209"/>
      <c r="GH22" s="209"/>
      <c r="GI22" s="209"/>
      <c r="GJ22" s="209"/>
      <c r="GK22" s="209"/>
      <c r="GL22" s="209"/>
      <c r="GM22" s="209"/>
      <c r="GN22" s="209"/>
      <c r="GO22" s="209"/>
      <c r="GP22" s="209"/>
      <c r="GQ22" s="209"/>
      <c r="GR22" s="209"/>
      <c r="GS22" s="209"/>
      <c r="GT22" s="209"/>
      <c r="GU22" s="209"/>
      <c r="GV22" s="209"/>
      <c r="GW22" s="209"/>
      <c r="GX22" s="209"/>
      <c r="GY22" s="209"/>
      <c r="GZ22" s="209"/>
      <c r="HA22" s="209"/>
      <c r="HB22" s="209"/>
      <c r="HC22" s="209"/>
      <c r="HD22" s="209"/>
      <c r="HE22" s="209"/>
      <c r="HF22" s="209"/>
      <c r="HG22" s="209"/>
      <c r="HH22" s="209"/>
      <c r="HI22" s="209"/>
      <c r="HJ22" s="209"/>
      <c r="HK22" s="209"/>
      <c r="HL22" s="209"/>
      <c r="HM22" s="209"/>
      <c r="HN22" s="209"/>
      <c r="HO22" s="209"/>
      <c r="HP22" s="209"/>
      <c r="HQ22" s="209"/>
      <c r="HR22" s="209"/>
      <c r="HS22" s="209"/>
      <c r="HT22" s="209"/>
      <c r="HU22" s="209"/>
      <c r="HV22" s="209"/>
      <c r="HW22" s="209"/>
      <c r="HX22" s="209"/>
      <c r="HY22" s="209"/>
      <c r="HZ22" s="209"/>
      <c r="IA22" s="209"/>
      <c r="IB22" s="209"/>
      <c r="IC22" s="209"/>
      <c r="ID22" s="209"/>
      <c r="IE22" s="209"/>
      <c r="IF22" s="209"/>
      <c r="IG22" s="209"/>
      <c r="IH22" s="209"/>
      <c r="II22" s="209"/>
      <c r="IJ22" s="209"/>
      <c r="IK22" s="209"/>
      <c r="IL22" s="209"/>
      <c r="IM22" s="209"/>
      <c r="IN22" s="209"/>
      <c r="IO22" s="209"/>
      <c r="IP22" s="209"/>
      <c r="IQ22" s="209"/>
      <c r="IR22" s="209"/>
      <c r="IS22" s="209"/>
      <c r="IT22" s="209"/>
      <c r="IU22" s="209"/>
      <c r="IV22" s="209"/>
      <c r="IW22" s="209"/>
      <c r="IX22" s="209"/>
    </row>
    <row r="23" s="332" customFormat="true" ht="17.4" hidden="false" customHeight="false" outlineLevel="0" collapsed="false">
      <c r="A23" s="330" t="s">
        <v>137</v>
      </c>
      <c r="B23" s="331" t="s">
        <v>254</v>
      </c>
      <c r="C23" s="97" t="n">
        <f aca="false">'Input data plant-based products'!D6</f>
        <v>0.132025558113161</v>
      </c>
      <c r="D23" s="78" t="s">
        <v>133</v>
      </c>
      <c r="E23" s="94" t="n">
        <f aca="false">IF($F$1="GWP100 without fb",E24+E25*'Common input data'!$C$5+E26*'Common input data'!$D$5,IF($F$1="GWP100 with fb",E24+E25*'Common input data'!$C$6+E26*'Common input data'!$D$6,IF($F$1="GTP100 without fb",E24+E25*'Common input data'!$C$7+E26*'Common input data'!$D$7,IF($F$1="GTP100 with fb",E24+E25*'Common input data'!$C$8+E26*'Common input data'!$D$8,E24+E25*'Common input data'!$C$9+E26*'Common input data'!$D$9))))</f>
        <v>0.417943461217748</v>
      </c>
      <c r="F23" s="95" t="n">
        <f aca="false">IF($F$1="GWP100 without fb",F24+F25*'Common input data'!$C$5+F26*'Common input data'!$D$5,IF($F$1="GWP100 with fb",F24+F25*'Common input data'!$C$6+F26*'Common input data'!$D$6,IF($F$1="GTP100 without fb",F24+F25*'Common input data'!$C$7+F26*'Common input data'!$D$7,IF($F$1="GTP100 with fb",F24+F25*'Common input data'!$C$8+F26*'Common input data'!$D$8,F24+F25*'Common input data'!$C$9+F26*'Common input data'!$D$9))))</f>
        <v>0.699412526218161</v>
      </c>
      <c r="G23" s="96" t="n">
        <f aca="false">IF($F$1="GWP100 without fb",G24+G25*'Common input data'!$C$5+G26*'Common input data'!$D$5,IF($F$1="GWP100 with fb",G24+G25*'Common input data'!$C$6+G26*'Common input data'!$D$6,IF($F$1="GTP100 without fb",G24+G25*'Common input data'!$C$7+G26*'Common input data'!$D$7,IF($F$1="GTP100 with fb",G24+G25*'Common input data'!$C$8+G26*'Common input data'!$D$8,G24+G25*'Common input data'!$C$9+G26*'Common input data'!$D$9))))</f>
        <v>1.26017145900847</v>
      </c>
      <c r="H23" s="83"/>
      <c r="I23" s="83"/>
      <c r="J23" s="83"/>
      <c r="K23" s="83"/>
      <c r="L23" s="83"/>
      <c r="M23" s="83"/>
      <c r="N23" s="83"/>
      <c r="O23" s="83"/>
      <c r="P23" s="83"/>
      <c r="Q23" s="83"/>
      <c r="R23" s="83"/>
      <c r="S23" s="83"/>
      <c r="T23" s="83"/>
      <c r="U23" s="83"/>
      <c r="V23" s="309"/>
      <c r="W23" s="92"/>
      <c r="X23" s="209"/>
      <c r="Y23" s="209"/>
      <c r="Z23" s="30"/>
      <c r="AA23" s="209"/>
      <c r="AB23" s="209"/>
      <c r="AC23" s="209"/>
      <c r="AD23" s="209"/>
      <c r="AE23" s="209"/>
      <c r="AF23" s="209"/>
      <c r="AG23" s="209"/>
      <c r="AH23" s="209"/>
      <c r="AI23" s="209"/>
      <c r="AJ23" s="209"/>
      <c r="AK23" s="209"/>
      <c r="AL23" s="209"/>
      <c r="AM23" s="209"/>
      <c r="AN23" s="209"/>
      <c r="AO23" s="209"/>
      <c r="AP23" s="209"/>
      <c r="AQ23" s="209"/>
      <c r="AR23" s="209"/>
      <c r="AS23" s="209"/>
      <c r="AT23" s="209"/>
      <c r="AU23" s="209"/>
      <c r="AV23" s="209"/>
      <c r="AW23" s="209"/>
      <c r="AX23" s="209"/>
      <c r="AY23" s="209"/>
      <c r="AZ23" s="209"/>
      <c r="BA23" s="209"/>
      <c r="BB23" s="209"/>
      <c r="BC23" s="209"/>
      <c r="BD23" s="209"/>
      <c r="BE23" s="209"/>
      <c r="BF23" s="209"/>
      <c r="BG23" s="209"/>
      <c r="BH23" s="209"/>
      <c r="BI23" s="209"/>
      <c r="BJ23" s="209"/>
      <c r="BK23" s="209"/>
      <c r="BL23" s="209"/>
      <c r="BM23" s="209"/>
      <c r="BN23" s="209"/>
      <c r="BO23" s="209"/>
      <c r="BP23" s="209"/>
      <c r="BQ23" s="209"/>
      <c r="BR23" s="209"/>
      <c r="BS23" s="209"/>
      <c r="BT23" s="209"/>
      <c r="BU23" s="209"/>
      <c r="BV23" s="209"/>
      <c r="BW23" s="209"/>
      <c r="BX23" s="209"/>
      <c r="BY23" s="209"/>
      <c r="BZ23" s="209"/>
      <c r="CA23" s="209"/>
      <c r="CB23" s="209"/>
      <c r="CC23" s="209"/>
      <c r="CD23" s="209"/>
      <c r="CE23" s="209"/>
      <c r="CF23" s="209"/>
      <c r="CG23" s="209"/>
      <c r="CH23" s="209"/>
      <c r="CI23" s="209"/>
      <c r="CJ23" s="209"/>
      <c r="CK23" s="209"/>
      <c r="CL23" s="209"/>
      <c r="CM23" s="209"/>
      <c r="CN23" s="209"/>
      <c r="CO23" s="209"/>
      <c r="CP23" s="209"/>
      <c r="CQ23" s="209"/>
      <c r="CR23" s="209"/>
      <c r="CS23" s="209"/>
      <c r="CT23" s="209"/>
      <c r="CU23" s="209"/>
      <c r="CV23" s="209"/>
      <c r="CW23" s="209"/>
      <c r="CX23" s="209"/>
      <c r="CY23" s="209"/>
      <c r="CZ23" s="209"/>
      <c r="DA23" s="209"/>
      <c r="DB23" s="209"/>
      <c r="DC23" s="209"/>
      <c r="DD23" s="209"/>
      <c r="DE23" s="209"/>
      <c r="DF23" s="209"/>
      <c r="DG23" s="209"/>
      <c r="DH23" s="209"/>
      <c r="DI23" s="209"/>
      <c r="DJ23" s="209"/>
      <c r="DK23" s="209"/>
      <c r="DL23" s="209"/>
      <c r="DM23" s="209"/>
      <c r="DN23" s="209"/>
      <c r="DO23" s="209"/>
      <c r="DP23" s="209"/>
      <c r="DQ23" s="209"/>
      <c r="DR23" s="209"/>
      <c r="DS23" s="209"/>
      <c r="DT23" s="209"/>
      <c r="DU23" s="209"/>
      <c r="DV23" s="209"/>
      <c r="DW23" s="209"/>
      <c r="DX23" s="209"/>
      <c r="DY23" s="209"/>
      <c r="DZ23" s="209"/>
      <c r="EA23" s="209"/>
      <c r="EB23" s="209"/>
      <c r="EC23" s="209"/>
      <c r="ED23" s="209"/>
      <c r="EE23" s="209"/>
      <c r="EF23" s="209"/>
      <c r="EG23" s="209"/>
      <c r="EH23" s="209"/>
      <c r="EI23" s="209"/>
      <c r="EJ23" s="209"/>
      <c r="EK23" s="209"/>
      <c r="EL23" s="209"/>
      <c r="EM23" s="209"/>
      <c r="EN23" s="209"/>
      <c r="EO23" s="209"/>
      <c r="EP23" s="209"/>
      <c r="EQ23" s="209"/>
      <c r="ER23" s="209"/>
      <c r="ES23" s="209"/>
      <c r="ET23" s="209"/>
      <c r="EU23" s="209"/>
      <c r="EV23" s="209"/>
      <c r="EW23" s="209"/>
      <c r="EX23" s="209"/>
      <c r="EY23" s="209"/>
      <c r="EZ23" s="209"/>
      <c r="FA23" s="209"/>
      <c r="FB23" s="209"/>
      <c r="FC23" s="209"/>
      <c r="FD23" s="209"/>
      <c r="FE23" s="209"/>
      <c r="FF23" s="209"/>
      <c r="FG23" s="209"/>
      <c r="FH23" s="209"/>
      <c r="FI23" s="209"/>
      <c r="FJ23" s="209"/>
      <c r="FK23" s="209"/>
      <c r="FL23" s="209"/>
      <c r="FM23" s="209"/>
      <c r="FN23" s="209"/>
      <c r="FO23" s="209"/>
      <c r="FP23" s="209"/>
      <c r="FQ23" s="209"/>
      <c r="FR23" s="209"/>
      <c r="FS23" s="209"/>
      <c r="FT23" s="209"/>
      <c r="FU23" s="209"/>
      <c r="FV23" s="209"/>
      <c r="FW23" s="209"/>
      <c r="FX23" s="209"/>
      <c r="FY23" s="209"/>
      <c r="FZ23" s="209"/>
      <c r="GA23" s="209"/>
      <c r="GB23" s="209"/>
      <c r="GC23" s="209"/>
      <c r="GD23" s="209"/>
      <c r="GE23" s="209"/>
      <c r="GF23" s="209"/>
      <c r="GG23" s="209"/>
      <c r="GH23" s="209"/>
      <c r="GI23" s="209"/>
      <c r="GJ23" s="209"/>
      <c r="GK23" s="209"/>
      <c r="GL23" s="209"/>
      <c r="GM23" s="209"/>
      <c r="GN23" s="209"/>
      <c r="GO23" s="209"/>
      <c r="GP23" s="209"/>
      <c r="GQ23" s="209"/>
      <c r="GR23" s="209"/>
      <c r="GS23" s="209"/>
      <c r="GT23" s="209"/>
      <c r="GU23" s="209"/>
      <c r="GV23" s="209"/>
      <c r="GW23" s="209"/>
      <c r="GX23" s="209"/>
      <c r="GY23" s="209"/>
      <c r="GZ23" s="209"/>
      <c r="HA23" s="209"/>
      <c r="HB23" s="209"/>
      <c r="HC23" s="209"/>
      <c r="HD23" s="209"/>
      <c r="HE23" s="209"/>
      <c r="HF23" s="209"/>
      <c r="HG23" s="209"/>
      <c r="HH23" s="209"/>
      <c r="HI23" s="209"/>
      <c r="HJ23" s="209"/>
      <c r="HK23" s="209"/>
      <c r="HL23" s="209"/>
      <c r="HM23" s="209"/>
      <c r="HN23" s="209"/>
      <c r="HO23" s="209"/>
      <c r="HP23" s="209"/>
      <c r="HQ23" s="209"/>
      <c r="HR23" s="209"/>
      <c r="HS23" s="209"/>
      <c r="HT23" s="209"/>
      <c r="HU23" s="209"/>
      <c r="HV23" s="209"/>
      <c r="HW23" s="209"/>
      <c r="HX23" s="209"/>
      <c r="HY23" s="209"/>
      <c r="HZ23" s="209"/>
      <c r="IA23" s="209"/>
      <c r="IB23" s="209"/>
      <c r="IC23" s="209"/>
      <c r="ID23" s="209"/>
      <c r="IE23" s="209"/>
      <c r="IF23" s="209"/>
      <c r="IG23" s="209"/>
      <c r="IH23" s="209"/>
      <c r="II23" s="209"/>
      <c r="IJ23" s="209"/>
      <c r="IK23" s="209"/>
      <c r="IL23" s="209"/>
      <c r="IM23" s="209"/>
      <c r="IN23" s="209"/>
      <c r="IO23" s="209"/>
      <c r="IP23" s="209"/>
      <c r="IQ23" s="209"/>
      <c r="IR23" s="209"/>
      <c r="IS23" s="209"/>
      <c r="IT23" s="209"/>
      <c r="IU23" s="209"/>
      <c r="IV23" s="209"/>
      <c r="IW23" s="209"/>
      <c r="IX23" s="209"/>
    </row>
    <row r="24" s="209" customFormat="true" ht="17.4" hidden="false" customHeight="false" outlineLevel="0" collapsed="false">
      <c r="A24" s="99"/>
      <c r="B24" s="30"/>
      <c r="C24" s="30"/>
      <c r="D24" s="85" t="s">
        <v>134</v>
      </c>
      <c r="E24" s="217" t="n">
        <f aca="false">IF(AND($F$2="No",$F$3="No"),SUM(J24:K24)*'Input data plant-based products'!O$120,IF(AND($F$2="Yes", $F$3="No"), (SUM(J24:K24)+Q24)*'Input data plant-based products'!O$120, IF(AND($F$2="No", $F$3="Yes"),(SUM(J24:K24)+P24)*'Input data plant-based products'!O$120, (SUM(J24:K24)+Q24+P24)*'Input data plant-based products'!O$120)))</f>
        <v>0.116392150583301</v>
      </c>
      <c r="F24" s="89" t="n">
        <f aca="false">IF(AND($F$2="No",$F$3="No"),SUM(H24:O24)*'Input data plant-based products'!O$120,IF(AND($F$2="Yes", $F$3="No"), (SUM(H24:O24)+Q24)*'Input data plant-based products'!O$120, IF(AND($F$2="No", $F$3="Yes"),(SUM(H24:O24)+P24)*'Input data plant-based products'!O$120, (SUM(H24:O24)+Q24+P24)*'Input data plant-based products'!O$120)))</f>
        <v>0.318013673321301</v>
      </c>
      <c r="G24" s="88" t="n">
        <f aca="false">SUM(S24:U24)/(1-'Common input data'!$B$122)</f>
        <v>0.724387439638857</v>
      </c>
      <c r="H24" s="89" t="n">
        <f aca="false">('Input data plant-based products'!$F$6*('Common input data'!$B$76*'Common input data'!B69+'Common input data'!$B$77*'Common input data'!C69))/'Input data plant-based products'!$E$6</f>
        <v>0.0599088076854829</v>
      </c>
      <c r="I24" s="89" t="n">
        <f aca="false">'Common input data'!$B$81</f>
        <v>0.03</v>
      </c>
      <c r="J24" s="89" t="n">
        <v>0</v>
      </c>
      <c r="K24" s="89" t="n">
        <v>0</v>
      </c>
      <c r="L24" s="89" t="n">
        <f aca="false">('Input data plant-based products'!$I$6*'Common input data'!$C$59*'Common input data'!H49)/'Input data plant-based products'!$E$6</f>
        <v>0.0384990491870755</v>
      </c>
      <c r="M24" s="89" t="n">
        <v>0</v>
      </c>
      <c r="N24" s="89" t="n">
        <f aca="false">'Input data plant-based products'!G$152</f>
        <v>0.02</v>
      </c>
      <c r="O24" s="89" t="n">
        <f aca="false">'Input data plant-based products'!$B$120*'Common input data'!$B$59*'Common input data'!B49+'Input data plant-based products'!C$120*'Common input data'!B63</f>
        <v>0.039147048</v>
      </c>
      <c r="P24" s="89" t="n">
        <f aca="false">'Common input data'!B$13</f>
        <v>0.108271767984466</v>
      </c>
      <c r="Q24" s="89" t="n">
        <v>0</v>
      </c>
      <c r="R24" s="89" t="n">
        <f aca="false">'Input data plant-based products'!$E$120*'Common input data'!$B$59*'Common input data'!B49+'Input data plant-based products'!F$120*'Common input data'!B63</f>
        <v>0.130690344255017</v>
      </c>
      <c r="S24" s="89" t="n">
        <f aca="false">(F24+R24)*'Common input data'!$D$28/'Common input data'!$C$28</f>
        <v>0.530286566226558</v>
      </c>
      <c r="T24" s="89" t="n">
        <f aca="false">'Common input data'!$B$88</f>
        <v>0.05</v>
      </c>
      <c r="U24" s="89" t="n">
        <f aca="false">'Common input data'!C$98</f>
        <v>0.03</v>
      </c>
      <c r="V24" s="309"/>
      <c r="W24" s="92"/>
      <c r="Z24" s="30"/>
    </row>
    <row r="25" s="209" customFormat="true" ht="17.4" hidden="false" customHeight="false" outlineLevel="0" collapsed="false">
      <c r="A25" s="74"/>
      <c r="B25" s="333"/>
      <c r="C25" s="93"/>
      <c r="D25" s="85" t="s">
        <v>135</v>
      </c>
      <c r="E25" s="217" t="n">
        <f aca="false">SUM(J25:K25)*'Input data plant-based products'!O$120</f>
        <v>0</v>
      </c>
      <c r="F25" s="89" t="n">
        <f aca="false">SUM(H25:O25)*'Input data plant-based products'!O$120</f>
        <v>3.35732400784071E-005</v>
      </c>
      <c r="G25" s="88" t="n">
        <f aca="false">SUM(S25:U25)/(1-'Common input data'!$B$122)</f>
        <v>5.95195603132649E-005</v>
      </c>
      <c r="H25" s="89" t="n">
        <f aca="false">('Input data plant-based products'!$F$6*('Common input data'!$B$76*'Common input data'!B70+'Common input data'!$B$77*'Common input data'!C70))/'Input data plant-based products'!$E$6</f>
        <v>1.60389874459765E-010</v>
      </c>
      <c r="I25" s="89" t="n">
        <v>0</v>
      </c>
      <c r="J25" s="89" t="n">
        <v>0</v>
      </c>
      <c r="K25" s="89" t="n">
        <v>0</v>
      </c>
      <c r="L25" s="89" t="n">
        <f aca="false">('Input data plant-based products'!$I$6*'Common input data'!$C$59*'Common input data'!H50)/'Input data plant-based products'!$E$6</f>
        <v>1.70537806132949E-005</v>
      </c>
      <c r="M25" s="89" t="n">
        <v>0</v>
      </c>
      <c r="N25" s="89" t="n">
        <v>0</v>
      </c>
      <c r="O25" s="89" t="n">
        <f aca="false">'Input data plant-based products'!$B$120*'Common input data'!$B$59*'Common input data'!B50</f>
        <v>1.417698E-005</v>
      </c>
      <c r="P25" s="89" t="n">
        <v>0</v>
      </c>
      <c r="Q25" s="89" t="n">
        <v>0</v>
      </c>
      <c r="R25" s="89" t="n">
        <f aca="false">'Input data plant-based products'!$E$120*'Common input data'!$B$59*'Common input data'!B50</f>
        <v>8.85665385058978E-006</v>
      </c>
      <c r="S25" s="89" t="n">
        <f aca="false">(F25+R25)*'Common input data'!$D$28/'Common input data'!$C$28</f>
        <v>5.01444200979054E-005</v>
      </c>
      <c r="T25" s="89" t="n">
        <v>0</v>
      </c>
      <c r="U25" s="89" t="n">
        <v>0</v>
      </c>
      <c r="V25" s="309"/>
      <c r="W25" s="92"/>
      <c r="Z25" s="30"/>
    </row>
    <row r="26" s="209" customFormat="true" ht="17.4" hidden="false" customHeight="false" outlineLevel="0" collapsed="false">
      <c r="A26" s="100"/>
      <c r="B26" s="30"/>
      <c r="C26" s="87"/>
      <c r="D26" s="31" t="s">
        <v>136</v>
      </c>
      <c r="E26" s="219" t="n">
        <f aca="false">SUM(J26:K26)*'Input data plant-based products'!O$120</f>
        <v>0.00101191714978003</v>
      </c>
      <c r="F26" s="126" t="n">
        <f aca="false">SUM(H26:O26)*'Input data plant-based products'!O$120</f>
        <v>0.00127603141857112</v>
      </c>
      <c r="G26" s="106" t="n">
        <f aca="false">SUM(S26:U26)/(1-'Common input data'!$B$122)</f>
        <v>0.00179114212858713</v>
      </c>
      <c r="H26" s="89" t="n">
        <f aca="false">('Input data plant-based products'!$F$6*('Common input data'!$B$76*'Common input data'!B71+'Common input data'!$B$77*'Common input data'!C71))/'Input data plant-based products'!$E$6</f>
        <v>0.000243331597856869</v>
      </c>
      <c r="I26" s="89" t="n">
        <v>0</v>
      </c>
      <c r="J26" s="89" t="n">
        <f aca="false">(SUM('Input data plant-based products'!F6:H6)*'Input data plant-based products'!$B$114*44/28)/'Input data plant-based products'!E6</f>
        <v>0.0008557438898774</v>
      </c>
      <c r="K26" s="89" t="n">
        <f aca="false">J26*'Input data plant-based products'!$B$115</f>
        <v>8.557438898774E-005</v>
      </c>
      <c r="L26" s="89" t="n">
        <f aca="false">('Input data plant-based products'!$I$6*'Common input data'!$C$59*'Common input data'!H51)/'Input data plant-based products'!$E$6</f>
        <v>1.03448446182342E-006</v>
      </c>
      <c r="M26" s="89" t="n">
        <v>0</v>
      </c>
      <c r="N26" s="89" t="n">
        <v>0</v>
      </c>
      <c r="O26" s="89" t="n">
        <f aca="false">'Input data plant-based products'!$B$120*'Common input data'!$B$59*'Common input data'!B51</f>
        <v>1.32160958E-006</v>
      </c>
      <c r="P26" s="89" t="n">
        <v>0</v>
      </c>
      <c r="Q26" s="89" t="n">
        <v>0</v>
      </c>
      <c r="R26" s="89" t="n">
        <f aca="false">'Input data plant-based products'!$E$120*'Common input data'!$B$59*'Common input data'!B51</f>
        <v>8.2563695340498E-007</v>
      </c>
      <c r="S26" s="89" t="n">
        <f aca="false">(F26+R26)*'Common input data'!$D$28/'Common input data'!$C$28</f>
        <v>0.00150901288380171</v>
      </c>
      <c r="T26" s="89" t="n">
        <v>0</v>
      </c>
      <c r="U26" s="89" t="n">
        <v>0</v>
      </c>
      <c r="V26" s="309"/>
      <c r="W26" s="92"/>
      <c r="Z26" s="30"/>
    </row>
    <row r="27" s="334" customFormat="true" ht="17.4" hidden="false" customHeight="false" outlineLevel="0" collapsed="false">
      <c r="A27" s="107" t="s">
        <v>257</v>
      </c>
      <c r="B27" s="108"/>
      <c r="C27" s="69"/>
      <c r="D27" s="109"/>
      <c r="E27" s="110" t="s">
        <v>258</v>
      </c>
      <c r="F27" s="111" t="s">
        <v>258</v>
      </c>
      <c r="G27" s="112" t="s">
        <v>259</v>
      </c>
      <c r="H27" s="69"/>
      <c r="I27" s="69"/>
      <c r="J27" s="69"/>
      <c r="K27" s="113"/>
      <c r="L27" s="113"/>
      <c r="M27" s="114"/>
      <c r="N27" s="113"/>
      <c r="O27" s="113"/>
      <c r="P27" s="113"/>
      <c r="Q27" s="113"/>
      <c r="R27" s="113"/>
      <c r="S27" s="113"/>
      <c r="T27" s="113"/>
      <c r="U27" s="113"/>
      <c r="V27" s="309"/>
      <c r="W27" s="92"/>
      <c r="X27" s="209"/>
      <c r="Y27" s="209"/>
      <c r="Z27" s="30"/>
      <c r="AA27" s="209"/>
      <c r="AB27" s="209"/>
      <c r="AC27" s="209"/>
      <c r="AD27" s="209"/>
      <c r="AE27" s="209"/>
      <c r="AF27" s="209"/>
      <c r="AG27" s="209"/>
      <c r="AH27" s="209"/>
      <c r="AI27" s="209"/>
      <c r="AJ27" s="209"/>
      <c r="AK27" s="209"/>
      <c r="AL27" s="209"/>
      <c r="AM27" s="209"/>
      <c r="AN27" s="209"/>
      <c r="AO27" s="209"/>
      <c r="AP27" s="209"/>
      <c r="AQ27" s="209"/>
      <c r="AR27" s="209"/>
      <c r="AS27" s="209"/>
      <c r="AT27" s="209"/>
      <c r="AU27" s="209"/>
      <c r="AV27" s="209"/>
      <c r="AW27" s="209"/>
      <c r="AX27" s="209"/>
      <c r="AY27" s="209"/>
      <c r="AZ27" s="209"/>
      <c r="BA27" s="209"/>
      <c r="BB27" s="209"/>
      <c r="BC27" s="209"/>
      <c r="BD27" s="209"/>
      <c r="BE27" s="209"/>
      <c r="BF27" s="209"/>
      <c r="BG27" s="209"/>
      <c r="BH27" s="209"/>
      <c r="BI27" s="209"/>
      <c r="BJ27" s="209"/>
      <c r="BK27" s="209"/>
      <c r="BL27" s="209"/>
      <c r="BM27" s="209"/>
      <c r="BN27" s="209"/>
      <c r="BO27" s="209"/>
      <c r="BP27" s="209"/>
      <c r="BQ27" s="209"/>
      <c r="BR27" s="209"/>
      <c r="BS27" s="209"/>
      <c r="BT27" s="209"/>
      <c r="BU27" s="209"/>
      <c r="BV27" s="209"/>
      <c r="BW27" s="209"/>
      <c r="BX27" s="209"/>
      <c r="BY27" s="209"/>
      <c r="BZ27" s="209"/>
      <c r="CA27" s="209"/>
      <c r="CB27" s="209"/>
      <c r="CC27" s="209"/>
      <c r="CD27" s="209"/>
      <c r="CE27" s="209"/>
      <c r="CF27" s="209"/>
      <c r="CG27" s="209"/>
      <c r="CH27" s="209"/>
      <c r="CI27" s="209"/>
      <c r="CJ27" s="209"/>
      <c r="CK27" s="209"/>
      <c r="CL27" s="209"/>
      <c r="CM27" s="209"/>
      <c r="CN27" s="209"/>
      <c r="CO27" s="209"/>
      <c r="CP27" s="209"/>
      <c r="CQ27" s="209"/>
      <c r="CR27" s="209"/>
      <c r="CS27" s="209"/>
      <c r="CT27" s="209"/>
      <c r="CU27" s="209"/>
      <c r="CV27" s="209"/>
      <c r="CW27" s="209"/>
      <c r="CX27" s="209"/>
      <c r="CY27" s="209"/>
      <c r="CZ27" s="209"/>
      <c r="DA27" s="209"/>
      <c r="DB27" s="209"/>
      <c r="DC27" s="209"/>
      <c r="DD27" s="209"/>
      <c r="DE27" s="209"/>
      <c r="DF27" s="209"/>
      <c r="DG27" s="209"/>
      <c r="DH27" s="209"/>
      <c r="DI27" s="209"/>
      <c r="DJ27" s="209"/>
      <c r="DK27" s="209"/>
      <c r="DL27" s="209"/>
      <c r="DM27" s="209"/>
      <c r="DN27" s="209"/>
      <c r="DO27" s="209"/>
      <c r="DP27" s="209"/>
      <c r="DQ27" s="209"/>
      <c r="DR27" s="209"/>
      <c r="DS27" s="209"/>
      <c r="DT27" s="209"/>
      <c r="DU27" s="209"/>
      <c r="DV27" s="209"/>
      <c r="DW27" s="209"/>
      <c r="DX27" s="209"/>
      <c r="DY27" s="209"/>
      <c r="DZ27" s="209"/>
      <c r="EA27" s="209"/>
      <c r="EB27" s="209"/>
      <c r="EC27" s="209"/>
      <c r="ED27" s="209"/>
      <c r="EE27" s="209"/>
      <c r="EF27" s="209"/>
      <c r="EG27" s="209"/>
      <c r="EH27" s="209"/>
      <c r="EI27" s="209"/>
      <c r="EJ27" s="209"/>
      <c r="EK27" s="209"/>
      <c r="EL27" s="209"/>
      <c r="EM27" s="209"/>
      <c r="EN27" s="209"/>
      <c r="EO27" s="209"/>
      <c r="EP27" s="209"/>
      <c r="EQ27" s="209"/>
      <c r="ER27" s="209"/>
      <c r="ES27" s="209"/>
      <c r="ET27" s="209"/>
      <c r="EU27" s="209"/>
      <c r="EV27" s="209"/>
      <c r="EW27" s="209"/>
      <c r="EX27" s="209"/>
      <c r="EY27" s="209"/>
      <c r="EZ27" s="209"/>
      <c r="FA27" s="209"/>
      <c r="FB27" s="209"/>
      <c r="FC27" s="209"/>
      <c r="FD27" s="209"/>
      <c r="FE27" s="209"/>
      <c r="FF27" s="209"/>
      <c r="FG27" s="209"/>
      <c r="FH27" s="209"/>
      <c r="FI27" s="209"/>
      <c r="FJ27" s="209"/>
      <c r="FK27" s="209"/>
      <c r="FL27" s="209"/>
      <c r="FM27" s="209"/>
      <c r="FN27" s="209"/>
      <c r="FO27" s="209"/>
      <c r="FP27" s="209"/>
      <c r="FQ27" s="209"/>
      <c r="FR27" s="209"/>
      <c r="FS27" s="209"/>
      <c r="FT27" s="209"/>
      <c r="FU27" s="209"/>
      <c r="FV27" s="209"/>
      <c r="FW27" s="209"/>
      <c r="FX27" s="209"/>
      <c r="FY27" s="209"/>
      <c r="FZ27" s="209"/>
      <c r="GA27" s="209"/>
      <c r="GB27" s="209"/>
      <c r="GC27" s="209"/>
      <c r="GD27" s="209"/>
      <c r="GE27" s="209"/>
      <c r="GF27" s="209"/>
      <c r="GG27" s="209"/>
      <c r="GH27" s="209"/>
      <c r="GI27" s="209"/>
      <c r="GJ27" s="209"/>
      <c r="GK27" s="209"/>
      <c r="GL27" s="209"/>
      <c r="GM27" s="209"/>
      <c r="GN27" s="209"/>
      <c r="GO27" s="209"/>
      <c r="GP27" s="209"/>
      <c r="GQ27" s="209"/>
      <c r="GR27" s="209"/>
      <c r="GS27" s="209"/>
      <c r="GT27" s="209"/>
      <c r="GU27" s="209"/>
      <c r="GV27" s="209"/>
      <c r="GW27" s="209"/>
      <c r="GX27" s="209"/>
      <c r="GY27" s="209"/>
      <c r="GZ27" s="209"/>
      <c r="HA27" s="209"/>
      <c r="HB27" s="209"/>
      <c r="HC27" s="209"/>
      <c r="HD27" s="209"/>
      <c r="HE27" s="209"/>
      <c r="HF27" s="209"/>
      <c r="HG27" s="209"/>
      <c r="HH27" s="209"/>
      <c r="HI27" s="209"/>
      <c r="HJ27" s="209"/>
      <c r="HK27" s="209"/>
      <c r="HL27" s="209"/>
      <c r="HM27" s="209"/>
      <c r="HN27" s="209"/>
      <c r="HO27" s="209"/>
      <c r="HP27" s="209"/>
      <c r="HQ27" s="209"/>
      <c r="HR27" s="209"/>
      <c r="HS27" s="209"/>
      <c r="HT27" s="209"/>
      <c r="HU27" s="209"/>
      <c r="HV27" s="209"/>
      <c r="HW27" s="209"/>
      <c r="HX27" s="209"/>
      <c r="HY27" s="209"/>
      <c r="HZ27" s="209"/>
      <c r="IA27" s="209"/>
      <c r="IB27" s="209"/>
      <c r="IC27" s="209"/>
      <c r="ID27" s="209"/>
      <c r="IE27" s="209"/>
      <c r="IF27" s="209"/>
      <c r="IG27" s="209"/>
      <c r="IH27" s="209"/>
      <c r="II27" s="209"/>
      <c r="IJ27" s="209"/>
      <c r="IK27" s="209"/>
      <c r="IL27" s="209"/>
      <c r="IM27" s="209"/>
      <c r="IN27" s="209"/>
      <c r="IO27" s="209"/>
      <c r="IP27" s="209"/>
      <c r="IQ27" s="209"/>
      <c r="IR27" s="209"/>
      <c r="IS27" s="209"/>
      <c r="IT27" s="209"/>
      <c r="IU27" s="209"/>
      <c r="IV27" s="209"/>
      <c r="IW27" s="209"/>
      <c r="IX27" s="209"/>
    </row>
    <row r="28" s="314" customFormat="true" ht="17.4" hidden="false" customHeight="false" outlineLevel="0" collapsed="false">
      <c r="A28" s="312" t="s">
        <v>137</v>
      </c>
      <c r="B28" s="317" t="s">
        <v>254</v>
      </c>
      <c r="C28" s="261" t="n">
        <f aca="false">'Input data plant-based products'!D7</f>
        <v>0.114913887871015</v>
      </c>
      <c r="D28" s="137" t="s">
        <v>133</v>
      </c>
      <c r="E28" s="79" t="n">
        <f aca="false">IF($F$1="GWP100 without fb",E29+E30*'Common input data'!$C$5+E31*'Common input data'!$D$5,IF($F$1="GWP100 with fb",E29+E30*'Common input data'!$C$6+E31*'Common input data'!$D$6,IF($F$1="GTP100 without fb",E29+E30*'Common input data'!$C$7+E31*'Common input data'!$D$7,IF($F$1="GTP100 with fb",E29+E30*'Common input data'!$C$8+E31*'Common input data'!$D$8,E29+E30*'Common input data'!$C$9+E31*'Common input data'!$D$9))))</f>
        <v>0.333933873501141</v>
      </c>
      <c r="F28" s="80" t="n">
        <f aca="false">IF($F$1="GWP100 without fb",F29+F30*'Common input data'!$C$5+F31*'Common input data'!$D$5,IF($F$1="GWP100 with fb",F29+F30*'Common input data'!$C$6+F31*'Common input data'!$D$6,IF($F$1="GTP100 without fb",F29+F30*'Common input data'!$C$7+F31*'Common input data'!$D$7,IF($F$1="GTP100 with fb",F29+F30*'Common input data'!$C$8+F31*'Common input data'!$D$8,F29+F30*'Common input data'!$C$9+F31*'Common input data'!$D$9))))</f>
        <v>0.558241109500151</v>
      </c>
      <c r="G28" s="81" t="n">
        <f aca="false">IF($F$1="GWP100 without fb",G29+G30*'Common input data'!$C$5+G31*'Common input data'!$D$5,IF($F$1="GWP100 with fb",G29+G30*'Common input data'!$C$6+G31*'Common input data'!$D$6,IF($F$1="GTP100 without fb",G29+G30*'Common input data'!$C$7+G31*'Common input data'!$D$7,IF($F$1="GTP100 with fb",G29+G30*'Common input data'!$C$8+G31*'Common input data'!$D$8,G29+G30*'Common input data'!$C$9+G31*'Common input data'!$D$9))))</f>
        <v>1.06213983852134</v>
      </c>
      <c r="H28" s="262"/>
      <c r="I28" s="262"/>
      <c r="J28" s="262"/>
      <c r="K28" s="262"/>
      <c r="L28" s="262"/>
      <c r="M28" s="262"/>
      <c r="N28" s="262"/>
      <c r="O28" s="262"/>
      <c r="P28" s="262"/>
      <c r="Q28" s="262"/>
      <c r="R28" s="262"/>
      <c r="S28" s="262"/>
      <c r="T28" s="262"/>
      <c r="U28" s="262"/>
      <c r="V28" s="309"/>
      <c r="W28" s="92"/>
      <c r="X28" s="209"/>
      <c r="Y28" s="209"/>
      <c r="Z28" s="30"/>
      <c r="AA28" s="209"/>
      <c r="AB28" s="209"/>
      <c r="AC28" s="209"/>
      <c r="AD28" s="209"/>
      <c r="AE28" s="209"/>
      <c r="AF28" s="209"/>
      <c r="AG28" s="209"/>
      <c r="AH28" s="209"/>
      <c r="AI28" s="209"/>
      <c r="AJ28" s="209"/>
      <c r="AK28" s="209"/>
      <c r="AL28" s="209"/>
      <c r="AM28" s="209"/>
      <c r="AN28" s="209"/>
      <c r="AO28" s="209"/>
      <c r="AP28" s="209"/>
      <c r="AQ28" s="209"/>
      <c r="AR28" s="209"/>
      <c r="AS28" s="209"/>
      <c r="AT28" s="209"/>
      <c r="AU28" s="209"/>
      <c r="AV28" s="209"/>
      <c r="AW28" s="209"/>
      <c r="AX28" s="209"/>
      <c r="AY28" s="209"/>
      <c r="AZ28" s="209"/>
      <c r="BA28" s="209"/>
      <c r="BB28" s="209"/>
      <c r="BC28" s="209"/>
      <c r="BD28" s="209"/>
      <c r="BE28" s="209"/>
      <c r="BF28" s="209"/>
      <c r="BG28" s="209"/>
      <c r="BH28" s="209"/>
      <c r="BI28" s="209"/>
      <c r="BJ28" s="209"/>
      <c r="BK28" s="209"/>
      <c r="BL28" s="209"/>
      <c r="BM28" s="209"/>
      <c r="BN28" s="209"/>
      <c r="BO28" s="209"/>
      <c r="BP28" s="209"/>
      <c r="BQ28" s="209"/>
      <c r="BR28" s="209"/>
      <c r="BS28" s="209"/>
      <c r="BT28" s="209"/>
      <c r="BU28" s="209"/>
      <c r="BV28" s="209"/>
      <c r="BW28" s="209"/>
      <c r="BX28" s="209"/>
      <c r="BY28" s="209"/>
      <c r="BZ28" s="209"/>
      <c r="CA28" s="209"/>
      <c r="CB28" s="209"/>
      <c r="CC28" s="209"/>
      <c r="CD28" s="209"/>
      <c r="CE28" s="209"/>
      <c r="CF28" s="209"/>
      <c r="CG28" s="209"/>
      <c r="CH28" s="209"/>
      <c r="CI28" s="209"/>
      <c r="CJ28" s="209"/>
      <c r="CK28" s="209"/>
      <c r="CL28" s="209"/>
      <c r="CM28" s="209"/>
      <c r="CN28" s="209"/>
      <c r="CO28" s="209"/>
      <c r="CP28" s="209"/>
      <c r="CQ28" s="209"/>
      <c r="CR28" s="209"/>
      <c r="CS28" s="209"/>
      <c r="CT28" s="209"/>
      <c r="CU28" s="209"/>
      <c r="CV28" s="209"/>
      <c r="CW28" s="209"/>
      <c r="CX28" s="209"/>
      <c r="CY28" s="209"/>
      <c r="CZ28" s="209"/>
      <c r="DA28" s="209"/>
      <c r="DB28" s="209"/>
      <c r="DC28" s="209"/>
      <c r="DD28" s="209"/>
      <c r="DE28" s="209"/>
      <c r="DF28" s="209"/>
      <c r="DG28" s="209"/>
      <c r="DH28" s="209"/>
      <c r="DI28" s="209"/>
      <c r="DJ28" s="209"/>
      <c r="DK28" s="209"/>
      <c r="DL28" s="209"/>
      <c r="DM28" s="209"/>
      <c r="DN28" s="209"/>
      <c r="DO28" s="209"/>
      <c r="DP28" s="209"/>
      <c r="DQ28" s="209"/>
      <c r="DR28" s="209"/>
      <c r="DS28" s="209"/>
      <c r="DT28" s="209"/>
      <c r="DU28" s="209"/>
      <c r="DV28" s="209"/>
      <c r="DW28" s="209"/>
      <c r="DX28" s="209"/>
      <c r="DY28" s="209"/>
      <c r="DZ28" s="209"/>
      <c r="EA28" s="209"/>
      <c r="EB28" s="209"/>
      <c r="EC28" s="209"/>
      <c r="ED28" s="209"/>
      <c r="EE28" s="209"/>
      <c r="EF28" s="209"/>
      <c r="EG28" s="209"/>
      <c r="EH28" s="209"/>
      <c r="EI28" s="209"/>
      <c r="EJ28" s="209"/>
      <c r="EK28" s="209"/>
      <c r="EL28" s="209"/>
      <c r="EM28" s="209"/>
      <c r="EN28" s="209"/>
      <c r="EO28" s="209"/>
      <c r="EP28" s="209"/>
      <c r="EQ28" s="209"/>
      <c r="ER28" s="209"/>
      <c r="ES28" s="209"/>
      <c r="ET28" s="209"/>
      <c r="EU28" s="209"/>
      <c r="EV28" s="209"/>
      <c r="EW28" s="209"/>
      <c r="EX28" s="209"/>
      <c r="EY28" s="209"/>
      <c r="EZ28" s="209"/>
      <c r="FA28" s="209"/>
      <c r="FB28" s="209"/>
      <c r="FC28" s="209"/>
      <c r="FD28" s="209"/>
      <c r="FE28" s="209"/>
      <c r="FF28" s="209"/>
      <c r="FG28" s="209"/>
      <c r="FH28" s="209"/>
      <c r="FI28" s="209"/>
      <c r="FJ28" s="209"/>
      <c r="FK28" s="209"/>
      <c r="FL28" s="209"/>
      <c r="FM28" s="209"/>
      <c r="FN28" s="209"/>
      <c r="FO28" s="209"/>
      <c r="FP28" s="209"/>
      <c r="FQ28" s="209"/>
      <c r="FR28" s="209"/>
      <c r="FS28" s="209"/>
      <c r="FT28" s="209"/>
      <c r="FU28" s="209"/>
      <c r="FV28" s="209"/>
      <c r="FW28" s="209"/>
      <c r="FX28" s="209"/>
      <c r="FY28" s="209"/>
      <c r="FZ28" s="209"/>
      <c r="GA28" s="209"/>
      <c r="GB28" s="209"/>
      <c r="GC28" s="209"/>
      <c r="GD28" s="209"/>
      <c r="GE28" s="209"/>
      <c r="GF28" s="209"/>
      <c r="GG28" s="209"/>
      <c r="GH28" s="209"/>
      <c r="GI28" s="209"/>
      <c r="GJ28" s="209"/>
      <c r="GK28" s="209"/>
      <c r="GL28" s="209"/>
      <c r="GM28" s="209"/>
      <c r="GN28" s="209"/>
      <c r="GO28" s="209"/>
      <c r="GP28" s="209"/>
      <c r="GQ28" s="209"/>
      <c r="GR28" s="209"/>
      <c r="GS28" s="209"/>
      <c r="GT28" s="209"/>
      <c r="GU28" s="209"/>
      <c r="GV28" s="209"/>
      <c r="GW28" s="209"/>
      <c r="GX28" s="209"/>
      <c r="GY28" s="209"/>
      <c r="GZ28" s="209"/>
      <c r="HA28" s="209"/>
      <c r="HB28" s="209"/>
      <c r="HC28" s="209"/>
      <c r="HD28" s="209"/>
      <c r="HE28" s="209"/>
      <c r="HF28" s="209"/>
      <c r="HG28" s="209"/>
      <c r="HH28" s="209"/>
      <c r="HI28" s="209"/>
      <c r="HJ28" s="209"/>
      <c r="HK28" s="209"/>
      <c r="HL28" s="209"/>
      <c r="HM28" s="209"/>
      <c r="HN28" s="209"/>
      <c r="HO28" s="209"/>
      <c r="HP28" s="209"/>
      <c r="HQ28" s="209"/>
      <c r="HR28" s="209"/>
      <c r="HS28" s="209"/>
      <c r="HT28" s="209"/>
      <c r="HU28" s="209"/>
      <c r="HV28" s="209"/>
      <c r="HW28" s="209"/>
      <c r="HX28" s="209"/>
      <c r="HY28" s="209"/>
      <c r="HZ28" s="209"/>
      <c r="IA28" s="209"/>
      <c r="IB28" s="209"/>
      <c r="IC28" s="209"/>
      <c r="ID28" s="209"/>
      <c r="IE28" s="209"/>
      <c r="IF28" s="209"/>
      <c r="IG28" s="209"/>
      <c r="IH28" s="209"/>
      <c r="II28" s="209"/>
      <c r="IJ28" s="209"/>
      <c r="IK28" s="209"/>
      <c r="IL28" s="209"/>
      <c r="IM28" s="209"/>
      <c r="IN28" s="209"/>
      <c r="IO28" s="209"/>
      <c r="IP28" s="209"/>
      <c r="IQ28" s="209"/>
      <c r="IR28" s="209"/>
      <c r="IS28" s="209"/>
      <c r="IT28" s="209"/>
      <c r="IU28" s="209"/>
      <c r="IV28" s="209"/>
      <c r="IW28" s="209"/>
      <c r="IX28" s="209"/>
    </row>
    <row r="29" s="209" customFormat="true" ht="17.4" hidden="false" customHeight="false" outlineLevel="0" collapsed="false">
      <c r="A29" s="30"/>
      <c r="B29" s="30"/>
      <c r="C29" s="30"/>
      <c r="D29" s="85" t="s">
        <v>134</v>
      </c>
      <c r="E29" s="217" t="n">
        <f aca="false">IF(AND($F$2="No",$F$3="No"),SUM(J29:K29)*'Input data plant-based products'!O$120,IF(AND($F$2="Yes", $F$3="No"), (SUM(J29:K29)+Q29)*'Input data plant-based products'!O$120, IF(AND($F$2="No", $F$3="Yes"),(SUM(J29:K29)+P29)*'Input data plant-based products'!O$120, (SUM(J29:K29)+Q29+P29)*'Input data plant-based products'!O$120)))</f>
        <v>0.116392150583301</v>
      </c>
      <c r="F29" s="89" t="n">
        <f aca="false">IF(AND($F$2="No",$F$3="No"),SUM(H29:O29)*'Input data plant-based products'!O$120,IF(AND($F$2="Yes", $F$3="No"), (SUM(H29:O29)+Q29)*'Input data plant-based products'!O$120, IF(AND($F$2="No", $F$3="Yes"),(SUM(H29:O29)+P29)*'Input data plant-based products'!O$120, (SUM(H29:O29)+Q29+P29)*'Input data plant-based products'!O$120)))</f>
        <v>0.286602767768877</v>
      </c>
      <c r="G29" s="88" t="n">
        <f aca="false">SUM(S29:U29)/(1-'Common input data'!$B$122)</f>
        <v>0.68032503187865</v>
      </c>
      <c r="H29" s="87" t="n">
        <f aca="false">('Input data plant-based products'!$F$7*('Common input data'!$B$76*'Common input data'!B69+'Common input data'!$B$77*'Common input data'!C69))/'Input data plant-based products'!$E$7</f>
        <v>0.0403013410679006</v>
      </c>
      <c r="I29" s="89" t="n">
        <f aca="false">'Common input data'!$B$81</f>
        <v>0.03</v>
      </c>
      <c r="J29" s="87" t="n">
        <v>0</v>
      </c>
      <c r="K29" s="89" t="n">
        <v>0</v>
      </c>
      <c r="L29" s="87" t="n">
        <f aca="false">('Input data plant-based products'!$I$7*'Common input data'!$C$59*'Common input data'!H49)/'Input data plant-based products'!$E$7</f>
        <v>0.028887068779147</v>
      </c>
      <c r="M29" s="89" t="n">
        <v>0</v>
      </c>
      <c r="N29" s="89" t="n">
        <f aca="false">'Input data plant-based products'!G$152</f>
        <v>0.02</v>
      </c>
      <c r="O29" s="89" t="n">
        <f aca="false">'Input data plant-based products'!$B$120*'Common input data'!$B$59*'Common input data'!B49+'Input data plant-based products'!C$120*'Common input data'!B63</f>
        <v>0.039147048</v>
      </c>
      <c r="P29" s="89" t="n">
        <f aca="false">'Common input data'!B$13</f>
        <v>0.108271767984466</v>
      </c>
      <c r="Q29" s="89" t="n">
        <v>0</v>
      </c>
      <c r="R29" s="89" t="n">
        <f aca="false">'Input data plant-based products'!$E$120*'Common input data'!$B$59*'Common input data'!B49+'Input data plant-based products'!F$120*'Common input data'!B63</f>
        <v>0.130690344255017</v>
      </c>
      <c r="S29" s="89" t="n">
        <f aca="false">(F29+R29)*'Common input data'!$D$28/'Common input data'!$C$28</f>
        <v>0.493164586937329</v>
      </c>
      <c r="T29" s="89" t="n">
        <f aca="false">'Common input data'!$B$88</f>
        <v>0.05</v>
      </c>
      <c r="U29" s="89" t="n">
        <f aca="false">'Common input data'!C$98</f>
        <v>0.03</v>
      </c>
      <c r="V29" s="309"/>
      <c r="W29" s="92"/>
      <c r="Z29" s="30"/>
    </row>
    <row r="30" s="209" customFormat="true" ht="17.4" hidden="false" customHeight="false" outlineLevel="0" collapsed="false">
      <c r="A30" s="74"/>
      <c r="B30" s="30"/>
      <c r="C30" s="93"/>
      <c r="D30" s="85" t="s">
        <v>135</v>
      </c>
      <c r="E30" s="217" t="n">
        <f aca="false">SUM(J30:K30)*'Input data plant-based products'!O$120</f>
        <v>0</v>
      </c>
      <c r="F30" s="89" t="n">
        <f aca="false">SUM(H30:O30)*'Input data plant-based products'!O$120</f>
        <v>2.89960666994688E-005</v>
      </c>
      <c r="G30" s="88" t="n">
        <f aca="false">SUM(S30:U30)/(1-'Common input data'!$B$122)</f>
        <v>5.30988196098382E-005</v>
      </c>
      <c r="H30" s="87" t="n">
        <f aca="false">('Input data plant-based products'!$F$7*('Common input data'!$B$76*'Common input data'!B70+'Common input data'!$B$77*'Common input data'!C70))/'Input data plant-based products'!$E$7</f>
        <v>1.07896105500479E-010</v>
      </c>
      <c r="I30" s="89" t="n">
        <v>0</v>
      </c>
      <c r="J30" s="87" t="n">
        <v>0</v>
      </c>
      <c r="K30" s="89" t="n">
        <v>0</v>
      </c>
      <c r="L30" s="87" t="n">
        <f aca="false">('Input data plant-based products'!$I$7*'Common input data'!$C$59*'Common input data'!H50)/'Input data plant-based products'!$E$7</f>
        <v>1.27959974057259E-005</v>
      </c>
      <c r="M30" s="89" t="n">
        <v>0</v>
      </c>
      <c r="N30" s="89" t="n">
        <v>0</v>
      </c>
      <c r="O30" s="89" t="n">
        <f aca="false">'Input data plant-based products'!$B$120*'Common input data'!$B$59*'Common input data'!B50</f>
        <v>1.417698E-005</v>
      </c>
      <c r="P30" s="89" t="n">
        <v>0</v>
      </c>
      <c r="Q30" s="89" t="n">
        <v>0</v>
      </c>
      <c r="R30" s="89" t="n">
        <f aca="false">'Input data plant-based products'!$E$120*'Common input data'!$B$59*'Common input data'!B50</f>
        <v>8.85665385058978E-006</v>
      </c>
      <c r="S30" s="89" t="n">
        <f aca="false">(F30+R30)*'Common input data'!$D$28/'Common input data'!$C$28</f>
        <v>4.4735033377342E-005</v>
      </c>
      <c r="T30" s="89" t="n">
        <v>0</v>
      </c>
      <c r="U30" s="89" t="n">
        <v>0</v>
      </c>
      <c r="V30" s="309"/>
      <c r="W30" s="92"/>
      <c r="Z30" s="30"/>
    </row>
    <row r="31" s="209" customFormat="true" ht="17.4" hidden="false" customHeight="false" outlineLevel="0" collapsed="false">
      <c r="A31" s="74"/>
      <c r="B31" s="30"/>
      <c r="C31" s="87"/>
      <c r="D31" s="31" t="s">
        <v>136</v>
      </c>
      <c r="E31" s="219" t="n">
        <f aca="false">SUM(J31:K31)*'Input data plant-based products'!O$120</f>
        <v>0.000730005781603491</v>
      </c>
      <c r="F31" s="126" t="n">
        <f aca="false">SUM(H31:O31)*'Input data plant-based products'!O$120</f>
        <v>0.000908229783434537</v>
      </c>
      <c r="G31" s="106" t="n">
        <f aca="false">SUM(S31:U31)/(1-'Common input data'!$B$122)</f>
        <v>0.00127519948582534</v>
      </c>
      <c r="H31" s="87" t="n">
        <f aca="false">('Input data plant-based products'!$F$7*('Common input data'!$B$76*'Common input data'!B71+'Common input data'!$B$77*'Common input data'!C71))/'Input data plant-based products'!$E$7</f>
        <v>0.000163691952764455</v>
      </c>
      <c r="I31" s="87" t="n">
        <v>0</v>
      </c>
      <c r="J31" s="87" t="n">
        <f aca="false">(SUM('Input data plant-based products'!F7:H7)*'Input data plant-based products'!$B$114*44/28)/'Input data plant-based products'!E7</f>
        <v>0.000617341041525151</v>
      </c>
      <c r="K31" s="89" t="n">
        <f aca="false">J31*'Input data plant-based products'!$B$115</f>
        <v>6.17341041525151E-005</v>
      </c>
      <c r="L31" s="87" t="n">
        <f aca="false">('Input data plant-based products'!$I$7*'Common input data'!$C$59*'Common input data'!H51)/'Input data plant-based products'!$E$7</f>
        <v>7.7620680070416E-007</v>
      </c>
      <c r="M31" s="89" t="n">
        <v>0</v>
      </c>
      <c r="N31" s="89" t="n">
        <v>0</v>
      </c>
      <c r="O31" s="89" t="n">
        <f aca="false">'Input data plant-based products'!$B$120*'Common input data'!$B$59*'Common input data'!B51</f>
        <v>1.32160958E-006</v>
      </c>
      <c r="P31" s="89" t="n">
        <v>0</v>
      </c>
      <c r="Q31" s="89" t="n">
        <v>0</v>
      </c>
      <c r="R31" s="89" t="n">
        <f aca="false">'Input data plant-based products'!$E$120*'Common input data'!$B$59*'Common input data'!B51</f>
        <v>8.2563695340498E-007</v>
      </c>
      <c r="S31" s="89" t="n">
        <f aca="false">(F31+R31)*'Common input data'!$D$28/'Common input data'!$C$28</f>
        <v>0.00107433822409484</v>
      </c>
      <c r="T31" s="89" t="n">
        <v>0</v>
      </c>
      <c r="U31" s="89" t="n">
        <v>0</v>
      </c>
      <c r="V31" s="309"/>
      <c r="W31" s="92"/>
      <c r="Z31" s="30"/>
    </row>
    <row r="32" s="334" customFormat="true" ht="17.4" hidden="false" customHeight="false" outlineLevel="0" collapsed="false">
      <c r="A32" s="107" t="s">
        <v>260</v>
      </c>
      <c r="B32" s="108"/>
      <c r="C32" s="69"/>
      <c r="D32" s="109"/>
      <c r="E32" s="110" t="s">
        <v>261</v>
      </c>
      <c r="F32" s="111" t="s">
        <v>261</v>
      </c>
      <c r="G32" s="112" t="s">
        <v>262</v>
      </c>
      <c r="H32" s="69"/>
      <c r="I32" s="69"/>
      <c r="J32" s="69"/>
      <c r="K32" s="113"/>
      <c r="L32" s="113"/>
      <c r="M32" s="114"/>
      <c r="N32" s="113"/>
      <c r="O32" s="113"/>
      <c r="P32" s="113"/>
      <c r="Q32" s="113"/>
      <c r="R32" s="113"/>
      <c r="S32" s="113"/>
      <c r="T32" s="113"/>
      <c r="U32" s="113"/>
      <c r="V32" s="309"/>
      <c r="W32" s="92"/>
      <c r="X32" s="209"/>
      <c r="Y32" s="209"/>
      <c r="Z32" s="30"/>
      <c r="AA32" s="209"/>
      <c r="AB32" s="209"/>
      <c r="AC32" s="209"/>
      <c r="AD32" s="209"/>
      <c r="AE32" s="209"/>
      <c r="AF32" s="209"/>
      <c r="AG32" s="209"/>
      <c r="AH32" s="209"/>
      <c r="AI32" s="209"/>
      <c r="AJ32" s="209"/>
      <c r="AK32" s="209"/>
      <c r="AL32" s="209"/>
      <c r="AM32" s="209"/>
      <c r="AN32" s="209"/>
      <c r="AO32" s="209"/>
      <c r="AP32" s="209"/>
      <c r="AQ32" s="209"/>
      <c r="AR32" s="209"/>
      <c r="AS32" s="209"/>
      <c r="AT32" s="209"/>
      <c r="AU32" s="209"/>
      <c r="AV32" s="209"/>
      <c r="AW32" s="209"/>
      <c r="AX32" s="209"/>
      <c r="AY32" s="209"/>
      <c r="AZ32" s="209"/>
      <c r="BA32" s="209"/>
      <c r="BB32" s="209"/>
      <c r="BC32" s="209"/>
      <c r="BD32" s="209"/>
      <c r="BE32" s="209"/>
      <c r="BF32" s="209"/>
      <c r="BG32" s="209"/>
      <c r="BH32" s="209"/>
      <c r="BI32" s="209"/>
      <c r="BJ32" s="209"/>
      <c r="BK32" s="209"/>
      <c r="BL32" s="209"/>
      <c r="BM32" s="209"/>
      <c r="BN32" s="209"/>
      <c r="BO32" s="209"/>
      <c r="BP32" s="209"/>
      <c r="BQ32" s="209"/>
      <c r="BR32" s="209"/>
      <c r="BS32" s="209"/>
      <c r="BT32" s="209"/>
      <c r="BU32" s="209"/>
      <c r="BV32" s="209"/>
      <c r="BW32" s="209"/>
      <c r="BX32" s="209"/>
      <c r="BY32" s="209"/>
      <c r="BZ32" s="209"/>
      <c r="CA32" s="209"/>
      <c r="CB32" s="209"/>
      <c r="CC32" s="209"/>
      <c r="CD32" s="209"/>
      <c r="CE32" s="209"/>
      <c r="CF32" s="209"/>
      <c r="CG32" s="209"/>
      <c r="CH32" s="209"/>
      <c r="CI32" s="209"/>
      <c r="CJ32" s="209"/>
      <c r="CK32" s="209"/>
      <c r="CL32" s="209"/>
      <c r="CM32" s="209"/>
      <c r="CN32" s="209"/>
      <c r="CO32" s="209"/>
      <c r="CP32" s="209"/>
      <c r="CQ32" s="209"/>
      <c r="CR32" s="209"/>
      <c r="CS32" s="209"/>
      <c r="CT32" s="209"/>
      <c r="CU32" s="209"/>
      <c r="CV32" s="209"/>
      <c r="CW32" s="209"/>
      <c r="CX32" s="209"/>
      <c r="CY32" s="209"/>
      <c r="CZ32" s="209"/>
      <c r="DA32" s="209"/>
      <c r="DB32" s="209"/>
      <c r="DC32" s="209"/>
      <c r="DD32" s="209"/>
      <c r="DE32" s="209"/>
      <c r="DF32" s="209"/>
      <c r="DG32" s="209"/>
      <c r="DH32" s="209"/>
      <c r="DI32" s="209"/>
      <c r="DJ32" s="209"/>
      <c r="DK32" s="209"/>
      <c r="DL32" s="209"/>
      <c r="DM32" s="209"/>
      <c r="DN32" s="209"/>
      <c r="DO32" s="209"/>
      <c r="DP32" s="209"/>
      <c r="DQ32" s="209"/>
      <c r="DR32" s="209"/>
      <c r="DS32" s="209"/>
      <c r="DT32" s="209"/>
      <c r="DU32" s="209"/>
      <c r="DV32" s="209"/>
      <c r="DW32" s="209"/>
      <c r="DX32" s="209"/>
      <c r="DY32" s="209"/>
      <c r="DZ32" s="209"/>
      <c r="EA32" s="209"/>
      <c r="EB32" s="209"/>
      <c r="EC32" s="209"/>
      <c r="ED32" s="209"/>
      <c r="EE32" s="209"/>
      <c r="EF32" s="209"/>
      <c r="EG32" s="209"/>
      <c r="EH32" s="209"/>
      <c r="EI32" s="209"/>
      <c r="EJ32" s="209"/>
      <c r="EK32" s="209"/>
      <c r="EL32" s="209"/>
      <c r="EM32" s="209"/>
      <c r="EN32" s="209"/>
      <c r="EO32" s="209"/>
      <c r="EP32" s="209"/>
      <c r="EQ32" s="209"/>
      <c r="ER32" s="209"/>
      <c r="ES32" s="209"/>
      <c r="ET32" s="209"/>
      <c r="EU32" s="209"/>
      <c r="EV32" s="209"/>
      <c r="EW32" s="209"/>
      <c r="EX32" s="209"/>
      <c r="EY32" s="209"/>
      <c r="EZ32" s="209"/>
      <c r="FA32" s="209"/>
      <c r="FB32" s="209"/>
      <c r="FC32" s="209"/>
      <c r="FD32" s="209"/>
      <c r="FE32" s="209"/>
      <c r="FF32" s="209"/>
      <c r="FG32" s="209"/>
      <c r="FH32" s="209"/>
      <c r="FI32" s="209"/>
      <c r="FJ32" s="209"/>
      <c r="FK32" s="209"/>
      <c r="FL32" s="209"/>
      <c r="FM32" s="209"/>
      <c r="FN32" s="209"/>
      <c r="FO32" s="209"/>
      <c r="FP32" s="209"/>
      <c r="FQ32" s="209"/>
      <c r="FR32" s="209"/>
      <c r="FS32" s="209"/>
      <c r="FT32" s="209"/>
      <c r="FU32" s="209"/>
      <c r="FV32" s="209"/>
      <c r="FW32" s="209"/>
      <c r="FX32" s="209"/>
      <c r="FY32" s="209"/>
      <c r="FZ32" s="209"/>
      <c r="GA32" s="209"/>
      <c r="GB32" s="209"/>
      <c r="GC32" s="209"/>
      <c r="GD32" s="209"/>
      <c r="GE32" s="209"/>
      <c r="GF32" s="209"/>
      <c r="GG32" s="209"/>
      <c r="GH32" s="209"/>
      <c r="GI32" s="209"/>
      <c r="GJ32" s="209"/>
      <c r="GK32" s="209"/>
      <c r="GL32" s="209"/>
      <c r="GM32" s="209"/>
      <c r="GN32" s="209"/>
      <c r="GO32" s="209"/>
      <c r="GP32" s="209"/>
      <c r="GQ32" s="209"/>
      <c r="GR32" s="209"/>
      <c r="GS32" s="209"/>
      <c r="GT32" s="209"/>
      <c r="GU32" s="209"/>
      <c r="GV32" s="209"/>
      <c r="GW32" s="209"/>
      <c r="GX32" s="209"/>
      <c r="GY32" s="209"/>
      <c r="GZ32" s="209"/>
      <c r="HA32" s="209"/>
      <c r="HB32" s="209"/>
      <c r="HC32" s="209"/>
      <c r="HD32" s="209"/>
      <c r="HE32" s="209"/>
      <c r="HF32" s="209"/>
      <c r="HG32" s="209"/>
      <c r="HH32" s="209"/>
      <c r="HI32" s="209"/>
      <c r="HJ32" s="209"/>
      <c r="HK32" s="209"/>
      <c r="HL32" s="209"/>
      <c r="HM32" s="209"/>
      <c r="HN32" s="209"/>
      <c r="HO32" s="209"/>
      <c r="HP32" s="209"/>
      <c r="HQ32" s="209"/>
      <c r="HR32" s="209"/>
      <c r="HS32" s="209"/>
      <c r="HT32" s="209"/>
      <c r="HU32" s="209"/>
      <c r="HV32" s="209"/>
      <c r="HW32" s="209"/>
      <c r="HX32" s="209"/>
      <c r="HY32" s="209"/>
      <c r="HZ32" s="209"/>
      <c r="IA32" s="209"/>
      <c r="IB32" s="209"/>
      <c r="IC32" s="209"/>
      <c r="ID32" s="209"/>
      <c r="IE32" s="209"/>
      <c r="IF32" s="209"/>
      <c r="IG32" s="209"/>
      <c r="IH32" s="209"/>
      <c r="II32" s="209"/>
      <c r="IJ32" s="209"/>
      <c r="IK32" s="209"/>
      <c r="IL32" s="209"/>
      <c r="IM32" s="209"/>
      <c r="IN32" s="209"/>
      <c r="IO32" s="209"/>
      <c r="IP32" s="209"/>
      <c r="IQ32" s="209"/>
      <c r="IR32" s="209"/>
      <c r="IS32" s="209"/>
      <c r="IT32" s="209"/>
      <c r="IU32" s="209"/>
      <c r="IV32" s="209"/>
      <c r="IW32" s="209"/>
      <c r="IX32" s="209"/>
    </row>
    <row r="33" s="314" customFormat="true" ht="17.4" hidden="false" customHeight="false" outlineLevel="0" collapsed="false">
      <c r="A33" s="312" t="s">
        <v>263</v>
      </c>
      <c r="B33" s="317" t="s">
        <v>254</v>
      </c>
      <c r="C33" s="317"/>
      <c r="D33" s="137" t="s">
        <v>133</v>
      </c>
      <c r="E33" s="79" t="n">
        <f aca="false">IF($F$1="GWP100 without fb",E34+E35*'Common input data'!$C$5+E36*'Common input data'!$D$5,IF($F$1="GWP100 with fb",E34+E35*'Common input data'!$C$6+E36*'Common input data'!$D$6,IF($F$1="GTP100 without fb",E34+E35*'Common input data'!$C$7+E36*'Common input data'!$D$7,IF($F$1="GTP100 with fb",E34+E35*'Common input data'!$C$8+E36*'Common input data'!$D$8,E34+E35*'Common input data'!$C$9+E36*'Common input data'!$D$9))))</f>
        <v>0.375931551522119</v>
      </c>
      <c r="F33" s="80" t="n">
        <f aca="false">IF($F$1="GWP100 without fb",F34+F35*'Common input data'!$C$5+F36*'Common input data'!$D$5,IF($F$1="GWP100 with fb",F34+F35*'Common input data'!$C$6+F36*'Common input data'!$D$6,IF($F$1="GTP100 without fb",F34+F35*'Common input data'!$C$7+F36*'Common input data'!$D$7,IF($F$1="GTP100 with fb",F34+F35*'Common input data'!$C$8+F36*'Common input data'!$D$8,F34+F35*'Common input data'!$C$9+F36*'Common input data'!$D$9))))</f>
        <v>0.620836775359798</v>
      </c>
      <c r="G33" s="81" t="n">
        <f aca="false">IF($F$1="GWP100 without fb",G34+G35*'Common input data'!$C$5+G36*'Common input data'!$D$5,IF($F$1="GWP100 with fb",G34+G35*'Common input data'!$C$6+G36*'Common input data'!$D$6,IF($F$1="GTP100 without fb",G34+G35*'Common input data'!$C$7+G36*'Common input data'!$D$7,IF($F$1="GTP100 with fb",G34+G35*'Common input data'!$C$8+G36*'Common input data'!$D$8,G34+G35*'Common input data'!$C$9+G36*'Common input data'!$D$9))))</f>
        <v>1.14994742332739</v>
      </c>
      <c r="H33" s="262"/>
      <c r="I33" s="262"/>
      <c r="J33" s="262"/>
      <c r="K33" s="262"/>
      <c r="L33" s="262"/>
      <c r="M33" s="262"/>
      <c r="N33" s="262"/>
      <c r="O33" s="262"/>
      <c r="P33" s="262"/>
      <c r="Q33" s="262"/>
      <c r="R33" s="262"/>
      <c r="S33" s="262"/>
      <c r="T33" s="262"/>
      <c r="U33" s="262"/>
      <c r="V33" s="309"/>
      <c r="W33" s="92"/>
      <c r="X33" s="209"/>
      <c r="Y33" s="209"/>
      <c r="Z33" s="30"/>
      <c r="AA33" s="209"/>
      <c r="AB33" s="209"/>
      <c r="AC33" s="209"/>
      <c r="AD33" s="209"/>
      <c r="AE33" s="209"/>
      <c r="AF33" s="209"/>
      <c r="AG33" s="209"/>
      <c r="AH33" s="209"/>
      <c r="AI33" s="209"/>
      <c r="AJ33" s="209"/>
      <c r="AK33" s="209"/>
      <c r="AL33" s="209"/>
      <c r="AM33" s="209"/>
      <c r="AN33" s="209"/>
      <c r="AO33" s="209"/>
      <c r="AP33" s="209"/>
      <c r="AQ33" s="209"/>
      <c r="AR33" s="209"/>
      <c r="AS33" s="209"/>
      <c r="AT33" s="209"/>
      <c r="AU33" s="209"/>
      <c r="AV33" s="209"/>
      <c r="AW33" s="209"/>
      <c r="AX33" s="209"/>
      <c r="AY33" s="209"/>
      <c r="AZ33" s="209"/>
      <c r="BA33" s="209"/>
      <c r="BB33" s="209"/>
      <c r="BC33" s="209"/>
      <c r="BD33" s="209"/>
      <c r="BE33" s="209"/>
      <c r="BF33" s="209"/>
      <c r="BG33" s="209"/>
      <c r="BH33" s="209"/>
      <c r="BI33" s="209"/>
      <c r="BJ33" s="209"/>
      <c r="BK33" s="209"/>
      <c r="BL33" s="209"/>
      <c r="BM33" s="209"/>
      <c r="BN33" s="209"/>
      <c r="BO33" s="209"/>
      <c r="BP33" s="209"/>
      <c r="BQ33" s="209"/>
      <c r="BR33" s="209"/>
      <c r="BS33" s="209"/>
      <c r="BT33" s="209"/>
      <c r="BU33" s="209"/>
      <c r="BV33" s="209"/>
      <c r="BW33" s="209"/>
      <c r="BX33" s="209"/>
      <c r="BY33" s="209"/>
      <c r="BZ33" s="209"/>
      <c r="CA33" s="209"/>
      <c r="CB33" s="209"/>
      <c r="CC33" s="209"/>
      <c r="CD33" s="209"/>
      <c r="CE33" s="209"/>
      <c r="CF33" s="209"/>
      <c r="CG33" s="209"/>
      <c r="CH33" s="209"/>
      <c r="CI33" s="209"/>
      <c r="CJ33" s="209"/>
      <c r="CK33" s="209"/>
      <c r="CL33" s="209"/>
      <c r="CM33" s="209"/>
      <c r="CN33" s="209"/>
      <c r="CO33" s="209"/>
      <c r="CP33" s="209"/>
      <c r="CQ33" s="209"/>
      <c r="CR33" s="209"/>
      <c r="CS33" s="209"/>
      <c r="CT33" s="209"/>
      <c r="CU33" s="209"/>
      <c r="CV33" s="209"/>
      <c r="CW33" s="209"/>
      <c r="CX33" s="209"/>
      <c r="CY33" s="209"/>
      <c r="CZ33" s="209"/>
      <c r="DA33" s="209"/>
      <c r="DB33" s="209"/>
      <c r="DC33" s="209"/>
      <c r="DD33" s="209"/>
      <c r="DE33" s="209"/>
      <c r="DF33" s="209"/>
      <c r="DG33" s="209"/>
      <c r="DH33" s="209"/>
      <c r="DI33" s="209"/>
      <c r="DJ33" s="209"/>
      <c r="DK33" s="209"/>
      <c r="DL33" s="209"/>
      <c r="DM33" s="209"/>
      <c r="DN33" s="209"/>
      <c r="DO33" s="209"/>
      <c r="DP33" s="209"/>
      <c r="DQ33" s="209"/>
      <c r="DR33" s="209"/>
      <c r="DS33" s="209"/>
      <c r="DT33" s="209"/>
      <c r="DU33" s="209"/>
      <c r="DV33" s="209"/>
      <c r="DW33" s="209"/>
      <c r="DX33" s="209"/>
      <c r="DY33" s="209"/>
      <c r="DZ33" s="209"/>
      <c r="EA33" s="209"/>
      <c r="EB33" s="209"/>
      <c r="EC33" s="209"/>
      <c r="ED33" s="209"/>
      <c r="EE33" s="209"/>
      <c r="EF33" s="209"/>
      <c r="EG33" s="209"/>
      <c r="EH33" s="209"/>
      <c r="EI33" s="209"/>
      <c r="EJ33" s="209"/>
      <c r="EK33" s="209"/>
      <c r="EL33" s="209"/>
      <c r="EM33" s="209"/>
      <c r="EN33" s="209"/>
      <c r="EO33" s="209"/>
      <c r="EP33" s="209"/>
      <c r="EQ33" s="209"/>
      <c r="ER33" s="209"/>
      <c r="ES33" s="209"/>
      <c r="ET33" s="209"/>
      <c r="EU33" s="209"/>
      <c r="EV33" s="209"/>
      <c r="EW33" s="209"/>
      <c r="EX33" s="209"/>
      <c r="EY33" s="209"/>
      <c r="EZ33" s="209"/>
      <c r="FA33" s="209"/>
      <c r="FB33" s="209"/>
      <c r="FC33" s="209"/>
      <c r="FD33" s="209"/>
      <c r="FE33" s="209"/>
      <c r="FF33" s="209"/>
      <c r="FG33" s="209"/>
      <c r="FH33" s="209"/>
      <c r="FI33" s="209"/>
      <c r="FJ33" s="209"/>
      <c r="FK33" s="209"/>
      <c r="FL33" s="209"/>
      <c r="FM33" s="209"/>
      <c r="FN33" s="209"/>
      <c r="FO33" s="209"/>
      <c r="FP33" s="209"/>
      <c r="FQ33" s="209"/>
      <c r="FR33" s="209"/>
      <c r="FS33" s="209"/>
      <c r="FT33" s="209"/>
      <c r="FU33" s="209"/>
      <c r="FV33" s="209"/>
      <c r="FW33" s="209"/>
      <c r="FX33" s="209"/>
      <c r="FY33" s="209"/>
      <c r="FZ33" s="209"/>
      <c r="GA33" s="209"/>
      <c r="GB33" s="209"/>
      <c r="GC33" s="209"/>
      <c r="GD33" s="209"/>
      <c r="GE33" s="209"/>
      <c r="GF33" s="209"/>
      <c r="GG33" s="209"/>
      <c r="GH33" s="209"/>
      <c r="GI33" s="209"/>
      <c r="GJ33" s="209"/>
      <c r="GK33" s="209"/>
      <c r="GL33" s="209"/>
      <c r="GM33" s="209"/>
      <c r="GN33" s="209"/>
      <c r="GO33" s="209"/>
      <c r="GP33" s="209"/>
      <c r="GQ33" s="209"/>
      <c r="GR33" s="209"/>
      <c r="GS33" s="209"/>
      <c r="GT33" s="209"/>
      <c r="GU33" s="209"/>
      <c r="GV33" s="209"/>
      <c r="GW33" s="209"/>
      <c r="GX33" s="209"/>
      <c r="GY33" s="209"/>
      <c r="GZ33" s="209"/>
      <c r="HA33" s="209"/>
      <c r="HB33" s="209"/>
      <c r="HC33" s="209"/>
      <c r="HD33" s="209"/>
      <c r="HE33" s="209"/>
      <c r="HF33" s="209"/>
      <c r="HG33" s="209"/>
      <c r="HH33" s="209"/>
      <c r="HI33" s="209"/>
      <c r="HJ33" s="209"/>
      <c r="HK33" s="209"/>
      <c r="HL33" s="209"/>
      <c r="HM33" s="209"/>
      <c r="HN33" s="209"/>
      <c r="HO33" s="209"/>
      <c r="HP33" s="209"/>
      <c r="HQ33" s="209"/>
      <c r="HR33" s="209"/>
      <c r="HS33" s="209"/>
      <c r="HT33" s="209"/>
      <c r="HU33" s="209"/>
      <c r="HV33" s="209"/>
      <c r="HW33" s="209"/>
      <c r="HX33" s="209"/>
      <c r="HY33" s="209"/>
      <c r="HZ33" s="209"/>
      <c r="IA33" s="209"/>
      <c r="IB33" s="209"/>
      <c r="IC33" s="209"/>
      <c r="ID33" s="209"/>
      <c r="IE33" s="209"/>
      <c r="IF33" s="209"/>
      <c r="IG33" s="209"/>
      <c r="IH33" s="209"/>
      <c r="II33" s="209"/>
      <c r="IJ33" s="209"/>
      <c r="IK33" s="209"/>
      <c r="IL33" s="209"/>
      <c r="IM33" s="209"/>
      <c r="IN33" s="209"/>
      <c r="IO33" s="209"/>
      <c r="IP33" s="209"/>
      <c r="IQ33" s="209"/>
      <c r="IR33" s="209"/>
      <c r="IS33" s="209"/>
      <c r="IT33" s="209"/>
      <c r="IU33" s="209"/>
      <c r="IV33" s="209"/>
      <c r="IW33" s="209"/>
      <c r="IX33" s="209"/>
    </row>
    <row r="34" s="209" customFormat="true" ht="17.4" hidden="false" customHeight="false" outlineLevel="0" collapsed="false">
      <c r="A34" s="31"/>
      <c r="B34" s="30"/>
      <c r="C34" s="30"/>
      <c r="D34" s="85" t="s">
        <v>134</v>
      </c>
      <c r="E34" s="217" t="n">
        <f aca="false">($C$38/($C$38+$C$43))*E39+($C$43/($C$38+$C$43))*E44</f>
        <v>0.116392150583301</v>
      </c>
      <c r="F34" s="89" t="n">
        <f aca="false">($C$38/($C$38+$C$43))*F39+($C$43/($C$38+$C$43))*F44</f>
        <v>0.30016948559677</v>
      </c>
      <c r="G34" s="88" t="n">
        <f aca="false">($C$38/($C$38+$C$43))*G39+($C$43/($C$38+$C$43))*G44</f>
        <v>0.699356073562647</v>
      </c>
      <c r="H34" s="89" t="n">
        <f aca="false">($C$38/($C$38+$C$43))*H39+($C$43/($C$38+$C$43))*H44</f>
        <v>0.0455649589807489</v>
      </c>
      <c r="I34" s="89" t="n">
        <f aca="false">($C$38/($C$38+$C$43))*I39+($C$43/($C$38+$C$43))*I44</f>
        <v>0.03</v>
      </c>
      <c r="J34" s="89" t="n">
        <f aca="false">($C$38/($C$38+$C$43))*J39+($C$43/($C$38+$C$43))*J44</f>
        <v>0</v>
      </c>
      <c r="K34" s="89" t="n">
        <f aca="false">($C$38/($C$38+$C$43))*K39+($C$43/($C$38+$C$43))*K44</f>
        <v>0</v>
      </c>
      <c r="L34" s="89" t="n">
        <f aca="false">($C$38/($C$38+$C$43))*L39+($C$43/($C$38+$C$43))*L44</f>
        <v>0.0362436534968968</v>
      </c>
      <c r="M34" s="89" t="n">
        <f aca="false">($C$38/($C$38+$C$43))*M39+($C$43/($C$38+$C$43))*M44</f>
        <v>0</v>
      </c>
      <c r="N34" s="89" t="n">
        <f aca="false">($C$38/($C$38+$C$43))*N39+($C$43/($C$38+$C$43))*N44</f>
        <v>0.02</v>
      </c>
      <c r="O34" s="89" t="n">
        <f aca="false">($C$38/($C$38+$C$43))*O39+($C$43/($C$38+$C$43))*O44</f>
        <v>0.039147048</v>
      </c>
      <c r="P34" s="89" t="n">
        <f aca="false">($C$38/($C$38+$C$43))*P39+($C$43/($C$38+$C$43))*P44</f>
        <v>0.108271767984466</v>
      </c>
      <c r="Q34" s="89" t="n">
        <f aca="false">($C$38/($C$38+$C$43))*Q39+($C$43/($C$38+$C$43))*Q44</f>
        <v>0</v>
      </c>
      <c r="R34" s="89" t="n">
        <f aca="false">($C$38/($C$38+$C$43))*R39+($C$43/($C$38+$C$43))*R44</f>
        <v>0.130690344255017</v>
      </c>
      <c r="S34" s="89" t="n">
        <f aca="false">($C$38/($C$38+$C$43))*S39+($C$43/($C$38+$C$43))*S44</f>
        <v>0.50919798073393</v>
      </c>
      <c r="T34" s="89" t="n">
        <f aca="false">($C$38/($C$38+$C$43))*T39+($C$43/($C$38+$C$43))*T44</f>
        <v>0.05</v>
      </c>
      <c r="U34" s="89" t="n">
        <f aca="false">($C$38/($C$38+$C$43))*U39+($C$43/($C$38+$C$43))*U44</f>
        <v>0.03</v>
      </c>
      <c r="V34" s="309"/>
      <c r="W34" s="92"/>
      <c r="Z34" s="30"/>
    </row>
    <row r="35" s="209" customFormat="true" ht="17.4" hidden="false" customHeight="false" outlineLevel="0" collapsed="false">
      <c r="A35" s="74"/>
      <c r="B35" s="333"/>
      <c r="C35" s="93"/>
      <c r="D35" s="85" t="s">
        <v>135</v>
      </c>
      <c r="E35" s="217" t="n">
        <f aca="false">($C$38/($C$38+$C$43))*E40+($C$43/($C$38+$C$43))*E45</f>
        <v>0</v>
      </c>
      <c r="F35" s="89" t="n">
        <f aca="false">($C$38/($C$38+$C$43))*F40+($C$43/($C$38+$C$43))*F45</f>
        <v>3.24992047390031E-005</v>
      </c>
      <c r="G35" s="88" t="n">
        <f aca="false">($C$38/($C$38+$C$43))*G40+($C$43/($C$38+$C$43))*G45</f>
        <v>5.80129312542998E-005</v>
      </c>
      <c r="H35" s="89" t="n">
        <f aca="false">($C$38/($C$38+$C$43))*H40+($C$43/($C$38+$C$43))*H45</f>
        <v>1.21988040373863E-010</v>
      </c>
      <c r="I35" s="89" t="n">
        <f aca="false">($C$38/($C$38+$C$43))*I40+($C$43/($C$38+$C$43))*I45</f>
        <v>0</v>
      </c>
      <c r="J35" s="89" t="n">
        <f aca="false">($C$38/($C$38+$C$43))*J40+($C$43/($C$38+$C$43))*J45</f>
        <v>0</v>
      </c>
      <c r="K35" s="89" t="n">
        <f aca="false">($C$38/($C$38+$C$43))*K40+($C$43/($C$38+$C$43))*K45</f>
        <v>0</v>
      </c>
      <c r="L35" s="89" t="n">
        <f aca="false">($C$38/($C$38+$C$43))*L40+($C$43/($C$38+$C$43))*L45</f>
        <v>1.6054716373823E-005</v>
      </c>
      <c r="M35" s="89" t="n">
        <f aca="false">($C$38/($C$38+$C$43))*M40+($C$43/($C$38+$C$43))*M45</f>
        <v>0</v>
      </c>
      <c r="N35" s="89" t="n">
        <f aca="false">($C$38/($C$38+$C$43))*N40+($C$43/($C$38+$C$43))*N45</f>
        <v>0</v>
      </c>
      <c r="O35" s="89" t="n">
        <f aca="false">($C$38/($C$38+$C$43))*O40+($C$43/($C$38+$C$43))*O45</f>
        <v>1.417698E-005</v>
      </c>
      <c r="P35" s="89" t="n">
        <f aca="false">($C$38/($C$38+$C$43))*P40+($C$43/($C$38+$C$43))*P45</f>
        <v>0</v>
      </c>
      <c r="Q35" s="89" t="n">
        <f aca="false">($C$38/($C$38+$C$43))*Q40+($C$43/($C$38+$C$43))*Q45</f>
        <v>0</v>
      </c>
      <c r="R35" s="89" t="n">
        <f aca="false">($C$38/($C$38+$C$43))*R40+($C$43/($C$38+$C$43))*R45</f>
        <v>8.85665385058978E-006</v>
      </c>
      <c r="S35" s="89" t="n">
        <f aca="false">($C$38/($C$38+$C$43))*S40+($C$43/($C$38+$C$43))*S45</f>
        <v>4.88751056058825E-005</v>
      </c>
      <c r="T35" s="89" t="n">
        <f aca="false">($C$38/($C$38+$C$43))*T40+($C$43/($C$38+$C$43))*T45</f>
        <v>0</v>
      </c>
      <c r="U35" s="89" t="n">
        <f aca="false">($C$38/($C$38+$C$43))*U40+($C$43/($C$38+$C$43))*U45</f>
        <v>0</v>
      </c>
      <c r="V35" s="309"/>
      <c r="W35" s="92"/>
      <c r="Z35" s="30"/>
    </row>
    <row r="36" s="209" customFormat="true" ht="17.4" hidden="false" customHeight="false" outlineLevel="0" collapsed="false">
      <c r="A36" s="100"/>
      <c r="B36" s="30"/>
      <c r="C36" s="87"/>
      <c r="D36" s="31" t="s">
        <v>136</v>
      </c>
      <c r="E36" s="217" t="n">
        <f aca="false">($C$38/($C$38+$C$43))*E41+($C$43/($C$38+$C$43))*E46</f>
        <v>0.000870937587043014</v>
      </c>
      <c r="F36" s="89" t="n">
        <f aca="false">($C$38/($C$38+$C$43))*F41+($C$43/($C$38+$C$43))*F46</f>
        <v>0.00107235676779162</v>
      </c>
      <c r="G36" s="88" t="n">
        <f aca="false">($C$38/($C$38+$C$43))*G41+($C$43/($C$38+$C$43))*G46</f>
        <v>0.00150543258423522</v>
      </c>
      <c r="H36" s="89" t="n">
        <f aca="false">($C$38/($C$38+$C$43))*H41+($C$43/($C$38+$C$43))*H46</f>
        <v>0.000185071189085858</v>
      </c>
      <c r="I36" s="89" t="n">
        <f aca="false">($C$38/($C$38+$C$43))*I41+($C$43/($C$38+$C$43))*I46</f>
        <v>0</v>
      </c>
      <c r="J36" s="89" t="n">
        <f aca="false">($C$38/($C$38+$C$43))*J41+($C$43/($C$38+$C$43))*J46</f>
        <v>0.000736522272340815</v>
      </c>
      <c r="K36" s="89" t="n">
        <f aca="false">($C$38/($C$38+$C$43))*K41+($C$43/($C$38+$C$43))*K46</f>
        <v>7.36522272340815E-005</v>
      </c>
      <c r="L36" s="89" t="n">
        <f aca="false">($C$38/($C$38+$C$43))*L41+($C$43/($C$38+$C$43))*L46</f>
        <v>9.73881100285426E-007</v>
      </c>
      <c r="M36" s="89" t="n">
        <f aca="false">($C$38/($C$38+$C$43))*M41+($C$43/($C$38+$C$43))*M46</f>
        <v>0</v>
      </c>
      <c r="N36" s="89" t="n">
        <f aca="false">($C$38/($C$38+$C$43))*N41+($C$43/($C$38+$C$43))*N46</f>
        <v>0</v>
      </c>
      <c r="O36" s="89" t="n">
        <f aca="false">($C$38/($C$38+$C$43))*O41+($C$43/($C$38+$C$43))*O46</f>
        <v>1.32160958E-006</v>
      </c>
      <c r="P36" s="89" t="n">
        <f aca="false">($C$38/($C$38+$C$43))*P41+($C$43/($C$38+$C$43))*P46</f>
        <v>0</v>
      </c>
      <c r="Q36" s="89" t="n">
        <f aca="false">($C$38/($C$38+$C$43))*Q41+($C$43/($C$38+$C$43))*Q46</f>
        <v>0</v>
      </c>
      <c r="R36" s="89" t="n">
        <f aca="false">($C$38/($C$38+$C$43))*R41+($C$43/($C$38+$C$43))*R46</f>
        <v>8.2563695340498E-007</v>
      </c>
      <c r="S36" s="89" t="n">
        <f aca="false">($C$38/($C$38+$C$43))*S41+($C$43/($C$38+$C$43))*S46</f>
        <v>0.00126830647833503</v>
      </c>
      <c r="T36" s="89" t="n">
        <f aca="false">($C$38/($C$38+$C$43))*T41+($C$43/($C$38+$C$43))*T46</f>
        <v>0</v>
      </c>
      <c r="U36" s="89" t="n">
        <f aca="false">($C$38/($C$38+$C$43))*U41+($C$43/($C$38+$C$43))*U46</f>
        <v>0</v>
      </c>
      <c r="V36" s="309"/>
      <c r="W36" s="92"/>
      <c r="Z36" s="30"/>
    </row>
    <row r="37" s="329" customFormat="true" ht="17.4" hidden="false" customHeight="false" outlineLevel="0" collapsed="false">
      <c r="A37" s="319" t="s">
        <v>264</v>
      </c>
      <c r="B37" s="320"/>
      <c r="C37" s="321"/>
      <c r="D37" s="322"/>
      <c r="E37" s="323"/>
      <c r="F37" s="324"/>
      <c r="G37" s="325"/>
      <c r="H37" s="321"/>
      <c r="I37" s="321"/>
      <c r="J37" s="321"/>
      <c r="K37" s="326"/>
      <c r="L37" s="326"/>
      <c r="M37" s="327"/>
      <c r="N37" s="326"/>
      <c r="O37" s="326"/>
      <c r="P37" s="326"/>
      <c r="Q37" s="326"/>
      <c r="R37" s="326"/>
      <c r="S37" s="326"/>
      <c r="T37" s="326"/>
      <c r="U37" s="326"/>
      <c r="V37" s="309"/>
      <c r="W37" s="92"/>
      <c r="X37" s="209"/>
      <c r="Y37" s="209"/>
      <c r="Z37" s="30"/>
      <c r="AA37" s="209"/>
      <c r="AB37" s="209"/>
      <c r="AC37" s="209"/>
      <c r="AD37" s="209"/>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c r="BQ37" s="209"/>
      <c r="BR37" s="209"/>
      <c r="BS37" s="209"/>
      <c r="BT37" s="209"/>
      <c r="BU37" s="209"/>
      <c r="BV37" s="209"/>
      <c r="BW37" s="209"/>
      <c r="BX37" s="209"/>
      <c r="BY37" s="209"/>
      <c r="BZ37" s="209"/>
      <c r="CA37" s="209"/>
      <c r="CB37" s="209"/>
      <c r="CC37" s="209"/>
      <c r="CD37" s="209"/>
      <c r="CE37" s="209"/>
      <c r="CF37" s="209"/>
      <c r="CG37" s="209"/>
      <c r="CH37" s="209"/>
      <c r="CI37" s="209"/>
      <c r="CJ37" s="209"/>
      <c r="CK37" s="209"/>
      <c r="CL37" s="209"/>
      <c r="CM37" s="209"/>
      <c r="CN37" s="209"/>
      <c r="CO37" s="209"/>
      <c r="CP37" s="209"/>
      <c r="CQ37" s="209"/>
      <c r="CR37" s="209"/>
      <c r="CS37" s="209"/>
      <c r="CT37" s="209"/>
      <c r="CU37" s="209"/>
      <c r="CV37" s="209"/>
      <c r="CW37" s="209"/>
      <c r="CX37" s="209"/>
      <c r="CY37" s="209"/>
      <c r="CZ37" s="209"/>
      <c r="DA37" s="209"/>
      <c r="DB37" s="209"/>
      <c r="DC37" s="209"/>
      <c r="DD37" s="209"/>
      <c r="DE37" s="209"/>
      <c r="DF37" s="209"/>
      <c r="DG37" s="209"/>
      <c r="DH37" s="209"/>
      <c r="DI37" s="209"/>
      <c r="DJ37" s="209"/>
      <c r="DK37" s="209"/>
      <c r="DL37" s="209"/>
      <c r="DM37" s="209"/>
      <c r="DN37" s="209"/>
      <c r="DO37" s="209"/>
      <c r="DP37" s="209"/>
      <c r="DQ37" s="209"/>
      <c r="DR37" s="209"/>
      <c r="DS37" s="209"/>
      <c r="DT37" s="209"/>
      <c r="DU37" s="209"/>
      <c r="DV37" s="209"/>
      <c r="DW37" s="209"/>
      <c r="DX37" s="209"/>
      <c r="DY37" s="209"/>
      <c r="DZ37" s="209"/>
      <c r="EA37" s="209"/>
      <c r="EB37" s="209"/>
      <c r="EC37" s="209"/>
      <c r="ED37" s="209"/>
      <c r="EE37" s="209"/>
      <c r="EF37" s="209"/>
      <c r="EG37" s="209"/>
      <c r="EH37" s="209"/>
      <c r="EI37" s="209"/>
      <c r="EJ37" s="209"/>
      <c r="EK37" s="209"/>
      <c r="EL37" s="209"/>
      <c r="EM37" s="209"/>
      <c r="EN37" s="209"/>
      <c r="EO37" s="209"/>
      <c r="EP37" s="209"/>
      <c r="EQ37" s="209"/>
      <c r="ER37" s="209"/>
      <c r="ES37" s="209"/>
      <c r="ET37" s="209"/>
      <c r="EU37" s="209"/>
      <c r="EV37" s="209"/>
      <c r="EW37" s="209"/>
      <c r="EX37" s="209"/>
      <c r="EY37" s="209"/>
      <c r="EZ37" s="209"/>
      <c r="FA37" s="209"/>
      <c r="FB37" s="209"/>
      <c r="FC37" s="209"/>
      <c r="FD37" s="209"/>
      <c r="FE37" s="209"/>
      <c r="FF37" s="209"/>
      <c r="FG37" s="209"/>
      <c r="FH37" s="209"/>
      <c r="FI37" s="209"/>
      <c r="FJ37" s="209"/>
      <c r="FK37" s="209"/>
      <c r="FL37" s="209"/>
      <c r="FM37" s="209"/>
      <c r="FN37" s="209"/>
      <c r="FO37" s="209"/>
      <c r="FP37" s="209"/>
      <c r="FQ37" s="209"/>
      <c r="FR37" s="209"/>
      <c r="FS37" s="209"/>
      <c r="FT37" s="209"/>
      <c r="FU37" s="209"/>
      <c r="FV37" s="209"/>
      <c r="FW37" s="209"/>
      <c r="FX37" s="209"/>
      <c r="FY37" s="209"/>
      <c r="FZ37" s="209"/>
      <c r="GA37" s="209"/>
      <c r="GB37" s="209"/>
      <c r="GC37" s="209"/>
      <c r="GD37" s="209"/>
      <c r="GE37" s="209"/>
      <c r="GF37" s="209"/>
      <c r="GG37" s="209"/>
      <c r="GH37" s="209"/>
      <c r="GI37" s="209"/>
      <c r="GJ37" s="209"/>
      <c r="GK37" s="209"/>
      <c r="GL37" s="209"/>
      <c r="GM37" s="209"/>
      <c r="GN37" s="209"/>
      <c r="GO37" s="209"/>
      <c r="GP37" s="209"/>
      <c r="GQ37" s="209"/>
      <c r="GR37" s="209"/>
      <c r="GS37" s="209"/>
      <c r="GT37" s="209"/>
      <c r="GU37" s="209"/>
      <c r="GV37" s="209"/>
      <c r="GW37" s="209"/>
      <c r="GX37" s="209"/>
      <c r="GY37" s="209"/>
      <c r="GZ37" s="209"/>
      <c r="HA37" s="209"/>
      <c r="HB37" s="209"/>
      <c r="HC37" s="209"/>
      <c r="HD37" s="209"/>
      <c r="HE37" s="209"/>
      <c r="HF37" s="209"/>
      <c r="HG37" s="209"/>
      <c r="HH37" s="209"/>
      <c r="HI37" s="209"/>
      <c r="HJ37" s="209"/>
      <c r="HK37" s="209"/>
      <c r="HL37" s="209"/>
      <c r="HM37" s="209"/>
      <c r="HN37" s="209"/>
      <c r="HO37" s="209"/>
      <c r="HP37" s="209"/>
      <c r="HQ37" s="209"/>
      <c r="HR37" s="209"/>
      <c r="HS37" s="209"/>
      <c r="HT37" s="209"/>
      <c r="HU37" s="209"/>
      <c r="HV37" s="209"/>
      <c r="HW37" s="209"/>
      <c r="HX37" s="209"/>
      <c r="HY37" s="209"/>
      <c r="HZ37" s="209"/>
      <c r="IA37" s="209"/>
      <c r="IB37" s="209"/>
      <c r="IC37" s="209"/>
      <c r="ID37" s="209"/>
      <c r="IE37" s="209"/>
      <c r="IF37" s="209"/>
      <c r="IG37" s="209"/>
      <c r="IH37" s="209"/>
      <c r="II37" s="209"/>
      <c r="IJ37" s="209"/>
      <c r="IK37" s="209"/>
      <c r="IL37" s="209"/>
      <c r="IM37" s="209"/>
      <c r="IN37" s="209"/>
      <c r="IO37" s="209"/>
      <c r="IP37" s="209"/>
      <c r="IQ37" s="209"/>
      <c r="IR37" s="209"/>
      <c r="IS37" s="209"/>
      <c r="IT37" s="209"/>
      <c r="IU37" s="209"/>
      <c r="IV37" s="209"/>
      <c r="IW37" s="209"/>
      <c r="IX37" s="209"/>
    </row>
    <row r="38" s="332" customFormat="true" ht="17.4" hidden="false" customHeight="false" outlineLevel="0" collapsed="false">
      <c r="A38" s="330" t="s">
        <v>137</v>
      </c>
      <c r="B38" s="331" t="s">
        <v>254</v>
      </c>
      <c r="C38" s="97" t="n">
        <f aca="false">'Input data plant-based products'!D8</f>
        <v>0.00227371308812927</v>
      </c>
      <c r="D38" s="78" t="s">
        <v>133</v>
      </c>
      <c r="E38" s="94" t="n">
        <f aca="false">IF($F$1="GWP100 without fb",E39+E40*'Common input data'!$C$5+E41*'Common input data'!$D$5,IF($F$1="GWP100 with fb",E39+E40*'Common input data'!$C$6+E41*'Common input data'!$D$6,IF($F$1="GTP100 without fb",E39+E40*'Common input data'!$C$7+E41*'Common input data'!$D$7,IF($F$1="GTP100 with fb",E39+E40*'Common input data'!$C$8+E41*'Common input data'!$D$8,E39+E40*'Common input data'!$C$9+E41*'Common input data'!$D$9))))</f>
        <v>0.35332048211373</v>
      </c>
      <c r="F38" s="95" t="n">
        <f aca="false">IF($F$1="GWP100 without fb",F39+F40*'Common input data'!$C$5+F41*'Common input data'!$D$5,IF($F$1="GWP100 with fb",F39+F40*'Common input data'!$C$6+F41*'Common input data'!$D$6,IF($F$1="GTP100 without fb",F39+F40*'Common input data'!$C$7+F41*'Common input data'!$D$7,IF($F$1="GTP100 with fb",F39+F40*'Common input data'!$C$8+F41*'Common input data'!$D$8,F39+F40*'Common input data'!$C$9+F41*'Common input data'!$D$9))))</f>
        <v>0.588487911846381</v>
      </c>
      <c r="G38" s="96" t="n">
        <f aca="false">IF($F$1="GWP100 without fb",G39+G40*'Common input data'!$C$5+G41*'Common input data'!$D$5,IF($F$1="GWP100 with fb",G39+G40*'Common input data'!$C$6+G41*'Common input data'!$D$6,IF($F$1="GTP100 without fb",G39+G40*'Common input data'!$C$7+G41*'Common input data'!$D$7,IF($F$1="GTP100 with fb",G39+G40*'Common input data'!$C$8+G41*'Common input data'!$D$8,G39+G40*'Common input data'!$C$9+G41*'Common input data'!$D$9))))</f>
        <v>1.10456927234322</v>
      </c>
      <c r="H38" s="83"/>
      <c r="I38" s="83"/>
      <c r="J38" s="83"/>
      <c r="K38" s="83"/>
      <c r="L38" s="83"/>
      <c r="M38" s="83"/>
      <c r="N38" s="83"/>
      <c r="O38" s="83"/>
      <c r="P38" s="83"/>
      <c r="Q38" s="83"/>
      <c r="R38" s="83"/>
      <c r="S38" s="83"/>
      <c r="T38" s="83"/>
      <c r="U38" s="83"/>
      <c r="V38" s="309"/>
      <c r="W38" s="92"/>
      <c r="X38" s="209"/>
      <c r="Y38" s="209"/>
      <c r="Z38" s="30"/>
      <c r="AA38" s="209"/>
      <c r="AB38" s="209"/>
      <c r="AC38" s="209"/>
      <c r="AD38" s="209"/>
      <c r="AE38" s="209"/>
      <c r="AF38" s="209"/>
      <c r="AG38" s="209"/>
      <c r="AH38" s="209"/>
      <c r="AI38" s="209"/>
      <c r="AJ38" s="209"/>
      <c r="AK38" s="209"/>
      <c r="AL38" s="209"/>
      <c r="AM38" s="209"/>
      <c r="AN38" s="209"/>
      <c r="AO38" s="209"/>
      <c r="AP38" s="209"/>
      <c r="AQ38" s="209"/>
      <c r="AR38" s="209"/>
      <c r="AS38" s="209"/>
      <c r="AT38" s="209"/>
      <c r="AU38" s="209"/>
      <c r="AV38" s="209"/>
      <c r="AW38" s="209"/>
      <c r="AX38" s="209"/>
      <c r="AY38" s="209"/>
      <c r="AZ38" s="209"/>
      <c r="BA38" s="209"/>
      <c r="BB38" s="209"/>
      <c r="BC38" s="209"/>
      <c r="BD38" s="209"/>
      <c r="BE38" s="209"/>
      <c r="BF38" s="209"/>
      <c r="BG38" s="209"/>
      <c r="BH38" s="209"/>
      <c r="BI38" s="209"/>
      <c r="BJ38" s="209"/>
      <c r="BK38" s="209"/>
      <c r="BL38" s="209"/>
      <c r="BM38" s="209"/>
      <c r="BN38" s="209"/>
      <c r="BO38" s="209"/>
      <c r="BP38" s="209"/>
      <c r="BQ38" s="209"/>
      <c r="BR38" s="209"/>
      <c r="BS38" s="209"/>
      <c r="BT38" s="209"/>
      <c r="BU38" s="209"/>
      <c r="BV38" s="209"/>
      <c r="BW38" s="209"/>
      <c r="BX38" s="209"/>
      <c r="BY38" s="209"/>
      <c r="BZ38" s="209"/>
      <c r="CA38" s="209"/>
      <c r="CB38" s="209"/>
      <c r="CC38" s="209"/>
      <c r="CD38" s="209"/>
      <c r="CE38" s="209"/>
      <c r="CF38" s="209"/>
      <c r="CG38" s="209"/>
      <c r="CH38" s="209"/>
      <c r="CI38" s="209"/>
      <c r="CJ38" s="209"/>
      <c r="CK38" s="209"/>
      <c r="CL38" s="209"/>
      <c r="CM38" s="209"/>
      <c r="CN38" s="209"/>
      <c r="CO38" s="209"/>
      <c r="CP38" s="209"/>
      <c r="CQ38" s="209"/>
      <c r="CR38" s="209"/>
      <c r="CS38" s="209"/>
      <c r="CT38" s="209"/>
      <c r="CU38" s="209"/>
      <c r="CV38" s="209"/>
      <c r="CW38" s="209"/>
      <c r="CX38" s="209"/>
      <c r="CY38" s="209"/>
      <c r="CZ38" s="209"/>
      <c r="DA38" s="209"/>
      <c r="DB38" s="209"/>
      <c r="DC38" s="209"/>
      <c r="DD38" s="209"/>
      <c r="DE38" s="209"/>
      <c r="DF38" s="209"/>
      <c r="DG38" s="209"/>
      <c r="DH38" s="209"/>
      <c r="DI38" s="209"/>
      <c r="DJ38" s="209"/>
      <c r="DK38" s="209"/>
      <c r="DL38" s="209"/>
      <c r="DM38" s="209"/>
      <c r="DN38" s="209"/>
      <c r="DO38" s="209"/>
      <c r="DP38" s="209"/>
      <c r="DQ38" s="209"/>
      <c r="DR38" s="209"/>
      <c r="DS38" s="209"/>
      <c r="DT38" s="209"/>
      <c r="DU38" s="209"/>
      <c r="DV38" s="209"/>
      <c r="DW38" s="209"/>
      <c r="DX38" s="209"/>
      <c r="DY38" s="209"/>
      <c r="DZ38" s="209"/>
      <c r="EA38" s="209"/>
      <c r="EB38" s="209"/>
      <c r="EC38" s="209"/>
      <c r="ED38" s="209"/>
      <c r="EE38" s="209"/>
      <c r="EF38" s="209"/>
      <c r="EG38" s="209"/>
      <c r="EH38" s="209"/>
      <c r="EI38" s="209"/>
      <c r="EJ38" s="209"/>
      <c r="EK38" s="209"/>
      <c r="EL38" s="209"/>
      <c r="EM38" s="209"/>
      <c r="EN38" s="209"/>
      <c r="EO38" s="209"/>
      <c r="EP38" s="209"/>
      <c r="EQ38" s="209"/>
      <c r="ER38" s="209"/>
      <c r="ES38" s="209"/>
      <c r="ET38" s="209"/>
      <c r="EU38" s="209"/>
      <c r="EV38" s="209"/>
      <c r="EW38" s="209"/>
      <c r="EX38" s="209"/>
      <c r="EY38" s="209"/>
      <c r="EZ38" s="209"/>
      <c r="FA38" s="209"/>
      <c r="FB38" s="209"/>
      <c r="FC38" s="209"/>
      <c r="FD38" s="209"/>
      <c r="FE38" s="209"/>
      <c r="FF38" s="209"/>
      <c r="FG38" s="209"/>
      <c r="FH38" s="209"/>
      <c r="FI38" s="209"/>
      <c r="FJ38" s="209"/>
      <c r="FK38" s="209"/>
      <c r="FL38" s="209"/>
      <c r="FM38" s="209"/>
      <c r="FN38" s="209"/>
      <c r="FO38" s="209"/>
      <c r="FP38" s="209"/>
      <c r="FQ38" s="209"/>
      <c r="FR38" s="209"/>
      <c r="FS38" s="209"/>
      <c r="FT38" s="209"/>
      <c r="FU38" s="209"/>
      <c r="FV38" s="209"/>
      <c r="FW38" s="209"/>
      <c r="FX38" s="209"/>
      <c r="FY38" s="209"/>
      <c r="FZ38" s="209"/>
      <c r="GA38" s="209"/>
      <c r="GB38" s="209"/>
      <c r="GC38" s="209"/>
      <c r="GD38" s="209"/>
      <c r="GE38" s="209"/>
      <c r="GF38" s="209"/>
      <c r="GG38" s="209"/>
      <c r="GH38" s="209"/>
      <c r="GI38" s="209"/>
      <c r="GJ38" s="209"/>
      <c r="GK38" s="209"/>
      <c r="GL38" s="209"/>
      <c r="GM38" s="209"/>
      <c r="GN38" s="209"/>
      <c r="GO38" s="209"/>
      <c r="GP38" s="209"/>
      <c r="GQ38" s="209"/>
      <c r="GR38" s="209"/>
      <c r="GS38" s="209"/>
      <c r="GT38" s="209"/>
      <c r="GU38" s="209"/>
      <c r="GV38" s="209"/>
      <c r="GW38" s="209"/>
      <c r="GX38" s="209"/>
      <c r="GY38" s="209"/>
      <c r="GZ38" s="209"/>
      <c r="HA38" s="209"/>
      <c r="HB38" s="209"/>
      <c r="HC38" s="209"/>
      <c r="HD38" s="209"/>
      <c r="HE38" s="209"/>
      <c r="HF38" s="209"/>
      <c r="HG38" s="209"/>
      <c r="HH38" s="209"/>
      <c r="HI38" s="209"/>
      <c r="HJ38" s="209"/>
      <c r="HK38" s="209"/>
      <c r="HL38" s="209"/>
      <c r="HM38" s="209"/>
      <c r="HN38" s="209"/>
      <c r="HO38" s="209"/>
      <c r="HP38" s="209"/>
      <c r="HQ38" s="209"/>
      <c r="HR38" s="209"/>
      <c r="HS38" s="209"/>
      <c r="HT38" s="209"/>
      <c r="HU38" s="209"/>
      <c r="HV38" s="209"/>
      <c r="HW38" s="209"/>
      <c r="HX38" s="209"/>
      <c r="HY38" s="209"/>
      <c r="HZ38" s="209"/>
      <c r="IA38" s="209"/>
      <c r="IB38" s="209"/>
      <c r="IC38" s="209"/>
      <c r="ID38" s="209"/>
      <c r="IE38" s="209"/>
      <c r="IF38" s="209"/>
      <c r="IG38" s="209"/>
      <c r="IH38" s="209"/>
      <c r="II38" s="209"/>
      <c r="IJ38" s="209"/>
      <c r="IK38" s="209"/>
      <c r="IL38" s="209"/>
      <c r="IM38" s="209"/>
      <c r="IN38" s="209"/>
      <c r="IO38" s="209"/>
      <c r="IP38" s="209"/>
      <c r="IQ38" s="209"/>
      <c r="IR38" s="209"/>
      <c r="IS38" s="209"/>
      <c r="IT38" s="209"/>
      <c r="IU38" s="209"/>
      <c r="IV38" s="209"/>
      <c r="IW38" s="209"/>
      <c r="IX38" s="209"/>
    </row>
    <row r="39" s="209" customFormat="true" ht="17.4" hidden="false" customHeight="false" outlineLevel="0" collapsed="false">
      <c r="A39" s="99"/>
      <c r="B39" s="31"/>
      <c r="C39" s="30"/>
      <c r="D39" s="85" t="s">
        <v>134</v>
      </c>
      <c r="E39" s="217" t="n">
        <f aca="false">IF(AND($F$2="No",$F$3="No"),SUM(J39:K39)*'Input data plant-based products'!O$120,IF(AND($F$2="Yes", $F$3="No"), (SUM(J39:K39)+Q39)*'Input data plant-based products'!O$120, IF(AND($F$2="No", $F$3="Yes"),(SUM(J39:K39)+P39)*'Input data plant-based products'!O$120, (SUM(J39:K39)+Q39+P39)*'Input data plant-based products'!O$120)))</f>
        <v>0.116392150583301</v>
      </c>
      <c r="F39" s="89" t="n">
        <f aca="false">IF(AND($F$2="No",$F$3="No"),SUM(H39:O39)*'Input data plant-based products'!O$120,IF(AND($F$2="Yes", $F$3="No"), (SUM(H39:O39)+Q39)*'Input data plant-based products'!O$120, IF(AND($F$2="No", $F$3="Yes"),(SUM(H39:O39)+P39)*'Input data plant-based products'!O$120, (SUM(H39:O39)+Q39+P39)*'Input data plant-based products'!O$120)))</f>
        <v>0.291832028355442</v>
      </c>
      <c r="G39" s="88" t="n">
        <f aca="false">SUM(S39:U39)/(1-'Common input data'!$B$122)</f>
        <v>0.687660503690026</v>
      </c>
      <c r="H39" s="87" t="n">
        <f aca="false">('Input data plant-based products'!$F$8*('Common input data'!$B$76*'Common input data'!B69+'Common input data'!$B$77*'Common input data'!C69))/'Input data plant-based products'!$E$8</f>
        <v>0.0446185178792364</v>
      </c>
      <c r="I39" s="89" t="n">
        <f aca="false">'Common input data'!$B$81</f>
        <v>0.03</v>
      </c>
      <c r="J39" s="87" t="n">
        <v>0</v>
      </c>
      <c r="K39" s="87" t="n">
        <v>0</v>
      </c>
      <c r="L39" s="87" t="n">
        <f aca="false">('Input data plant-based products'!$I$8*'Common input data'!$C$59*'Common input data'!H49)/'Input data plant-based products'!$E$8</f>
        <v>0.0294343204204299</v>
      </c>
      <c r="M39" s="89" t="n">
        <v>0</v>
      </c>
      <c r="N39" s="89" t="n">
        <f aca="false">'Input data plant-based products'!G$152</f>
        <v>0.02</v>
      </c>
      <c r="O39" s="89" t="n">
        <f aca="false">'Input data plant-based products'!$B$120*'Common input data'!$B$59*'Common input data'!B49+'Input data plant-based products'!C$120*'Common input data'!B63</f>
        <v>0.039147048</v>
      </c>
      <c r="P39" s="89" t="n">
        <f aca="false">'Common input data'!B$13</f>
        <v>0.108271767984466</v>
      </c>
      <c r="Q39" s="89" t="n">
        <v>0</v>
      </c>
      <c r="R39" s="87" t="n">
        <f aca="false">'Input data plant-based products'!$E$120*'Common input data'!$B$59*'Common input data'!B49+'Input data plant-based products'!F$120*'Common input data'!B63</f>
        <v>0.130690344255017</v>
      </c>
      <c r="S39" s="89" t="n">
        <f aca="false">(F39+R39)*'Common input data'!$D$28/'Common input data'!$C$28</f>
        <v>0.499344622175997</v>
      </c>
      <c r="T39" s="89" t="n">
        <f aca="false">'Common input data'!$B$88</f>
        <v>0.05</v>
      </c>
      <c r="U39" s="89" t="n">
        <f aca="false">'Common input data'!C$98</f>
        <v>0.03</v>
      </c>
      <c r="V39" s="309"/>
      <c r="W39" s="92"/>
      <c r="Z39" s="30"/>
    </row>
    <row r="40" s="209" customFormat="true" ht="17.4" hidden="false" customHeight="false" outlineLevel="0" collapsed="false">
      <c r="A40" s="74"/>
      <c r="B40" s="31"/>
      <c r="C40" s="93"/>
      <c r="D40" s="85" t="s">
        <v>135</v>
      </c>
      <c r="E40" s="217" t="n">
        <f aca="false">SUM(J40:K40)*'Input data plant-based products'!O$120</f>
        <v>0</v>
      </c>
      <c r="F40" s="89" t="n">
        <f aca="false">SUM(H40:O40)*'Input data plant-based products'!O$120</f>
        <v>2.92566742001353E-005</v>
      </c>
      <c r="G40" s="88" t="n">
        <f aca="false">SUM(S40:U40)/(1-'Common input data'!$B$122)</f>
        <v>5.34643930868769E-005</v>
      </c>
      <c r="H40" s="87" t="n">
        <f aca="false">('Input data plant-based products'!$F$8*('Common input data'!$B$76*'Common input data'!B70+'Common input data'!$B$77*'Common input data'!C70))/'Input data plant-based products'!$E$8</f>
        <v>1.19454196431381E-010</v>
      </c>
      <c r="I40" s="89" t="n">
        <v>0</v>
      </c>
      <c r="J40" s="87" t="n">
        <v>0</v>
      </c>
      <c r="K40" s="87" t="n">
        <v>0</v>
      </c>
      <c r="L40" s="87" t="n">
        <f aca="false">('Input data plant-based products'!$I$8*'Common input data'!$C$59*'Common input data'!H50)/'Input data plant-based products'!$E$8</f>
        <v>1.30384114296504E-005</v>
      </c>
      <c r="M40" s="89" t="n">
        <v>0</v>
      </c>
      <c r="N40" s="89" t="n">
        <v>0</v>
      </c>
      <c r="O40" s="87" t="n">
        <f aca="false">'Input data plant-based products'!$B$120*'Common input data'!$B$59*'Common input data'!B50</f>
        <v>1.417698E-005</v>
      </c>
      <c r="P40" s="87" t="n">
        <v>0</v>
      </c>
      <c r="Q40" s="89" t="n">
        <v>0</v>
      </c>
      <c r="R40" s="87" t="n">
        <f aca="false">'Input data plant-based products'!$E$120*'Common input data'!$B$59*'Common input data'!B50</f>
        <v>8.85665385058978E-006</v>
      </c>
      <c r="S40" s="89" t="n">
        <f aca="false">(F40+R40)*'Common input data'!$D$28/'Common input data'!$C$28</f>
        <v>4.50430240599478E-005</v>
      </c>
      <c r="T40" s="89" t="n">
        <v>0</v>
      </c>
      <c r="U40" s="89" t="n">
        <v>0</v>
      </c>
      <c r="V40" s="309"/>
      <c r="W40" s="92"/>
      <c r="Z40" s="30"/>
    </row>
    <row r="41" s="209" customFormat="true" ht="17.4" hidden="false" customHeight="false" outlineLevel="0" collapsed="false">
      <c r="A41" s="100"/>
      <c r="B41" s="101"/>
      <c r="C41" s="87"/>
      <c r="D41" s="31" t="s">
        <v>136</v>
      </c>
      <c r="E41" s="217" t="n">
        <f aca="false">SUM(J41:K41)*'Input data plant-based products'!O$120</f>
        <v>0.000795061515202784</v>
      </c>
      <c r="F41" s="89" t="n">
        <f aca="false">SUM(H41:O41)*'Input data plant-based products'!O$120</f>
        <v>0.000992151532107832</v>
      </c>
      <c r="G41" s="88" t="n">
        <f aca="false">SUM(S41:U41)/(1-'Common input data'!$B$122)</f>
        <v>0.00139292274928938</v>
      </c>
      <c r="H41" s="87" t="n">
        <f aca="false">('Input data plant-based products'!$F$8*('Common input data'!$B$76*'Common input data'!B71+'Common input data'!$B$77*'Common input data'!C71))/'Input data plant-based products'!$E$8</f>
        <v>0.000181227029363677</v>
      </c>
      <c r="I41" s="87" t="n">
        <v>0</v>
      </c>
      <c r="J41" s="87" t="n">
        <f aca="false">(SUM('Input data plant-based products'!F8:H8)*'Input data plant-based products'!$B$114*44/28)/'Input data plant-based products'!E8</f>
        <v>0.000672356461059437</v>
      </c>
      <c r="K41" s="89" t="n">
        <f aca="false">J41*'Input data plant-based products'!$B$115</f>
        <v>6.72356461059437E-005</v>
      </c>
      <c r="L41" s="87" t="n">
        <f aca="false">('Input data plant-based products'!$I$8*'Common input data'!$C$59*'Common input data'!H51)/'Input data plant-based products'!$E$8</f>
        <v>7.90911665670139E-007</v>
      </c>
      <c r="M41" s="89" t="n">
        <v>0</v>
      </c>
      <c r="N41" s="89" t="n">
        <v>0</v>
      </c>
      <c r="O41" s="87" t="n">
        <f aca="false">'Input data plant-based products'!$B$120*'Common input data'!$B$59*'Common input data'!B51</f>
        <v>1.32160958E-006</v>
      </c>
      <c r="P41" s="87" t="n">
        <v>0</v>
      </c>
      <c r="Q41" s="89" t="n">
        <v>0</v>
      </c>
      <c r="R41" s="87" t="n">
        <f aca="false">'Input data plant-based products'!$E$120*'Common input data'!$B$59*'Common input data'!B51</f>
        <v>8.2563695340498E-007</v>
      </c>
      <c r="S41" s="89" t="n">
        <f aca="false">(F41+R41)*'Common input data'!$D$28/'Common input data'!$C$28</f>
        <v>0.00117351847252692</v>
      </c>
      <c r="T41" s="89" t="n">
        <v>0</v>
      </c>
      <c r="U41" s="89" t="n">
        <v>0</v>
      </c>
      <c r="V41" s="309"/>
      <c r="W41" s="92"/>
      <c r="Z41" s="30"/>
    </row>
    <row r="42" s="329" customFormat="true" ht="17.4" hidden="false" customHeight="false" outlineLevel="0" collapsed="false">
      <c r="A42" s="319" t="s">
        <v>265</v>
      </c>
      <c r="B42" s="320"/>
      <c r="C42" s="321"/>
      <c r="D42" s="322"/>
      <c r="E42" s="323"/>
      <c r="F42" s="324"/>
      <c r="G42" s="325"/>
      <c r="H42" s="321"/>
      <c r="I42" s="321"/>
      <c r="J42" s="321"/>
      <c r="K42" s="326"/>
      <c r="L42" s="326"/>
      <c r="M42" s="327"/>
      <c r="N42" s="326"/>
      <c r="O42" s="326"/>
      <c r="P42" s="326"/>
      <c r="Q42" s="326"/>
      <c r="R42" s="326"/>
      <c r="S42" s="326"/>
      <c r="T42" s="326"/>
      <c r="U42" s="326"/>
      <c r="V42" s="309"/>
      <c r="W42" s="92"/>
      <c r="X42" s="209"/>
      <c r="Y42" s="209"/>
      <c r="Z42" s="30"/>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c r="BQ42" s="209"/>
      <c r="BR42" s="209"/>
      <c r="BS42" s="209"/>
      <c r="BT42" s="209"/>
      <c r="BU42" s="209"/>
      <c r="BV42" s="209"/>
      <c r="BW42" s="209"/>
      <c r="BX42" s="209"/>
      <c r="BY42" s="209"/>
      <c r="BZ42" s="209"/>
      <c r="CA42" s="209"/>
      <c r="CB42" s="209"/>
      <c r="CC42" s="209"/>
      <c r="CD42" s="209"/>
      <c r="CE42" s="209"/>
      <c r="CF42" s="209"/>
      <c r="CG42" s="209"/>
      <c r="CH42" s="209"/>
      <c r="CI42" s="209"/>
      <c r="CJ42" s="209"/>
      <c r="CK42" s="209"/>
      <c r="CL42" s="209"/>
      <c r="CM42" s="209"/>
      <c r="CN42" s="209"/>
      <c r="CO42" s="209"/>
      <c r="CP42" s="209"/>
      <c r="CQ42" s="209"/>
      <c r="CR42" s="209"/>
      <c r="CS42" s="209"/>
      <c r="CT42" s="209"/>
      <c r="CU42" s="209"/>
      <c r="CV42" s="209"/>
      <c r="CW42" s="209"/>
      <c r="CX42" s="209"/>
      <c r="CY42" s="209"/>
      <c r="CZ42" s="209"/>
      <c r="DA42" s="209"/>
      <c r="DB42" s="209"/>
      <c r="DC42" s="209"/>
      <c r="DD42" s="209"/>
      <c r="DE42" s="209"/>
      <c r="DF42" s="209"/>
      <c r="DG42" s="209"/>
      <c r="DH42" s="209"/>
      <c r="DI42" s="209"/>
      <c r="DJ42" s="209"/>
      <c r="DK42" s="209"/>
      <c r="DL42" s="209"/>
      <c r="DM42" s="209"/>
      <c r="DN42" s="209"/>
      <c r="DO42" s="209"/>
      <c r="DP42" s="209"/>
      <c r="DQ42" s="209"/>
      <c r="DR42" s="209"/>
      <c r="DS42" s="209"/>
      <c r="DT42" s="209"/>
      <c r="DU42" s="209"/>
      <c r="DV42" s="209"/>
      <c r="DW42" s="209"/>
      <c r="DX42" s="209"/>
      <c r="DY42" s="209"/>
      <c r="DZ42" s="209"/>
      <c r="EA42" s="209"/>
      <c r="EB42" s="209"/>
      <c r="EC42" s="209"/>
      <c r="ED42" s="209"/>
      <c r="EE42" s="209"/>
      <c r="EF42" s="209"/>
      <c r="EG42" s="209"/>
      <c r="EH42" s="209"/>
      <c r="EI42" s="209"/>
      <c r="EJ42" s="209"/>
      <c r="EK42" s="209"/>
      <c r="EL42" s="209"/>
      <c r="EM42" s="209"/>
      <c r="EN42" s="209"/>
      <c r="EO42" s="209"/>
      <c r="EP42" s="209"/>
      <c r="EQ42" s="209"/>
      <c r="ER42" s="209"/>
      <c r="ES42" s="209"/>
      <c r="ET42" s="209"/>
      <c r="EU42" s="209"/>
      <c r="EV42" s="209"/>
      <c r="EW42" s="209"/>
      <c r="EX42" s="209"/>
      <c r="EY42" s="209"/>
      <c r="EZ42" s="209"/>
      <c r="FA42" s="209"/>
      <c r="FB42" s="209"/>
      <c r="FC42" s="209"/>
      <c r="FD42" s="209"/>
      <c r="FE42" s="209"/>
      <c r="FF42" s="209"/>
      <c r="FG42" s="209"/>
      <c r="FH42" s="209"/>
      <c r="FI42" s="209"/>
      <c r="FJ42" s="209"/>
      <c r="FK42" s="209"/>
      <c r="FL42" s="209"/>
      <c r="FM42" s="209"/>
      <c r="FN42" s="209"/>
      <c r="FO42" s="209"/>
      <c r="FP42" s="209"/>
      <c r="FQ42" s="209"/>
      <c r="FR42" s="209"/>
      <c r="FS42" s="209"/>
      <c r="FT42" s="209"/>
      <c r="FU42" s="209"/>
      <c r="FV42" s="209"/>
      <c r="FW42" s="209"/>
      <c r="FX42" s="209"/>
      <c r="FY42" s="209"/>
      <c r="FZ42" s="209"/>
      <c r="GA42" s="209"/>
      <c r="GB42" s="209"/>
      <c r="GC42" s="209"/>
      <c r="GD42" s="209"/>
      <c r="GE42" s="209"/>
      <c r="GF42" s="209"/>
      <c r="GG42" s="209"/>
      <c r="GH42" s="209"/>
      <c r="GI42" s="209"/>
      <c r="GJ42" s="209"/>
      <c r="GK42" s="209"/>
      <c r="GL42" s="209"/>
      <c r="GM42" s="209"/>
      <c r="GN42" s="209"/>
      <c r="GO42" s="209"/>
      <c r="GP42" s="209"/>
      <c r="GQ42" s="209"/>
      <c r="GR42" s="209"/>
      <c r="GS42" s="209"/>
      <c r="GT42" s="209"/>
      <c r="GU42" s="209"/>
      <c r="GV42" s="209"/>
      <c r="GW42" s="209"/>
      <c r="GX42" s="209"/>
      <c r="GY42" s="209"/>
      <c r="GZ42" s="209"/>
      <c r="HA42" s="209"/>
      <c r="HB42" s="209"/>
      <c r="HC42" s="209"/>
      <c r="HD42" s="209"/>
      <c r="HE42" s="209"/>
      <c r="HF42" s="209"/>
      <c r="HG42" s="209"/>
      <c r="HH42" s="209"/>
      <c r="HI42" s="209"/>
      <c r="HJ42" s="209"/>
      <c r="HK42" s="209"/>
      <c r="HL42" s="209"/>
      <c r="HM42" s="209"/>
      <c r="HN42" s="209"/>
      <c r="HO42" s="209"/>
      <c r="HP42" s="209"/>
      <c r="HQ42" s="209"/>
      <c r="HR42" s="209"/>
      <c r="HS42" s="209"/>
      <c r="HT42" s="209"/>
      <c r="HU42" s="209"/>
      <c r="HV42" s="209"/>
      <c r="HW42" s="209"/>
      <c r="HX42" s="209"/>
      <c r="HY42" s="209"/>
      <c r="HZ42" s="209"/>
      <c r="IA42" s="209"/>
      <c r="IB42" s="209"/>
      <c r="IC42" s="209"/>
      <c r="ID42" s="209"/>
      <c r="IE42" s="209"/>
      <c r="IF42" s="209"/>
      <c r="IG42" s="209"/>
      <c r="IH42" s="209"/>
      <c r="II42" s="209"/>
      <c r="IJ42" s="209"/>
      <c r="IK42" s="209"/>
      <c r="IL42" s="209"/>
      <c r="IM42" s="209"/>
      <c r="IN42" s="209"/>
      <c r="IO42" s="209"/>
      <c r="IP42" s="209"/>
      <c r="IQ42" s="209"/>
      <c r="IR42" s="209"/>
      <c r="IS42" s="209"/>
      <c r="IT42" s="209"/>
      <c r="IU42" s="209"/>
      <c r="IV42" s="209"/>
      <c r="IW42" s="209"/>
      <c r="IX42" s="209"/>
    </row>
    <row r="43" s="332" customFormat="true" ht="17.4" hidden="false" customHeight="false" outlineLevel="0" collapsed="false">
      <c r="A43" s="330" t="s">
        <v>137</v>
      </c>
      <c r="B43" s="331" t="s">
        <v>254</v>
      </c>
      <c r="C43" s="97" t="n">
        <f aca="false">'Input data plant-based products'!D9</f>
        <v>0.0492653121958575</v>
      </c>
      <c r="D43" s="78" t="s">
        <v>133</v>
      </c>
      <c r="E43" s="94" t="n">
        <f aca="false">IF($F$1="GWP100 without fb",E44+E45*'Common input data'!$C$5+E46*'Common input data'!$D$5,IF($F$1="GWP100 with fb",E44+E45*'Common input data'!$C$6+E46*'Common input data'!$D$6,IF($F$1="GTP100 without fb",E44+E45*'Common input data'!$C$7+E46*'Common input data'!$D$7,IF($F$1="GTP100 with fb",E44+E45*'Common input data'!$C$8+E46*'Common input data'!$D$8,E44+E45*'Common input data'!$C$9+E46*'Common input data'!$D$9))))</f>
        <v>0.376975106960194</v>
      </c>
      <c r="F43" s="95" t="n">
        <f aca="false">IF($F$1="GWP100 without fb",F44+F45*'Common input data'!$C$5+F46*'Common input data'!$D$5,IF($F$1="GWP100 with fb",F44+F45*'Common input data'!$C$6+F46*'Common input data'!$D$6,IF($F$1="GTP100 without fb",F44+F45*'Common input data'!$C$7+F46*'Common input data'!$D$7,IF($F$1="GTP100 with fb",F44+F45*'Common input data'!$C$8+F46*'Common input data'!$D$8,F44+F45*'Common input data'!$C$9+F46*'Common input data'!$D$9))))</f>
        <v>0.622329753503612</v>
      </c>
      <c r="G43" s="96" t="n">
        <f aca="false">IF($F$1="GWP100 without fb",G44+G45*'Common input data'!$C$5+G46*'Common input data'!$D$5,IF($F$1="GWP100 with fb",G44+G45*'Common input data'!$C$6+G46*'Common input data'!$D$6,IF($F$1="GTP100 without fb",G44+G45*'Common input data'!$C$7+G46*'Common input data'!$D$7,IF($F$1="GTP100 with fb",G44+G45*'Common input data'!$C$8+G46*'Common input data'!$D$8,G44+G45*'Common input data'!$C$9+G46*'Common input data'!$D$9))))</f>
        <v>1.15204173454169</v>
      </c>
      <c r="H43" s="83"/>
      <c r="I43" s="83"/>
      <c r="J43" s="83"/>
      <c r="K43" s="83"/>
      <c r="L43" s="83"/>
      <c r="M43" s="83"/>
      <c r="N43" s="83"/>
      <c r="O43" s="83"/>
      <c r="P43" s="83"/>
      <c r="Q43" s="83"/>
      <c r="R43" s="83"/>
      <c r="S43" s="83"/>
      <c r="T43" s="83"/>
      <c r="U43" s="83"/>
      <c r="V43" s="309"/>
      <c r="W43" s="92"/>
      <c r="X43" s="209"/>
      <c r="Y43" s="209"/>
      <c r="Z43" s="30"/>
      <c r="AA43" s="209"/>
      <c r="AB43" s="209"/>
      <c r="AC43" s="209"/>
      <c r="AD43" s="209"/>
      <c r="AE43" s="209"/>
      <c r="AF43" s="209"/>
      <c r="AG43" s="209"/>
      <c r="AH43" s="209"/>
      <c r="AI43" s="209"/>
      <c r="AJ43" s="209"/>
      <c r="AK43" s="209"/>
      <c r="AL43" s="209"/>
      <c r="AM43" s="209"/>
      <c r="AN43" s="209"/>
      <c r="AO43" s="209"/>
      <c r="AP43" s="209"/>
      <c r="AQ43" s="209"/>
      <c r="AR43" s="209"/>
      <c r="AS43" s="209"/>
      <c r="AT43" s="209"/>
      <c r="AU43" s="209"/>
      <c r="AV43" s="209"/>
      <c r="AW43" s="209"/>
      <c r="AX43" s="209"/>
      <c r="AY43" s="209"/>
      <c r="AZ43" s="209"/>
      <c r="BA43" s="209"/>
      <c r="BB43" s="209"/>
      <c r="BC43" s="209"/>
      <c r="BD43" s="209"/>
      <c r="BE43" s="209"/>
      <c r="BF43" s="209"/>
      <c r="BG43" s="209"/>
      <c r="BH43" s="209"/>
      <c r="BI43" s="209"/>
      <c r="BJ43" s="209"/>
      <c r="BK43" s="209"/>
      <c r="BL43" s="209"/>
      <c r="BM43" s="209"/>
      <c r="BN43" s="209"/>
      <c r="BO43" s="209"/>
      <c r="BP43" s="209"/>
      <c r="BQ43" s="209"/>
      <c r="BR43" s="209"/>
      <c r="BS43" s="209"/>
      <c r="BT43" s="209"/>
      <c r="BU43" s="209"/>
      <c r="BV43" s="209"/>
      <c r="BW43" s="209"/>
      <c r="BX43" s="209"/>
      <c r="BY43" s="209"/>
      <c r="BZ43" s="209"/>
      <c r="CA43" s="209"/>
      <c r="CB43" s="209"/>
      <c r="CC43" s="209"/>
      <c r="CD43" s="209"/>
      <c r="CE43" s="209"/>
      <c r="CF43" s="209"/>
      <c r="CG43" s="209"/>
      <c r="CH43" s="209"/>
      <c r="CI43" s="209"/>
      <c r="CJ43" s="209"/>
      <c r="CK43" s="209"/>
      <c r="CL43" s="209"/>
      <c r="CM43" s="209"/>
      <c r="CN43" s="209"/>
      <c r="CO43" s="209"/>
      <c r="CP43" s="209"/>
      <c r="CQ43" s="209"/>
      <c r="CR43" s="209"/>
      <c r="CS43" s="209"/>
      <c r="CT43" s="209"/>
      <c r="CU43" s="209"/>
      <c r="CV43" s="209"/>
      <c r="CW43" s="209"/>
      <c r="CX43" s="209"/>
      <c r="CY43" s="209"/>
      <c r="CZ43" s="209"/>
      <c r="DA43" s="209"/>
      <c r="DB43" s="209"/>
      <c r="DC43" s="209"/>
      <c r="DD43" s="209"/>
      <c r="DE43" s="209"/>
      <c r="DF43" s="209"/>
      <c r="DG43" s="209"/>
      <c r="DH43" s="209"/>
      <c r="DI43" s="209"/>
      <c r="DJ43" s="209"/>
      <c r="DK43" s="209"/>
      <c r="DL43" s="209"/>
      <c r="DM43" s="209"/>
      <c r="DN43" s="209"/>
      <c r="DO43" s="209"/>
      <c r="DP43" s="209"/>
      <c r="DQ43" s="209"/>
      <c r="DR43" s="209"/>
      <c r="DS43" s="209"/>
      <c r="DT43" s="209"/>
      <c r="DU43" s="209"/>
      <c r="DV43" s="209"/>
      <c r="DW43" s="209"/>
      <c r="DX43" s="209"/>
      <c r="DY43" s="209"/>
      <c r="DZ43" s="209"/>
      <c r="EA43" s="209"/>
      <c r="EB43" s="209"/>
      <c r="EC43" s="209"/>
      <c r="ED43" s="209"/>
      <c r="EE43" s="209"/>
      <c r="EF43" s="209"/>
      <c r="EG43" s="209"/>
      <c r="EH43" s="209"/>
      <c r="EI43" s="209"/>
      <c r="EJ43" s="209"/>
      <c r="EK43" s="209"/>
      <c r="EL43" s="209"/>
      <c r="EM43" s="209"/>
      <c r="EN43" s="209"/>
      <c r="EO43" s="209"/>
      <c r="EP43" s="209"/>
      <c r="EQ43" s="209"/>
      <c r="ER43" s="209"/>
      <c r="ES43" s="209"/>
      <c r="ET43" s="209"/>
      <c r="EU43" s="209"/>
      <c r="EV43" s="209"/>
      <c r="EW43" s="209"/>
      <c r="EX43" s="209"/>
      <c r="EY43" s="209"/>
      <c r="EZ43" s="209"/>
      <c r="FA43" s="209"/>
      <c r="FB43" s="209"/>
      <c r="FC43" s="209"/>
      <c r="FD43" s="209"/>
      <c r="FE43" s="209"/>
      <c r="FF43" s="209"/>
      <c r="FG43" s="209"/>
      <c r="FH43" s="209"/>
      <c r="FI43" s="209"/>
      <c r="FJ43" s="209"/>
      <c r="FK43" s="209"/>
      <c r="FL43" s="209"/>
      <c r="FM43" s="209"/>
      <c r="FN43" s="209"/>
      <c r="FO43" s="209"/>
      <c r="FP43" s="209"/>
      <c r="FQ43" s="209"/>
      <c r="FR43" s="209"/>
      <c r="FS43" s="209"/>
      <c r="FT43" s="209"/>
      <c r="FU43" s="209"/>
      <c r="FV43" s="209"/>
      <c r="FW43" s="209"/>
      <c r="FX43" s="209"/>
      <c r="FY43" s="209"/>
      <c r="FZ43" s="209"/>
      <c r="GA43" s="209"/>
      <c r="GB43" s="209"/>
      <c r="GC43" s="209"/>
      <c r="GD43" s="209"/>
      <c r="GE43" s="209"/>
      <c r="GF43" s="209"/>
      <c r="GG43" s="209"/>
      <c r="GH43" s="209"/>
      <c r="GI43" s="209"/>
      <c r="GJ43" s="209"/>
      <c r="GK43" s="209"/>
      <c r="GL43" s="209"/>
      <c r="GM43" s="209"/>
      <c r="GN43" s="209"/>
      <c r="GO43" s="209"/>
      <c r="GP43" s="209"/>
      <c r="GQ43" s="209"/>
      <c r="GR43" s="209"/>
      <c r="GS43" s="209"/>
      <c r="GT43" s="209"/>
      <c r="GU43" s="209"/>
      <c r="GV43" s="209"/>
      <c r="GW43" s="209"/>
      <c r="GX43" s="209"/>
      <c r="GY43" s="209"/>
      <c r="GZ43" s="209"/>
      <c r="HA43" s="209"/>
      <c r="HB43" s="209"/>
      <c r="HC43" s="209"/>
      <c r="HD43" s="209"/>
      <c r="HE43" s="209"/>
      <c r="HF43" s="209"/>
      <c r="HG43" s="209"/>
      <c r="HH43" s="209"/>
      <c r="HI43" s="209"/>
      <c r="HJ43" s="209"/>
      <c r="HK43" s="209"/>
      <c r="HL43" s="209"/>
      <c r="HM43" s="209"/>
      <c r="HN43" s="209"/>
      <c r="HO43" s="209"/>
      <c r="HP43" s="209"/>
      <c r="HQ43" s="209"/>
      <c r="HR43" s="209"/>
      <c r="HS43" s="209"/>
      <c r="HT43" s="209"/>
      <c r="HU43" s="209"/>
      <c r="HV43" s="209"/>
      <c r="HW43" s="209"/>
      <c r="HX43" s="209"/>
      <c r="HY43" s="209"/>
      <c r="HZ43" s="209"/>
      <c r="IA43" s="209"/>
      <c r="IB43" s="209"/>
      <c r="IC43" s="209"/>
      <c r="ID43" s="209"/>
      <c r="IE43" s="209"/>
      <c r="IF43" s="209"/>
      <c r="IG43" s="209"/>
      <c r="IH43" s="209"/>
      <c r="II43" s="209"/>
      <c r="IJ43" s="209"/>
      <c r="IK43" s="209"/>
      <c r="IL43" s="209"/>
      <c r="IM43" s="209"/>
      <c r="IN43" s="209"/>
      <c r="IO43" s="209"/>
      <c r="IP43" s="209"/>
      <c r="IQ43" s="209"/>
      <c r="IR43" s="209"/>
      <c r="IS43" s="209"/>
      <c r="IT43" s="209"/>
      <c r="IU43" s="209"/>
      <c r="IV43" s="209"/>
      <c r="IW43" s="209"/>
      <c r="IX43" s="209"/>
    </row>
    <row r="44" s="209" customFormat="true" ht="17.4" hidden="false" customHeight="false" outlineLevel="0" collapsed="false">
      <c r="A44" s="99"/>
      <c r="B44" s="31"/>
      <c r="C44" s="30"/>
      <c r="D44" s="85" t="s">
        <v>134</v>
      </c>
      <c r="E44" s="217" t="n">
        <f aca="false">IF(AND($F$2="No",$F$3="No"),SUM(J44:K44)*'Input data plant-based products'!O$120,IF(AND($F$2="Yes", $F$3="No"), (SUM(J44:K44)+Q44)*'Input data plant-based products'!O$120, IF(AND($F$2="No", $F$3="Yes"),(SUM(J44:K44)+P44)*'Input data plant-based products'!O$120, (SUM(J44:K44)+Q44+P44)*'Input data plant-based products'!O$120)))</f>
        <v>0.116392150583301</v>
      </c>
      <c r="F44" s="89" t="n">
        <f aca="false">IF(AND($F$2="No",$F$3="No"),SUM(H44:O44)*'Input data plant-based products'!O$120,IF(AND($F$2="Yes", $F$3="No"), (SUM(H44:O44)+Q44)*'Input data plant-based products'!O$120, IF(AND($F$2="No", $F$3="Yes"),(SUM(H44:O44)+P44)*'Input data plant-based products'!O$120, (SUM(H44:O44)+Q44+P44)*'Input data plant-based products'!O$120)))</f>
        <v>0.300554279375727</v>
      </c>
      <c r="G44" s="88" t="n">
        <f aca="false">SUM(S44:U44)/(1-'Common input data'!$B$122)</f>
        <v>0.699895852346283</v>
      </c>
      <c r="H44" s="87" t="n">
        <f aca="false">('Input data plant-based products'!$F$9*('Common input data'!$B$76*'Common input data'!B69+'Common input data'!$B$77*'Common input data'!C69))/'Input data plant-based products'!$E$9</f>
        <v>0.045608639522366</v>
      </c>
      <c r="I44" s="89" t="n">
        <f aca="false">'Common input data'!$B$81</f>
        <v>0.03</v>
      </c>
      <c r="J44" s="87" t="n">
        <v>0</v>
      </c>
      <c r="K44" s="87" t="n">
        <v>0</v>
      </c>
      <c r="L44" s="87" t="n">
        <f aca="false">('Input data plant-based products'!$I$9*'Common input data'!$C$59*'Common input data'!H49)/'Input data plant-based products'!$E$9</f>
        <v>0.0365579206566347</v>
      </c>
      <c r="M44" s="89" t="n">
        <v>0</v>
      </c>
      <c r="N44" s="89" t="n">
        <f aca="false">'Input data plant-based products'!G$152</f>
        <v>0.02</v>
      </c>
      <c r="O44" s="87" t="n">
        <f aca="false">'Input data plant-based products'!$B$120*'Common input data'!$B$59*'Common input data'!B49+'Input data plant-based products'!C$120*'Common input data'!B63</f>
        <v>0.039147048</v>
      </c>
      <c r="P44" s="89" t="n">
        <f aca="false">'Common input data'!B$13</f>
        <v>0.108271767984466</v>
      </c>
      <c r="Q44" s="89" t="n">
        <v>0</v>
      </c>
      <c r="R44" s="87" t="n">
        <f aca="false">'Input data plant-based products'!$E$120*'Common input data'!$B$59*'Common input data'!B49+'Input data plant-based products'!F$120*'Common input data'!B63</f>
        <v>0.130690344255017</v>
      </c>
      <c r="S44" s="89" t="n">
        <f aca="false">(F44+R44)*'Common input data'!$D$28/'Common input data'!$C$28</f>
        <v>0.509652737018151</v>
      </c>
      <c r="T44" s="89" t="n">
        <f aca="false">'Common input data'!$B$88</f>
        <v>0.05</v>
      </c>
      <c r="U44" s="89" t="n">
        <f aca="false">'Common input data'!C$98</f>
        <v>0.03</v>
      </c>
      <c r="V44" s="309"/>
      <c r="W44" s="92"/>
      <c r="Z44" s="30"/>
    </row>
    <row r="45" s="209" customFormat="true" ht="17.4" hidden="false" customHeight="false" outlineLevel="0" collapsed="false">
      <c r="A45" s="74"/>
      <c r="B45" s="31"/>
      <c r="C45" s="93"/>
      <c r="D45" s="85" t="s">
        <v>135</v>
      </c>
      <c r="E45" s="217" t="n">
        <f aca="false">SUM(J45:K45)*'Input data plant-based products'!O$120</f>
        <v>0</v>
      </c>
      <c r="F45" s="89" t="n">
        <f aca="false">SUM(H45:O45)*'Input data plant-based products'!O$120</f>
        <v>3.26488553510924E-005</v>
      </c>
      <c r="G45" s="88" t="n">
        <f aca="false">SUM(S45:U45)/(1-'Common input data'!$B$122)</f>
        <v>5.82228572712508E-005</v>
      </c>
      <c r="H45" s="87" t="n">
        <f aca="false">('Input data plant-based products'!$F$9*('Common input data'!$B$76*'Common input data'!B70+'Common input data'!$B$77*'Common input data'!C70))/'Input data plant-based products'!$E$9</f>
        <v>1.22104983388704E-010</v>
      </c>
      <c r="I45" s="89" t="n">
        <v>0</v>
      </c>
      <c r="J45" s="87" t="n">
        <v>0</v>
      </c>
      <c r="K45" s="87" t="n">
        <v>0</v>
      </c>
      <c r="L45" s="87" t="n">
        <f aca="false">('Input data plant-based products'!$I$9*'Common input data'!$C$59*'Common input data'!H50)/'Input data plant-based products'!$E$9</f>
        <v>1.6193926128591E-005</v>
      </c>
      <c r="M45" s="89" t="n">
        <v>0</v>
      </c>
      <c r="N45" s="89" t="n">
        <v>0</v>
      </c>
      <c r="O45" s="87" t="n">
        <f aca="false">'Input data plant-based products'!$B$120*'Common input data'!$B$59*'Common input data'!B50</f>
        <v>1.417698E-005</v>
      </c>
      <c r="P45" s="87" t="n">
        <v>0</v>
      </c>
      <c r="Q45" s="89" t="n">
        <v>0</v>
      </c>
      <c r="R45" s="87" t="n">
        <f aca="false">'Input data plant-based products'!$E$120*'Common input data'!$B$59*'Common input data'!B50</f>
        <v>8.85665385058978E-006</v>
      </c>
      <c r="S45" s="89" t="n">
        <f aca="false">(F45+R45)*'Common input data'!$D$28/'Common input data'!$C$28</f>
        <v>4.90519654201699E-005</v>
      </c>
      <c r="T45" s="89" t="n">
        <v>0</v>
      </c>
      <c r="U45" s="89" t="n">
        <v>0</v>
      </c>
      <c r="V45" s="309"/>
      <c r="W45" s="92"/>
      <c r="Z45" s="30"/>
    </row>
    <row r="46" s="209" customFormat="true" ht="17.4" hidden="false" customHeight="false" outlineLevel="0" collapsed="false">
      <c r="A46" s="100"/>
      <c r="B46" s="101"/>
      <c r="C46" s="87"/>
      <c r="D46" s="31" t="s">
        <v>136</v>
      </c>
      <c r="E46" s="219" t="n">
        <f aca="false">SUM(J46:K46)*'Input data plant-based products'!O$120</f>
        <v>0.000874439450929172</v>
      </c>
      <c r="F46" s="126" t="n">
        <f aca="false">SUM(H46:O46)*'Input data plant-based products'!O$120</f>
        <v>0.00107605843304009</v>
      </c>
      <c r="G46" s="106" t="n">
        <f aca="false">SUM(S46:U46)/(1-'Common input data'!$B$122)</f>
        <v>0.00151062518472545</v>
      </c>
      <c r="H46" s="87" t="n">
        <f aca="false">('Input data plant-based products'!$F$9*('Common input data'!$B$76*'Common input data'!B71+'Common input data'!$B$77*'Common input data'!C71))/'Input data plant-based products'!$E$9</f>
        <v>0.000185248606337137</v>
      </c>
      <c r="I46" s="87" t="n">
        <v>0</v>
      </c>
      <c r="J46" s="87" t="n">
        <f aca="false">(SUM('Input data plant-based products'!F9:H9)*'Input data plant-based products'!$B$114*44/28)/'Input data plant-based products'!E9</f>
        <v>0.000739483679432703</v>
      </c>
      <c r="K46" s="89" t="n">
        <f aca="false">J46*'Input data plant-based products'!$B$115</f>
        <v>7.39483679432704E-005</v>
      </c>
      <c r="L46" s="87" t="n">
        <f aca="false">('Input data plant-based products'!$I$9*'Common input data'!$C$59*'Common input data'!H51)/'Input data plant-based products'!$E$9</f>
        <v>9.82325581395349E-007</v>
      </c>
      <c r="M46" s="89" t="n">
        <v>0</v>
      </c>
      <c r="N46" s="89" t="n">
        <v>0</v>
      </c>
      <c r="O46" s="87" t="n">
        <f aca="false">'Input data plant-based products'!$B$120*'Common input data'!$B$59*'Common input data'!B51</f>
        <v>1.32160958E-006</v>
      </c>
      <c r="P46" s="87" t="n">
        <v>0</v>
      </c>
      <c r="Q46" s="89" t="n">
        <v>0</v>
      </c>
      <c r="R46" s="87" t="n">
        <f aca="false">'Input data plant-based products'!$E$120*'Common input data'!$B$59*'Common input data'!B51</f>
        <v>8.2563695340498E-007</v>
      </c>
      <c r="S46" s="89" t="n">
        <f aca="false">(F46+R46)*'Common input data'!$D$28/'Common input data'!$C$28</f>
        <v>0.00127268117362868</v>
      </c>
      <c r="T46" s="89" t="n">
        <v>0</v>
      </c>
      <c r="U46" s="89" t="n">
        <v>0</v>
      </c>
      <c r="V46" s="309"/>
      <c r="W46" s="92"/>
      <c r="Z46" s="30"/>
    </row>
    <row r="47" s="334" customFormat="true" ht="17.4" hidden="false" customHeight="false" outlineLevel="0" collapsed="false">
      <c r="A47" s="107" t="s">
        <v>266</v>
      </c>
      <c r="B47" s="108"/>
      <c r="C47" s="69"/>
      <c r="D47" s="109"/>
      <c r="E47" s="110" t="s">
        <v>267</v>
      </c>
      <c r="F47" s="111" t="s">
        <v>267</v>
      </c>
      <c r="G47" s="112" t="s">
        <v>268</v>
      </c>
      <c r="H47" s="69"/>
      <c r="I47" s="69"/>
      <c r="J47" s="69"/>
      <c r="K47" s="113"/>
      <c r="L47" s="113"/>
      <c r="M47" s="114"/>
      <c r="N47" s="113"/>
      <c r="O47" s="113"/>
      <c r="P47" s="113"/>
      <c r="Q47" s="113"/>
      <c r="R47" s="113"/>
      <c r="S47" s="113"/>
      <c r="T47" s="113"/>
      <c r="U47" s="113"/>
      <c r="V47" s="309"/>
      <c r="W47" s="92"/>
      <c r="X47" s="209"/>
      <c r="Y47" s="209"/>
      <c r="Z47" s="30"/>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c r="CS47" s="209"/>
      <c r="CT47" s="209"/>
      <c r="CU47" s="209"/>
      <c r="CV47" s="209"/>
      <c r="CW47" s="209"/>
      <c r="CX47" s="209"/>
      <c r="CY47" s="209"/>
      <c r="CZ47" s="209"/>
      <c r="DA47" s="209"/>
      <c r="DB47" s="209"/>
      <c r="DC47" s="209"/>
      <c r="DD47" s="209"/>
      <c r="DE47" s="209"/>
      <c r="DF47" s="209"/>
      <c r="DG47" s="209"/>
      <c r="DH47" s="209"/>
      <c r="DI47" s="209"/>
      <c r="DJ47" s="209"/>
      <c r="DK47" s="209"/>
      <c r="DL47" s="209"/>
      <c r="DM47" s="209"/>
      <c r="DN47" s="209"/>
      <c r="DO47" s="209"/>
      <c r="DP47" s="209"/>
      <c r="DQ47" s="209"/>
      <c r="DR47" s="209"/>
      <c r="DS47" s="209"/>
      <c r="DT47" s="209"/>
      <c r="DU47" s="209"/>
      <c r="DV47" s="209"/>
      <c r="DW47" s="209"/>
      <c r="DX47" s="209"/>
      <c r="DY47" s="209"/>
      <c r="DZ47" s="209"/>
      <c r="EA47" s="209"/>
      <c r="EB47" s="209"/>
      <c r="EC47" s="209"/>
      <c r="ED47" s="209"/>
      <c r="EE47" s="209"/>
      <c r="EF47" s="209"/>
      <c r="EG47" s="209"/>
      <c r="EH47" s="209"/>
      <c r="EI47" s="209"/>
      <c r="EJ47" s="209"/>
      <c r="EK47" s="209"/>
      <c r="EL47" s="209"/>
      <c r="EM47" s="209"/>
      <c r="EN47" s="209"/>
      <c r="EO47" s="209"/>
      <c r="EP47" s="209"/>
      <c r="EQ47" s="209"/>
      <c r="ER47" s="209"/>
      <c r="ES47" s="209"/>
      <c r="ET47" s="209"/>
      <c r="EU47" s="209"/>
      <c r="EV47" s="209"/>
      <c r="EW47" s="209"/>
      <c r="EX47" s="209"/>
      <c r="EY47" s="209"/>
      <c r="EZ47" s="209"/>
      <c r="FA47" s="209"/>
      <c r="FB47" s="209"/>
      <c r="FC47" s="209"/>
      <c r="FD47" s="209"/>
      <c r="FE47" s="209"/>
      <c r="FF47" s="209"/>
      <c r="FG47" s="209"/>
      <c r="FH47" s="209"/>
      <c r="FI47" s="209"/>
      <c r="FJ47" s="209"/>
      <c r="FK47" s="209"/>
      <c r="FL47" s="209"/>
      <c r="FM47" s="209"/>
      <c r="FN47" s="209"/>
      <c r="FO47" s="209"/>
      <c r="FP47" s="209"/>
      <c r="FQ47" s="209"/>
      <c r="FR47" s="209"/>
      <c r="FS47" s="209"/>
      <c r="FT47" s="209"/>
      <c r="FU47" s="209"/>
      <c r="FV47" s="209"/>
      <c r="FW47" s="209"/>
      <c r="FX47" s="209"/>
      <c r="FY47" s="209"/>
      <c r="FZ47" s="209"/>
      <c r="GA47" s="209"/>
      <c r="GB47" s="209"/>
      <c r="GC47" s="209"/>
      <c r="GD47" s="209"/>
      <c r="GE47" s="209"/>
      <c r="GF47" s="209"/>
      <c r="GG47" s="209"/>
      <c r="GH47" s="209"/>
      <c r="GI47" s="209"/>
      <c r="GJ47" s="209"/>
      <c r="GK47" s="209"/>
      <c r="GL47" s="209"/>
      <c r="GM47" s="209"/>
      <c r="GN47" s="209"/>
      <c r="GO47" s="209"/>
      <c r="GP47" s="209"/>
      <c r="GQ47" s="209"/>
      <c r="GR47" s="209"/>
      <c r="GS47" s="209"/>
      <c r="GT47" s="209"/>
      <c r="GU47" s="209"/>
      <c r="GV47" s="209"/>
      <c r="GW47" s="209"/>
      <c r="GX47" s="209"/>
      <c r="GY47" s="209"/>
      <c r="GZ47" s="209"/>
      <c r="HA47" s="209"/>
      <c r="HB47" s="209"/>
      <c r="HC47" s="209"/>
      <c r="HD47" s="209"/>
      <c r="HE47" s="209"/>
      <c r="HF47" s="209"/>
      <c r="HG47" s="209"/>
      <c r="HH47" s="209"/>
      <c r="HI47" s="209"/>
      <c r="HJ47" s="209"/>
      <c r="HK47" s="209"/>
      <c r="HL47" s="209"/>
      <c r="HM47" s="209"/>
      <c r="HN47" s="209"/>
      <c r="HO47" s="209"/>
      <c r="HP47" s="209"/>
      <c r="HQ47" s="209"/>
      <c r="HR47" s="209"/>
      <c r="HS47" s="209"/>
      <c r="HT47" s="209"/>
      <c r="HU47" s="209"/>
      <c r="HV47" s="209"/>
      <c r="HW47" s="209"/>
      <c r="HX47" s="209"/>
      <c r="HY47" s="209"/>
      <c r="HZ47" s="209"/>
      <c r="IA47" s="209"/>
      <c r="IB47" s="209"/>
      <c r="IC47" s="209"/>
      <c r="ID47" s="209"/>
      <c r="IE47" s="209"/>
      <c r="IF47" s="209"/>
      <c r="IG47" s="209"/>
      <c r="IH47" s="209"/>
      <c r="II47" s="209"/>
      <c r="IJ47" s="209"/>
      <c r="IK47" s="209"/>
      <c r="IL47" s="209"/>
      <c r="IM47" s="209"/>
      <c r="IN47" s="209"/>
      <c r="IO47" s="209"/>
      <c r="IP47" s="209"/>
      <c r="IQ47" s="209"/>
      <c r="IR47" s="209"/>
      <c r="IS47" s="209"/>
      <c r="IT47" s="209"/>
      <c r="IU47" s="209"/>
      <c r="IV47" s="209"/>
      <c r="IW47" s="209"/>
      <c r="IX47" s="209"/>
    </row>
    <row r="48" s="314" customFormat="true" ht="17.4" hidden="false" customHeight="false" outlineLevel="0" collapsed="false">
      <c r="A48" s="312" t="s">
        <v>137</v>
      </c>
      <c r="B48" s="317" t="s">
        <v>254</v>
      </c>
      <c r="C48" s="261" t="n">
        <f aca="false">'Input data plant-based products'!D10</f>
        <v>0.0515390252839868</v>
      </c>
      <c r="D48" s="137" t="s">
        <v>133</v>
      </c>
      <c r="E48" s="79" t="n">
        <f aca="false">IF($F$1="GWP100 without fb",E49+E50*'Common input data'!$C$5+E51*'Common input data'!$D$5,IF($F$1="GWP100 with fb",E49+E50*'Common input data'!$C$6+E51*'Common input data'!$D$6,IF($F$1="GTP100 without fb",E49+E50*'Common input data'!$C$7+E51*'Common input data'!$D$7,IF($F$1="GTP100 with fb",E49+E50*'Common input data'!$C$8+E51*'Common input data'!$D$8,E49+E50*'Common input data'!$C$9+E51*'Common input data'!$D$9))))</f>
        <v>0.39044602699717</v>
      </c>
      <c r="F48" s="80" t="n">
        <f aca="false">IF($F$1="GWP100 without fb",F49+F50*'Common input data'!$C$5+F51*'Common input data'!$D$5,IF($F$1="GWP100 with fb",F49+F50*'Common input data'!$C$6+F51*'Common input data'!$D$6,IF($F$1="GTP100 without fb",F49+F50*'Common input data'!$C$7+F51*'Common input data'!$D$7,IF($F$1="GTP100 with fb",F49+F50*'Common input data'!$C$8+F51*'Common input data'!$D$8,F49+F50*'Common input data'!$C$9+F51*'Common input data'!$D$9))))</f>
        <v>0.6457251855184</v>
      </c>
      <c r="G48" s="81" t="n">
        <f aca="false">IF($F$1="GWP100 without fb",G49+G50*'Common input data'!$C$5+G51*'Common input data'!$D$5,IF($F$1="GWP100 with fb",G49+G50*'Common input data'!$C$6+G51*'Common input data'!$D$6,IF($F$1="GTP100 without fb",G49+G50*'Common input data'!$C$7+G51*'Common input data'!$D$7,IF($F$1="GTP100 with fb",G49+G50*'Common input data'!$C$8+G51*'Common input data'!$D$8,G49+G50*'Common input data'!$C$9+G51*'Common input data'!$D$9))))</f>
        <v>1.18486024286012</v>
      </c>
      <c r="H48" s="262"/>
      <c r="I48" s="262"/>
      <c r="J48" s="262"/>
      <c r="K48" s="262"/>
      <c r="L48" s="262"/>
      <c r="M48" s="262"/>
      <c r="N48" s="262"/>
      <c r="O48" s="262"/>
      <c r="P48" s="262"/>
      <c r="Q48" s="262"/>
      <c r="R48" s="262"/>
      <c r="S48" s="262"/>
      <c r="T48" s="262"/>
      <c r="U48" s="262"/>
      <c r="V48" s="309"/>
      <c r="W48" s="92"/>
      <c r="X48" s="209"/>
      <c r="Y48" s="209"/>
      <c r="Z48" s="30"/>
      <c r="AA48" s="209"/>
      <c r="AB48" s="209"/>
      <c r="AC48" s="209"/>
      <c r="AD48" s="209"/>
      <c r="AE48" s="209"/>
      <c r="AF48" s="209"/>
      <c r="AG48" s="209"/>
      <c r="AH48" s="209"/>
      <c r="AI48" s="209"/>
      <c r="AJ48" s="209"/>
      <c r="AK48" s="209"/>
      <c r="AL48" s="209"/>
      <c r="AM48" s="209"/>
      <c r="AN48" s="209"/>
      <c r="AO48" s="209"/>
      <c r="AP48" s="209"/>
      <c r="AQ48" s="209"/>
      <c r="AR48" s="209"/>
      <c r="AS48" s="209"/>
      <c r="AT48" s="209"/>
      <c r="AU48" s="209"/>
      <c r="AV48" s="209"/>
      <c r="AW48" s="209"/>
      <c r="AX48" s="209"/>
      <c r="AY48" s="209"/>
      <c r="AZ48" s="209"/>
      <c r="BA48" s="209"/>
      <c r="BB48" s="209"/>
      <c r="BC48" s="209"/>
      <c r="BD48" s="209"/>
      <c r="BE48" s="209"/>
      <c r="BF48" s="209"/>
      <c r="BG48" s="209"/>
      <c r="BH48" s="209"/>
      <c r="BI48" s="209"/>
      <c r="BJ48" s="209"/>
      <c r="BK48" s="209"/>
      <c r="BL48" s="209"/>
      <c r="BM48" s="209"/>
      <c r="BN48" s="209"/>
      <c r="BO48" s="209"/>
      <c r="BP48" s="209"/>
      <c r="BQ48" s="209"/>
      <c r="BR48" s="209"/>
      <c r="BS48" s="209"/>
      <c r="BT48" s="209"/>
      <c r="BU48" s="209"/>
      <c r="BV48" s="209"/>
      <c r="BW48" s="209"/>
      <c r="BX48" s="209"/>
      <c r="BY48" s="209"/>
      <c r="BZ48" s="209"/>
      <c r="CA48" s="209"/>
      <c r="CB48" s="209"/>
      <c r="CC48" s="209"/>
      <c r="CD48" s="209"/>
      <c r="CE48" s="209"/>
      <c r="CF48" s="209"/>
      <c r="CG48" s="209"/>
      <c r="CH48" s="209"/>
      <c r="CI48" s="209"/>
      <c r="CJ48" s="209"/>
      <c r="CK48" s="209"/>
      <c r="CL48" s="209"/>
      <c r="CM48" s="209"/>
      <c r="CN48" s="209"/>
      <c r="CO48" s="209"/>
      <c r="CP48" s="209"/>
      <c r="CQ48" s="209"/>
      <c r="CR48" s="209"/>
      <c r="CS48" s="209"/>
      <c r="CT48" s="209"/>
      <c r="CU48" s="209"/>
      <c r="CV48" s="209"/>
      <c r="CW48" s="209"/>
      <c r="CX48" s="209"/>
      <c r="CY48" s="209"/>
      <c r="CZ48" s="209"/>
      <c r="DA48" s="209"/>
      <c r="DB48" s="209"/>
      <c r="DC48" s="209"/>
      <c r="DD48" s="209"/>
      <c r="DE48" s="209"/>
      <c r="DF48" s="209"/>
      <c r="DG48" s="209"/>
      <c r="DH48" s="209"/>
      <c r="DI48" s="209"/>
      <c r="DJ48" s="209"/>
      <c r="DK48" s="209"/>
      <c r="DL48" s="209"/>
      <c r="DM48" s="209"/>
      <c r="DN48" s="209"/>
      <c r="DO48" s="209"/>
      <c r="DP48" s="209"/>
      <c r="DQ48" s="209"/>
      <c r="DR48" s="209"/>
      <c r="DS48" s="209"/>
      <c r="DT48" s="209"/>
      <c r="DU48" s="209"/>
      <c r="DV48" s="209"/>
      <c r="DW48" s="209"/>
      <c r="DX48" s="209"/>
      <c r="DY48" s="209"/>
      <c r="DZ48" s="209"/>
      <c r="EA48" s="209"/>
      <c r="EB48" s="209"/>
      <c r="EC48" s="209"/>
      <c r="ED48" s="209"/>
      <c r="EE48" s="209"/>
      <c r="EF48" s="209"/>
      <c r="EG48" s="209"/>
      <c r="EH48" s="209"/>
      <c r="EI48" s="209"/>
      <c r="EJ48" s="209"/>
      <c r="EK48" s="209"/>
      <c r="EL48" s="209"/>
      <c r="EM48" s="209"/>
      <c r="EN48" s="209"/>
      <c r="EO48" s="209"/>
      <c r="EP48" s="209"/>
      <c r="EQ48" s="209"/>
      <c r="ER48" s="209"/>
      <c r="ES48" s="209"/>
      <c r="ET48" s="209"/>
      <c r="EU48" s="209"/>
      <c r="EV48" s="209"/>
      <c r="EW48" s="209"/>
      <c r="EX48" s="209"/>
      <c r="EY48" s="209"/>
      <c r="EZ48" s="209"/>
      <c r="FA48" s="209"/>
      <c r="FB48" s="209"/>
      <c r="FC48" s="209"/>
      <c r="FD48" s="209"/>
      <c r="FE48" s="209"/>
      <c r="FF48" s="209"/>
      <c r="FG48" s="209"/>
      <c r="FH48" s="209"/>
      <c r="FI48" s="209"/>
      <c r="FJ48" s="209"/>
      <c r="FK48" s="209"/>
      <c r="FL48" s="209"/>
      <c r="FM48" s="209"/>
      <c r="FN48" s="209"/>
      <c r="FO48" s="209"/>
      <c r="FP48" s="209"/>
      <c r="FQ48" s="209"/>
      <c r="FR48" s="209"/>
      <c r="FS48" s="209"/>
      <c r="FT48" s="209"/>
      <c r="FU48" s="209"/>
      <c r="FV48" s="209"/>
      <c r="FW48" s="209"/>
      <c r="FX48" s="209"/>
      <c r="FY48" s="209"/>
      <c r="FZ48" s="209"/>
      <c r="GA48" s="209"/>
      <c r="GB48" s="209"/>
      <c r="GC48" s="209"/>
      <c r="GD48" s="209"/>
      <c r="GE48" s="209"/>
      <c r="GF48" s="209"/>
      <c r="GG48" s="209"/>
      <c r="GH48" s="209"/>
      <c r="GI48" s="209"/>
      <c r="GJ48" s="209"/>
      <c r="GK48" s="209"/>
      <c r="GL48" s="209"/>
      <c r="GM48" s="209"/>
      <c r="GN48" s="209"/>
      <c r="GO48" s="209"/>
      <c r="GP48" s="209"/>
      <c r="GQ48" s="209"/>
      <c r="GR48" s="209"/>
      <c r="GS48" s="209"/>
      <c r="GT48" s="209"/>
      <c r="GU48" s="209"/>
      <c r="GV48" s="209"/>
      <c r="GW48" s="209"/>
      <c r="GX48" s="209"/>
      <c r="GY48" s="209"/>
      <c r="GZ48" s="209"/>
      <c r="HA48" s="209"/>
      <c r="HB48" s="209"/>
      <c r="HC48" s="209"/>
      <c r="HD48" s="209"/>
      <c r="HE48" s="209"/>
      <c r="HF48" s="209"/>
      <c r="HG48" s="209"/>
      <c r="HH48" s="209"/>
      <c r="HI48" s="209"/>
      <c r="HJ48" s="209"/>
      <c r="HK48" s="209"/>
      <c r="HL48" s="209"/>
      <c r="HM48" s="209"/>
      <c r="HN48" s="209"/>
      <c r="HO48" s="209"/>
      <c r="HP48" s="209"/>
      <c r="HQ48" s="209"/>
      <c r="HR48" s="209"/>
      <c r="HS48" s="209"/>
      <c r="HT48" s="209"/>
      <c r="HU48" s="209"/>
      <c r="HV48" s="209"/>
      <c r="HW48" s="209"/>
      <c r="HX48" s="209"/>
      <c r="HY48" s="209"/>
      <c r="HZ48" s="209"/>
      <c r="IA48" s="209"/>
      <c r="IB48" s="209"/>
      <c r="IC48" s="209"/>
      <c r="ID48" s="209"/>
      <c r="IE48" s="209"/>
      <c r="IF48" s="209"/>
      <c r="IG48" s="209"/>
      <c r="IH48" s="209"/>
      <c r="II48" s="209"/>
      <c r="IJ48" s="209"/>
      <c r="IK48" s="209"/>
      <c r="IL48" s="209"/>
      <c r="IM48" s="209"/>
      <c r="IN48" s="209"/>
      <c r="IO48" s="209"/>
      <c r="IP48" s="209"/>
      <c r="IQ48" s="209"/>
      <c r="IR48" s="209"/>
      <c r="IS48" s="209"/>
      <c r="IT48" s="209"/>
      <c r="IU48" s="209"/>
      <c r="IV48" s="209"/>
      <c r="IW48" s="209"/>
      <c r="IX48" s="209"/>
    </row>
    <row r="49" s="209" customFormat="true" ht="17.4" hidden="false" customHeight="false" outlineLevel="0" collapsed="false">
      <c r="A49" s="31"/>
      <c r="B49" s="31"/>
      <c r="C49" s="30"/>
      <c r="D49" s="85" t="s">
        <v>134</v>
      </c>
      <c r="E49" s="217" t="n">
        <f aca="false">IF(AND($F$2="No",$F$3="No"),SUM(J49:K49)*'Input data plant-based products'!O$120,IF(AND($F$2="Yes", $F$3="No"), (SUM(J49:K49)+Q49)*'Input data plant-based products'!O$120, IF(AND($F$2="No", $F$3="Yes"),(SUM(J49:K49)+P49)*'Input data plant-based products'!O$120, (SUM(J49:K49)+Q49+P49)*'Input data plant-based products'!O$120)))</f>
        <v>0.116392150583301</v>
      </c>
      <c r="F49" s="89" t="n">
        <f aca="false">IF(AND($F$2="No",$F$3="No"),SUM(H49:O49)*'Input data plant-based products'!O$120,IF(AND($F$2="Yes", $F$3="No"), (SUM(H49:O49)+Q49)*'Input data plant-based products'!O$120, IF(AND($F$2="No", $F$3="Yes"),(SUM(H49:O49)+P49)*'Input data plant-based products'!O$120, (SUM(H49:O49)+Q49+P49)*'Input data plant-based products'!O$120)))</f>
        <v>0.30796187003324</v>
      </c>
      <c r="G49" s="88" t="n">
        <f aca="false">SUM(S49:U49)/(1-'Common input data'!$B$122)</f>
        <v>0.71028702937005</v>
      </c>
      <c r="H49" s="87" t="n">
        <f aca="false">('Input data plant-based products'!$F$10*('Common input data'!$B$76*'Common input data'!B69+'Common input data'!$B$77*'Common input data'!C69))/'Input data plant-based products'!$E$10</f>
        <v>0.0474467007881944</v>
      </c>
      <c r="I49" s="89" t="n">
        <f aca="false">'Common input data'!$B$81</f>
        <v>0.03</v>
      </c>
      <c r="J49" s="87" t="n">
        <v>0</v>
      </c>
      <c r="K49" s="87" t="n">
        <v>0</v>
      </c>
      <c r="L49" s="87" t="n">
        <f aca="false">('Input data plant-based products'!$I$10*'Common input data'!$C$59*'Common input data'!H49)/'Input data plant-based products'!$E$10</f>
        <v>0.0416106413977956</v>
      </c>
      <c r="M49" s="89" t="n">
        <v>0</v>
      </c>
      <c r="N49" s="89" t="n">
        <f aca="false">'Input data plant-based products'!G$152</f>
        <v>0.02</v>
      </c>
      <c r="O49" s="87" t="n">
        <f aca="false">'Input data plant-based products'!$B$120*'Common input data'!$B$59*'Common input data'!B49+'Input data plant-based products'!C$120*'Common input data'!B63</f>
        <v>0.039147048</v>
      </c>
      <c r="P49" s="89" t="n">
        <f aca="false">'Common input data'!B$13</f>
        <v>0.108271767984466</v>
      </c>
      <c r="Q49" s="89" t="n">
        <v>0</v>
      </c>
      <c r="R49" s="87" t="n">
        <f aca="false">'Input data plant-based products'!$E$120*'Common input data'!$B$59*'Common input data'!B49+'Input data plant-based products'!F$120*'Common input data'!B63</f>
        <v>0.130690344255017</v>
      </c>
      <c r="S49" s="89" t="n">
        <f aca="false">(F49+R49)*'Common input data'!$D$28/'Common input data'!$C$28</f>
        <v>0.518407162340667</v>
      </c>
      <c r="T49" s="89" t="n">
        <f aca="false">'Common input data'!$B$88</f>
        <v>0.05</v>
      </c>
      <c r="U49" s="89" t="n">
        <f aca="false">'Common input data'!C$98</f>
        <v>0.03</v>
      </c>
      <c r="V49" s="309"/>
      <c r="W49" s="92"/>
      <c r="Z49" s="30"/>
    </row>
    <row r="50" s="209" customFormat="true" ht="17.4" hidden="false" customHeight="false" outlineLevel="0" collapsed="false">
      <c r="A50" s="74"/>
      <c r="B50" s="31"/>
      <c r="C50" s="93"/>
      <c r="D50" s="85" t="s">
        <v>135</v>
      </c>
      <c r="E50" s="217" t="n">
        <f aca="false">SUM(J50:K50)*'Input data plant-based products'!O$120</f>
        <v>0</v>
      </c>
      <c r="F50" s="89" t="n">
        <f aca="false">SUM(H50:O50)*'Input data plant-based products'!O$120</f>
        <v>3.50549094215686E-005</v>
      </c>
      <c r="G50" s="88" t="n">
        <f aca="false">SUM(S50:U50)/(1-'Common input data'!$B$122)</f>
        <v>6.15980078338313E-005</v>
      </c>
      <c r="H50" s="87" t="n">
        <f aca="false">('Input data plant-based products'!$F$10*('Common input data'!$B$76*'Common input data'!B70+'Common input data'!$B$77*'Common input data'!C70))/'Input data plant-based products'!$E$10</f>
        <v>1.27025902817168E-010</v>
      </c>
      <c r="I50" s="89" t="n">
        <v>0</v>
      </c>
      <c r="J50" s="87" t="n">
        <v>0</v>
      </c>
      <c r="K50" s="87" t="n">
        <v>0</v>
      </c>
      <c r="L50" s="87" t="n">
        <f aca="false">('Input data plant-based products'!$I$10*'Common input data'!$C$59*'Common input data'!H50)/'Input data plant-based products'!$E$10</f>
        <v>1.84321110406727E-005</v>
      </c>
      <c r="M50" s="89" t="n">
        <v>0</v>
      </c>
      <c r="N50" s="89" t="n">
        <v>0</v>
      </c>
      <c r="O50" s="87" t="n">
        <f aca="false">'Input data plant-based products'!$B$120*'Common input data'!$B$59*'Common input data'!B50</f>
        <v>1.417698E-005</v>
      </c>
      <c r="P50" s="87" t="n">
        <v>0</v>
      </c>
      <c r="Q50" s="89" t="n">
        <v>0</v>
      </c>
      <c r="R50" s="87" t="n">
        <f aca="false">'Input data plant-based products'!$E$120*'Common input data'!$B$59*'Common input data'!B50</f>
        <v>8.85665385058978E-006</v>
      </c>
      <c r="S50" s="89" t="n">
        <f aca="false">(F50+R50)*'Common input data'!$D$28/'Common input data'!$C$28</f>
        <v>5.18954838670963E-005</v>
      </c>
      <c r="T50" s="89" t="n">
        <v>0</v>
      </c>
      <c r="U50" s="89" t="n">
        <v>0</v>
      </c>
      <c r="V50" s="309"/>
      <c r="W50" s="92"/>
      <c r="Z50" s="30"/>
    </row>
    <row r="51" s="209" customFormat="true" ht="17.4" hidden="false" customHeight="false" outlineLevel="0" collapsed="false">
      <c r="A51" s="100"/>
      <c r="B51" s="101"/>
      <c r="C51" s="87"/>
      <c r="D51" s="31" t="s">
        <v>136</v>
      </c>
      <c r="E51" s="219" t="n">
        <f aca="false">SUM(J51:K51)*'Input data plant-based products'!O$120</f>
        <v>0.000919643880583453</v>
      </c>
      <c r="F51" s="126" t="n">
        <f aca="false">SUM(H51:O51)*'Input data plant-based products'!O$120</f>
        <v>0.00112943439115714</v>
      </c>
      <c r="G51" s="106" t="n">
        <f aca="false">SUM(S51:U51)/(1-'Common input data'!$B$122)</f>
        <v>0.0015854996014219</v>
      </c>
      <c r="H51" s="87" t="n">
        <f aca="false">('Input data plant-based products'!$F$10*('Common input data'!$B$76*'Common input data'!B71+'Common input data'!$B$77*'Common input data'!C71))/'Input data plant-based products'!$E$10</f>
        <v>0.000192714259586671</v>
      </c>
      <c r="I51" s="87" t="n">
        <v>0</v>
      </c>
      <c r="J51" s="87" t="n">
        <f aca="false">(SUM('Input data plant-based products'!F10:H10)*'Input data plant-based products'!$B$114*44/28)/'Input data plant-based products'!E10</f>
        <v>0.000777711526920468</v>
      </c>
      <c r="K51" s="89" t="n">
        <f aca="false">J51*'Input data plant-based products'!$B$115</f>
        <v>7.77711526920468E-005</v>
      </c>
      <c r="L51" s="87" t="n">
        <f aca="false">('Input data plant-based products'!$I$10*'Common input data'!$C$59*'Common input data'!H51)/'Input data plant-based products'!$E$10</f>
        <v>1.11809415768576E-006</v>
      </c>
      <c r="M51" s="89" t="n">
        <v>0</v>
      </c>
      <c r="N51" s="89" t="n">
        <v>0</v>
      </c>
      <c r="O51" s="87" t="n">
        <f aca="false">'Input data plant-based products'!$B$120*'Common input data'!$B$59*'Common input data'!B51</f>
        <v>1.32160958E-006</v>
      </c>
      <c r="P51" s="87" t="n">
        <v>0</v>
      </c>
      <c r="Q51" s="89" t="n">
        <v>0</v>
      </c>
      <c r="R51" s="87" t="n">
        <f aca="false">'Input data plant-based products'!$E$120*'Common input data'!$B$59*'Common input data'!B51</f>
        <v>8.2563695340498E-007</v>
      </c>
      <c r="S51" s="89" t="n">
        <f aca="false">(F51+R51)*'Common input data'!$D$28/'Common input data'!$C$28</f>
        <v>0.00133576185140337</v>
      </c>
      <c r="T51" s="89" t="n">
        <v>0</v>
      </c>
      <c r="U51" s="89" t="n">
        <v>0</v>
      </c>
      <c r="V51" s="309"/>
      <c r="W51" s="92"/>
      <c r="Z51" s="30"/>
    </row>
    <row r="52" s="334" customFormat="true" ht="17.4" hidden="false" customHeight="false" outlineLevel="0" collapsed="false">
      <c r="A52" s="107" t="s">
        <v>269</v>
      </c>
      <c r="B52" s="108"/>
      <c r="C52" s="69"/>
      <c r="D52" s="109"/>
      <c r="E52" s="110" t="s">
        <v>270</v>
      </c>
      <c r="F52" s="111" t="s">
        <v>270</v>
      </c>
      <c r="G52" s="112" t="s">
        <v>271</v>
      </c>
      <c r="H52" s="69"/>
      <c r="I52" s="69"/>
      <c r="J52" s="69"/>
      <c r="K52" s="113"/>
      <c r="L52" s="113"/>
      <c r="M52" s="114"/>
      <c r="N52" s="113"/>
      <c r="O52" s="113"/>
      <c r="P52" s="113"/>
      <c r="Q52" s="113"/>
      <c r="R52" s="113"/>
      <c r="S52" s="113"/>
      <c r="T52" s="113"/>
      <c r="U52" s="113"/>
      <c r="V52" s="309"/>
      <c r="W52" s="92"/>
      <c r="X52" s="209"/>
      <c r="Y52" s="209"/>
      <c r="Z52" s="30"/>
      <c r="AA52" s="209"/>
      <c r="AB52" s="209"/>
      <c r="AC52" s="209"/>
      <c r="AD52" s="209"/>
      <c r="AE52" s="209"/>
      <c r="AF52" s="209"/>
      <c r="AG52" s="209"/>
      <c r="AH52" s="209"/>
      <c r="AI52" s="209"/>
      <c r="AJ52" s="209"/>
      <c r="AK52" s="209"/>
      <c r="AL52" s="209"/>
      <c r="AM52" s="209"/>
      <c r="AN52" s="209"/>
      <c r="AO52" s="209"/>
      <c r="AP52" s="209"/>
      <c r="AQ52" s="209"/>
      <c r="AR52" s="209"/>
      <c r="AS52" s="209"/>
      <c r="AT52" s="209"/>
      <c r="AU52" s="209"/>
      <c r="AV52" s="209"/>
      <c r="AW52" s="209"/>
      <c r="AX52" s="209"/>
      <c r="AY52" s="209"/>
      <c r="AZ52" s="209"/>
      <c r="BA52" s="209"/>
      <c r="BB52" s="209"/>
      <c r="BC52" s="209"/>
      <c r="BD52" s="209"/>
      <c r="BE52" s="209"/>
      <c r="BF52" s="209"/>
      <c r="BG52" s="209"/>
      <c r="BH52" s="209"/>
      <c r="BI52" s="209"/>
      <c r="BJ52" s="209"/>
      <c r="BK52" s="209"/>
      <c r="BL52" s="209"/>
      <c r="BM52" s="209"/>
      <c r="BN52" s="209"/>
      <c r="BO52" s="209"/>
      <c r="BP52" s="209"/>
      <c r="BQ52" s="209"/>
      <c r="BR52" s="209"/>
      <c r="BS52" s="209"/>
      <c r="BT52" s="209"/>
      <c r="BU52" s="209"/>
      <c r="BV52" s="209"/>
      <c r="BW52" s="209"/>
      <c r="BX52" s="209"/>
      <c r="BY52" s="209"/>
      <c r="BZ52" s="209"/>
      <c r="CA52" s="209"/>
      <c r="CB52" s="209"/>
      <c r="CC52" s="209"/>
      <c r="CD52" s="209"/>
      <c r="CE52" s="209"/>
      <c r="CF52" s="209"/>
      <c r="CG52" s="209"/>
      <c r="CH52" s="209"/>
      <c r="CI52" s="209"/>
      <c r="CJ52" s="209"/>
      <c r="CK52" s="209"/>
      <c r="CL52" s="209"/>
      <c r="CM52" s="209"/>
      <c r="CN52" s="209"/>
      <c r="CO52" s="209"/>
      <c r="CP52" s="209"/>
      <c r="CQ52" s="209"/>
      <c r="CR52" s="209"/>
      <c r="CS52" s="209"/>
      <c r="CT52" s="209"/>
      <c r="CU52" s="209"/>
      <c r="CV52" s="209"/>
      <c r="CW52" s="209"/>
      <c r="CX52" s="209"/>
      <c r="CY52" s="209"/>
      <c r="CZ52" s="209"/>
      <c r="DA52" s="209"/>
      <c r="DB52" s="209"/>
      <c r="DC52" s="209"/>
      <c r="DD52" s="209"/>
      <c r="DE52" s="209"/>
      <c r="DF52" s="209"/>
      <c r="DG52" s="209"/>
      <c r="DH52" s="209"/>
      <c r="DI52" s="209"/>
      <c r="DJ52" s="209"/>
      <c r="DK52" s="209"/>
      <c r="DL52" s="209"/>
      <c r="DM52" s="209"/>
      <c r="DN52" s="209"/>
      <c r="DO52" s="209"/>
      <c r="DP52" s="209"/>
      <c r="DQ52" s="209"/>
      <c r="DR52" s="209"/>
      <c r="DS52" s="209"/>
      <c r="DT52" s="209"/>
      <c r="DU52" s="209"/>
      <c r="DV52" s="209"/>
      <c r="DW52" s="209"/>
      <c r="DX52" s="209"/>
      <c r="DY52" s="209"/>
      <c r="DZ52" s="209"/>
      <c r="EA52" s="209"/>
      <c r="EB52" s="209"/>
      <c r="EC52" s="209"/>
      <c r="ED52" s="209"/>
      <c r="EE52" s="209"/>
      <c r="EF52" s="209"/>
      <c r="EG52" s="209"/>
      <c r="EH52" s="209"/>
      <c r="EI52" s="209"/>
      <c r="EJ52" s="209"/>
      <c r="EK52" s="209"/>
      <c r="EL52" s="209"/>
      <c r="EM52" s="209"/>
      <c r="EN52" s="209"/>
      <c r="EO52" s="209"/>
      <c r="EP52" s="209"/>
      <c r="EQ52" s="209"/>
      <c r="ER52" s="209"/>
      <c r="ES52" s="209"/>
      <c r="ET52" s="209"/>
      <c r="EU52" s="209"/>
      <c r="EV52" s="209"/>
      <c r="EW52" s="209"/>
      <c r="EX52" s="209"/>
      <c r="EY52" s="209"/>
      <c r="EZ52" s="209"/>
      <c r="FA52" s="209"/>
      <c r="FB52" s="209"/>
      <c r="FC52" s="209"/>
      <c r="FD52" s="209"/>
      <c r="FE52" s="209"/>
      <c r="FF52" s="209"/>
      <c r="FG52" s="209"/>
      <c r="FH52" s="209"/>
      <c r="FI52" s="209"/>
      <c r="FJ52" s="209"/>
      <c r="FK52" s="209"/>
      <c r="FL52" s="209"/>
      <c r="FM52" s="209"/>
      <c r="FN52" s="209"/>
      <c r="FO52" s="209"/>
      <c r="FP52" s="209"/>
      <c r="FQ52" s="209"/>
      <c r="FR52" s="209"/>
      <c r="FS52" s="209"/>
      <c r="FT52" s="209"/>
      <c r="FU52" s="209"/>
      <c r="FV52" s="209"/>
      <c r="FW52" s="209"/>
      <c r="FX52" s="209"/>
      <c r="FY52" s="209"/>
      <c r="FZ52" s="209"/>
      <c r="GA52" s="209"/>
      <c r="GB52" s="209"/>
      <c r="GC52" s="209"/>
      <c r="GD52" s="209"/>
      <c r="GE52" s="209"/>
      <c r="GF52" s="209"/>
      <c r="GG52" s="209"/>
      <c r="GH52" s="209"/>
      <c r="GI52" s="209"/>
      <c r="GJ52" s="209"/>
      <c r="GK52" s="209"/>
      <c r="GL52" s="209"/>
      <c r="GM52" s="209"/>
      <c r="GN52" s="209"/>
      <c r="GO52" s="209"/>
      <c r="GP52" s="209"/>
      <c r="GQ52" s="209"/>
      <c r="GR52" s="209"/>
      <c r="GS52" s="209"/>
      <c r="GT52" s="209"/>
      <c r="GU52" s="209"/>
      <c r="GV52" s="209"/>
      <c r="GW52" s="209"/>
      <c r="GX52" s="209"/>
      <c r="GY52" s="209"/>
      <c r="GZ52" s="209"/>
      <c r="HA52" s="209"/>
      <c r="HB52" s="209"/>
      <c r="HC52" s="209"/>
      <c r="HD52" s="209"/>
      <c r="HE52" s="209"/>
      <c r="HF52" s="209"/>
      <c r="HG52" s="209"/>
      <c r="HH52" s="209"/>
      <c r="HI52" s="209"/>
      <c r="HJ52" s="209"/>
      <c r="HK52" s="209"/>
      <c r="HL52" s="209"/>
      <c r="HM52" s="209"/>
      <c r="HN52" s="209"/>
      <c r="HO52" s="209"/>
      <c r="HP52" s="209"/>
      <c r="HQ52" s="209"/>
      <c r="HR52" s="209"/>
      <c r="HS52" s="209"/>
      <c r="HT52" s="209"/>
      <c r="HU52" s="209"/>
      <c r="HV52" s="209"/>
      <c r="HW52" s="209"/>
      <c r="HX52" s="209"/>
      <c r="HY52" s="209"/>
      <c r="HZ52" s="209"/>
      <c r="IA52" s="209"/>
      <c r="IB52" s="209"/>
      <c r="IC52" s="209"/>
      <c r="ID52" s="209"/>
      <c r="IE52" s="209"/>
      <c r="IF52" s="209"/>
      <c r="IG52" s="209"/>
      <c r="IH52" s="209"/>
      <c r="II52" s="209"/>
      <c r="IJ52" s="209"/>
      <c r="IK52" s="209"/>
      <c r="IL52" s="209"/>
      <c r="IM52" s="209"/>
      <c r="IN52" s="209"/>
      <c r="IO52" s="209"/>
      <c r="IP52" s="209"/>
      <c r="IQ52" s="209"/>
      <c r="IR52" s="209"/>
      <c r="IS52" s="209"/>
      <c r="IT52" s="209"/>
      <c r="IU52" s="209"/>
      <c r="IV52" s="209"/>
      <c r="IW52" s="209"/>
      <c r="IX52" s="209"/>
    </row>
    <row r="53" s="332" customFormat="true" ht="17.4" hidden="false" customHeight="false" outlineLevel="0" collapsed="false">
      <c r="A53" s="330" t="s">
        <v>272</v>
      </c>
      <c r="B53" s="76"/>
      <c r="C53" s="188" t="n">
        <f aca="false">SUM(C57:C68)</f>
        <v>1</v>
      </c>
      <c r="D53" s="78" t="s">
        <v>133</v>
      </c>
      <c r="E53" s="79" t="n">
        <f aca="false">IF($F$1="GWP100 without fb",E54+E55*'Common input data'!$C$5+E56*'Common input data'!$D$5,IF($F$1="GWP100 with fb",E54+E55*'Common input data'!$C$6+E56*'Common input data'!$D$6,IF($F$1="GTP100 without fb",E54+E55*'Common input data'!$C$7+E56*'Common input data'!$D$7,IF($F$1="GTP100 with fb",E54+E55*'Common input data'!$C$8+E56*'Common input data'!$D$8,E54+E55*'Common input data'!$C$9+E56*'Common input data'!$D$9))))</f>
        <v>1.0280678669646</v>
      </c>
      <c r="F53" s="80" t="n">
        <f aca="false">IF($F$1="GWP100 without fb",F54+F55*'Common input data'!$C$5+F56*'Common input data'!$D$5,IF($F$1="GWP100 with fb",F54+F55*'Common input data'!$C$6+F56*'Common input data'!$D$6,IF($F$1="GTP100 without fb",F54+F55*'Common input data'!$C$7+F56*'Common input data'!$D$7,IF($F$1="GTP100 with fb",F54+F55*'Common input data'!$C$8+F56*'Common input data'!$D$8,F54+F55*'Common input data'!$C$9+F56*'Common input data'!$D$9))))</f>
        <v>1.76496789231719</v>
      </c>
      <c r="G53" s="81" t="n">
        <f aca="false">IF($F$1="GWP100 without fb",G54+G55*'Common input data'!$C$5+G56*'Common input data'!$D$5,IF($F$1="GWP100 with fb",G54+G55*'Common input data'!$C$6+G56*'Common input data'!$D$6,IF($F$1="GTP100 without fb",G54+G55*'Common input data'!$C$7+G56*'Common input data'!$D$7,IF($F$1="GTP100 with fb",G54+G55*'Common input data'!$C$8+G56*'Common input data'!$D$8,G54+G55*'Common input data'!$C$9+G56*'Common input data'!$D$9))))</f>
        <v>3.57956435475643</v>
      </c>
      <c r="H53" s="95"/>
      <c r="I53" s="97"/>
      <c r="J53" s="97"/>
      <c r="K53" s="83"/>
      <c r="L53" s="83"/>
      <c r="M53" s="83"/>
      <c r="N53" s="83"/>
      <c r="O53" s="83"/>
      <c r="P53" s="83"/>
      <c r="Q53" s="83"/>
      <c r="R53" s="83"/>
      <c r="S53" s="83"/>
      <c r="T53" s="83"/>
      <c r="U53" s="83"/>
      <c r="V53" s="309"/>
      <c r="W53" s="92"/>
      <c r="X53" s="209"/>
      <c r="Y53" s="209"/>
      <c r="Z53" s="30"/>
      <c r="AA53" s="209"/>
      <c r="AB53" s="209"/>
      <c r="AC53" s="209"/>
      <c r="AD53" s="209"/>
      <c r="AE53" s="209"/>
      <c r="AF53" s="209"/>
      <c r="AG53" s="209"/>
      <c r="AH53" s="209"/>
      <c r="AI53" s="209"/>
      <c r="AJ53" s="209"/>
      <c r="AK53" s="209"/>
      <c r="AL53" s="209"/>
      <c r="AM53" s="209"/>
      <c r="AN53" s="209"/>
      <c r="AO53" s="209"/>
      <c r="AP53" s="209"/>
      <c r="AQ53" s="209"/>
      <c r="AR53" s="209"/>
      <c r="AS53" s="209"/>
      <c r="AT53" s="209"/>
      <c r="AU53" s="209"/>
      <c r="AV53" s="209"/>
      <c r="AW53" s="209"/>
      <c r="AX53" s="209"/>
      <c r="AY53" s="209"/>
      <c r="AZ53" s="209"/>
      <c r="BA53" s="209"/>
      <c r="BB53" s="209"/>
      <c r="BC53" s="209"/>
      <c r="BD53" s="209"/>
      <c r="BE53" s="209"/>
      <c r="BF53" s="209"/>
      <c r="BG53" s="209"/>
      <c r="BH53" s="209"/>
      <c r="BI53" s="209"/>
      <c r="BJ53" s="209"/>
      <c r="BK53" s="209"/>
      <c r="BL53" s="209"/>
      <c r="BM53" s="209"/>
      <c r="BN53" s="209"/>
      <c r="BO53" s="209"/>
      <c r="BP53" s="209"/>
      <c r="BQ53" s="209"/>
      <c r="BR53" s="209"/>
      <c r="BS53" s="209"/>
      <c r="BT53" s="209"/>
      <c r="BU53" s="209"/>
      <c r="BV53" s="209"/>
      <c r="BW53" s="209"/>
      <c r="BX53" s="209"/>
      <c r="BY53" s="209"/>
      <c r="BZ53" s="209"/>
      <c r="CA53" s="209"/>
      <c r="CB53" s="209"/>
      <c r="CC53" s="209"/>
      <c r="CD53" s="209"/>
      <c r="CE53" s="209"/>
      <c r="CF53" s="209"/>
      <c r="CG53" s="209"/>
      <c r="CH53" s="209"/>
      <c r="CI53" s="209"/>
      <c r="CJ53" s="209"/>
      <c r="CK53" s="209"/>
      <c r="CL53" s="209"/>
      <c r="CM53" s="209"/>
      <c r="CN53" s="209"/>
      <c r="CO53" s="209"/>
      <c r="CP53" s="209"/>
      <c r="CQ53" s="209"/>
      <c r="CR53" s="209"/>
      <c r="CS53" s="209"/>
      <c r="CT53" s="209"/>
      <c r="CU53" s="209"/>
      <c r="CV53" s="209"/>
      <c r="CW53" s="209"/>
      <c r="CX53" s="209"/>
      <c r="CY53" s="209"/>
      <c r="CZ53" s="209"/>
      <c r="DA53" s="209"/>
      <c r="DB53" s="209"/>
      <c r="DC53" s="209"/>
      <c r="DD53" s="209"/>
      <c r="DE53" s="209"/>
      <c r="DF53" s="209"/>
      <c r="DG53" s="209"/>
      <c r="DH53" s="209"/>
      <c r="DI53" s="209"/>
      <c r="DJ53" s="209"/>
      <c r="DK53" s="209"/>
      <c r="DL53" s="209"/>
      <c r="DM53" s="209"/>
      <c r="DN53" s="209"/>
      <c r="DO53" s="209"/>
      <c r="DP53" s="209"/>
      <c r="DQ53" s="209"/>
      <c r="DR53" s="209"/>
      <c r="DS53" s="209"/>
      <c r="DT53" s="209"/>
      <c r="DU53" s="209"/>
      <c r="DV53" s="209"/>
      <c r="DW53" s="209"/>
      <c r="DX53" s="209"/>
      <c r="DY53" s="209"/>
      <c r="DZ53" s="209"/>
      <c r="EA53" s="209"/>
      <c r="EB53" s="209"/>
      <c r="EC53" s="209"/>
      <c r="ED53" s="209"/>
      <c r="EE53" s="209"/>
      <c r="EF53" s="209"/>
      <c r="EG53" s="209"/>
      <c r="EH53" s="209"/>
      <c r="EI53" s="209"/>
      <c r="EJ53" s="209"/>
      <c r="EK53" s="209"/>
      <c r="EL53" s="209"/>
      <c r="EM53" s="209"/>
      <c r="EN53" s="209"/>
      <c r="EO53" s="209"/>
      <c r="EP53" s="209"/>
      <c r="EQ53" s="209"/>
      <c r="ER53" s="209"/>
      <c r="ES53" s="209"/>
      <c r="ET53" s="209"/>
      <c r="EU53" s="209"/>
      <c r="EV53" s="209"/>
      <c r="EW53" s="209"/>
      <c r="EX53" s="209"/>
      <c r="EY53" s="209"/>
      <c r="EZ53" s="209"/>
      <c r="FA53" s="209"/>
      <c r="FB53" s="209"/>
      <c r="FC53" s="209"/>
      <c r="FD53" s="209"/>
      <c r="FE53" s="209"/>
      <c r="FF53" s="209"/>
      <c r="FG53" s="209"/>
      <c r="FH53" s="209"/>
      <c r="FI53" s="209"/>
      <c r="FJ53" s="209"/>
      <c r="FK53" s="209"/>
      <c r="FL53" s="209"/>
      <c r="FM53" s="209"/>
      <c r="FN53" s="209"/>
      <c r="FO53" s="209"/>
      <c r="FP53" s="209"/>
      <c r="FQ53" s="209"/>
      <c r="FR53" s="209"/>
      <c r="FS53" s="209"/>
      <c r="FT53" s="209"/>
      <c r="FU53" s="209"/>
      <c r="FV53" s="209"/>
      <c r="FW53" s="209"/>
      <c r="FX53" s="209"/>
      <c r="FY53" s="209"/>
      <c r="FZ53" s="209"/>
      <c r="GA53" s="209"/>
      <c r="GB53" s="209"/>
      <c r="GC53" s="209"/>
      <c r="GD53" s="209"/>
      <c r="GE53" s="209"/>
      <c r="GF53" s="209"/>
      <c r="GG53" s="209"/>
      <c r="GH53" s="209"/>
      <c r="GI53" s="209"/>
      <c r="GJ53" s="209"/>
      <c r="GK53" s="209"/>
      <c r="GL53" s="209"/>
      <c r="GM53" s="209"/>
      <c r="GN53" s="209"/>
      <c r="GO53" s="209"/>
      <c r="GP53" s="209"/>
      <c r="GQ53" s="209"/>
      <c r="GR53" s="209"/>
      <c r="GS53" s="209"/>
      <c r="GT53" s="209"/>
      <c r="GU53" s="209"/>
      <c r="GV53" s="209"/>
      <c r="GW53" s="209"/>
      <c r="GX53" s="209"/>
      <c r="GY53" s="209"/>
      <c r="GZ53" s="209"/>
      <c r="HA53" s="209"/>
      <c r="HB53" s="209"/>
      <c r="HC53" s="209"/>
      <c r="HD53" s="209"/>
      <c r="HE53" s="209"/>
      <c r="HF53" s="209"/>
      <c r="HG53" s="209"/>
      <c r="HH53" s="209"/>
      <c r="HI53" s="209"/>
      <c r="HJ53" s="209"/>
      <c r="HK53" s="209"/>
      <c r="HL53" s="209"/>
      <c r="HM53" s="209"/>
      <c r="HN53" s="209"/>
      <c r="HO53" s="209"/>
      <c r="HP53" s="209"/>
      <c r="HQ53" s="209"/>
      <c r="HR53" s="209"/>
      <c r="HS53" s="209"/>
      <c r="HT53" s="209"/>
      <c r="HU53" s="209"/>
      <c r="HV53" s="209"/>
      <c r="HW53" s="209"/>
      <c r="HX53" s="209"/>
      <c r="HY53" s="209"/>
      <c r="HZ53" s="209"/>
      <c r="IA53" s="209"/>
      <c r="IB53" s="209"/>
      <c r="IC53" s="209"/>
      <c r="ID53" s="209"/>
      <c r="IE53" s="209"/>
      <c r="IF53" s="209"/>
      <c r="IG53" s="209"/>
      <c r="IH53" s="209"/>
      <c r="II53" s="209"/>
      <c r="IJ53" s="209"/>
      <c r="IK53" s="209"/>
      <c r="IL53" s="209"/>
      <c r="IM53" s="209"/>
      <c r="IN53" s="209"/>
      <c r="IO53" s="209"/>
      <c r="IP53" s="209"/>
      <c r="IQ53" s="209"/>
      <c r="IR53" s="209"/>
      <c r="IS53" s="209"/>
      <c r="IT53" s="209"/>
      <c r="IU53" s="209"/>
      <c r="IV53" s="209"/>
      <c r="IW53" s="209"/>
      <c r="IX53" s="209"/>
    </row>
    <row r="54" s="209" customFormat="true" ht="17.4" hidden="false" customHeight="false" outlineLevel="0" collapsed="false">
      <c r="A54" s="315"/>
      <c r="B54" s="31"/>
      <c r="C54" s="30"/>
      <c r="D54" s="85" t="s">
        <v>134</v>
      </c>
      <c r="E54" s="217" t="n">
        <f aca="false">E58*$C$57+E62*$C$61+$C$65*E66</f>
        <v>0.124151627288854</v>
      </c>
      <c r="F54" s="89" t="n">
        <f aca="false">F58*$C$57+F62*$C$61+$C$65*F66</f>
        <v>0.73246823220042</v>
      </c>
      <c r="G54" s="88" t="n">
        <f aca="false">G58*$C$57+G62*$C$61+$C$65*G66</f>
        <v>1.80657806671025</v>
      </c>
      <c r="H54" s="89" t="n">
        <f aca="false">H58*$C$57+H62*$C$61+$C$65*H66</f>
        <v>0.0581894977269736</v>
      </c>
      <c r="I54" s="89" t="n">
        <f aca="false">I58*$C$57+I62*$C$61+$C$65*I66</f>
        <v>0.03</v>
      </c>
      <c r="J54" s="89" t="n">
        <f aca="false">J58*$C$57+J62*$C$61+$C$65*J66</f>
        <v>0</v>
      </c>
      <c r="K54" s="89" t="n">
        <f aca="false">K58*$C$57+K62*$C$61+$C$65*K66</f>
        <v>0</v>
      </c>
      <c r="L54" s="89" t="n">
        <f aca="false">L58*$C$57+L62*$C$61+$C$65*L66</f>
        <v>0.123098784947066</v>
      </c>
      <c r="M54" s="89" t="n">
        <f aca="false">M58*$C$57+M62*$C$61+$C$65*M66</f>
        <v>0</v>
      </c>
      <c r="N54" s="89" t="n">
        <f aca="false">N58*$C$57+N62*$C$61+$C$65*N66</f>
        <v>0.1482</v>
      </c>
      <c r="O54" s="89" t="n">
        <f aca="false">O58*$C$57+O62*$C$61+$C$65*O66</f>
        <v>0.1710203844</v>
      </c>
      <c r="P54" s="89" t="n">
        <f aca="false">P58*$C$57+P62*$C$61+$C$65*P66</f>
        <v>0.108271767984466</v>
      </c>
      <c r="Q54" s="89" t="n">
        <f aca="false">Q58*$C$57+Q62*$C$61+$C$65*Q66</f>
        <v>0</v>
      </c>
      <c r="R54" s="89" t="n">
        <f aca="false">R58*$C$57+R62*$C$61+$C$65*R66</f>
        <v>0.0129097371</v>
      </c>
      <c r="S54" s="89" t="n">
        <f aca="false">S58*$C$57+S62*$C$61+$C$65*S66</f>
        <v>1.09101694700021</v>
      </c>
      <c r="T54" s="89" t="n">
        <f aca="false">T58*$C$57+T62*$C$61+$C$65*T66</f>
        <v>0.05</v>
      </c>
      <c r="U54" s="89" t="n">
        <f aca="false">U58*$C$57+U62*$C$61+$C$65*U66</f>
        <v>0.402</v>
      </c>
      <c r="V54" s="309"/>
      <c r="W54" s="92"/>
      <c r="Z54" s="30"/>
    </row>
    <row r="55" s="209" customFormat="true" ht="17.4" hidden="false" customHeight="false" outlineLevel="0" collapsed="false">
      <c r="A55" s="315"/>
      <c r="B55" s="31"/>
      <c r="C55" s="93"/>
      <c r="D55" s="85" t="s">
        <v>135</v>
      </c>
      <c r="E55" s="217" t="n">
        <f aca="false">E59*$C$57+E63*$C$61+$C$65*E67</f>
        <v>0.020861847600679</v>
      </c>
      <c r="F55" s="89" t="n">
        <f aca="false">F59*$C$57+F63*$C$61+$C$65*F67</f>
        <v>0.0209475356875805</v>
      </c>
      <c r="G55" s="88" t="n">
        <f aca="false">G59*$C$57+G63*$C$61+$C$65*G67</f>
        <v>0.0360198362669552</v>
      </c>
      <c r="H55" s="89" t="n">
        <f aca="false">H59*$C$57+H63*$C$61+$C$65*H67</f>
        <v>3.11886075808247E-010</v>
      </c>
      <c r="I55" s="89" t="n">
        <f aca="false">I59*$C$57+I63*$C$61+$C$65*I67</f>
        <v>0</v>
      </c>
      <c r="J55" s="89" t="n">
        <f aca="false">J59*$C$57+J63*$C$61+$C$65*J67</f>
        <v>0.0181934717447782</v>
      </c>
      <c r="K55" s="89" t="n">
        <f aca="false">K59*$C$57+K63*$C$61+$C$65*K67</f>
        <v>0</v>
      </c>
      <c r="L55" s="89" t="n">
        <f aca="false">L59*$C$57+L63*$C$61+$C$65*L67</f>
        <v>5.45286108768417E-005</v>
      </c>
      <c r="M55" s="89" t="n">
        <f aca="false">M59*$C$57+M63*$C$61+$C$65*M67</f>
        <v>0</v>
      </c>
      <c r="N55" s="89" t="n">
        <f aca="false">N59*$C$57+N63*$C$61+$C$65*N67</f>
        <v>0</v>
      </c>
      <c r="O55" s="89" t="n">
        <f aca="false">O59*$C$57+O63*$C$61+$C$65*O67</f>
        <v>2.019906E-005</v>
      </c>
      <c r="P55" s="89" t="n">
        <f aca="false">P59*$C$57+P63*$C$61+$C$65*P67</f>
        <v>0</v>
      </c>
      <c r="Q55" s="89" t="n">
        <f aca="false">Q59*$C$57+Q63*$C$61+$C$65*Q67</f>
        <v>0</v>
      </c>
      <c r="R55" s="89" t="n">
        <f aca="false">R59*$C$57+R63*$C$61+$C$65*R67</f>
        <v>0</v>
      </c>
      <c r="S55" s="89" t="n">
        <f aca="false">S59*$C$57+S63*$C$61+$C$65*S67</f>
        <v>0.0306611107039989</v>
      </c>
      <c r="T55" s="89" t="n">
        <f aca="false">T59*$C$57+T63*$C$61+$C$65*T67</f>
        <v>0</v>
      </c>
      <c r="U55" s="89" t="n">
        <f aca="false">U59*$C$57+U63*$C$61+$C$65*U67</f>
        <v>0</v>
      </c>
      <c r="V55" s="309"/>
      <c r="W55" s="92"/>
      <c r="Z55" s="30"/>
    </row>
    <row r="56" s="209" customFormat="true" ht="17.4" hidden="false" customHeight="false" outlineLevel="0" collapsed="false">
      <c r="A56" s="74"/>
      <c r="B56" s="101"/>
      <c r="C56" s="87"/>
      <c r="D56" s="31" t="s">
        <v>136</v>
      </c>
      <c r="E56" s="217" t="n">
        <f aca="false">E60*$C$57+E64*$C$61+$C$65*E68</f>
        <v>0.000653065171988774</v>
      </c>
      <c r="F56" s="89" t="n">
        <f aca="false">F60*$C$57+F64*$C$61+$C$65*F68</f>
        <v>0.00107477666690951</v>
      </c>
      <c r="G56" s="88" t="n">
        <f aca="false">G60*$C$57+G64*$C$61+$C$65*G68</f>
        <v>0.00183997266768357</v>
      </c>
      <c r="H56" s="89" t="n">
        <f aca="false">H60*$C$57+H64*$C$61+$C$65*H68</f>
        <v>0.00036258093894137</v>
      </c>
      <c r="I56" s="89" t="n">
        <f aca="false">I60*$C$57+I64*$C$61+$C$65*I68</f>
        <v>0</v>
      </c>
      <c r="J56" s="89" t="n">
        <f aca="false">J60*$C$57+J64*$C$61+$C$65*J68</f>
        <v>0.000517757800202516</v>
      </c>
      <c r="K56" s="89" t="n">
        <f aca="false">K60*$C$57+K64*$C$61+$C$65*K68</f>
        <v>5.17757800202516E-005</v>
      </c>
      <c r="L56" s="89" t="n">
        <f aca="false">L60*$C$57+L64*$C$61+$C$65*L68</f>
        <v>3.30771234578522E-006</v>
      </c>
      <c r="M56" s="89" t="n">
        <f aca="false">M60*$C$57+M64*$C$61+$C$65*M68</f>
        <v>0</v>
      </c>
      <c r="N56" s="89" t="n">
        <f aca="false">N60*$C$57+N64*$C$61+$C$65*N68</f>
        <v>0</v>
      </c>
      <c r="O56" s="89" t="n">
        <f aca="false">O60*$C$57+O64*$C$61+$C$65*O68</f>
        <v>1.88300126E-006</v>
      </c>
      <c r="P56" s="89" t="n">
        <f aca="false">P60*$C$57+P64*$C$61+$C$65*P68</f>
        <v>0</v>
      </c>
      <c r="Q56" s="89" t="n">
        <f aca="false">Q60*$C$57+Q64*$C$61+$C$65*Q68</f>
        <v>0</v>
      </c>
      <c r="R56" s="89" t="n">
        <f aca="false">R60*$C$57+R64*$C$61+$C$65*R68</f>
        <v>0</v>
      </c>
      <c r="S56" s="89" t="n">
        <f aca="false">S60*$C$57+S64*$C$61+$C$65*S68</f>
        <v>0.00157316100841997</v>
      </c>
      <c r="T56" s="89" t="n">
        <f aca="false">T60*$C$57+T64*$C$61+$C$65*T68</f>
        <v>0</v>
      </c>
      <c r="U56" s="89" t="n">
        <f aca="false">U60*$C$57+U64*$C$61+$C$65*U68</f>
        <v>0</v>
      </c>
      <c r="V56" s="309"/>
      <c r="W56" s="92"/>
      <c r="Z56" s="30"/>
    </row>
    <row r="57" s="332" customFormat="true" ht="17.4" hidden="false" customHeight="false" outlineLevel="0" collapsed="false">
      <c r="A57" s="330" t="s">
        <v>273</v>
      </c>
      <c r="B57" s="76" t="s">
        <v>254</v>
      </c>
      <c r="C57" s="84" t="n">
        <f aca="false">'Input data plant-based products'!D11</f>
        <v>0.19</v>
      </c>
      <c r="D57" s="78" t="s">
        <v>133</v>
      </c>
      <c r="E57" s="94" t="n">
        <f aca="false">IF($F$1="GWP100 without fb",E58+E59*'Common input data'!$C$5+E60*'Common input data'!$D$5,IF($F$1="GWP100 with fb",E58+E59*'Common input data'!$C$6+E60*'Common input data'!$D$6,IF($F$1="GTP100 without fb",E58+E59*'Common input data'!$C$7+E60*'Common input data'!$D$7,IF($F$1="GTP100 with fb",E58+E59*'Common input data'!$C$8+E60*'Common input data'!$D$8,E58+E59*'Common input data'!$C$9+E60*'Common input data'!$D$9))))</f>
        <v>0.84998832890711</v>
      </c>
      <c r="F57" s="95" t="n">
        <f aca="false">IF($F$1="GWP100 without fb",F58+F59*'Common input data'!$C$5+F60*'Common input data'!$D$5,IF($F$1="GWP100 with fb",F58+F59*'Common input data'!$C$6+F60*'Common input data'!$D$6,IF($F$1="GTP100 without fb",F58+F59*'Common input data'!$C$7+F60*'Common input data'!$D$7,IF($F$1="GTP100 with fb",F58+F59*'Common input data'!$C$8+F60*'Common input data'!$D$8,F58+F59*'Common input data'!$C$9+F60*'Common input data'!$D$9))))</f>
        <v>1.52142703815305</v>
      </c>
      <c r="G57" s="96" t="n">
        <f aca="false">IF($F$1="GWP100 without fb",G58+G59*'Common input data'!$C$5+G60*'Common input data'!$D$5,IF($F$1="GWP100 with fb",G58+G59*'Common input data'!$C$6+G60*'Common input data'!$D$6,IF($F$1="GTP100 without fb",G58+G59*'Common input data'!$C$7+G60*'Common input data'!$D$7,IF($F$1="GTP100 with fb",G58+G59*'Common input data'!$C$8+G60*'Common input data'!$D$8,G58+G59*'Common input data'!$C$9+G60*'Common input data'!$D$9))))</f>
        <v>3.09958547182398</v>
      </c>
      <c r="H57" s="83"/>
      <c r="I57" s="83"/>
      <c r="J57" s="83"/>
      <c r="K57" s="83"/>
      <c r="L57" s="83"/>
      <c r="M57" s="83"/>
      <c r="N57" s="83"/>
      <c r="O57" s="83"/>
      <c r="P57" s="83"/>
      <c r="Q57" s="83"/>
      <c r="R57" s="83"/>
      <c r="S57" s="83"/>
      <c r="T57" s="83"/>
      <c r="U57" s="83"/>
      <c r="V57" s="309"/>
      <c r="W57" s="92"/>
      <c r="X57" s="209"/>
      <c r="Y57" s="209"/>
      <c r="Z57" s="30"/>
      <c r="AA57" s="209"/>
      <c r="AB57" s="209"/>
      <c r="AC57" s="209"/>
      <c r="AD57" s="209"/>
      <c r="AE57" s="209"/>
      <c r="AF57" s="209"/>
      <c r="AG57" s="209"/>
      <c r="AH57" s="209"/>
      <c r="AI57" s="209"/>
      <c r="AJ57" s="209"/>
      <c r="AK57" s="209"/>
      <c r="AL57" s="209"/>
      <c r="AM57" s="209"/>
      <c r="AN57" s="209"/>
      <c r="AO57" s="209"/>
      <c r="AP57" s="209"/>
      <c r="AQ57" s="209"/>
      <c r="AR57" s="209"/>
      <c r="AS57" s="209"/>
      <c r="AT57" s="209"/>
      <c r="AU57" s="209"/>
      <c r="AV57" s="209"/>
      <c r="AW57" s="209"/>
      <c r="AX57" s="209"/>
      <c r="AY57" s="209"/>
      <c r="AZ57" s="209"/>
      <c r="BA57" s="209"/>
      <c r="BB57" s="209"/>
      <c r="BC57" s="209"/>
      <c r="BD57" s="209"/>
      <c r="BE57" s="209"/>
      <c r="BF57" s="209"/>
      <c r="BG57" s="209"/>
      <c r="BH57" s="209"/>
      <c r="BI57" s="209"/>
      <c r="BJ57" s="209"/>
      <c r="BK57" s="209"/>
      <c r="BL57" s="209"/>
      <c r="BM57" s="209"/>
      <c r="BN57" s="209"/>
      <c r="BO57" s="209"/>
      <c r="BP57" s="209"/>
      <c r="BQ57" s="209"/>
      <c r="BR57" s="209"/>
      <c r="BS57" s="209"/>
      <c r="BT57" s="209"/>
      <c r="BU57" s="209"/>
      <c r="BV57" s="209"/>
      <c r="BW57" s="209"/>
      <c r="BX57" s="209"/>
      <c r="BY57" s="209"/>
      <c r="BZ57" s="209"/>
      <c r="CA57" s="209"/>
      <c r="CB57" s="209"/>
      <c r="CC57" s="209"/>
      <c r="CD57" s="209"/>
      <c r="CE57" s="209"/>
      <c r="CF57" s="209"/>
      <c r="CG57" s="209"/>
      <c r="CH57" s="209"/>
      <c r="CI57" s="209"/>
      <c r="CJ57" s="209"/>
      <c r="CK57" s="209"/>
      <c r="CL57" s="209"/>
      <c r="CM57" s="209"/>
      <c r="CN57" s="209"/>
      <c r="CO57" s="209"/>
      <c r="CP57" s="209"/>
      <c r="CQ57" s="209"/>
      <c r="CR57" s="209"/>
      <c r="CS57" s="209"/>
      <c r="CT57" s="209"/>
      <c r="CU57" s="209"/>
      <c r="CV57" s="209"/>
      <c r="CW57" s="209"/>
      <c r="CX57" s="209"/>
      <c r="CY57" s="209"/>
      <c r="CZ57" s="209"/>
      <c r="DA57" s="209"/>
      <c r="DB57" s="209"/>
      <c r="DC57" s="209"/>
      <c r="DD57" s="209"/>
      <c r="DE57" s="209"/>
      <c r="DF57" s="209"/>
      <c r="DG57" s="209"/>
      <c r="DH57" s="209"/>
      <c r="DI57" s="209"/>
      <c r="DJ57" s="209"/>
      <c r="DK57" s="209"/>
      <c r="DL57" s="209"/>
      <c r="DM57" s="209"/>
      <c r="DN57" s="209"/>
      <c r="DO57" s="209"/>
      <c r="DP57" s="209"/>
      <c r="DQ57" s="209"/>
      <c r="DR57" s="209"/>
      <c r="DS57" s="209"/>
      <c r="DT57" s="209"/>
      <c r="DU57" s="209"/>
      <c r="DV57" s="209"/>
      <c r="DW57" s="209"/>
      <c r="DX57" s="209"/>
      <c r="DY57" s="209"/>
      <c r="DZ57" s="209"/>
      <c r="EA57" s="209"/>
      <c r="EB57" s="209"/>
      <c r="EC57" s="209"/>
      <c r="ED57" s="209"/>
      <c r="EE57" s="209"/>
      <c r="EF57" s="209"/>
      <c r="EG57" s="209"/>
      <c r="EH57" s="209"/>
      <c r="EI57" s="209"/>
      <c r="EJ57" s="209"/>
      <c r="EK57" s="209"/>
      <c r="EL57" s="209"/>
      <c r="EM57" s="209"/>
      <c r="EN57" s="209"/>
      <c r="EO57" s="209"/>
      <c r="EP57" s="209"/>
      <c r="EQ57" s="209"/>
      <c r="ER57" s="209"/>
      <c r="ES57" s="209"/>
      <c r="ET57" s="209"/>
      <c r="EU57" s="209"/>
      <c r="EV57" s="209"/>
      <c r="EW57" s="209"/>
      <c r="EX57" s="209"/>
      <c r="EY57" s="209"/>
      <c r="EZ57" s="209"/>
      <c r="FA57" s="209"/>
      <c r="FB57" s="209"/>
      <c r="FC57" s="209"/>
      <c r="FD57" s="209"/>
      <c r="FE57" s="209"/>
      <c r="FF57" s="209"/>
      <c r="FG57" s="209"/>
      <c r="FH57" s="209"/>
      <c r="FI57" s="209"/>
      <c r="FJ57" s="209"/>
      <c r="FK57" s="209"/>
      <c r="FL57" s="209"/>
      <c r="FM57" s="209"/>
      <c r="FN57" s="209"/>
      <c r="FO57" s="209"/>
      <c r="FP57" s="209"/>
      <c r="FQ57" s="209"/>
      <c r="FR57" s="209"/>
      <c r="FS57" s="209"/>
      <c r="FT57" s="209"/>
      <c r="FU57" s="209"/>
      <c r="FV57" s="209"/>
      <c r="FW57" s="209"/>
      <c r="FX57" s="209"/>
      <c r="FY57" s="209"/>
      <c r="FZ57" s="209"/>
      <c r="GA57" s="209"/>
      <c r="GB57" s="209"/>
      <c r="GC57" s="209"/>
      <c r="GD57" s="209"/>
      <c r="GE57" s="209"/>
      <c r="GF57" s="209"/>
      <c r="GG57" s="209"/>
      <c r="GH57" s="209"/>
      <c r="GI57" s="209"/>
      <c r="GJ57" s="209"/>
      <c r="GK57" s="209"/>
      <c r="GL57" s="209"/>
      <c r="GM57" s="209"/>
      <c r="GN57" s="209"/>
      <c r="GO57" s="209"/>
      <c r="GP57" s="209"/>
      <c r="GQ57" s="209"/>
      <c r="GR57" s="209"/>
      <c r="GS57" s="209"/>
      <c r="GT57" s="209"/>
      <c r="GU57" s="209"/>
      <c r="GV57" s="209"/>
      <c r="GW57" s="209"/>
      <c r="GX57" s="209"/>
      <c r="GY57" s="209"/>
      <c r="GZ57" s="209"/>
      <c r="HA57" s="209"/>
      <c r="HB57" s="209"/>
      <c r="HC57" s="209"/>
      <c r="HD57" s="209"/>
      <c r="HE57" s="209"/>
      <c r="HF57" s="209"/>
      <c r="HG57" s="209"/>
      <c r="HH57" s="209"/>
      <c r="HI57" s="209"/>
      <c r="HJ57" s="209"/>
      <c r="HK57" s="209"/>
      <c r="HL57" s="209"/>
      <c r="HM57" s="209"/>
      <c r="HN57" s="209"/>
      <c r="HO57" s="209"/>
      <c r="HP57" s="209"/>
      <c r="HQ57" s="209"/>
      <c r="HR57" s="209"/>
      <c r="HS57" s="209"/>
      <c r="HT57" s="209"/>
      <c r="HU57" s="209"/>
      <c r="HV57" s="209"/>
      <c r="HW57" s="209"/>
      <c r="HX57" s="209"/>
      <c r="HY57" s="209"/>
      <c r="HZ57" s="209"/>
      <c r="IA57" s="209"/>
      <c r="IB57" s="209"/>
      <c r="IC57" s="209"/>
      <c r="ID57" s="209"/>
      <c r="IE57" s="209"/>
      <c r="IF57" s="209"/>
      <c r="IG57" s="209"/>
      <c r="IH57" s="209"/>
      <c r="II57" s="209"/>
      <c r="IJ57" s="209"/>
      <c r="IK57" s="209"/>
      <c r="IL57" s="209"/>
      <c r="IM57" s="209"/>
      <c r="IN57" s="209"/>
      <c r="IO57" s="209"/>
      <c r="IP57" s="209"/>
      <c r="IQ57" s="209"/>
      <c r="IR57" s="209"/>
      <c r="IS57" s="209"/>
      <c r="IT57" s="209"/>
      <c r="IU57" s="209"/>
      <c r="IV57" s="209"/>
      <c r="IW57" s="209"/>
      <c r="IX57" s="209"/>
    </row>
    <row r="58" s="209" customFormat="true" ht="17.4" hidden="false" customHeight="false" outlineLevel="0" collapsed="false">
      <c r="A58" s="315"/>
      <c r="B58" s="31"/>
      <c r="C58" s="30"/>
      <c r="D58" s="85" t="s">
        <v>134</v>
      </c>
      <c r="E58" s="217" t="n">
        <f aca="false">IF(AND($F$2="No",$F$3="No"),SUM(J58:K58)*'Input data plant-based products'!O$122,IF(AND($F$2="Yes", $F$3="No"), (SUM(J58:K58)+Q58)*'Input data plant-based products'!O$122, IF(AND($F$2="No", $F$3="Yes"),(SUM(J58:K58)+P58)*'Input data plant-based products'!O$122, (SUM(J58:K58)+Q58+P58)*'Input data plant-based products'!O$122)))</f>
        <v>0.124151627288854</v>
      </c>
      <c r="F58" s="89" t="n">
        <f aca="false">IF(AND($F$2="No",$F$3="No"),SUM(H58:O58)*'Input data plant-based products'!O$122,IF(AND($F$2="Yes", $F$3="No"), (SUM(H58:O58)+Q58)*'Input data plant-based products'!O$122, IF(AND($F$2="No", $F$3="Yes"),(SUM(H58:O58)+P58)*'Input data plant-based products'!O$122, (SUM(H58:O58)+Q58+P58)*'Input data plant-based products'!O$122)))</f>
        <v>0.657572465980225</v>
      </c>
      <c r="G58" s="88" t="n">
        <f aca="false">SUM(S58:U58)/(1-'Common input data'!$D$122)</f>
        <v>1.66191536437405</v>
      </c>
      <c r="H58" s="89" t="n">
        <f aca="false">('Input data plant-based products'!$F$11*('Common input data'!$D$76*'Common input data'!B69+'Common input data'!$D$77*'Common input data'!C69))/'Input data plant-based products'!$E$11</f>
        <v>0.0612681976058154</v>
      </c>
      <c r="I58" s="89" t="n">
        <f aca="false">'Common input data'!$B$81</f>
        <v>0.03</v>
      </c>
      <c r="J58" s="89" t="n">
        <v>0</v>
      </c>
      <c r="K58" s="89" t="n">
        <v>0</v>
      </c>
      <c r="L58" s="89" t="n">
        <f aca="false">('Input data plant-based products'!$I$11*'Common input data'!$C$59*'Common input data'!H49)/'Input data plant-based products'!$E$11</f>
        <v>0.171251778276194</v>
      </c>
      <c r="M58" s="89" t="n">
        <v>0</v>
      </c>
      <c r="N58" s="89" t="n">
        <f aca="false">'Input data plant-based products'!B$152*'Input data plant-based products'!E157</f>
        <v>0.03</v>
      </c>
      <c r="O58" s="89" t="n">
        <f aca="false">'Input data plant-based products'!$B$122*'Common input data'!$B$59*'Common input data'!B49+'Input data plant-based products'!C$122*'Common input data'!G63</f>
        <v>0.172672616</v>
      </c>
      <c r="P58" s="89" t="n">
        <f aca="false">'Common input data'!B$13</f>
        <v>0.108271767984466</v>
      </c>
      <c r="Q58" s="89" t="n">
        <v>0</v>
      </c>
      <c r="R58" s="89" t="n">
        <f aca="false">'Input data plant-based products'!F122*'Common input data'!G63</f>
        <v>0.01309074</v>
      </c>
      <c r="S58" s="89" t="n">
        <f aca="false">(F58+R58)*'Common input data'!$D$27/'Common input data'!$C$27</f>
        <v>0.981656224882345</v>
      </c>
      <c r="T58" s="89" t="n">
        <f aca="false">'Common input data'!$B$88</f>
        <v>0.05</v>
      </c>
      <c r="U58" s="89" t="n">
        <f aca="false">'Common input data'!B105+'Common input data'!C105</f>
        <v>0.43</v>
      </c>
      <c r="V58" s="309"/>
      <c r="W58" s="92"/>
      <c r="Z58" s="30"/>
    </row>
    <row r="59" s="209" customFormat="true" ht="17.4" hidden="false" customHeight="false" outlineLevel="0" collapsed="false">
      <c r="A59" s="74"/>
      <c r="B59" s="31"/>
      <c r="C59" s="93"/>
      <c r="D59" s="85" t="s">
        <v>135</v>
      </c>
      <c r="E59" s="217" t="n">
        <f aca="false">SUM(J59:K59)*'Input data plant-based products'!O$122</f>
        <v>0.0152027939762897</v>
      </c>
      <c r="F59" s="89" t="n">
        <f aca="false">SUM(H59:O59)*'Input data plant-based products'!O$122</f>
        <v>0.0153129406634586</v>
      </c>
      <c r="G59" s="88" t="n">
        <f aca="false">SUM(S59:U59)/(1-'Common input data'!$D$122)</f>
        <v>0.0254845639048196</v>
      </c>
      <c r="H59" s="89" t="n">
        <f aca="false">('Input data plant-based products'!$F$11*('Common input data'!$D$76*'Common input data'!B70+'Common input data'!$D$77*'Common input data'!C70))/'Input data plant-based products'!$E$11</f>
        <v>3.34197885293175E-010</v>
      </c>
      <c r="I59" s="89" t="n">
        <v>0</v>
      </c>
      <c r="J59" s="89" t="n">
        <f aca="false">'Input data plant-based products'!C157/'Input data plant-based products'!E11</f>
        <v>0.0132582505607177</v>
      </c>
      <c r="K59" s="89" t="n">
        <v>0</v>
      </c>
      <c r="L59" s="89" t="n">
        <f aca="false">('Input data plant-based products'!$I$11*'Common input data'!$C$59*'Common input data'!H50)/'Input data plant-based products'!$E$11</f>
        <v>7.58587632169177E-005</v>
      </c>
      <c r="M59" s="89" t="n">
        <v>0</v>
      </c>
      <c r="N59" s="89" t="n">
        <v>0</v>
      </c>
      <c r="O59" s="89" t="n">
        <f aca="false">'Input data plant-based products'!$B$122*'Common input data'!$B$59*'Common input data'!B50</f>
        <v>2.019906E-005</v>
      </c>
      <c r="P59" s="89" t="n">
        <v>0</v>
      </c>
      <c r="Q59" s="89" t="n">
        <v>0</v>
      </c>
      <c r="R59" s="89" t="n">
        <v>0</v>
      </c>
      <c r="S59" s="89" t="n">
        <f aca="false">(F59+R59)*'Common input data'!$D$27/'Common input data'!$C$27</f>
        <v>0.0224136994388527</v>
      </c>
      <c r="T59" s="89" t="n">
        <v>0</v>
      </c>
      <c r="U59" s="89" t="n">
        <v>0</v>
      </c>
      <c r="V59" s="309"/>
      <c r="W59" s="92"/>
      <c r="Z59" s="30"/>
    </row>
    <row r="60" s="209" customFormat="true" ht="17.4" hidden="false" customHeight="false" outlineLevel="0" collapsed="false">
      <c r="A60" s="100"/>
      <c r="B60" s="101"/>
      <c r="C60" s="87"/>
      <c r="D60" s="31" t="s">
        <v>136</v>
      </c>
      <c r="E60" s="217" t="n">
        <f aca="false">SUM(J60:K60)*'Input data plant-based products'!O$122</f>
        <v>0.000701146665853716</v>
      </c>
      <c r="F60" s="89" t="n">
        <f aca="false">SUM(H60:O60)*'Input data plant-based products'!O$122</f>
        <v>0.00115172681078936</v>
      </c>
      <c r="G60" s="88" t="n">
        <f aca="false">SUM(S60:U60)/(1-'Common input data'!$D$122)</f>
        <v>0.00191676152579215</v>
      </c>
      <c r="H60" s="89" t="n">
        <f aca="false">('Input data plant-based products'!$F$11*('Common input data'!$D$76*'Common input data'!B71+'Common input data'!$D$77*'Common input data'!C71))/'Input data plant-based products'!$E$11</f>
        <v>0.000386463197505348</v>
      </c>
      <c r="I60" s="89" t="n">
        <v>0</v>
      </c>
      <c r="J60" s="89" t="n">
        <f aca="false">(SUM('Input data plant-based products'!F11:H11)*'Input data plant-based products'!$B$114*44/28)/'Input data plant-based products'!E11</f>
        <v>0.000555877377791001</v>
      </c>
      <c r="K60" s="89" t="n">
        <f aca="false">J60*'Input data plant-based products'!$B$115</f>
        <v>5.55877377791001E-005</v>
      </c>
      <c r="L60" s="89" t="n">
        <f aca="false">('Input data plant-based products'!$I$11*'Common input data'!$C$59*'Common input data'!H51)/'Input data plant-based products'!$E$11</f>
        <v>4.6016020506248E-006</v>
      </c>
      <c r="M60" s="89" t="n">
        <v>0</v>
      </c>
      <c r="N60" s="89" t="n">
        <v>0</v>
      </c>
      <c r="O60" s="89" t="n">
        <f aca="false">'Input data plant-based products'!$B$122*'Common input data'!$B$59*'Common input data'!B51</f>
        <v>1.88300126E-006</v>
      </c>
      <c r="P60" s="89" t="n">
        <v>0</v>
      </c>
      <c r="Q60" s="89" t="n">
        <v>0</v>
      </c>
      <c r="R60" s="89" t="n">
        <v>0</v>
      </c>
      <c r="S60" s="89" t="n">
        <f aca="false">(F60+R60)*'Common input data'!$D$27/'Common input data'!$C$27</f>
        <v>0.00168579367869572</v>
      </c>
      <c r="T60" s="89" t="n">
        <v>0</v>
      </c>
      <c r="U60" s="89" t="n">
        <v>0</v>
      </c>
      <c r="V60" s="309"/>
      <c r="W60" s="92"/>
      <c r="Z60" s="30"/>
    </row>
    <row r="61" s="332" customFormat="true" ht="17.4" hidden="false" customHeight="false" outlineLevel="0" collapsed="false">
      <c r="A61" s="330" t="s">
        <v>274</v>
      </c>
      <c r="B61" s="76" t="s">
        <v>254</v>
      </c>
      <c r="C61" s="84" t="n">
        <f aca="false">'Input data plant-based products'!D12</f>
        <v>0.14</v>
      </c>
      <c r="D61" s="78" t="s">
        <v>133</v>
      </c>
      <c r="E61" s="94" t="n">
        <f aca="false">IF($F$1="GWP100 without fb",E62+E63*'Common input data'!$C$5+E64*'Common input data'!$D$5,IF($F$1="GWP100 with fb",E62+E63*'Common input data'!$C$6+E64*'Common input data'!$D$6,IF($F$1="GTP100 without fb",E62+E63*'Common input data'!$C$7+E64*'Common input data'!$D$7,IF($F$1="GTP100 with fb",E62+E63*'Common input data'!$C$8+E64*'Common input data'!$D$8,E62+E63*'Common input data'!$C$9+E64*'Common input data'!$D$9))))</f>
        <v>2.07871034184492</v>
      </c>
      <c r="F61" s="95" t="n">
        <f aca="false">IF($F$1="GWP100 without fb",F62+F63*'Common input data'!$C$5+F64*'Common input data'!$D$5,IF($F$1="GWP100 with fb",F62+F63*'Common input data'!$C$6+F64*'Common input data'!$D$6,IF($F$1="GTP100 without fb",F62+F63*'Common input data'!$C$7+F64*'Common input data'!$D$7,IF($F$1="GTP100 with fb",F62+F63*'Common input data'!$C$8+F64*'Common input data'!$D$8,F62+F63*'Common input data'!$C$9+F64*'Common input data'!$D$9))))</f>
        <v>2.79051024824341</v>
      </c>
      <c r="G61" s="96" t="n">
        <f aca="false">IF($F$1="GWP100 without fb",G62+G63*'Common input data'!$C$5+G64*'Common input data'!$D$5,IF($F$1="GWP100 with fb",G62+G63*'Common input data'!$C$6+G64*'Common input data'!$D$6,IF($F$1="GTP100 without fb",G62+G63*'Common input data'!$C$7+G64*'Common input data'!$D$7,IF($F$1="GTP100 with fb",G62+G63*'Common input data'!$C$8+G64*'Common input data'!$D$8,G62+G63*'Common input data'!$C$9+G64*'Common input data'!$D$9))))</f>
        <v>5.19048953812326</v>
      </c>
      <c r="H61" s="83"/>
      <c r="I61" s="83"/>
      <c r="J61" s="83"/>
      <c r="K61" s="83"/>
      <c r="L61" s="83"/>
      <c r="M61" s="83"/>
      <c r="N61" s="83"/>
      <c r="O61" s="83"/>
      <c r="P61" s="83"/>
      <c r="Q61" s="83"/>
      <c r="R61" s="83"/>
      <c r="S61" s="83"/>
      <c r="T61" s="83"/>
      <c r="U61" s="83"/>
      <c r="V61" s="309"/>
      <c r="W61" s="92"/>
      <c r="X61" s="209"/>
      <c r="Y61" s="209"/>
      <c r="Z61" s="30"/>
      <c r="AA61" s="209"/>
      <c r="AB61" s="209"/>
      <c r="AC61" s="209"/>
      <c r="AD61" s="209"/>
      <c r="AE61" s="209"/>
      <c r="AF61" s="209"/>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c r="BK61" s="209"/>
      <c r="BL61" s="209"/>
      <c r="BM61" s="209"/>
      <c r="BN61" s="209"/>
      <c r="BO61" s="209"/>
      <c r="BP61" s="209"/>
      <c r="BQ61" s="209"/>
      <c r="BR61" s="209"/>
      <c r="BS61" s="209"/>
      <c r="BT61" s="209"/>
      <c r="BU61" s="209"/>
      <c r="BV61" s="209"/>
      <c r="BW61" s="209"/>
      <c r="BX61" s="209"/>
      <c r="BY61" s="209"/>
      <c r="BZ61" s="209"/>
      <c r="CA61" s="209"/>
      <c r="CB61" s="209"/>
      <c r="CC61" s="209"/>
      <c r="CD61" s="209"/>
      <c r="CE61" s="209"/>
      <c r="CF61" s="209"/>
      <c r="CG61" s="209"/>
      <c r="CH61" s="209"/>
      <c r="CI61" s="209"/>
      <c r="CJ61" s="209"/>
      <c r="CK61" s="209"/>
      <c r="CL61" s="209"/>
      <c r="CM61" s="209"/>
      <c r="CN61" s="209"/>
      <c r="CO61" s="209"/>
      <c r="CP61" s="209"/>
      <c r="CQ61" s="209"/>
      <c r="CR61" s="209"/>
      <c r="CS61" s="209"/>
      <c r="CT61" s="209"/>
      <c r="CU61" s="209"/>
      <c r="CV61" s="209"/>
      <c r="CW61" s="209"/>
      <c r="CX61" s="209"/>
      <c r="CY61" s="209"/>
      <c r="CZ61" s="209"/>
      <c r="DA61" s="209"/>
      <c r="DB61" s="209"/>
      <c r="DC61" s="209"/>
      <c r="DD61" s="209"/>
      <c r="DE61" s="209"/>
      <c r="DF61" s="209"/>
      <c r="DG61" s="209"/>
      <c r="DH61" s="209"/>
      <c r="DI61" s="209"/>
      <c r="DJ61" s="209"/>
      <c r="DK61" s="209"/>
      <c r="DL61" s="209"/>
      <c r="DM61" s="209"/>
      <c r="DN61" s="209"/>
      <c r="DO61" s="209"/>
      <c r="DP61" s="209"/>
      <c r="DQ61" s="209"/>
      <c r="DR61" s="209"/>
      <c r="DS61" s="209"/>
      <c r="DT61" s="209"/>
      <c r="DU61" s="209"/>
      <c r="DV61" s="209"/>
      <c r="DW61" s="209"/>
      <c r="DX61" s="209"/>
      <c r="DY61" s="209"/>
      <c r="DZ61" s="209"/>
      <c r="EA61" s="209"/>
      <c r="EB61" s="209"/>
      <c r="EC61" s="209"/>
      <c r="ED61" s="209"/>
      <c r="EE61" s="209"/>
      <c r="EF61" s="209"/>
      <c r="EG61" s="209"/>
      <c r="EH61" s="209"/>
      <c r="EI61" s="209"/>
      <c r="EJ61" s="209"/>
      <c r="EK61" s="209"/>
      <c r="EL61" s="209"/>
      <c r="EM61" s="209"/>
      <c r="EN61" s="209"/>
      <c r="EO61" s="209"/>
      <c r="EP61" s="209"/>
      <c r="EQ61" s="209"/>
      <c r="ER61" s="209"/>
      <c r="ES61" s="209"/>
      <c r="ET61" s="209"/>
      <c r="EU61" s="209"/>
      <c r="EV61" s="209"/>
      <c r="EW61" s="209"/>
      <c r="EX61" s="209"/>
      <c r="EY61" s="209"/>
      <c r="EZ61" s="209"/>
      <c r="FA61" s="209"/>
      <c r="FB61" s="209"/>
      <c r="FC61" s="209"/>
      <c r="FD61" s="209"/>
      <c r="FE61" s="209"/>
      <c r="FF61" s="209"/>
      <c r="FG61" s="209"/>
      <c r="FH61" s="209"/>
      <c r="FI61" s="209"/>
      <c r="FJ61" s="209"/>
      <c r="FK61" s="209"/>
      <c r="FL61" s="209"/>
      <c r="FM61" s="209"/>
      <c r="FN61" s="209"/>
      <c r="FO61" s="209"/>
      <c r="FP61" s="209"/>
      <c r="FQ61" s="209"/>
      <c r="FR61" s="209"/>
      <c r="FS61" s="209"/>
      <c r="FT61" s="209"/>
      <c r="FU61" s="209"/>
      <c r="FV61" s="209"/>
      <c r="FW61" s="209"/>
      <c r="FX61" s="209"/>
      <c r="FY61" s="209"/>
      <c r="FZ61" s="209"/>
      <c r="GA61" s="209"/>
      <c r="GB61" s="209"/>
      <c r="GC61" s="209"/>
      <c r="GD61" s="209"/>
      <c r="GE61" s="209"/>
      <c r="GF61" s="209"/>
      <c r="GG61" s="209"/>
      <c r="GH61" s="209"/>
      <c r="GI61" s="209"/>
      <c r="GJ61" s="209"/>
      <c r="GK61" s="209"/>
      <c r="GL61" s="209"/>
      <c r="GM61" s="209"/>
      <c r="GN61" s="209"/>
      <c r="GO61" s="209"/>
      <c r="GP61" s="209"/>
      <c r="GQ61" s="209"/>
      <c r="GR61" s="209"/>
      <c r="GS61" s="209"/>
      <c r="GT61" s="209"/>
      <c r="GU61" s="209"/>
      <c r="GV61" s="209"/>
      <c r="GW61" s="209"/>
      <c r="GX61" s="209"/>
      <c r="GY61" s="209"/>
      <c r="GZ61" s="209"/>
      <c r="HA61" s="209"/>
      <c r="HB61" s="209"/>
      <c r="HC61" s="209"/>
      <c r="HD61" s="209"/>
      <c r="HE61" s="209"/>
      <c r="HF61" s="209"/>
      <c r="HG61" s="209"/>
      <c r="HH61" s="209"/>
      <c r="HI61" s="209"/>
      <c r="HJ61" s="209"/>
      <c r="HK61" s="209"/>
      <c r="HL61" s="209"/>
      <c r="HM61" s="209"/>
      <c r="HN61" s="209"/>
      <c r="HO61" s="209"/>
      <c r="HP61" s="209"/>
      <c r="HQ61" s="209"/>
      <c r="HR61" s="209"/>
      <c r="HS61" s="209"/>
      <c r="HT61" s="209"/>
      <c r="HU61" s="209"/>
      <c r="HV61" s="209"/>
      <c r="HW61" s="209"/>
      <c r="HX61" s="209"/>
      <c r="HY61" s="209"/>
      <c r="HZ61" s="209"/>
      <c r="IA61" s="209"/>
      <c r="IB61" s="209"/>
      <c r="IC61" s="209"/>
      <c r="ID61" s="209"/>
      <c r="IE61" s="209"/>
      <c r="IF61" s="209"/>
      <c r="IG61" s="209"/>
      <c r="IH61" s="209"/>
      <c r="II61" s="209"/>
      <c r="IJ61" s="209"/>
      <c r="IK61" s="209"/>
      <c r="IL61" s="209"/>
      <c r="IM61" s="209"/>
      <c r="IN61" s="209"/>
      <c r="IO61" s="209"/>
      <c r="IP61" s="209"/>
      <c r="IQ61" s="209"/>
      <c r="IR61" s="209"/>
      <c r="IS61" s="209"/>
      <c r="IT61" s="209"/>
      <c r="IU61" s="209"/>
      <c r="IV61" s="209"/>
      <c r="IW61" s="209"/>
      <c r="IX61" s="209"/>
    </row>
    <row r="62" s="209" customFormat="true" ht="17.4" hidden="false" customHeight="false" outlineLevel="0" collapsed="false">
      <c r="A62" s="99"/>
      <c r="B62" s="31"/>
      <c r="C62" s="30"/>
      <c r="D62" s="85" t="s">
        <v>134</v>
      </c>
      <c r="E62" s="217" t="n">
        <f aca="false">IF(AND($F$2="No",$F$3="No"),SUM(J62:K62)*'Input data plant-based products'!O$122,IF(AND($F$2="Yes", $F$3="No"), (SUM(J62:K62)+Q62)*'Input data plant-based products'!O$122, IF(AND($F$2="No", $F$3="Yes"),(SUM(J62:K62)+P62)*'Input data plant-based products'!O$122, (SUM(J62:K62)+Q62+P62)*'Input data plant-based products'!O$122)))</f>
        <v>0.124151627288854</v>
      </c>
      <c r="F62" s="89" t="n">
        <f aca="false">IF(AND($F$2="No",$F$3="No"),SUM(H62:O62)*'Input data plant-based products'!O$122,IF(AND($F$2="Yes", $F$3="No"), (SUM(H62:O62)+Q62)*'Input data plant-based products'!O$122, IF(AND($F$2="No", $F$3="Yes"),(SUM(H62:O62)+P62)*'Input data plant-based products'!O$122, (SUM(H62:O62)+Q62+P62)*'Input data plant-based products'!O$122)))</f>
        <v>0.761959928385192</v>
      </c>
      <c r="G62" s="88" t="n">
        <f aca="false">SUM(S62:U62)/(1-'Common input data'!$B$122)</f>
        <v>1.66614928253147</v>
      </c>
      <c r="H62" s="89" t="n">
        <f aca="false">('Input data plant-based products'!$F$12*('Common input data'!$C$76*'Common input data'!B69+'Common input data'!$C$77*'Common input data'!C69))/'Input data plant-based products'!$E$12</f>
        <v>0.0377015798967796</v>
      </c>
      <c r="I62" s="89" t="n">
        <f aca="false">'Common input data'!$B$81</f>
        <v>0.03</v>
      </c>
      <c r="J62" s="89" t="n">
        <v>0</v>
      </c>
      <c r="K62" s="89" t="n">
        <v>0</v>
      </c>
      <c r="L62" s="89" t="n">
        <f aca="false">('Input data plant-based products'!$I$12*'Common input data'!$C$59*'Common input data'!H49)/'Input data plant-based products'!$E$12</f>
        <v>0.0828389336639802</v>
      </c>
      <c r="M62" s="89" t="n">
        <v>0</v>
      </c>
      <c r="N62" s="89" t="n">
        <f aca="false">'Input data plant-based products'!B$152*'Input data plant-based products'!E158</f>
        <v>0.3</v>
      </c>
      <c r="O62" s="89" t="n">
        <f aca="false">'Input data plant-based products'!$B$122*'Common input data'!$B$59*'Common input data'!B49+'Input data plant-based products'!C$122*'Common input data'!C63</f>
        <v>0.105687656</v>
      </c>
      <c r="P62" s="89" t="n">
        <f aca="false">'Common input data'!B$13</f>
        <v>0.108271767984466</v>
      </c>
      <c r="Q62" s="89" t="n">
        <v>0</v>
      </c>
      <c r="R62" s="89" t="n">
        <f aca="false">'Input data plant-based products'!F122*'Common input data'!C63</f>
        <v>0.0057525</v>
      </c>
      <c r="S62" s="89" t="n">
        <f aca="false">(F62+R62)*'Common input data'!$D$27/'Common input data'!$C$27</f>
        <v>1.12370811090252</v>
      </c>
      <c r="T62" s="89" t="n">
        <f aca="false">'Common input data'!$B$88</f>
        <v>0.05</v>
      </c>
      <c r="U62" s="89" t="n">
        <f aca="false">'Common input data'!B100+'Common input data'!C100</f>
        <v>0.23</v>
      </c>
      <c r="V62" s="309"/>
      <c r="W62" s="92"/>
      <c r="Z62" s="30"/>
    </row>
    <row r="63" s="209" customFormat="true" ht="17.4" hidden="false" customHeight="false" outlineLevel="0" collapsed="false">
      <c r="A63" s="74"/>
      <c r="B63" s="31"/>
      <c r="C63" s="93"/>
      <c r="D63" s="85" t="s">
        <v>135</v>
      </c>
      <c r="E63" s="217" t="n">
        <f aca="false">SUM(J63:K63)*'Input data plant-based products'!O$122</f>
        <v>0.0527914891910684</v>
      </c>
      <c r="F63" s="89" t="n">
        <f aca="false">SUM(H63:O63)*'Input data plant-based products'!O$122</f>
        <v>0.0528567277367549</v>
      </c>
      <c r="G63" s="88" t="n">
        <f aca="false">SUM(S63:U63)/(1-'Common input data'!$B$122)</f>
        <v>0.0918316353890201</v>
      </c>
      <c r="H63" s="89" t="n">
        <f aca="false">('Input data plant-based products'!$F$12*('Common input data'!$C$76*'Common input data'!B70+'Common input data'!$C$77*'Common input data'!C70))/'Input data plant-based products'!$E$12</f>
        <v>1.66231777488636E-010</v>
      </c>
      <c r="I63" s="89" t="n">
        <v>0</v>
      </c>
      <c r="J63" s="89" t="n">
        <f aca="false">'Input data plant-based products'!B158</f>
        <v>0.0460390894108155</v>
      </c>
      <c r="K63" s="89" t="n">
        <v>0</v>
      </c>
      <c r="L63" s="89" t="n">
        <f aca="false">('Input data plant-based products'!$I$12*'Common input data'!$C$59*'Common input data'!H50)/'Input data plant-based products'!$E$12</f>
        <v>3.66948543087415E-005</v>
      </c>
      <c r="M63" s="89" t="n">
        <v>0</v>
      </c>
      <c r="N63" s="89" t="n">
        <v>0</v>
      </c>
      <c r="O63" s="89" t="n">
        <f aca="false">'Input data plant-based products'!$B$122*'Common input data'!$B$59*'Common input data'!B50</f>
        <v>2.019906E-005</v>
      </c>
      <c r="P63" s="89" t="n">
        <v>0</v>
      </c>
      <c r="Q63" s="89" t="n">
        <v>0</v>
      </c>
      <c r="R63" s="89" t="n">
        <v>0</v>
      </c>
      <c r="S63" s="89" t="n">
        <f aca="false">(F63+R63)*'Common input data'!$D$27/'Common input data'!$C$27</f>
        <v>0.0773669039050081</v>
      </c>
      <c r="T63" s="89" t="n">
        <v>0</v>
      </c>
      <c r="U63" s="89" t="n">
        <v>0</v>
      </c>
      <c r="V63" s="309"/>
      <c r="W63" s="92"/>
      <c r="Z63" s="30"/>
    </row>
    <row r="64" s="209" customFormat="true" ht="17.4" hidden="false" customHeight="false" outlineLevel="0" collapsed="false">
      <c r="A64" s="100"/>
      <c r="B64" s="101"/>
      <c r="C64" s="87"/>
      <c r="D64" s="31" t="s">
        <v>136</v>
      </c>
      <c r="E64" s="217" t="n">
        <f aca="false">SUM(J64:K64)*'Input data plant-based products'!O$122</f>
        <v>0.000535731818992419</v>
      </c>
      <c r="F64" s="89" t="n">
        <f aca="false">SUM(H64:O64)*'Input data plant-based products'!O$122</f>
        <v>0.000776582472511934</v>
      </c>
      <c r="G64" s="88" t="n">
        <f aca="false">SUM(S64:U64)/(1-'Common input data'!$B$122)</f>
        <v>0.00134921024283593</v>
      </c>
      <c r="H64" s="89" t="n">
        <f aca="false">('Input data plant-based products'!$F$12*('Common input data'!$C$76*'Common input data'!B71+'Common input data'!$C$77*'Common input data'!C71))/'Input data plant-based products'!$E$12</f>
        <v>0.000205935258875839</v>
      </c>
      <c r="I64" s="89" t="n">
        <v>0</v>
      </c>
      <c r="J64" s="89" t="n">
        <f aca="false">(SUM('Input data plant-based products'!F12:H12)*'Input data plant-based products'!$B$114*44/28)/'Input data plant-based products'!E12</f>
        <v>0.000424734528799486</v>
      </c>
      <c r="K64" s="89" t="n">
        <f aca="false">J64*'Input data plant-based products'!$B$115</f>
        <v>4.24734528799486E-005</v>
      </c>
      <c r="L64" s="89" t="n">
        <f aca="false">('Input data plant-based products'!$I$12*'Common input data'!$C$59*'Common input data'!H51)/'Input data plant-based products'!$E$12</f>
        <v>2.22591444513329E-006</v>
      </c>
      <c r="M64" s="89" t="n">
        <v>0</v>
      </c>
      <c r="N64" s="89" t="n">
        <v>0</v>
      </c>
      <c r="O64" s="89" t="n">
        <f aca="false">'Input data plant-based products'!$B$122*'Common input data'!$B$59*'Common input data'!B51</f>
        <v>1.88300126E-006</v>
      </c>
      <c r="P64" s="89" t="n">
        <v>0</v>
      </c>
      <c r="Q64" s="89" t="n">
        <v>0</v>
      </c>
      <c r="R64" s="89" t="n">
        <v>0</v>
      </c>
      <c r="S64" s="89" t="n">
        <f aca="false">(F64+R64)*'Common input data'!$D$27/'Common input data'!$C$27</f>
        <v>0.00113669128032997</v>
      </c>
      <c r="T64" s="89" t="n">
        <v>0</v>
      </c>
      <c r="U64" s="89" t="n">
        <v>0</v>
      </c>
      <c r="V64" s="309"/>
      <c r="W64" s="92"/>
      <c r="Z64" s="30"/>
    </row>
    <row r="65" s="332" customFormat="true" ht="17.4" hidden="false" customHeight="false" outlineLevel="0" collapsed="false">
      <c r="A65" s="330" t="s">
        <v>171</v>
      </c>
      <c r="B65" s="76" t="s">
        <v>254</v>
      </c>
      <c r="C65" s="84" t="n">
        <f aca="false">'Input data plant-based products'!D13</f>
        <v>0.67</v>
      </c>
      <c r="D65" s="78" t="s">
        <v>133</v>
      </c>
      <c r="E65" s="94" t="n">
        <f aca="false">IF($F$1="GWP100 without fb",E66+E67*'Common input data'!$C$5+E68*'Common input data'!$D$5,IF($F$1="GWP100 with fb",E66+E67*'Common input data'!$C$6+E68*'Common input data'!$D$6,IF($F$1="GTP100 without fb",E66+E67*'Common input data'!$C$7+E68*'Common input data'!$D$7,IF($F$1="GTP100 with fb",E66+E67*'Common input data'!$C$8+E68*'Common input data'!$D$8,E66+E67*'Common input data'!$C$9+E68*'Common input data'!$D$9))))</f>
        <v>0.859030800916351</v>
      </c>
      <c r="F65" s="95" t="n">
        <f aca="false">IF($F$1="GWP100 without fb",F66+F67*'Common input data'!$C$5+F68*'Common input data'!$D$5,IF($F$1="GWP100 with fb",F66+F67*'Common input data'!$C$6+F68*'Common input data'!$D$6,IF($F$1="GTP100 without fb",F66+F67*'Common input data'!$C$7+F68*'Common input data'!$D$7,IF($F$1="GTP100 with fb",F66+F67*'Common input data'!$C$8+F68*'Common input data'!$D$8,F66+F67*'Common input data'!$C$9+F68*'Common input data'!$D$9))))</f>
        <v>1.6197392840508</v>
      </c>
      <c r="G65" s="96" t="n">
        <f aca="false">IF($F$1="GWP100 without fb",G66+G67*'Common input data'!$C$5+G68*'Common input data'!$D$5,IF($F$1="GWP100 with fb",G66+G67*'Common input data'!$C$6+G68*'Common input data'!$D$6,IF($F$1="GTP100 without fb",G66+G67*'Common input data'!$C$7+G68*'Common input data'!$D$7,IF($F$1="GTP100 with fb",G66+G67*'Common input data'!$C$8+G68*'Common input data'!$D$8,G66+G67*'Common input data'!$C$9+G68*'Common input data'!$D$9))))</f>
        <v>3.37906653697405</v>
      </c>
      <c r="H65" s="83"/>
      <c r="I65" s="83"/>
      <c r="J65" s="83"/>
      <c r="K65" s="83"/>
      <c r="L65" s="83"/>
      <c r="M65" s="83"/>
      <c r="N65" s="83"/>
      <c r="O65" s="83"/>
      <c r="P65" s="83"/>
      <c r="Q65" s="83"/>
      <c r="R65" s="83"/>
      <c r="S65" s="83"/>
      <c r="T65" s="83"/>
      <c r="U65" s="83"/>
      <c r="V65" s="309"/>
      <c r="W65" s="92"/>
      <c r="X65" s="209"/>
      <c r="Y65" s="209"/>
      <c r="Z65" s="30"/>
      <c r="AA65" s="209"/>
      <c r="AB65" s="209"/>
      <c r="AC65" s="209"/>
      <c r="AD65" s="209"/>
      <c r="AE65" s="209"/>
      <c r="AF65" s="209"/>
      <c r="AG65" s="209"/>
      <c r="AH65" s="209"/>
      <c r="AI65" s="209"/>
      <c r="AJ65" s="209"/>
      <c r="AK65" s="209"/>
      <c r="AL65" s="209"/>
      <c r="AM65" s="209"/>
      <c r="AN65" s="209"/>
      <c r="AO65" s="209"/>
      <c r="AP65" s="209"/>
      <c r="AQ65" s="209"/>
      <c r="AR65" s="209"/>
      <c r="AS65" s="209"/>
      <c r="AT65" s="209"/>
      <c r="AU65" s="209"/>
      <c r="AV65" s="209"/>
      <c r="AW65" s="209"/>
      <c r="AX65" s="209"/>
      <c r="AY65" s="209"/>
      <c r="AZ65" s="209"/>
      <c r="BA65" s="209"/>
      <c r="BB65" s="209"/>
      <c r="BC65" s="209"/>
      <c r="BD65" s="209"/>
      <c r="BE65" s="209"/>
      <c r="BF65" s="209"/>
      <c r="BG65" s="209"/>
      <c r="BH65" s="209"/>
      <c r="BI65" s="209"/>
      <c r="BJ65" s="209"/>
      <c r="BK65" s="209"/>
      <c r="BL65" s="209"/>
      <c r="BM65" s="209"/>
      <c r="BN65" s="209"/>
      <c r="BO65" s="209"/>
      <c r="BP65" s="209"/>
      <c r="BQ65" s="209"/>
      <c r="BR65" s="209"/>
      <c r="BS65" s="209"/>
      <c r="BT65" s="209"/>
      <c r="BU65" s="209"/>
      <c r="BV65" s="209"/>
      <c r="BW65" s="209"/>
      <c r="BX65" s="209"/>
      <c r="BY65" s="209"/>
      <c r="BZ65" s="209"/>
      <c r="CA65" s="209"/>
      <c r="CB65" s="209"/>
      <c r="CC65" s="209"/>
      <c r="CD65" s="209"/>
      <c r="CE65" s="209"/>
      <c r="CF65" s="209"/>
      <c r="CG65" s="209"/>
      <c r="CH65" s="209"/>
      <c r="CI65" s="209"/>
      <c r="CJ65" s="209"/>
      <c r="CK65" s="209"/>
      <c r="CL65" s="209"/>
      <c r="CM65" s="209"/>
      <c r="CN65" s="209"/>
      <c r="CO65" s="209"/>
      <c r="CP65" s="209"/>
      <c r="CQ65" s="209"/>
      <c r="CR65" s="209"/>
      <c r="CS65" s="209"/>
      <c r="CT65" s="209"/>
      <c r="CU65" s="209"/>
      <c r="CV65" s="209"/>
      <c r="CW65" s="209"/>
      <c r="CX65" s="209"/>
      <c r="CY65" s="209"/>
      <c r="CZ65" s="209"/>
      <c r="DA65" s="209"/>
      <c r="DB65" s="209"/>
      <c r="DC65" s="209"/>
      <c r="DD65" s="209"/>
      <c r="DE65" s="209"/>
      <c r="DF65" s="209"/>
      <c r="DG65" s="209"/>
      <c r="DH65" s="209"/>
      <c r="DI65" s="209"/>
      <c r="DJ65" s="209"/>
      <c r="DK65" s="209"/>
      <c r="DL65" s="209"/>
      <c r="DM65" s="209"/>
      <c r="DN65" s="209"/>
      <c r="DO65" s="209"/>
      <c r="DP65" s="209"/>
      <c r="DQ65" s="209"/>
      <c r="DR65" s="209"/>
      <c r="DS65" s="209"/>
      <c r="DT65" s="209"/>
      <c r="DU65" s="209"/>
      <c r="DV65" s="209"/>
      <c r="DW65" s="209"/>
      <c r="DX65" s="209"/>
      <c r="DY65" s="209"/>
      <c r="DZ65" s="209"/>
      <c r="EA65" s="209"/>
      <c r="EB65" s="209"/>
      <c r="EC65" s="209"/>
      <c r="ED65" s="209"/>
      <c r="EE65" s="209"/>
      <c r="EF65" s="209"/>
      <c r="EG65" s="209"/>
      <c r="EH65" s="209"/>
      <c r="EI65" s="209"/>
      <c r="EJ65" s="209"/>
      <c r="EK65" s="209"/>
      <c r="EL65" s="209"/>
      <c r="EM65" s="209"/>
      <c r="EN65" s="209"/>
      <c r="EO65" s="209"/>
      <c r="EP65" s="209"/>
      <c r="EQ65" s="209"/>
      <c r="ER65" s="209"/>
      <c r="ES65" s="209"/>
      <c r="ET65" s="209"/>
      <c r="EU65" s="209"/>
      <c r="EV65" s="209"/>
      <c r="EW65" s="209"/>
      <c r="EX65" s="209"/>
      <c r="EY65" s="209"/>
      <c r="EZ65" s="209"/>
      <c r="FA65" s="209"/>
      <c r="FB65" s="209"/>
      <c r="FC65" s="209"/>
      <c r="FD65" s="209"/>
      <c r="FE65" s="209"/>
      <c r="FF65" s="209"/>
      <c r="FG65" s="209"/>
      <c r="FH65" s="209"/>
      <c r="FI65" s="209"/>
      <c r="FJ65" s="209"/>
      <c r="FK65" s="209"/>
      <c r="FL65" s="209"/>
      <c r="FM65" s="209"/>
      <c r="FN65" s="209"/>
      <c r="FO65" s="209"/>
      <c r="FP65" s="209"/>
      <c r="FQ65" s="209"/>
      <c r="FR65" s="209"/>
      <c r="FS65" s="209"/>
      <c r="FT65" s="209"/>
      <c r="FU65" s="209"/>
      <c r="FV65" s="209"/>
      <c r="FW65" s="209"/>
      <c r="FX65" s="209"/>
      <c r="FY65" s="209"/>
      <c r="FZ65" s="209"/>
      <c r="GA65" s="209"/>
      <c r="GB65" s="209"/>
      <c r="GC65" s="209"/>
      <c r="GD65" s="209"/>
      <c r="GE65" s="209"/>
      <c r="GF65" s="209"/>
      <c r="GG65" s="209"/>
      <c r="GH65" s="209"/>
      <c r="GI65" s="209"/>
      <c r="GJ65" s="209"/>
      <c r="GK65" s="209"/>
      <c r="GL65" s="209"/>
      <c r="GM65" s="209"/>
      <c r="GN65" s="209"/>
      <c r="GO65" s="209"/>
      <c r="GP65" s="209"/>
      <c r="GQ65" s="209"/>
      <c r="GR65" s="209"/>
      <c r="GS65" s="209"/>
      <c r="GT65" s="209"/>
      <c r="GU65" s="209"/>
      <c r="GV65" s="209"/>
      <c r="GW65" s="209"/>
      <c r="GX65" s="209"/>
      <c r="GY65" s="209"/>
      <c r="GZ65" s="209"/>
      <c r="HA65" s="209"/>
      <c r="HB65" s="209"/>
      <c r="HC65" s="209"/>
      <c r="HD65" s="209"/>
      <c r="HE65" s="209"/>
      <c r="HF65" s="209"/>
      <c r="HG65" s="209"/>
      <c r="HH65" s="209"/>
      <c r="HI65" s="209"/>
      <c r="HJ65" s="209"/>
      <c r="HK65" s="209"/>
      <c r="HL65" s="209"/>
      <c r="HM65" s="209"/>
      <c r="HN65" s="209"/>
      <c r="HO65" s="209"/>
      <c r="HP65" s="209"/>
      <c r="HQ65" s="209"/>
      <c r="HR65" s="209"/>
      <c r="HS65" s="209"/>
      <c r="HT65" s="209"/>
      <c r="HU65" s="209"/>
      <c r="HV65" s="209"/>
      <c r="HW65" s="209"/>
      <c r="HX65" s="209"/>
      <c r="HY65" s="209"/>
      <c r="HZ65" s="209"/>
      <c r="IA65" s="209"/>
      <c r="IB65" s="209"/>
      <c r="IC65" s="209"/>
      <c r="ID65" s="209"/>
      <c r="IE65" s="209"/>
      <c r="IF65" s="209"/>
      <c r="IG65" s="209"/>
      <c r="IH65" s="209"/>
      <c r="II65" s="209"/>
      <c r="IJ65" s="209"/>
      <c r="IK65" s="209"/>
      <c r="IL65" s="209"/>
      <c r="IM65" s="209"/>
      <c r="IN65" s="209"/>
      <c r="IO65" s="209"/>
      <c r="IP65" s="209"/>
      <c r="IQ65" s="209"/>
      <c r="IR65" s="209"/>
      <c r="IS65" s="209"/>
      <c r="IT65" s="209"/>
      <c r="IU65" s="209"/>
      <c r="IV65" s="209"/>
      <c r="IW65" s="209"/>
      <c r="IX65" s="209"/>
    </row>
    <row r="66" s="209" customFormat="true" ht="17.4" hidden="false" customHeight="false" outlineLevel="0" collapsed="false">
      <c r="A66" s="99"/>
      <c r="B66" s="31"/>
      <c r="C66" s="30"/>
      <c r="D66" s="85" t="s">
        <v>134</v>
      </c>
      <c r="E66" s="217" t="n">
        <f aca="false">IF(AND($F$2="No",$F$3="No"),SUM(J66:K66)*'Input data plant-based products'!O$122,IF(AND($F$2="Yes", $F$3="No"), (SUM(J66:K66)+Q66)*'Input data plant-based products'!O$122, IF(AND($F$2="No", $F$3="Yes"),(SUM(J66:K66)+P66)*'Input data plant-based products'!O$122, (SUM(J66:K66)+Q66+P66)*'Input data plant-based products'!O$122)))</f>
        <v>0.124151627288854</v>
      </c>
      <c r="F66" s="89" t="n">
        <f aca="false">IF(AND($F$2="No",$F$3="No"),SUM(H66:O66)*'Input data plant-based products'!O$122,IF(AND($F$2="Yes", $F$3="No"), (SUM(H66:O66)+Q66)*'Input data plant-based products'!O$122, IF(AND($F$2="No", $F$3="Yes"),(SUM(H66:O66)+P66)*'Input data plant-based products'!O$122, (SUM(H66:O66)+Q66+P66)*'Input data plant-based products'!O$122)))</f>
        <v>0.747544886104851</v>
      </c>
      <c r="G66" s="88" t="n">
        <f aca="false">SUM(S66:U66)/(1-'Common input data'!H122)</f>
        <v>1.87694514615637</v>
      </c>
      <c r="H66" s="87" t="n">
        <f aca="false">('Input data plant-based products'!$F$13*('Common input data'!$D$76*'Common input data'!B69+'Common input data'!$D$77*'Common input data'!C69))/'Input data plant-based products'!$E$13</f>
        <v>0.0615974910392829</v>
      </c>
      <c r="I66" s="89" t="n">
        <f aca="false">'Common input data'!$B$81</f>
        <v>0.03</v>
      </c>
      <c r="J66" s="87" t="n">
        <v>0</v>
      </c>
      <c r="K66" s="89" t="n">
        <v>0</v>
      </c>
      <c r="L66" s="87" t="n">
        <f aca="false">('Input data plant-based products'!$I$13*'Common input data'!$C$59*'Common input data'!H49)/'Input data plant-based products'!$E$13</f>
        <v>0.117855964718853</v>
      </c>
      <c r="M66" s="89" t="n">
        <v>0</v>
      </c>
      <c r="N66" s="89" t="n">
        <f aca="false">'Input data plant-based products'!B$152*'Input data plant-based products'!E159</f>
        <v>0.15</v>
      </c>
      <c r="O66" s="89" t="n">
        <f aca="false">'Input data plant-based products'!$B$122*'Common input data'!$B$59*'Common input data'!B49+'Input data plant-based products'!C$122*'Common input data'!K63</f>
        <v>0.184203456</v>
      </c>
      <c r="P66" s="89" t="n">
        <f aca="false">'Common input data'!B$13</f>
        <v>0.108271767984466</v>
      </c>
      <c r="Q66" s="89" t="n">
        <v>0</v>
      </c>
      <c r="R66" s="89" t="n">
        <f aca="false">'Input data plant-based products'!F122*'Common input data'!K63</f>
        <v>0.01435395</v>
      </c>
      <c r="S66" s="89" t="n">
        <f aca="false">(F66+R66)*'Common input data'!$D$27/'Common input data'!$C$27</f>
        <v>1.11519869962121</v>
      </c>
      <c r="T66" s="89" t="n">
        <f aca="false">'Common input data'!$B$88</f>
        <v>0.05</v>
      </c>
      <c r="U66" s="89" t="n">
        <f aca="false">'Common input data'!B108+'Common input data'!C108</f>
        <v>0.43</v>
      </c>
      <c r="V66" s="309"/>
      <c r="W66" s="92"/>
      <c r="Z66" s="30"/>
    </row>
    <row r="67" s="209" customFormat="true" ht="17.4" hidden="false" customHeight="false" outlineLevel="0" collapsed="false">
      <c r="A67" s="74"/>
      <c r="B67" s="31"/>
      <c r="C67" s="93"/>
      <c r="D67" s="85" t="s">
        <v>135</v>
      </c>
      <c r="E67" s="217" t="n">
        <f aca="false">SUM(J67:K67)*'Input data plant-based products'!O$122</f>
        <v>0.0157947884454245</v>
      </c>
      <c r="F67" s="89" t="n">
        <f aca="false">SUM(H67:O67)*'Input data plant-based products'!O$122</f>
        <v>0.0158778135498174</v>
      </c>
      <c r="G67" s="88" t="n">
        <f aca="false">SUM(S67:U67)/(1-'Common input data'!H122)</f>
        <v>0.0273452838366816</v>
      </c>
      <c r="H67" s="87" t="n">
        <f aca="false">('Input data plant-based products'!$F$13*('Common input data'!$D$76*'Common input data'!B70+'Common input data'!$D$77*'Common input data'!C70))/'Input data plant-based products'!$E$13</f>
        <v>3.35994072767365E-010</v>
      </c>
      <c r="I67" s="89" t="n">
        <v>0</v>
      </c>
      <c r="J67" s="87" t="n">
        <f aca="false">'Input data plant-based products'!C159/'Input data plant-based products'!E13</f>
        <v>0.0137745248070562</v>
      </c>
      <c r="K67" s="89" t="n">
        <v>0</v>
      </c>
      <c r="L67" s="87" t="n">
        <f aca="false">('Input data plant-based products'!$I$13*'Common input data'!$C$59*'Common input data'!H50)/'Input data plant-based products'!$E$13</f>
        <v>5.22062183020948E-005</v>
      </c>
      <c r="M67" s="89" t="n">
        <v>0</v>
      </c>
      <c r="N67" s="89" t="n">
        <v>0</v>
      </c>
      <c r="O67" s="89" t="n">
        <f aca="false">'Input data plant-based products'!$B$122*'Common input data'!$B$59*'Common input data'!B50</f>
        <v>2.019906E-005</v>
      </c>
      <c r="P67" s="89" t="n">
        <v>0</v>
      </c>
      <c r="Q67" s="89" t="n">
        <v>0</v>
      </c>
      <c r="R67" s="89" t="n">
        <v>0</v>
      </c>
      <c r="S67" s="89" t="n">
        <f aca="false">(F67+R67)*'Common input data'!$D$27/'Common input data'!$C$27</f>
        <v>0.0232405093491279</v>
      </c>
      <c r="T67" s="89" t="n">
        <v>0</v>
      </c>
      <c r="U67" s="89" t="n">
        <v>0</v>
      </c>
      <c r="V67" s="309"/>
      <c r="W67" s="92"/>
      <c r="Z67" s="30"/>
    </row>
    <row r="68" s="209" customFormat="true" ht="17.4" hidden="false" customHeight="false" outlineLevel="0" collapsed="false">
      <c r="A68" s="100"/>
      <c r="B68" s="101"/>
      <c r="C68" s="87"/>
      <c r="D68" s="31" t="s">
        <v>136</v>
      </c>
      <c r="E68" s="219" t="n">
        <f aca="false">SUM(J68:K68)*'Input data plant-based products'!O$122</f>
        <v>0.000663947538533775</v>
      </c>
      <c r="F68" s="126" t="n">
        <f aca="false">SUM(H68:O68)*'Input data plant-based products'!O$122</f>
        <v>0.00111526421896696</v>
      </c>
      <c r="G68" s="106" t="n">
        <f aca="false">SUM(S68:U68)/(1-'Common input data'!H122)</f>
        <v>0.00192074409520303</v>
      </c>
      <c r="H68" s="87" t="n">
        <f aca="false">('Input data plant-based products'!$F$13*('Common input data'!$D$76*'Common input data'!B71+'Common input data'!$D$77*'Common input data'!C71))/'Input data plant-based products'!$E$13</f>
        <v>0.000388540291302591</v>
      </c>
      <c r="I68" s="87" t="n">
        <v>0</v>
      </c>
      <c r="J68" s="87" t="n">
        <f aca="false">(SUM('Input data plant-based products'!F13:H13)*'Input data plant-based products'!$B$114*44/28)/'Input data plant-based products'!E13</f>
        <v>0.00052638546923925</v>
      </c>
      <c r="K68" s="89" t="n">
        <f aca="false">J68*'Input data plant-based products'!$B$115</f>
        <v>5.2638546923925E-005</v>
      </c>
      <c r="L68" s="87" t="n">
        <f aca="false">('Input data plant-based products'!$I$13*'Common input data'!$C$59*'Common input data'!H51)/'Input data plant-based products'!$E$13</f>
        <v>3.16683572216097E-006</v>
      </c>
      <c r="M68" s="89" t="n">
        <v>0</v>
      </c>
      <c r="N68" s="89" t="n">
        <v>0</v>
      </c>
      <c r="O68" s="89" t="n">
        <f aca="false">'Input data plant-based products'!$B$122*'Common input data'!$B$59*'Common input data'!B51</f>
        <v>1.88300126E-006</v>
      </c>
      <c r="P68" s="89" t="n">
        <v>0</v>
      </c>
      <c r="Q68" s="89" t="n">
        <v>0</v>
      </c>
      <c r="R68" s="89" t="n">
        <v>0</v>
      </c>
      <c r="S68" s="89" t="n">
        <f aca="false">(F68+R68)*'Common input data'!$D$27/'Common input data'!$C$27</f>
        <v>0.00163242303018147</v>
      </c>
      <c r="T68" s="89" t="n">
        <v>0</v>
      </c>
      <c r="U68" s="89" t="n">
        <v>0</v>
      </c>
      <c r="V68" s="309"/>
      <c r="W68" s="92"/>
      <c r="Z68" s="30"/>
    </row>
    <row r="69" s="334" customFormat="true" ht="17.4" hidden="false" customHeight="false" outlineLevel="0" collapsed="false">
      <c r="A69" s="107" t="s">
        <v>275</v>
      </c>
      <c r="B69" s="108"/>
      <c r="C69" s="69"/>
      <c r="D69" s="109"/>
      <c r="E69" s="110" t="s">
        <v>276</v>
      </c>
      <c r="F69" s="111" t="s">
        <v>276</v>
      </c>
      <c r="G69" s="112" t="s">
        <v>277</v>
      </c>
      <c r="H69" s="69"/>
      <c r="I69" s="69"/>
      <c r="J69" s="69"/>
      <c r="K69" s="113"/>
      <c r="L69" s="113"/>
      <c r="M69" s="114"/>
      <c r="N69" s="113"/>
      <c r="O69" s="113"/>
      <c r="P69" s="113"/>
      <c r="Q69" s="113"/>
      <c r="R69" s="113"/>
      <c r="S69" s="335"/>
      <c r="T69" s="113"/>
      <c r="U69" s="113"/>
      <c r="V69" s="309"/>
      <c r="W69" s="92"/>
      <c r="X69" s="209"/>
      <c r="Y69" s="209"/>
      <c r="Z69" s="30"/>
      <c r="AA69" s="209"/>
      <c r="AB69" s="209"/>
      <c r="AC69" s="209"/>
      <c r="AD69" s="209"/>
      <c r="AE69" s="209"/>
      <c r="AF69" s="209"/>
      <c r="AG69" s="209"/>
      <c r="AH69" s="209"/>
      <c r="AI69" s="209"/>
      <c r="AJ69" s="209"/>
      <c r="AK69" s="209"/>
      <c r="AL69" s="209"/>
      <c r="AM69" s="209"/>
      <c r="AN69" s="209"/>
      <c r="AO69" s="209"/>
      <c r="AP69" s="209"/>
      <c r="AQ69" s="209"/>
      <c r="AR69" s="209"/>
      <c r="AS69" s="209"/>
      <c r="AT69" s="209"/>
      <c r="AU69" s="209"/>
      <c r="AV69" s="209"/>
      <c r="AW69" s="209"/>
      <c r="AX69" s="209"/>
      <c r="AY69" s="209"/>
      <c r="AZ69" s="209"/>
      <c r="BA69" s="209"/>
      <c r="BB69" s="209"/>
      <c r="BC69" s="209"/>
      <c r="BD69" s="209"/>
      <c r="BE69" s="209"/>
      <c r="BF69" s="209"/>
      <c r="BG69" s="209"/>
      <c r="BH69" s="209"/>
      <c r="BI69" s="209"/>
      <c r="BJ69" s="209"/>
      <c r="BK69" s="209"/>
      <c r="BL69" s="209"/>
      <c r="BM69" s="209"/>
      <c r="BN69" s="209"/>
      <c r="BO69" s="209"/>
      <c r="BP69" s="209"/>
      <c r="BQ69" s="209"/>
      <c r="BR69" s="209"/>
      <c r="BS69" s="209"/>
      <c r="BT69" s="209"/>
      <c r="BU69" s="209"/>
      <c r="BV69" s="209"/>
      <c r="BW69" s="209"/>
      <c r="BX69" s="209"/>
      <c r="BY69" s="209"/>
      <c r="BZ69" s="209"/>
      <c r="CA69" s="209"/>
      <c r="CB69" s="209"/>
      <c r="CC69" s="209"/>
      <c r="CD69" s="209"/>
      <c r="CE69" s="209"/>
      <c r="CF69" s="209"/>
      <c r="CG69" s="209"/>
      <c r="CH69" s="209"/>
      <c r="CI69" s="209"/>
      <c r="CJ69" s="209"/>
      <c r="CK69" s="209"/>
      <c r="CL69" s="209"/>
      <c r="CM69" s="209"/>
      <c r="CN69" s="209"/>
      <c r="CO69" s="209"/>
      <c r="CP69" s="209"/>
      <c r="CQ69" s="209"/>
      <c r="CR69" s="209"/>
      <c r="CS69" s="209"/>
      <c r="CT69" s="209"/>
      <c r="CU69" s="209"/>
      <c r="CV69" s="209"/>
      <c r="CW69" s="209"/>
      <c r="CX69" s="209"/>
      <c r="CY69" s="209"/>
      <c r="CZ69" s="209"/>
      <c r="DA69" s="209"/>
      <c r="DB69" s="209"/>
      <c r="DC69" s="209"/>
      <c r="DD69" s="209"/>
      <c r="DE69" s="209"/>
      <c r="DF69" s="209"/>
      <c r="DG69" s="209"/>
      <c r="DH69" s="209"/>
      <c r="DI69" s="209"/>
      <c r="DJ69" s="209"/>
      <c r="DK69" s="209"/>
      <c r="DL69" s="209"/>
      <c r="DM69" s="209"/>
      <c r="DN69" s="209"/>
      <c r="DO69" s="209"/>
      <c r="DP69" s="209"/>
      <c r="DQ69" s="209"/>
      <c r="DR69" s="209"/>
      <c r="DS69" s="209"/>
      <c r="DT69" s="209"/>
      <c r="DU69" s="209"/>
      <c r="DV69" s="209"/>
      <c r="DW69" s="209"/>
      <c r="DX69" s="209"/>
      <c r="DY69" s="209"/>
      <c r="DZ69" s="209"/>
      <c r="EA69" s="209"/>
      <c r="EB69" s="209"/>
      <c r="EC69" s="209"/>
      <c r="ED69" s="209"/>
      <c r="EE69" s="209"/>
      <c r="EF69" s="209"/>
      <c r="EG69" s="209"/>
      <c r="EH69" s="209"/>
      <c r="EI69" s="209"/>
      <c r="EJ69" s="209"/>
      <c r="EK69" s="209"/>
      <c r="EL69" s="209"/>
      <c r="EM69" s="209"/>
      <c r="EN69" s="209"/>
      <c r="EO69" s="209"/>
      <c r="EP69" s="209"/>
      <c r="EQ69" s="209"/>
      <c r="ER69" s="209"/>
      <c r="ES69" s="209"/>
      <c r="ET69" s="209"/>
      <c r="EU69" s="209"/>
      <c r="EV69" s="209"/>
      <c r="EW69" s="209"/>
      <c r="EX69" s="209"/>
      <c r="EY69" s="209"/>
      <c r="EZ69" s="209"/>
      <c r="FA69" s="209"/>
      <c r="FB69" s="209"/>
      <c r="FC69" s="209"/>
      <c r="FD69" s="209"/>
      <c r="FE69" s="209"/>
      <c r="FF69" s="209"/>
      <c r="FG69" s="209"/>
      <c r="FH69" s="209"/>
      <c r="FI69" s="209"/>
      <c r="FJ69" s="209"/>
      <c r="FK69" s="209"/>
      <c r="FL69" s="209"/>
      <c r="FM69" s="209"/>
      <c r="FN69" s="209"/>
      <c r="FO69" s="209"/>
      <c r="FP69" s="209"/>
      <c r="FQ69" s="209"/>
      <c r="FR69" s="209"/>
      <c r="FS69" s="209"/>
      <c r="FT69" s="209"/>
      <c r="FU69" s="209"/>
      <c r="FV69" s="209"/>
      <c r="FW69" s="209"/>
      <c r="FX69" s="209"/>
      <c r="FY69" s="209"/>
      <c r="FZ69" s="209"/>
      <c r="GA69" s="209"/>
      <c r="GB69" s="209"/>
      <c r="GC69" s="209"/>
      <c r="GD69" s="209"/>
      <c r="GE69" s="209"/>
      <c r="GF69" s="209"/>
      <c r="GG69" s="209"/>
      <c r="GH69" s="209"/>
      <c r="GI69" s="209"/>
      <c r="GJ69" s="209"/>
      <c r="GK69" s="209"/>
      <c r="GL69" s="209"/>
      <c r="GM69" s="209"/>
      <c r="GN69" s="209"/>
      <c r="GO69" s="209"/>
      <c r="GP69" s="209"/>
      <c r="GQ69" s="209"/>
      <c r="GR69" s="209"/>
      <c r="GS69" s="209"/>
      <c r="GT69" s="209"/>
      <c r="GU69" s="209"/>
      <c r="GV69" s="209"/>
      <c r="GW69" s="209"/>
      <c r="GX69" s="209"/>
      <c r="GY69" s="209"/>
      <c r="GZ69" s="209"/>
      <c r="HA69" s="209"/>
      <c r="HB69" s="209"/>
      <c r="HC69" s="209"/>
      <c r="HD69" s="209"/>
      <c r="HE69" s="209"/>
      <c r="HF69" s="209"/>
      <c r="HG69" s="209"/>
      <c r="HH69" s="209"/>
      <c r="HI69" s="209"/>
      <c r="HJ69" s="209"/>
      <c r="HK69" s="209"/>
      <c r="HL69" s="209"/>
      <c r="HM69" s="209"/>
      <c r="HN69" s="209"/>
      <c r="HO69" s="209"/>
      <c r="HP69" s="209"/>
      <c r="HQ69" s="209"/>
      <c r="HR69" s="209"/>
      <c r="HS69" s="209"/>
      <c r="HT69" s="209"/>
      <c r="HU69" s="209"/>
      <c r="HV69" s="209"/>
      <c r="HW69" s="209"/>
      <c r="HX69" s="209"/>
      <c r="HY69" s="209"/>
      <c r="HZ69" s="209"/>
      <c r="IA69" s="209"/>
      <c r="IB69" s="209"/>
      <c r="IC69" s="209"/>
      <c r="ID69" s="209"/>
      <c r="IE69" s="209"/>
      <c r="IF69" s="209"/>
      <c r="IG69" s="209"/>
      <c r="IH69" s="209"/>
      <c r="II69" s="209"/>
      <c r="IJ69" s="209"/>
      <c r="IK69" s="209"/>
      <c r="IL69" s="209"/>
      <c r="IM69" s="209"/>
      <c r="IN69" s="209"/>
      <c r="IO69" s="209"/>
      <c r="IP69" s="209"/>
      <c r="IQ69" s="209"/>
      <c r="IR69" s="209"/>
      <c r="IS69" s="209"/>
      <c r="IT69" s="209"/>
      <c r="IU69" s="209"/>
      <c r="IV69" s="209"/>
      <c r="IW69" s="209"/>
      <c r="IX69" s="209"/>
    </row>
    <row r="70" s="332" customFormat="true" ht="17.4" hidden="false" customHeight="false" outlineLevel="0" collapsed="false">
      <c r="A70" s="330" t="s">
        <v>272</v>
      </c>
      <c r="B70" s="76"/>
      <c r="C70" s="188" t="n">
        <f aca="false">SUM(C75:C88)</f>
        <v>1</v>
      </c>
      <c r="D70" s="78" t="s">
        <v>133</v>
      </c>
      <c r="E70" s="79" t="n">
        <f aca="false">IF($F$1="GWP100 without fb",E71+E72*'Common input data'!$C$5+E73*'Common input data'!$D$5,IF($F$1="GWP100 with fb",E71+E72*'Common input data'!$C$6+E73*'Common input data'!$D$6,IF($F$1="GTP100 without fb",E71+E72*'Common input data'!$C$7+E73*'Common input data'!$D$7,IF($F$1="GTP100 with fb",E71+E72*'Common input data'!$C$8+E73*'Common input data'!$D$8,E71+E72*'Common input data'!$C$9+E73*'Common input data'!$D$9))))</f>
        <v>0.661016829367346</v>
      </c>
      <c r="F70" s="80" t="n">
        <f aca="false">IF($F$1="GWP100 without fb",F71+F72*'Common input data'!$C$5+F73*'Common input data'!$D$5,IF($F$1="GWP100 with fb",F71+F72*'Common input data'!$C$6+F73*'Common input data'!$D$6,IF($F$1="GTP100 without fb",F71+F72*'Common input data'!$C$7+F73*'Common input data'!$D$7,IF($F$1="GTP100 with fb",F71+F72*'Common input data'!$C$8+F73*'Common input data'!$D$8,F71+F72*'Common input data'!$C$9+F73*'Common input data'!$D$9))))</f>
        <v>1.12244004730123</v>
      </c>
      <c r="G70" s="81" t="n">
        <f aca="false">IF($F$1="GWP100 without fb",G71+G72*'Common input data'!$C$5+G73*'Common input data'!$D$5,IF($F$1="GWP100 with fb",G71+G72*'Common input data'!$C$6+G73*'Common input data'!$D$6,IF($F$1="GTP100 without fb",G71+G72*'Common input data'!$C$7+G73*'Common input data'!$D$7,IF($F$1="GTP100 with fb",G71+G72*'Common input data'!$C$8+G73*'Common input data'!$D$8,G71+G72*'Common input data'!$C$9+G73*'Common input data'!$D$9))))</f>
        <v>2.37300332260057</v>
      </c>
      <c r="H70" s="95"/>
      <c r="I70" s="97"/>
      <c r="J70" s="97"/>
      <c r="K70" s="83"/>
      <c r="L70" s="83"/>
      <c r="M70" s="83"/>
      <c r="N70" s="83"/>
      <c r="O70" s="83"/>
      <c r="P70" s="83"/>
      <c r="Q70" s="83"/>
      <c r="R70" s="83"/>
      <c r="S70" s="83"/>
      <c r="T70" s="83"/>
      <c r="U70" s="83"/>
      <c r="V70" s="309"/>
      <c r="W70" s="92"/>
      <c r="X70" s="209"/>
      <c r="Y70" s="209"/>
      <c r="Z70" s="30"/>
      <c r="AA70" s="209"/>
      <c r="AB70" s="209"/>
      <c r="AC70" s="209"/>
      <c r="AD70" s="209"/>
      <c r="AE70" s="209"/>
      <c r="AF70" s="209"/>
      <c r="AG70" s="209"/>
      <c r="AH70" s="209"/>
      <c r="AI70" s="209"/>
      <c r="AJ70" s="209"/>
      <c r="AK70" s="209"/>
      <c r="AL70" s="209"/>
      <c r="AM70" s="209"/>
      <c r="AN70" s="209"/>
      <c r="AO70" s="209"/>
      <c r="AP70" s="209"/>
      <c r="AQ70" s="209"/>
      <c r="AR70" s="209"/>
      <c r="AS70" s="209"/>
      <c r="AT70" s="209"/>
      <c r="AU70" s="209"/>
      <c r="AV70" s="209"/>
      <c r="AW70" s="209"/>
      <c r="AX70" s="209"/>
      <c r="AY70" s="209"/>
      <c r="AZ70" s="209"/>
      <c r="BA70" s="209"/>
      <c r="BB70" s="209"/>
      <c r="BC70" s="209"/>
      <c r="BD70" s="209"/>
      <c r="BE70" s="209"/>
      <c r="BF70" s="209"/>
      <c r="BG70" s="209"/>
      <c r="BH70" s="209"/>
      <c r="BI70" s="209"/>
      <c r="BJ70" s="209"/>
      <c r="BK70" s="209"/>
      <c r="BL70" s="209"/>
      <c r="BM70" s="209"/>
      <c r="BN70" s="209"/>
      <c r="BO70" s="209"/>
      <c r="BP70" s="209"/>
      <c r="BQ70" s="209"/>
      <c r="BR70" s="209"/>
      <c r="BS70" s="209"/>
      <c r="BT70" s="209"/>
      <c r="BU70" s="209"/>
      <c r="BV70" s="209"/>
      <c r="BW70" s="209"/>
      <c r="BX70" s="209"/>
      <c r="BY70" s="209"/>
      <c r="BZ70" s="209"/>
      <c r="CA70" s="209"/>
      <c r="CB70" s="209"/>
      <c r="CC70" s="209"/>
      <c r="CD70" s="209"/>
      <c r="CE70" s="209"/>
      <c r="CF70" s="209"/>
      <c r="CG70" s="209"/>
      <c r="CH70" s="209"/>
      <c r="CI70" s="209"/>
      <c r="CJ70" s="209"/>
      <c r="CK70" s="209"/>
      <c r="CL70" s="209"/>
      <c r="CM70" s="209"/>
      <c r="CN70" s="209"/>
      <c r="CO70" s="209"/>
      <c r="CP70" s="209"/>
      <c r="CQ70" s="209"/>
      <c r="CR70" s="209"/>
      <c r="CS70" s="209"/>
      <c r="CT70" s="209"/>
      <c r="CU70" s="209"/>
      <c r="CV70" s="209"/>
      <c r="CW70" s="209"/>
      <c r="CX70" s="209"/>
      <c r="CY70" s="209"/>
      <c r="CZ70" s="209"/>
      <c r="DA70" s="209"/>
      <c r="DB70" s="209"/>
      <c r="DC70" s="209"/>
      <c r="DD70" s="209"/>
      <c r="DE70" s="209"/>
      <c r="DF70" s="209"/>
      <c r="DG70" s="209"/>
      <c r="DH70" s="209"/>
      <c r="DI70" s="209"/>
      <c r="DJ70" s="209"/>
      <c r="DK70" s="209"/>
      <c r="DL70" s="209"/>
      <c r="DM70" s="209"/>
      <c r="DN70" s="209"/>
      <c r="DO70" s="209"/>
      <c r="DP70" s="209"/>
      <c r="DQ70" s="209"/>
      <c r="DR70" s="209"/>
      <c r="DS70" s="209"/>
      <c r="DT70" s="209"/>
      <c r="DU70" s="209"/>
      <c r="DV70" s="209"/>
      <c r="DW70" s="209"/>
      <c r="DX70" s="209"/>
      <c r="DY70" s="209"/>
      <c r="DZ70" s="209"/>
      <c r="EA70" s="209"/>
      <c r="EB70" s="209"/>
      <c r="EC70" s="209"/>
      <c r="ED70" s="209"/>
      <c r="EE70" s="209"/>
      <c r="EF70" s="209"/>
      <c r="EG70" s="209"/>
      <c r="EH70" s="209"/>
      <c r="EI70" s="209"/>
      <c r="EJ70" s="209"/>
      <c r="EK70" s="209"/>
      <c r="EL70" s="209"/>
      <c r="EM70" s="209"/>
      <c r="EN70" s="209"/>
      <c r="EO70" s="209"/>
      <c r="EP70" s="209"/>
      <c r="EQ70" s="209"/>
      <c r="ER70" s="209"/>
      <c r="ES70" s="209"/>
      <c r="ET70" s="209"/>
      <c r="EU70" s="209"/>
      <c r="EV70" s="209"/>
      <c r="EW70" s="209"/>
      <c r="EX70" s="209"/>
      <c r="EY70" s="209"/>
      <c r="EZ70" s="209"/>
      <c r="FA70" s="209"/>
      <c r="FB70" s="209"/>
      <c r="FC70" s="209"/>
      <c r="FD70" s="209"/>
      <c r="FE70" s="209"/>
      <c r="FF70" s="209"/>
      <c r="FG70" s="209"/>
      <c r="FH70" s="209"/>
      <c r="FI70" s="209"/>
      <c r="FJ70" s="209"/>
      <c r="FK70" s="209"/>
      <c r="FL70" s="209"/>
      <c r="FM70" s="209"/>
      <c r="FN70" s="209"/>
      <c r="FO70" s="209"/>
      <c r="FP70" s="209"/>
      <c r="FQ70" s="209"/>
      <c r="FR70" s="209"/>
      <c r="FS70" s="209"/>
      <c r="FT70" s="209"/>
      <c r="FU70" s="209"/>
      <c r="FV70" s="209"/>
      <c r="FW70" s="209"/>
      <c r="FX70" s="209"/>
      <c r="FY70" s="209"/>
      <c r="FZ70" s="209"/>
      <c r="GA70" s="209"/>
      <c r="GB70" s="209"/>
      <c r="GC70" s="209"/>
      <c r="GD70" s="209"/>
      <c r="GE70" s="209"/>
      <c r="GF70" s="209"/>
      <c r="GG70" s="209"/>
      <c r="GH70" s="209"/>
      <c r="GI70" s="209"/>
      <c r="GJ70" s="209"/>
      <c r="GK70" s="209"/>
      <c r="GL70" s="209"/>
      <c r="GM70" s="209"/>
      <c r="GN70" s="209"/>
      <c r="GO70" s="209"/>
      <c r="GP70" s="209"/>
      <c r="GQ70" s="209"/>
      <c r="GR70" s="209"/>
      <c r="GS70" s="209"/>
      <c r="GT70" s="209"/>
      <c r="GU70" s="209"/>
      <c r="GV70" s="209"/>
      <c r="GW70" s="209"/>
      <c r="GX70" s="209"/>
      <c r="GY70" s="209"/>
      <c r="GZ70" s="209"/>
      <c r="HA70" s="209"/>
      <c r="HB70" s="209"/>
      <c r="HC70" s="209"/>
      <c r="HD70" s="209"/>
      <c r="HE70" s="209"/>
      <c r="HF70" s="209"/>
      <c r="HG70" s="209"/>
      <c r="HH70" s="209"/>
      <c r="HI70" s="209"/>
      <c r="HJ70" s="209"/>
      <c r="HK70" s="209"/>
      <c r="HL70" s="209"/>
      <c r="HM70" s="209"/>
      <c r="HN70" s="209"/>
      <c r="HO70" s="209"/>
      <c r="HP70" s="209"/>
      <c r="HQ70" s="209"/>
      <c r="HR70" s="209"/>
      <c r="HS70" s="209"/>
      <c r="HT70" s="209"/>
      <c r="HU70" s="209"/>
      <c r="HV70" s="209"/>
      <c r="HW70" s="209"/>
      <c r="HX70" s="209"/>
      <c r="HY70" s="209"/>
      <c r="HZ70" s="209"/>
      <c r="IA70" s="209"/>
      <c r="IB70" s="209"/>
      <c r="IC70" s="209"/>
      <c r="ID70" s="209"/>
      <c r="IE70" s="209"/>
      <c r="IF70" s="209"/>
      <c r="IG70" s="209"/>
      <c r="IH70" s="209"/>
      <c r="II70" s="209"/>
      <c r="IJ70" s="209"/>
      <c r="IK70" s="209"/>
      <c r="IL70" s="209"/>
      <c r="IM70" s="209"/>
      <c r="IN70" s="209"/>
      <c r="IO70" s="209"/>
      <c r="IP70" s="209"/>
      <c r="IQ70" s="209"/>
      <c r="IR70" s="209"/>
      <c r="IS70" s="209"/>
      <c r="IT70" s="209"/>
      <c r="IU70" s="209"/>
      <c r="IV70" s="209"/>
      <c r="IW70" s="209"/>
      <c r="IX70" s="209"/>
    </row>
    <row r="71" s="209" customFormat="true" ht="17.4" hidden="false" customHeight="false" outlineLevel="0" collapsed="false">
      <c r="A71" s="315"/>
      <c r="B71" s="31"/>
      <c r="C71" s="30"/>
      <c r="D71" s="85" t="s">
        <v>134</v>
      </c>
      <c r="E71" s="217" t="n">
        <f aca="false">E76*$C$75+E81*$C$80+$C$85*E86</f>
        <v>0.171049483076392</v>
      </c>
      <c r="F71" s="89" t="n">
        <f aca="false">F76*$C$75+F81*$C$80+$C$85*F86</f>
        <v>0.475761065683819</v>
      </c>
      <c r="G71" s="88" t="n">
        <f aca="false">G76*$C$75+G81*$C$80+$C$85*G86</f>
        <v>1.22498271610603</v>
      </c>
      <c r="H71" s="89" t="n">
        <f aca="false">H76*$C$75+H81*$C$80+$C$85*H86</f>
        <v>0.117431866195243</v>
      </c>
      <c r="I71" s="89" t="n">
        <f aca="false">I76*$C$75+I81*$C$80+$C$85*I86</f>
        <v>0.03</v>
      </c>
      <c r="J71" s="89" t="n">
        <f aca="false">J76*$C$75+J81*$C$80+$C$85*J86</f>
        <v>0</v>
      </c>
      <c r="K71" s="89" t="n">
        <f aca="false">K76*$C$75+K81*$C$80+$C$85*K86</f>
        <v>0</v>
      </c>
      <c r="L71" s="89" t="n">
        <f aca="false">L76*$C$75+L81*$C$80+$C$85*L86</f>
        <v>0.0592080674384152</v>
      </c>
      <c r="M71" s="89" t="n">
        <f aca="false">M76*$C$75+M81*$C$80+$C$85*M86</f>
        <v>0</v>
      </c>
      <c r="N71" s="89" t="n">
        <f aca="false">N76*$C$75+N81*$C$80+$C$85*N86</f>
        <v>0.02</v>
      </c>
      <c r="O71" s="89" t="n">
        <f aca="false">O76*$C$75+O81*$C$80+$C$85*O86</f>
        <v>0.0579807753952574</v>
      </c>
      <c r="P71" s="89" t="n">
        <f aca="false">P76*$C$75+P81*$C$80+$C$85*P86</f>
        <v>0.159771495181245</v>
      </c>
      <c r="Q71" s="89" t="n">
        <f aca="false">Q76*$C$75+Q81*$C$80+$C$85*Q86</f>
        <v>0</v>
      </c>
      <c r="R71" s="89" t="n">
        <f aca="false">R76*$C$75+R81*$C$80+$C$85*R86</f>
        <v>0.01334772</v>
      </c>
      <c r="S71" s="89" t="n">
        <f aca="false">S76*$C$75+S81*$C$80+$C$85*S86</f>
        <v>0.804681774207019</v>
      </c>
      <c r="T71" s="89" t="n">
        <f aca="false">T76*$C$75+T81*$C$80+$C$85*T86</f>
        <v>0.3</v>
      </c>
      <c r="U71" s="89" t="n">
        <f aca="false">U76*$C$75+U81*$C$80+$C$85*U86</f>
        <v>0.0358935078457245</v>
      </c>
      <c r="V71" s="309"/>
      <c r="W71" s="92"/>
      <c r="Z71" s="30"/>
    </row>
    <row r="72" s="209" customFormat="true" ht="17.4" hidden="false" customHeight="false" outlineLevel="0" collapsed="false">
      <c r="A72" s="315"/>
      <c r="B72" s="31"/>
      <c r="C72" s="93"/>
      <c r="D72" s="85" t="s">
        <v>135</v>
      </c>
      <c r="E72" s="217" t="n">
        <f aca="false">E77*$C$75+E82*$C$80+$C$85*E87</f>
        <v>0</v>
      </c>
      <c r="F72" s="89" t="n">
        <f aca="false">F77*$C$75+F82*$C$80+$C$85*F87</f>
        <v>5.09125710703197E-005</v>
      </c>
      <c r="G72" s="88" t="n">
        <f aca="false">G77*$C$75+G82*$C$80+$C$85*G87</f>
        <v>0.000194009915264167</v>
      </c>
      <c r="H72" s="89" t="n">
        <f aca="false">H77*$C$75+H82*$C$80+$C$85*H87</f>
        <v>3.20855843283638E-010</v>
      </c>
      <c r="I72" s="89" t="n">
        <f aca="false">I77*$C$75+I82*$C$80+$C$85*I87</f>
        <v>0</v>
      </c>
      <c r="J72" s="89" t="n">
        <f aca="false">J77*$C$75+J82*$C$80+$C$85*J87</f>
        <v>0</v>
      </c>
      <c r="K72" s="89" t="n">
        <f aca="false">K77*$C$75+K82*$C$80+$C$85*K87</f>
        <v>0</v>
      </c>
      <c r="L72" s="89" t="n">
        <f aca="false">L77*$C$75+L82*$C$80+$C$85*L87</f>
        <v>2.62271773966531E-005</v>
      </c>
      <c r="M72" s="89" t="n">
        <f aca="false">M77*$C$75+M82*$C$80+$C$85*M87</f>
        <v>0</v>
      </c>
      <c r="N72" s="89" t="n">
        <f aca="false">N77*$C$75+N82*$C$80+$C$85*N87</f>
        <v>0</v>
      </c>
      <c r="O72" s="89" t="n">
        <f aca="false">O77*$C$75+O82*$C$80+$C$85*O87</f>
        <v>2.13282E-005</v>
      </c>
      <c r="P72" s="89" t="n">
        <f aca="false">P77*$C$75+P82*$C$80+$C$85*P87</f>
        <v>0</v>
      </c>
      <c r="Q72" s="89" t="n">
        <f aca="false">Q77*$C$75+Q82*$C$80+$C$85*Q87</f>
        <v>0</v>
      </c>
      <c r="R72" s="89" t="n">
        <f aca="false">R77*$C$75+R82*$C$80+$C$85*R87</f>
        <v>5.888664E-005</v>
      </c>
      <c r="S72" s="89" t="n">
        <f aca="false">S77*$C$75+S82*$C$80+$C$85*S87</f>
        <v>0.00018064166205289</v>
      </c>
      <c r="T72" s="89" t="n">
        <f aca="false">T77*$C$75+T82*$C$80+$C$85*T87</f>
        <v>0</v>
      </c>
      <c r="U72" s="89" t="n">
        <f aca="false">U77*$C$75+U82*$C$80+$C$85*U87</f>
        <v>0</v>
      </c>
      <c r="V72" s="309"/>
      <c r="W72" s="92"/>
      <c r="Z72" s="30"/>
    </row>
    <row r="73" s="209" customFormat="true" ht="17.4" hidden="false" customHeight="false" outlineLevel="0" collapsed="false">
      <c r="A73" s="74"/>
      <c r="B73" s="101"/>
      <c r="C73" s="87"/>
      <c r="D73" s="31" t="s">
        <v>136</v>
      </c>
      <c r="E73" s="217" t="n">
        <f aca="false">E78*$C$75+E83*$C$80+$C$85*E88</f>
        <v>0.00164418572580857</v>
      </c>
      <c r="F73" s="89" t="n">
        <f aca="false">F78*$C$75+F83*$C$80+$C$85*F88</f>
        <v>0.00216425487986921</v>
      </c>
      <c r="G73" s="88" t="n">
        <f aca="false">G78*$C$75+G83*$C$80+$C$85*G88</f>
        <v>0.00383028278313944</v>
      </c>
      <c r="H73" s="89" t="n">
        <f aca="false">H78*$C$75+H83*$C$80+$C$85*H88</f>
        <v>0.000482199674110175</v>
      </c>
      <c r="I73" s="89" t="n">
        <f aca="false">I78*$C$75+I83*$C$80+$C$85*I88</f>
        <v>0</v>
      </c>
      <c r="J73" s="89" t="n">
        <f aca="false">J78*$C$75+J83*$C$80+$C$85*J88</f>
        <v>0.00139616170523205</v>
      </c>
      <c r="K73" s="89" t="n">
        <f aca="false">K78*$C$75+K83*$C$80+$C$85*K88</f>
        <v>0.000139616170523205</v>
      </c>
      <c r="L73" s="89" t="n">
        <f aca="false">L78*$C$75+L83*$C$80+$C$85*L88</f>
        <v>1.59094385635362E-006</v>
      </c>
      <c r="M73" s="89" t="n">
        <f aca="false">M78*$C$75+M83*$C$80+$C$85*M88</f>
        <v>0</v>
      </c>
      <c r="N73" s="89" t="n">
        <f aca="false">N78*$C$75+N83*$C$80+$C$85*N88</f>
        <v>0</v>
      </c>
      <c r="O73" s="89" t="n">
        <f aca="false">O78*$C$75+O83*$C$80+$C$85*O88</f>
        <v>1.9882622E-006</v>
      </c>
      <c r="P73" s="89" t="n">
        <f aca="false">P78*$C$75+P83*$C$80+$C$85*P88</f>
        <v>0</v>
      </c>
      <c r="Q73" s="89" t="n">
        <f aca="false">Q78*$C$75+Q83*$C$80+$C$85*Q88</f>
        <v>0</v>
      </c>
      <c r="R73" s="89" t="n">
        <f aca="false">R78*$C$75+R83*$C$80+$C$85*R88</f>
        <v>3.479832E-006</v>
      </c>
      <c r="S73" s="89" t="n">
        <f aca="false">S78*$C$75+S83*$C$80+$C$85*S88</f>
        <v>0.00356635714796722</v>
      </c>
      <c r="T73" s="89" t="n">
        <f aca="false">T78*$C$75+T83*$C$80+$C$85*T88</f>
        <v>0</v>
      </c>
      <c r="U73" s="89" t="n">
        <f aca="false">U78*$C$75+U83*$C$80+$C$85*U88</f>
        <v>0</v>
      </c>
      <c r="V73" s="309"/>
      <c r="W73" s="92"/>
      <c r="Z73" s="30"/>
    </row>
    <row r="74" s="329" customFormat="true" ht="17.4" hidden="false" customHeight="false" outlineLevel="0" collapsed="false">
      <c r="A74" s="319" t="s">
        <v>278</v>
      </c>
      <c r="B74" s="320"/>
      <c r="C74" s="321"/>
      <c r="D74" s="322"/>
      <c r="E74" s="323"/>
      <c r="F74" s="324"/>
      <c r="G74" s="325"/>
      <c r="H74" s="321"/>
      <c r="I74" s="321"/>
      <c r="J74" s="321"/>
      <c r="K74" s="326"/>
      <c r="L74" s="326"/>
      <c r="M74" s="327"/>
      <c r="N74" s="326"/>
      <c r="O74" s="326"/>
      <c r="P74" s="326"/>
      <c r="Q74" s="326"/>
      <c r="R74" s="326"/>
      <c r="S74" s="326"/>
      <c r="T74" s="326"/>
      <c r="U74" s="326"/>
      <c r="V74" s="309"/>
      <c r="W74" s="92"/>
      <c r="X74" s="209"/>
      <c r="Y74" s="209"/>
      <c r="Z74" s="30"/>
      <c r="AA74" s="209"/>
      <c r="AB74" s="209"/>
      <c r="AC74" s="209"/>
      <c r="AD74" s="209"/>
      <c r="AE74" s="209"/>
      <c r="AF74" s="209"/>
      <c r="AG74" s="209"/>
      <c r="AH74" s="209"/>
      <c r="AI74" s="209"/>
      <c r="AJ74" s="209"/>
      <c r="AK74" s="209"/>
      <c r="AL74" s="209"/>
      <c r="AM74" s="209"/>
      <c r="AN74" s="209"/>
      <c r="AO74" s="209"/>
      <c r="AP74" s="209"/>
      <c r="AQ74" s="209"/>
      <c r="AR74" s="209"/>
      <c r="AS74" s="209"/>
      <c r="AT74" s="209"/>
      <c r="AU74" s="209"/>
      <c r="AV74" s="209"/>
      <c r="AW74" s="209"/>
      <c r="AX74" s="209"/>
      <c r="AY74" s="209"/>
      <c r="AZ74" s="209"/>
      <c r="BA74" s="209"/>
      <c r="BB74" s="209"/>
      <c r="BC74" s="209"/>
      <c r="BD74" s="209"/>
      <c r="BE74" s="209"/>
      <c r="BF74" s="209"/>
      <c r="BG74" s="209"/>
      <c r="BH74" s="209"/>
      <c r="BI74" s="209"/>
      <c r="BJ74" s="209"/>
      <c r="BK74" s="209"/>
      <c r="BL74" s="209"/>
      <c r="BM74" s="209"/>
      <c r="BN74" s="209"/>
      <c r="BO74" s="209"/>
      <c r="BP74" s="209"/>
      <c r="BQ74" s="209"/>
      <c r="BR74" s="209"/>
      <c r="BS74" s="209"/>
      <c r="BT74" s="209"/>
      <c r="BU74" s="209"/>
      <c r="BV74" s="209"/>
      <c r="BW74" s="209"/>
      <c r="BX74" s="209"/>
      <c r="BY74" s="209"/>
      <c r="BZ74" s="209"/>
      <c r="CA74" s="209"/>
      <c r="CB74" s="209"/>
      <c r="CC74" s="209"/>
      <c r="CD74" s="209"/>
      <c r="CE74" s="209"/>
      <c r="CF74" s="209"/>
      <c r="CG74" s="209"/>
      <c r="CH74" s="209"/>
      <c r="CI74" s="209"/>
      <c r="CJ74" s="209"/>
      <c r="CK74" s="209"/>
      <c r="CL74" s="209"/>
      <c r="CM74" s="209"/>
      <c r="CN74" s="209"/>
      <c r="CO74" s="209"/>
      <c r="CP74" s="209"/>
      <c r="CQ74" s="209"/>
      <c r="CR74" s="209"/>
      <c r="CS74" s="209"/>
      <c r="CT74" s="209"/>
      <c r="CU74" s="209"/>
      <c r="CV74" s="209"/>
      <c r="CW74" s="209"/>
      <c r="CX74" s="209"/>
      <c r="CY74" s="209"/>
      <c r="CZ74" s="209"/>
      <c r="DA74" s="209"/>
      <c r="DB74" s="209"/>
      <c r="DC74" s="209"/>
      <c r="DD74" s="209"/>
      <c r="DE74" s="209"/>
      <c r="DF74" s="209"/>
      <c r="DG74" s="209"/>
      <c r="DH74" s="209"/>
      <c r="DI74" s="209"/>
      <c r="DJ74" s="209"/>
      <c r="DK74" s="209"/>
      <c r="DL74" s="209"/>
      <c r="DM74" s="209"/>
      <c r="DN74" s="209"/>
      <c r="DO74" s="209"/>
      <c r="DP74" s="209"/>
      <c r="DQ74" s="209"/>
      <c r="DR74" s="209"/>
      <c r="DS74" s="209"/>
      <c r="DT74" s="209"/>
      <c r="DU74" s="209"/>
      <c r="DV74" s="209"/>
      <c r="DW74" s="209"/>
      <c r="DX74" s="209"/>
      <c r="DY74" s="209"/>
      <c r="DZ74" s="209"/>
      <c r="EA74" s="209"/>
      <c r="EB74" s="209"/>
      <c r="EC74" s="209"/>
      <c r="ED74" s="209"/>
      <c r="EE74" s="209"/>
      <c r="EF74" s="209"/>
      <c r="EG74" s="209"/>
      <c r="EH74" s="209"/>
      <c r="EI74" s="209"/>
      <c r="EJ74" s="209"/>
      <c r="EK74" s="209"/>
      <c r="EL74" s="209"/>
      <c r="EM74" s="209"/>
      <c r="EN74" s="209"/>
      <c r="EO74" s="209"/>
      <c r="EP74" s="209"/>
      <c r="EQ74" s="209"/>
      <c r="ER74" s="209"/>
      <c r="ES74" s="209"/>
      <c r="ET74" s="209"/>
      <c r="EU74" s="209"/>
      <c r="EV74" s="209"/>
      <c r="EW74" s="209"/>
      <c r="EX74" s="209"/>
      <c r="EY74" s="209"/>
      <c r="EZ74" s="209"/>
      <c r="FA74" s="209"/>
      <c r="FB74" s="209"/>
      <c r="FC74" s="209"/>
      <c r="FD74" s="209"/>
      <c r="FE74" s="209"/>
      <c r="FF74" s="209"/>
      <c r="FG74" s="209"/>
      <c r="FH74" s="209"/>
      <c r="FI74" s="209"/>
      <c r="FJ74" s="209"/>
      <c r="FK74" s="209"/>
      <c r="FL74" s="209"/>
      <c r="FM74" s="209"/>
      <c r="FN74" s="209"/>
      <c r="FO74" s="209"/>
      <c r="FP74" s="209"/>
      <c r="FQ74" s="209"/>
      <c r="FR74" s="209"/>
      <c r="FS74" s="209"/>
      <c r="FT74" s="209"/>
      <c r="FU74" s="209"/>
      <c r="FV74" s="209"/>
      <c r="FW74" s="209"/>
      <c r="FX74" s="209"/>
      <c r="FY74" s="209"/>
      <c r="FZ74" s="209"/>
      <c r="GA74" s="209"/>
      <c r="GB74" s="209"/>
      <c r="GC74" s="209"/>
      <c r="GD74" s="209"/>
      <c r="GE74" s="209"/>
      <c r="GF74" s="209"/>
      <c r="GG74" s="209"/>
      <c r="GH74" s="209"/>
      <c r="GI74" s="209"/>
      <c r="GJ74" s="209"/>
      <c r="GK74" s="209"/>
      <c r="GL74" s="209"/>
      <c r="GM74" s="209"/>
      <c r="GN74" s="209"/>
      <c r="GO74" s="209"/>
      <c r="GP74" s="209"/>
      <c r="GQ74" s="209"/>
      <c r="GR74" s="209"/>
      <c r="GS74" s="209"/>
      <c r="GT74" s="209"/>
      <c r="GU74" s="209"/>
      <c r="GV74" s="209"/>
      <c r="GW74" s="209"/>
      <c r="GX74" s="209"/>
      <c r="GY74" s="209"/>
      <c r="GZ74" s="209"/>
      <c r="HA74" s="209"/>
      <c r="HB74" s="209"/>
      <c r="HC74" s="209"/>
      <c r="HD74" s="209"/>
      <c r="HE74" s="209"/>
      <c r="HF74" s="209"/>
      <c r="HG74" s="209"/>
      <c r="HH74" s="209"/>
      <c r="HI74" s="209"/>
      <c r="HJ74" s="209"/>
      <c r="HK74" s="209"/>
      <c r="HL74" s="209"/>
      <c r="HM74" s="209"/>
      <c r="HN74" s="209"/>
      <c r="HO74" s="209"/>
      <c r="HP74" s="209"/>
      <c r="HQ74" s="209"/>
      <c r="HR74" s="209"/>
      <c r="HS74" s="209"/>
      <c r="HT74" s="209"/>
      <c r="HU74" s="209"/>
      <c r="HV74" s="209"/>
      <c r="HW74" s="209"/>
      <c r="HX74" s="209"/>
      <c r="HY74" s="209"/>
      <c r="HZ74" s="209"/>
      <c r="IA74" s="209"/>
      <c r="IB74" s="209"/>
      <c r="IC74" s="209"/>
      <c r="ID74" s="209"/>
      <c r="IE74" s="209"/>
      <c r="IF74" s="209"/>
      <c r="IG74" s="209"/>
      <c r="IH74" s="209"/>
      <c r="II74" s="209"/>
      <c r="IJ74" s="209"/>
      <c r="IK74" s="209"/>
      <c r="IL74" s="209"/>
      <c r="IM74" s="209"/>
      <c r="IN74" s="209"/>
      <c r="IO74" s="209"/>
      <c r="IP74" s="209"/>
      <c r="IQ74" s="209"/>
      <c r="IR74" s="209"/>
      <c r="IS74" s="209"/>
      <c r="IT74" s="209"/>
      <c r="IU74" s="209"/>
      <c r="IV74" s="209"/>
      <c r="IW74" s="209"/>
      <c r="IX74" s="209"/>
    </row>
    <row r="75" s="332" customFormat="true" ht="17.4" hidden="false" customHeight="false" outlineLevel="0" collapsed="false">
      <c r="A75" s="330" t="s">
        <v>137</v>
      </c>
      <c r="B75" s="76" t="s">
        <v>254</v>
      </c>
      <c r="C75" s="97" t="n">
        <f aca="false">'Input data plant-based products'!D18</f>
        <v>0.739216861934941</v>
      </c>
      <c r="D75" s="78" t="s">
        <v>133</v>
      </c>
      <c r="E75" s="94" t="n">
        <f aca="false">IF($F$1="GWP100 without fb",E76+E77*'Common input data'!$C$5+E78*'Common input data'!$D$5,IF($F$1="GWP100 with fb",E76+E77*'Common input data'!$C$6+E78*'Common input data'!$D$6,IF($F$1="GTP100 without fb",E76+E77*'Common input data'!$C$7+E78*'Common input data'!$D$7,IF($F$1="GTP100 with fb",E76+E77*'Common input data'!$C$8+E78*'Common input data'!$D$8,E76+E77*'Common input data'!$C$9+E78*'Common input data'!$D$9))))</f>
        <v>0.623065495259143</v>
      </c>
      <c r="F75" s="95" t="n">
        <f aca="false">IF($F$1="GWP100 without fb",F76+F77*'Common input data'!$C$5+F78*'Common input data'!$D$5,IF($F$1="GWP100 with fb",F76+F77*'Common input data'!$C$6+F78*'Common input data'!$D$6,IF($F$1="GTP100 without fb",F76+F77*'Common input data'!$C$7+F78*'Common input data'!$D$7,IF($F$1="GTP100 with fb",F76+F77*'Common input data'!$C$8+F78*'Common input data'!$D$8,F76+F77*'Common input data'!$C$9+F78*'Common input data'!$D$9))))</f>
        <v>1.05941891767699</v>
      </c>
      <c r="G75" s="96" t="n">
        <f aca="false">IF($F$1="GWP100 without fb",G76+G77*'Common input data'!$C$5+G78*'Common input data'!$D$5,IF($F$1="GWP100 with fb",G76+G77*'Common input data'!$C$6+G78*'Common input data'!$D$6,IF($F$1="GTP100 without fb",G76+G77*'Common input data'!$C$7+G78*'Common input data'!$D$7,IF($F$1="GTP100 with fb",G76+G77*'Common input data'!$C$8+G78*'Common input data'!$D$8,G76+G77*'Common input data'!$C$9+G78*'Common input data'!$D$9))))</f>
        <v>2.25531837068532</v>
      </c>
      <c r="H75" s="83"/>
      <c r="I75" s="83"/>
      <c r="J75" s="83"/>
      <c r="K75" s="83"/>
      <c r="L75" s="83"/>
      <c r="M75" s="83"/>
      <c r="N75" s="83"/>
      <c r="O75" s="83"/>
      <c r="P75" s="83"/>
      <c r="Q75" s="83"/>
      <c r="R75" s="83"/>
      <c r="S75" s="83"/>
      <c r="T75" s="83"/>
      <c r="U75" s="83"/>
      <c r="V75" s="309"/>
      <c r="W75" s="92"/>
      <c r="X75" s="209"/>
      <c r="Y75" s="209"/>
      <c r="Z75" s="30"/>
      <c r="AA75" s="209"/>
      <c r="AB75" s="209"/>
      <c r="AC75" s="209"/>
      <c r="AD75" s="209"/>
      <c r="AE75" s="209"/>
      <c r="AF75" s="209"/>
      <c r="AG75" s="209"/>
      <c r="AH75" s="209"/>
      <c r="AI75" s="209"/>
      <c r="AJ75" s="209"/>
      <c r="AK75" s="209"/>
      <c r="AL75" s="209"/>
      <c r="AM75" s="209"/>
      <c r="AN75" s="209"/>
      <c r="AO75" s="209"/>
      <c r="AP75" s="209"/>
      <c r="AQ75" s="209"/>
      <c r="AR75" s="209"/>
      <c r="AS75" s="209"/>
      <c r="AT75" s="209"/>
      <c r="AU75" s="209"/>
      <c r="AV75" s="209"/>
      <c r="AW75" s="209"/>
      <c r="AX75" s="209"/>
      <c r="AY75" s="209"/>
      <c r="AZ75" s="209"/>
      <c r="BA75" s="209"/>
      <c r="BB75" s="209"/>
      <c r="BC75" s="209"/>
      <c r="BD75" s="209"/>
      <c r="BE75" s="209"/>
      <c r="BF75" s="209"/>
      <c r="BG75" s="209"/>
      <c r="BH75" s="209"/>
      <c r="BI75" s="209"/>
      <c r="BJ75" s="209"/>
      <c r="BK75" s="209"/>
      <c r="BL75" s="209"/>
      <c r="BM75" s="209"/>
      <c r="BN75" s="209"/>
      <c r="BO75" s="209"/>
      <c r="BP75" s="209"/>
      <c r="BQ75" s="209"/>
      <c r="BR75" s="209"/>
      <c r="BS75" s="209"/>
      <c r="BT75" s="209"/>
      <c r="BU75" s="209"/>
      <c r="BV75" s="209"/>
      <c r="BW75" s="209"/>
      <c r="BX75" s="209"/>
      <c r="BY75" s="209"/>
      <c r="BZ75" s="209"/>
      <c r="CA75" s="209"/>
      <c r="CB75" s="209"/>
      <c r="CC75" s="209"/>
      <c r="CD75" s="209"/>
      <c r="CE75" s="209"/>
      <c r="CF75" s="209"/>
      <c r="CG75" s="209"/>
      <c r="CH75" s="209"/>
      <c r="CI75" s="209"/>
      <c r="CJ75" s="209"/>
      <c r="CK75" s="209"/>
      <c r="CL75" s="209"/>
      <c r="CM75" s="209"/>
      <c r="CN75" s="209"/>
      <c r="CO75" s="209"/>
      <c r="CP75" s="209"/>
      <c r="CQ75" s="209"/>
      <c r="CR75" s="209"/>
      <c r="CS75" s="209"/>
      <c r="CT75" s="209"/>
      <c r="CU75" s="209"/>
      <c r="CV75" s="209"/>
      <c r="CW75" s="209"/>
      <c r="CX75" s="209"/>
      <c r="CY75" s="209"/>
      <c r="CZ75" s="209"/>
      <c r="DA75" s="209"/>
      <c r="DB75" s="209"/>
      <c r="DC75" s="209"/>
      <c r="DD75" s="209"/>
      <c r="DE75" s="209"/>
      <c r="DF75" s="209"/>
      <c r="DG75" s="209"/>
      <c r="DH75" s="209"/>
      <c r="DI75" s="209"/>
      <c r="DJ75" s="209"/>
      <c r="DK75" s="209"/>
      <c r="DL75" s="209"/>
      <c r="DM75" s="209"/>
      <c r="DN75" s="209"/>
      <c r="DO75" s="209"/>
      <c r="DP75" s="209"/>
      <c r="DQ75" s="209"/>
      <c r="DR75" s="209"/>
      <c r="DS75" s="209"/>
      <c r="DT75" s="209"/>
      <c r="DU75" s="209"/>
      <c r="DV75" s="209"/>
      <c r="DW75" s="209"/>
      <c r="DX75" s="209"/>
      <c r="DY75" s="209"/>
      <c r="DZ75" s="209"/>
      <c r="EA75" s="209"/>
      <c r="EB75" s="209"/>
      <c r="EC75" s="209"/>
      <c r="ED75" s="209"/>
      <c r="EE75" s="209"/>
      <c r="EF75" s="209"/>
      <c r="EG75" s="209"/>
      <c r="EH75" s="209"/>
      <c r="EI75" s="209"/>
      <c r="EJ75" s="209"/>
      <c r="EK75" s="209"/>
      <c r="EL75" s="209"/>
      <c r="EM75" s="209"/>
      <c r="EN75" s="209"/>
      <c r="EO75" s="209"/>
      <c r="EP75" s="209"/>
      <c r="EQ75" s="209"/>
      <c r="ER75" s="209"/>
      <c r="ES75" s="209"/>
      <c r="ET75" s="209"/>
      <c r="EU75" s="209"/>
      <c r="EV75" s="209"/>
      <c r="EW75" s="209"/>
      <c r="EX75" s="209"/>
      <c r="EY75" s="209"/>
      <c r="EZ75" s="209"/>
      <c r="FA75" s="209"/>
      <c r="FB75" s="209"/>
      <c r="FC75" s="209"/>
      <c r="FD75" s="209"/>
      <c r="FE75" s="209"/>
      <c r="FF75" s="209"/>
      <c r="FG75" s="209"/>
      <c r="FH75" s="209"/>
      <c r="FI75" s="209"/>
      <c r="FJ75" s="209"/>
      <c r="FK75" s="209"/>
      <c r="FL75" s="209"/>
      <c r="FM75" s="209"/>
      <c r="FN75" s="209"/>
      <c r="FO75" s="209"/>
      <c r="FP75" s="209"/>
      <c r="FQ75" s="209"/>
      <c r="FR75" s="209"/>
      <c r="FS75" s="209"/>
      <c r="FT75" s="209"/>
      <c r="FU75" s="209"/>
      <c r="FV75" s="209"/>
      <c r="FW75" s="209"/>
      <c r="FX75" s="209"/>
      <c r="FY75" s="209"/>
      <c r="FZ75" s="209"/>
      <c r="GA75" s="209"/>
      <c r="GB75" s="209"/>
      <c r="GC75" s="209"/>
      <c r="GD75" s="209"/>
      <c r="GE75" s="209"/>
      <c r="GF75" s="209"/>
      <c r="GG75" s="209"/>
      <c r="GH75" s="209"/>
      <c r="GI75" s="209"/>
      <c r="GJ75" s="209"/>
      <c r="GK75" s="209"/>
      <c r="GL75" s="209"/>
      <c r="GM75" s="209"/>
      <c r="GN75" s="209"/>
      <c r="GO75" s="209"/>
      <c r="GP75" s="209"/>
      <c r="GQ75" s="209"/>
      <c r="GR75" s="209"/>
      <c r="GS75" s="209"/>
      <c r="GT75" s="209"/>
      <c r="GU75" s="209"/>
      <c r="GV75" s="209"/>
      <c r="GW75" s="209"/>
      <c r="GX75" s="209"/>
      <c r="GY75" s="209"/>
      <c r="GZ75" s="209"/>
      <c r="HA75" s="209"/>
      <c r="HB75" s="209"/>
      <c r="HC75" s="209"/>
      <c r="HD75" s="209"/>
      <c r="HE75" s="209"/>
      <c r="HF75" s="209"/>
      <c r="HG75" s="209"/>
      <c r="HH75" s="209"/>
      <c r="HI75" s="209"/>
      <c r="HJ75" s="209"/>
      <c r="HK75" s="209"/>
      <c r="HL75" s="209"/>
      <c r="HM75" s="209"/>
      <c r="HN75" s="209"/>
      <c r="HO75" s="209"/>
      <c r="HP75" s="209"/>
      <c r="HQ75" s="209"/>
      <c r="HR75" s="209"/>
      <c r="HS75" s="209"/>
      <c r="HT75" s="209"/>
      <c r="HU75" s="209"/>
      <c r="HV75" s="209"/>
      <c r="HW75" s="209"/>
      <c r="HX75" s="209"/>
      <c r="HY75" s="209"/>
      <c r="HZ75" s="209"/>
      <c r="IA75" s="209"/>
      <c r="IB75" s="209"/>
      <c r="IC75" s="209"/>
      <c r="ID75" s="209"/>
      <c r="IE75" s="209"/>
      <c r="IF75" s="209"/>
      <c r="IG75" s="209"/>
      <c r="IH75" s="209"/>
      <c r="II75" s="209"/>
      <c r="IJ75" s="209"/>
      <c r="IK75" s="209"/>
      <c r="IL75" s="209"/>
      <c r="IM75" s="209"/>
      <c r="IN75" s="209"/>
      <c r="IO75" s="209"/>
      <c r="IP75" s="209"/>
      <c r="IQ75" s="209"/>
      <c r="IR75" s="209"/>
      <c r="IS75" s="209"/>
      <c r="IT75" s="209"/>
      <c r="IU75" s="209"/>
      <c r="IV75" s="209"/>
      <c r="IW75" s="209"/>
      <c r="IX75" s="209"/>
    </row>
    <row r="76" s="209" customFormat="true" ht="17.4" hidden="false" customHeight="false" outlineLevel="0" collapsed="false">
      <c r="A76" s="315"/>
      <c r="B76" s="31"/>
      <c r="C76" s="30"/>
      <c r="D76" s="85" t="s">
        <v>134</v>
      </c>
      <c r="E76" s="217" t="n">
        <f aca="false">IF(AND($F$2="No",$F$3="No"),SUM(J76:K76)*'Input data plant-based products'!O$123,IF(AND($F$2="Yes", $F$3="No"), (SUM(J76:K76)+Q76)*'Input data plant-based products'!O$123, IF(AND($F$2="No", $F$3="Yes"),(SUM(J76:K76)+P76)*'Input data plant-based products'!O$123, (SUM(J76:K76)+Q76+P76)*'Input data plant-based products'!O$123)))</f>
        <v>0.171049483076392</v>
      </c>
      <c r="F76" s="89" t="n">
        <f aca="false">IF(AND($F$2="No",$F$3="No"),SUM(H76:O76)*'Input data plant-based products'!O$123,IF(AND($F$2="Yes", $F$3="No"), (SUM(H76:O76)+Q76)*'Input data plant-based products'!O$123, IF(AND($F$2="No", $F$3="Yes"),(SUM(H76:O76)+P76)*'Input data plant-based products'!O$123, (SUM(H76:O76)+Q76+P76)*'Input data plant-based products'!O$123)))</f>
        <v>0.45950080032181</v>
      </c>
      <c r="G76" s="88" t="n">
        <f aca="false">SUM(S76:U76)/(1-'Common input data'!$B$124)</f>
        <v>1.18992195816049</v>
      </c>
      <c r="H76" s="89" t="n">
        <f aca="false">('Input data plant-based products'!$F$18*('Common input data'!$B$76*'Common input data'!B69+'Common input data'!$B$77*'Common input data'!C69))/'Input data plant-based products'!$E$18</f>
        <v>0.112106281996353</v>
      </c>
      <c r="I76" s="89" t="n">
        <f aca="false">'Common input data'!$B$81</f>
        <v>0.03</v>
      </c>
      <c r="J76" s="89" t="n">
        <v>0</v>
      </c>
      <c r="K76" s="89" t="n">
        <v>0</v>
      </c>
      <c r="L76" s="89" t="n">
        <f aca="false">('Input data plant-based products'!$I$18*'Common input data'!$C$59*'Common input data'!H49)/'Input data plant-based products'!$E$18</f>
        <v>0.0494493470790378</v>
      </c>
      <c r="M76" s="89" t="n">
        <v>0</v>
      </c>
      <c r="N76" s="89" t="n">
        <f aca="false">'Input data plant-based products'!G$152</f>
        <v>0.02</v>
      </c>
      <c r="O76" s="89" t="n">
        <f aca="false">'Input data plant-based products'!$B$123*'Common input data'!$B$59*'Common input data'!B49+'Input data plant-based products'!C$123*'Common input data'!B63</f>
        <v>0.05787692</v>
      </c>
      <c r="P76" s="89" t="n">
        <f aca="false">'Common input data'!D$13</f>
        <v>0.159771495181245</v>
      </c>
      <c r="Q76" s="89" t="n">
        <v>0</v>
      </c>
      <c r="R76" s="89" t="n">
        <f aca="false">'Input data plant-based products'!G$123*3.6*'Common input data'!C49+'Input data plant-based products'!H$123*3.6*'Common input data'!G49</f>
        <v>0.01334772</v>
      </c>
      <c r="S76" s="89" t="n">
        <f aca="false">(F76+R76)*'Input data plant-based products'!B$130*'Common input data'!D$26</f>
        <v>0.777930385633442</v>
      </c>
      <c r="T76" s="89" t="n">
        <f aca="false">'Common input data'!B$87</f>
        <v>0.3</v>
      </c>
      <c r="U76" s="89" t="n">
        <f aca="false">'Common input data'!C$98</f>
        <v>0.03</v>
      </c>
      <c r="V76" s="309"/>
      <c r="W76" s="92"/>
      <c r="Z76" s="30"/>
    </row>
    <row r="77" s="209" customFormat="true" ht="17.4" hidden="false" customHeight="false" outlineLevel="0" collapsed="false">
      <c r="A77" s="74"/>
      <c r="B77" s="31"/>
      <c r="C77" s="93"/>
      <c r="D77" s="85" t="s">
        <v>135</v>
      </c>
      <c r="E77" s="217" t="n">
        <f aca="false">SUM(J77:K77)*'Input data plant-based products'!O$123</f>
        <v>0</v>
      </c>
      <c r="F77" s="89" t="n">
        <f aca="false">SUM(H77:O77)*'Input data plant-based products'!O$123</f>
        <v>4.62846271302689E-005</v>
      </c>
      <c r="G77" s="88" t="n">
        <f aca="false">SUM(S77:U77)/(1-'Common input data'!$B$124)</f>
        <v>0.000185832561320508</v>
      </c>
      <c r="H77" s="89" t="n">
        <f aca="false">('Input data plant-based products'!$F$18*('Common input data'!$B$76*'Common input data'!B70+'Common input data'!$B$77*'Common input data'!C70))/'Input data plant-based products'!$E$18</f>
        <v>3.0013470790378E-010</v>
      </c>
      <c r="I77" s="89" t="n">
        <v>0</v>
      </c>
      <c r="J77" s="89" t="n">
        <v>0</v>
      </c>
      <c r="K77" s="89" t="n">
        <v>0</v>
      </c>
      <c r="L77" s="89" t="n">
        <f aca="false">('Input data plant-based products'!$I$18*'Common input data'!$C$59*'Common input data'!H50)/'Input data plant-based products'!$E$18</f>
        <v>2.19043933386201E-005</v>
      </c>
      <c r="M77" s="89" t="n">
        <v>0</v>
      </c>
      <c r="N77" s="89" t="n">
        <v>0</v>
      </c>
      <c r="O77" s="89" t="n">
        <f aca="false">'Input data plant-based products'!$B$123*'Common input data'!$B$59*'Common input data'!B50</f>
        <v>2.13282E-005</v>
      </c>
      <c r="P77" s="89" t="n">
        <v>0</v>
      </c>
      <c r="Q77" s="89" t="n">
        <v>0</v>
      </c>
      <c r="R77" s="89" t="n">
        <f aca="false">'Input data plant-based products'!G$123*3.6*'Common input data'!C50+'Input data plant-based products'!H$123*3.6*'Common input data'!G50</f>
        <v>5.888664E-005</v>
      </c>
      <c r="S77" s="89" t="n">
        <f aca="false">(F77+R77)*'Input data plant-based products'!B$130*'Common input data'!D$26</f>
        <v>0.000173027768682718</v>
      </c>
      <c r="T77" s="89" t="n">
        <v>0</v>
      </c>
      <c r="U77" s="89" t="n">
        <v>0</v>
      </c>
      <c r="V77" s="309"/>
      <c r="W77" s="92"/>
      <c r="Z77" s="30"/>
    </row>
    <row r="78" s="209" customFormat="true" ht="17.4" hidden="false" customHeight="false" outlineLevel="0" collapsed="false">
      <c r="A78" s="100"/>
      <c r="B78" s="101"/>
      <c r="C78" s="87"/>
      <c r="D78" s="31" t="s">
        <v>136</v>
      </c>
      <c r="E78" s="217" t="n">
        <f aca="false">SUM(J78:K78)*'Input data plant-based products'!O$123</f>
        <v>0.00151683225564682</v>
      </c>
      <c r="F78" s="89" t="n">
        <f aca="false">SUM(H78:O78)*'Input data plant-based products'!O$123</f>
        <v>0.00200786724843206</v>
      </c>
      <c r="G78" s="88" t="n">
        <f aca="false">SUM(S78:U78)/(1-'Common input data'!$B$124)</f>
        <v>0.0035539533739595</v>
      </c>
      <c r="H78" s="89" t="n">
        <f aca="false">('Input data plant-based products'!$F$18*('Common input data'!$B$76*'Common input data'!B71+'Common input data'!$B$77*'Common input data'!C71))/'Input data plant-based products'!$E$18</f>
        <v>0.000455342073759476</v>
      </c>
      <c r="I78" s="89" t="n">
        <v>0</v>
      </c>
      <c r="J78" s="89" t="n">
        <f aca="false">(SUM('Input data plant-based products'!F18:H18)*'Input data plant-based products'!$B$114*44/28)/'Input data plant-based products'!E18</f>
        <v>0.00128801939790189</v>
      </c>
      <c r="K78" s="89" t="n">
        <f aca="false">J78*'Input data plant-based products'!$B$115</f>
        <v>0.000128801939790189</v>
      </c>
      <c r="L78" s="89" t="n">
        <f aca="false">('Input data plant-based products'!$I$18*'Common input data'!$C$59*'Common input data'!H51)/'Input data plant-based products'!$E$18</f>
        <v>1.32872323552736E-006</v>
      </c>
      <c r="M78" s="89" t="n">
        <v>0</v>
      </c>
      <c r="N78" s="89" t="n">
        <v>0</v>
      </c>
      <c r="O78" s="89" t="n">
        <f aca="false">'Input data plant-based products'!$B$123*'Common input data'!$B$59*'Common input data'!B51</f>
        <v>1.9882622E-006</v>
      </c>
      <c r="P78" s="89" t="n">
        <v>0</v>
      </c>
      <c r="Q78" s="89" t="n">
        <v>0</v>
      </c>
      <c r="R78" s="89" t="n">
        <f aca="false">'Input data plant-based products'!G$123*3.6*'Common input data'!C51+'Input data plant-based products'!H$123*3.6*'Common input data'!G51</f>
        <v>3.479832E-006</v>
      </c>
      <c r="S78" s="89" t="n">
        <f aca="false">(F78+R78)*'Input data plant-based products'!B$130*'Common input data'!D$26</f>
        <v>0.00330906821672682</v>
      </c>
      <c r="T78" s="89" t="n">
        <v>0</v>
      </c>
      <c r="U78" s="89" t="n">
        <v>0</v>
      </c>
      <c r="V78" s="309"/>
      <c r="W78" s="92"/>
      <c r="Z78" s="30"/>
    </row>
    <row r="79" s="329" customFormat="true" ht="17.4" hidden="false" customHeight="false" outlineLevel="0" collapsed="false">
      <c r="A79" s="319" t="s">
        <v>279</v>
      </c>
      <c r="B79" s="320"/>
      <c r="C79" s="321"/>
      <c r="D79" s="322"/>
      <c r="E79" s="323"/>
      <c r="F79" s="324"/>
      <c r="G79" s="325"/>
      <c r="H79" s="321"/>
      <c r="I79" s="321"/>
      <c r="J79" s="321"/>
      <c r="K79" s="326"/>
      <c r="L79" s="326"/>
      <c r="M79" s="327"/>
      <c r="N79" s="326"/>
      <c r="O79" s="326"/>
      <c r="P79" s="326"/>
      <c r="Q79" s="326"/>
      <c r="R79" s="326"/>
      <c r="S79" s="326"/>
      <c r="T79" s="326"/>
      <c r="U79" s="326"/>
      <c r="V79" s="309"/>
      <c r="W79" s="92"/>
      <c r="X79" s="209"/>
      <c r="Y79" s="209"/>
      <c r="Z79" s="30"/>
      <c r="AA79" s="209"/>
      <c r="AB79" s="209"/>
      <c r="AC79" s="209"/>
      <c r="AD79" s="209"/>
      <c r="AE79" s="209"/>
      <c r="AF79" s="209"/>
      <c r="AG79" s="209"/>
      <c r="AH79" s="209"/>
      <c r="AI79" s="209"/>
      <c r="AJ79" s="209"/>
      <c r="AK79" s="209"/>
      <c r="AL79" s="209"/>
      <c r="AM79" s="209"/>
      <c r="AN79" s="209"/>
      <c r="AO79" s="209"/>
      <c r="AP79" s="209"/>
      <c r="AQ79" s="209"/>
      <c r="AR79" s="209"/>
      <c r="AS79" s="209"/>
      <c r="AT79" s="209"/>
      <c r="AU79" s="209"/>
      <c r="AV79" s="209"/>
      <c r="AW79" s="209"/>
      <c r="AX79" s="209"/>
      <c r="AY79" s="209"/>
      <c r="AZ79" s="209"/>
      <c r="BA79" s="209"/>
      <c r="BB79" s="209"/>
      <c r="BC79" s="209"/>
      <c r="BD79" s="209"/>
      <c r="BE79" s="209"/>
      <c r="BF79" s="209"/>
      <c r="BG79" s="209"/>
      <c r="BH79" s="209"/>
      <c r="BI79" s="209"/>
      <c r="BJ79" s="209"/>
      <c r="BK79" s="209"/>
      <c r="BL79" s="209"/>
      <c r="BM79" s="209"/>
      <c r="BN79" s="209"/>
      <c r="BO79" s="209"/>
      <c r="BP79" s="209"/>
      <c r="BQ79" s="209"/>
      <c r="BR79" s="209"/>
      <c r="BS79" s="209"/>
      <c r="BT79" s="209"/>
      <c r="BU79" s="209"/>
      <c r="BV79" s="209"/>
      <c r="BW79" s="209"/>
      <c r="BX79" s="209"/>
      <c r="BY79" s="209"/>
      <c r="BZ79" s="209"/>
      <c r="CA79" s="209"/>
      <c r="CB79" s="209"/>
      <c r="CC79" s="209"/>
      <c r="CD79" s="209"/>
      <c r="CE79" s="209"/>
      <c r="CF79" s="209"/>
      <c r="CG79" s="209"/>
      <c r="CH79" s="209"/>
      <c r="CI79" s="209"/>
      <c r="CJ79" s="209"/>
      <c r="CK79" s="209"/>
      <c r="CL79" s="209"/>
      <c r="CM79" s="209"/>
      <c r="CN79" s="209"/>
      <c r="CO79" s="209"/>
      <c r="CP79" s="209"/>
      <c r="CQ79" s="209"/>
      <c r="CR79" s="209"/>
      <c r="CS79" s="209"/>
      <c r="CT79" s="209"/>
      <c r="CU79" s="209"/>
      <c r="CV79" s="209"/>
      <c r="CW79" s="209"/>
      <c r="CX79" s="209"/>
      <c r="CY79" s="209"/>
      <c r="CZ79" s="209"/>
      <c r="DA79" s="209"/>
      <c r="DB79" s="209"/>
      <c r="DC79" s="209"/>
      <c r="DD79" s="209"/>
      <c r="DE79" s="209"/>
      <c r="DF79" s="209"/>
      <c r="DG79" s="209"/>
      <c r="DH79" s="209"/>
      <c r="DI79" s="209"/>
      <c r="DJ79" s="209"/>
      <c r="DK79" s="209"/>
      <c r="DL79" s="209"/>
      <c r="DM79" s="209"/>
      <c r="DN79" s="209"/>
      <c r="DO79" s="209"/>
      <c r="DP79" s="209"/>
      <c r="DQ79" s="209"/>
      <c r="DR79" s="209"/>
      <c r="DS79" s="209"/>
      <c r="DT79" s="209"/>
      <c r="DU79" s="209"/>
      <c r="DV79" s="209"/>
      <c r="DW79" s="209"/>
      <c r="DX79" s="209"/>
      <c r="DY79" s="209"/>
      <c r="DZ79" s="209"/>
      <c r="EA79" s="209"/>
      <c r="EB79" s="209"/>
      <c r="EC79" s="209"/>
      <c r="ED79" s="209"/>
      <c r="EE79" s="209"/>
      <c r="EF79" s="209"/>
      <c r="EG79" s="209"/>
      <c r="EH79" s="209"/>
      <c r="EI79" s="209"/>
      <c r="EJ79" s="209"/>
      <c r="EK79" s="209"/>
      <c r="EL79" s="209"/>
      <c r="EM79" s="209"/>
      <c r="EN79" s="209"/>
      <c r="EO79" s="209"/>
      <c r="EP79" s="209"/>
      <c r="EQ79" s="209"/>
      <c r="ER79" s="209"/>
      <c r="ES79" s="209"/>
      <c r="ET79" s="209"/>
      <c r="EU79" s="209"/>
      <c r="EV79" s="209"/>
      <c r="EW79" s="209"/>
      <c r="EX79" s="209"/>
      <c r="EY79" s="209"/>
      <c r="EZ79" s="209"/>
      <c r="FA79" s="209"/>
      <c r="FB79" s="209"/>
      <c r="FC79" s="209"/>
      <c r="FD79" s="209"/>
      <c r="FE79" s="209"/>
      <c r="FF79" s="209"/>
      <c r="FG79" s="209"/>
      <c r="FH79" s="209"/>
      <c r="FI79" s="209"/>
      <c r="FJ79" s="209"/>
      <c r="FK79" s="209"/>
      <c r="FL79" s="209"/>
      <c r="FM79" s="209"/>
      <c r="FN79" s="209"/>
      <c r="FO79" s="209"/>
      <c r="FP79" s="209"/>
      <c r="FQ79" s="209"/>
      <c r="FR79" s="209"/>
      <c r="FS79" s="209"/>
      <c r="FT79" s="209"/>
      <c r="FU79" s="209"/>
      <c r="FV79" s="209"/>
      <c r="FW79" s="209"/>
      <c r="FX79" s="209"/>
      <c r="FY79" s="209"/>
      <c r="FZ79" s="209"/>
      <c r="GA79" s="209"/>
      <c r="GB79" s="209"/>
      <c r="GC79" s="209"/>
      <c r="GD79" s="209"/>
      <c r="GE79" s="209"/>
      <c r="GF79" s="209"/>
      <c r="GG79" s="209"/>
      <c r="GH79" s="209"/>
      <c r="GI79" s="209"/>
      <c r="GJ79" s="209"/>
      <c r="GK79" s="209"/>
      <c r="GL79" s="209"/>
      <c r="GM79" s="209"/>
      <c r="GN79" s="209"/>
      <c r="GO79" s="209"/>
      <c r="GP79" s="209"/>
      <c r="GQ79" s="209"/>
      <c r="GR79" s="209"/>
      <c r="GS79" s="209"/>
      <c r="GT79" s="209"/>
      <c r="GU79" s="209"/>
      <c r="GV79" s="209"/>
      <c r="GW79" s="209"/>
      <c r="GX79" s="209"/>
      <c r="GY79" s="209"/>
      <c r="GZ79" s="209"/>
      <c r="HA79" s="209"/>
      <c r="HB79" s="209"/>
      <c r="HC79" s="209"/>
      <c r="HD79" s="209"/>
      <c r="HE79" s="209"/>
      <c r="HF79" s="209"/>
      <c r="HG79" s="209"/>
      <c r="HH79" s="209"/>
      <c r="HI79" s="209"/>
      <c r="HJ79" s="209"/>
      <c r="HK79" s="209"/>
      <c r="HL79" s="209"/>
      <c r="HM79" s="209"/>
      <c r="HN79" s="209"/>
      <c r="HO79" s="209"/>
      <c r="HP79" s="209"/>
      <c r="HQ79" s="209"/>
      <c r="HR79" s="209"/>
      <c r="HS79" s="209"/>
      <c r="HT79" s="209"/>
      <c r="HU79" s="209"/>
      <c r="HV79" s="209"/>
      <c r="HW79" s="209"/>
      <c r="HX79" s="209"/>
      <c r="HY79" s="209"/>
      <c r="HZ79" s="209"/>
      <c r="IA79" s="209"/>
      <c r="IB79" s="209"/>
      <c r="IC79" s="209"/>
      <c r="ID79" s="209"/>
      <c r="IE79" s="209"/>
      <c r="IF79" s="209"/>
      <c r="IG79" s="209"/>
      <c r="IH79" s="209"/>
      <c r="II79" s="209"/>
      <c r="IJ79" s="209"/>
      <c r="IK79" s="209"/>
      <c r="IL79" s="209"/>
      <c r="IM79" s="209"/>
      <c r="IN79" s="209"/>
      <c r="IO79" s="209"/>
      <c r="IP79" s="209"/>
      <c r="IQ79" s="209"/>
      <c r="IR79" s="209"/>
      <c r="IS79" s="209"/>
      <c r="IT79" s="209"/>
      <c r="IU79" s="209"/>
      <c r="IV79" s="209"/>
      <c r="IW79" s="209"/>
      <c r="IX79" s="209"/>
    </row>
    <row r="80" s="332" customFormat="true" ht="17.4" hidden="false" customHeight="false" outlineLevel="0" collapsed="false">
      <c r="A80" s="330" t="s">
        <v>137</v>
      </c>
      <c r="B80" s="76" t="s">
        <v>254</v>
      </c>
      <c r="C80" s="97" t="n">
        <f aca="false">'Input data plant-based products'!D19</f>
        <v>0.231315598836437</v>
      </c>
      <c r="D80" s="78" t="s">
        <v>133</v>
      </c>
      <c r="E80" s="94" t="n">
        <f aca="false">IF($F$1="GWP100 without fb",E81+E82*'Common input data'!$C$5+E83*'Common input data'!$D$5,IF($F$1="GWP100 with fb",E81+E82*'Common input data'!$C$6+E83*'Common input data'!$D$6,IF($F$1="GTP100 without fb",E81+E82*'Common input data'!$C$7+E83*'Common input data'!$D$7,IF($F$1="GTP100 with fb",E81+E82*'Common input data'!$C$8+E83*'Common input data'!$D$8,E81+E82*'Common input data'!$C$9+E83*'Common input data'!$D$9))))</f>
        <v>0.804227082261757</v>
      </c>
      <c r="F80" s="95" t="n">
        <f aca="false">IF($F$1="GWP100 without fb",F81+F82*'Common input data'!$C$5+F83*'Common input data'!$D$5,IF($F$1="GWP100 with fb",F81+F82*'Common input data'!$C$6+F83*'Common input data'!$D$6,IF($F$1="GTP100 without fb",F81+F82*'Common input data'!$C$7+F83*'Common input data'!$D$7,IF($F$1="GTP100 with fb",F81+F82*'Common input data'!$C$8+F83*'Common input data'!$D$8,F81+F82*'Common input data'!$C$9+F83*'Common input data'!$D$9))))</f>
        <v>1.33455306210918</v>
      </c>
      <c r="G80" s="96" t="n">
        <f aca="false">IF($F$1="GWP100 without fb",G81+G82*'Common input data'!$C$5+G83*'Common input data'!$D$5,IF($F$1="GWP100 with fb",G81+G82*'Common input data'!$C$6+G83*'Common input data'!$D$6,IF($F$1="GTP100 without fb",G81+G82*'Common input data'!$C$7+G83*'Common input data'!$D$7,IF($F$1="GTP100 with fb",G81+G82*'Common input data'!$C$8+G83*'Common input data'!$D$8,G81+G82*'Common input data'!$C$9+G83*'Common input data'!$D$9))))</f>
        <v>2.74146714650287</v>
      </c>
      <c r="H80" s="83"/>
      <c r="I80" s="83"/>
      <c r="J80" s="83"/>
      <c r="K80" s="83"/>
      <c r="L80" s="83"/>
      <c r="M80" s="83"/>
      <c r="N80" s="83"/>
      <c r="O80" s="83"/>
      <c r="P80" s="83"/>
      <c r="Q80" s="83"/>
      <c r="R80" s="83"/>
      <c r="S80" s="83"/>
      <c r="T80" s="83"/>
      <c r="U80" s="83"/>
      <c r="V80" s="309"/>
      <c r="W80" s="92"/>
      <c r="X80" s="209"/>
      <c r="Y80" s="209"/>
      <c r="Z80" s="30"/>
      <c r="AA80" s="209"/>
      <c r="AB80" s="209"/>
      <c r="AC80" s="209"/>
      <c r="AD80" s="209"/>
      <c r="AE80" s="209"/>
      <c r="AF80" s="209"/>
      <c r="AG80" s="209"/>
      <c r="AH80" s="209"/>
      <c r="AI80" s="209"/>
      <c r="AJ80" s="209"/>
      <c r="AK80" s="209"/>
      <c r="AL80" s="209"/>
      <c r="AM80" s="209"/>
      <c r="AN80" s="209"/>
      <c r="AO80" s="209"/>
      <c r="AP80" s="209"/>
      <c r="AQ80" s="209"/>
      <c r="AR80" s="209"/>
      <c r="AS80" s="209"/>
      <c r="AT80" s="209"/>
      <c r="AU80" s="209"/>
      <c r="AV80" s="209"/>
      <c r="AW80" s="209"/>
      <c r="AX80" s="209"/>
      <c r="AY80" s="209"/>
      <c r="AZ80" s="209"/>
      <c r="BA80" s="209"/>
      <c r="BB80" s="209"/>
      <c r="BC80" s="209"/>
      <c r="BD80" s="209"/>
      <c r="BE80" s="209"/>
      <c r="BF80" s="209"/>
      <c r="BG80" s="209"/>
      <c r="BH80" s="209"/>
      <c r="BI80" s="209"/>
      <c r="BJ80" s="209"/>
      <c r="BK80" s="209"/>
      <c r="BL80" s="209"/>
      <c r="BM80" s="209"/>
      <c r="BN80" s="209"/>
      <c r="BO80" s="209"/>
      <c r="BP80" s="209"/>
      <c r="BQ80" s="209"/>
      <c r="BR80" s="209"/>
      <c r="BS80" s="209"/>
      <c r="BT80" s="209"/>
      <c r="BU80" s="209"/>
      <c r="BV80" s="209"/>
      <c r="BW80" s="209"/>
      <c r="BX80" s="209"/>
      <c r="BY80" s="209"/>
      <c r="BZ80" s="209"/>
      <c r="CA80" s="209"/>
      <c r="CB80" s="209"/>
      <c r="CC80" s="209"/>
      <c r="CD80" s="209"/>
      <c r="CE80" s="209"/>
      <c r="CF80" s="209"/>
      <c r="CG80" s="209"/>
      <c r="CH80" s="209"/>
      <c r="CI80" s="209"/>
      <c r="CJ80" s="209"/>
      <c r="CK80" s="209"/>
      <c r="CL80" s="209"/>
      <c r="CM80" s="209"/>
      <c r="CN80" s="209"/>
      <c r="CO80" s="209"/>
      <c r="CP80" s="209"/>
      <c r="CQ80" s="209"/>
      <c r="CR80" s="209"/>
      <c r="CS80" s="209"/>
      <c r="CT80" s="209"/>
      <c r="CU80" s="209"/>
      <c r="CV80" s="209"/>
      <c r="CW80" s="209"/>
      <c r="CX80" s="209"/>
      <c r="CY80" s="209"/>
      <c r="CZ80" s="209"/>
      <c r="DA80" s="209"/>
      <c r="DB80" s="209"/>
      <c r="DC80" s="209"/>
      <c r="DD80" s="209"/>
      <c r="DE80" s="209"/>
      <c r="DF80" s="209"/>
      <c r="DG80" s="209"/>
      <c r="DH80" s="209"/>
      <c r="DI80" s="209"/>
      <c r="DJ80" s="209"/>
      <c r="DK80" s="209"/>
      <c r="DL80" s="209"/>
      <c r="DM80" s="209"/>
      <c r="DN80" s="209"/>
      <c r="DO80" s="209"/>
      <c r="DP80" s="209"/>
      <c r="DQ80" s="209"/>
      <c r="DR80" s="209"/>
      <c r="DS80" s="209"/>
      <c r="DT80" s="209"/>
      <c r="DU80" s="209"/>
      <c r="DV80" s="209"/>
      <c r="DW80" s="209"/>
      <c r="DX80" s="209"/>
      <c r="DY80" s="209"/>
      <c r="DZ80" s="209"/>
      <c r="EA80" s="209"/>
      <c r="EB80" s="209"/>
      <c r="EC80" s="209"/>
      <c r="ED80" s="209"/>
      <c r="EE80" s="209"/>
      <c r="EF80" s="209"/>
      <c r="EG80" s="209"/>
      <c r="EH80" s="209"/>
      <c r="EI80" s="209"/>
      <c r="EJ80" s="209"/>
      <c r="EK80" s="209"/>
      <c r="EL80" s="209"/>
      <c r="EM80" s="209"/>
      <c r="EN80" s="209"/>
      <c r="EO80" s="209"/>
      <c r="EP80" s="209"/>
      <c r="EQ80" s="209"/>
      <c r="ER80" s="209"/>
      <c r="ES80" s="209"/>
      <c r="ET80" s="209"/>
      <c r="EU80" s="209"/>
      <c r="EV80" s="209"/>
      <c r="EW80" s="209"/>
      <c r="EX80" s="209"/>
      <c r="EY80" s="209"/>
      <c r="EZ80" s="209"/>
      <c r="FA80" s="209"/>
      <c r="FB80" s="209"/>
      <c r="FC80" s="209"/>
      <c r="FD80" s="209"/>
      <c r="FE80" s="209"/>
      <c r="FF80" s="209"/>
      <c r="FG80" s="209"/>
      <c r="FH80" s="209"/>
      <c r="FI80" s="209"/>
      <c r="FJ80" s="209"/>
      <c r="FK80" s="209"/>
      <c r="FL80" s="209"/>
      <c r="FM80" s="209"/>
      <c r="FN80" s="209"/>
      <c r="FO80" s="209"/>
      <c r="FP80" s="209"/>
      <c r="FQ80" s="209"/>
      <c r="FR80" s="209"/>
      <c r="FS80" s="209"/>
      <c r="FT80" s="209"/>
      <c r="FU80" s="209"/>
      <c r="FV80" s="209"/>
      <c r="FW80" s="209"/>
      <c r="FX80" s="209"/>
      <c r="FY80" s="209"/>
      <c r="FZ80" s="209"/>
      <c r="GA80" s="209"/>
      <c r="GB80" s="209"/>
      <c r="GC80" s="209"/>
      <c r="GD80" s="209"/>
      <c r="GE80" s="209"/>
      <c r="GF80" s="209"/>
      <c r="GG80" s="209"/>
      <c r="GH80" s="209"/>
      <c r="GI80" s="209"/>
      <c r="GJ80" s="209"/>
      <c r="GK80" s="209"/>
      <c r="GL80" s="209"/>
      <c r="GM80" s="209"/>
      <c r="GN80" s="209"/>
      <c r="GO80" s="209"/>
      <c r="GP80" s="209"/>
      <c r="GQ80" s="209"/>
      <c r="GR80" s="209"/>
      <c r="GS80" s="209"/>
      <c r="GT80" s="209"/>
      <c r="GU80" s="209"/>
      <c r="GV80" s="209"/>
      <c r="GW80" s="209"/>
      <c r="GX80" s="209"/>
      <c r="GY80" s="209"/>
      <c r="GZ80" s="209"/>
      <c r="HA80" s="209"/>
      <c r="HB80" s="209"/>
      <c r="HC80" s="209"/>
      <c r="HD80" s="209"/>
      <c r="HE80" s="209"/>
      <c r="HF80" s="209"/>
      <c r="HG80" s="209"/>
      <c r="HH80" s="209"/>
      <c r="HI80" s="209"/>
      <c r="HJ80" s="209"/>
      <c r="HK80" s="209"/>
      <c r="HL80" s="209"/>
      <c r="HM80" s="209"/>
      <c r="HN80" s="209"/>
      <c r="HO80" s="209"/>
      <c r="HP80" s="209"/>
      <c r="HQ80" s="209"/>
      <c r="HR80" s="209"/>
      <c r="HS80" s="209"/>
      <c r="HT80" s="209"/>
      <c r="HU80" s="209"/>
      <c r="HV80" s="209"/>
      <c r="HW80" s="209"/>
      <c r="HX80" s="209"/>
      <c r="HY80" s="209"/>
      <c r="HZ80" s="209"/>
      <c r="IA80" s="209"/>
      <c r="IB80" s="209"/>
      <c r="IC80" s="209"/>
      <c r="ID80" s="209"/>
      <c r="IE80" s="209"/>
      <c r="IF80" s="209"/>
      <c r="IG80" s="209"/>
      <c r="IH80" s="209"/>
      <c r="II80" s="209"/>
      <c r="IJ80" s="209"/>
      <c r="IK80" s="209"/>
      <c r="IL80" s="209"/>
      <c r="IM80" s="209"/>
      <c r="IN80" s="209"/>
      <c r="IO80" s="209"/>
      <c r="IP80" s="209"/>
      <c r="IQ80" s="209"/>
      <c r="IR80" s="209"/>
      <c r="IS80" s="209"/>
      <c r="IT80" s="209"/>
      <c r="IU80" s="209"/>
      <c r="IV80" s="209"/>
      <c r="IW80" s="209"/>
    </row>
    <row r="81" s="209" customFormat="true" ht="17.4" hidden="false" customHeight="false" outlineLevel="0" collapsed="false">
      <c r="A81" s="99"/>
      <c r="B81" s="31"/>
      <c r="C81" s="30"/>
      <c r="D81" s="85" t="s">
        <v>134</v>
      </c>
      <c r="E81" s="217" t="n">
        <f aca="false">IF(AND($F$2="No",$F$3="No"),SUM(J81:K81)*'Input data plant-based products'!O$123,IF(AND($F$2="Yes", $F$3="No"), (SUM(J81:K81)+Q81)*'Input data plant-based products'!O$123, IF(AND($F$2="No", $F$3="Yes"),(SUM(J81:K81)+P81)*'Input data plant-based products'!O$123, (SUM(J81:K81)+Q81+P81)*'Input data plant-based products'!O$123)))</f>
        <v>0.171049483076392</v>
      </c>
      <c r="F81" s="89" t="n">
        <f aca="false">IF(AND($F$2="No",$F$3="No"),SUM(H81:O81)*'Input data plant-based products'!O$123,IF(AND($F$2="Yes", $F$3="No"), (SUM(H81:O81)+Q81)*'Input data plant-based products'!O$123, IF(AND($F$2="No", $F$3="Yes"),(SUM(H81:O81)+P81)*'Input data plant-based products'!O$123, (SUM(H81:O81)+Q81+P81)*'Input data plant-based products'!O$123)))</f>
        <v>0.525050116896541</v>
      </c>
      <c r="G81" s="88" t="n">
        <f aca="false">SUM(S81:U81)/(1-'Common input data'!$B$124)</f>
        <v>1.30574444204103</v>
      </c>
      <c r="H81" s="89" t="n">
        <f aca="false">('Input data plant-based products'!$F$19*('Common input data'!$B$76*'Common input data'!B69+'Common input data'!$B$77*'Common input data'!C69))/'Input data plant-based products'!$E$19</f>
        <v>0.133277328478624</v>
      </c>
      <c r="I81" s="89" t="n">
        <f aca="false">'Common input data'!$B$81</f>
        <v>0.03</v>
      </c>
      <c r="J81" s="89" t="n">
        <v>0</v>
      </c>
      <c r="K81" s="89" t="n">
        <v>0</v>
      </c>
      <c r="L81" s="89" t="n">
        <f aca="false">('Input data plant-based products'!$I$19*'Common input data'!$C$59*'Common input data'!H49)/'Input data plant-based products'!$E$19</f>
        <v>0.0895056842105263</v>
      </c>
      <c r="M81" s="89" t="n">
        <v>0</v>
      </c>
      <c r="N81" s="89" t="n">
        <f aca="false">'Input data plant-based products'!G$152</f>
        <v>0.02</v>
      </c>
      <c r="O81" s="89" t="n">
        <f aca="false">'Input data plant-based products'!$B$123*'Common input data'!$B$59*'Common input data'!B49+'Input data plant-based products'!C$123*'Common input data'!B63</f>
        <v>0.05787692</v>
      </c>
      <c r="P81" s="89" t="n">
        <f aca="false">'Common input data'!D$13</f>
        <v>0.159771495181245</v>
      </c>
      <c r="Q81" s="89" t="n">
        <v>0</v>
      </c>
      <c r="R81" s="89" t="n">
        <f aca="false">'Input data plant-based products'!G$123*3.6*'Common input data'!C49+'Input data plant-based products'!H$123*3.6*'Common input data'!G49</f>
        <v>0.01334772</v>
      </c>
      <c r="S81" s="89" t="n">
        <f aca="false">(F81+R81)*'Input data plant-based products'!B$130*'Common input data'!D$26</f>
        <v>0.885772121262189</v>
      </c>
      <c r="T81" s="89" t="n">
        <f aca="false">'Common input data'!B$87</f>
        <v>0.3</v>
      </c>
      <c r="U81" s="89" t="n">
        <f aca="false">'Common input data'!C$98</f>
        <v>0.03</v>
      </c>
      <c r="V81" s="309"/>
      <c r="W81" s="92"/>
      <c r="Z81" s="30"/>
    </row>
    <row r="82" s="209" customFormat="true" ht="17.4" hidden="false" customHeight="false" outlineLevel="0" collapsed="false">
      <c r="A82" s="74"/>
      <c r="B82" s="31"/>
      <c r="C82" s="93"/>
      <c r="D82" s="85" t="s">
        <v>135</v>
      </c>
      <c r="E82" s="217" t="n">
        <f aca="false">SUM(J82:K82)*'Input data plant-based products'!O$123</f>
        <v>0</v>
      </c>
      <c r="F82" s="89" t="n">
        <f aca="false">SUM(H82:O82)*'Input data plant-based products'!O$123</f>
        <v>6.52807843543957E-005</v>
      </c>
      <c r="G82" s="88" t="n">
        <f aca="false">SUM(S82:U82)/(1-'Common input data'!$B$124)</f>
        <v>0.00021939785580188</v>
      </c>
      <c r="H82" s="89" t="n">
        <f aca="false">('Input data plant-based products'!$F$19*('Common input data'!$B$76*'Common input data'!B70+'Common input data'!$B$77*'Common input data'!C70))/'Input data plant-based products'!$E$19</f>
        <v>3.56814545454546E-010</v>
      </c>
      <c r="I82" s="89" t="n">
        <v>0</v>
      </c>
      <c r="J82" s="89" t="n">
        <v>0</v>
      </c>
      <c r="K82" s="89" t="n">
        <v>0</v>
      </c>
      <c r="L82" s="89" t="n">
        <f aca="false">('Input data plant-based products'!$I$19*'Common input data'!$C$59*'Common input data'!H50)/'Input data plant-based products'!$E$19</f>
        <v>3.9648E-005</v>
      </c>
      <c r="M82" s="89" t="n">
        <v>0</v>
      </c>
      <c r="N82" s="89" t="n">
        <v>0</v>
      </c>
      <c r="O82" s="89" t="n">
        <f aca="false">'Input data plant-based products'!$B$123*'Common input data'!$B$59*'Common input data'!B50</f>
        <v>2.13282E-005</v>
      </c>
      <c r="P82" s="89" t="n">
        <v>0</v>
      </c>
      <c r="Q82" s="89" t="n">
        <v>0</v>
      </c>
      <c r="R82" s="89" t="n">
        <f aca="false">'Input data plant-based products'!G$123*3.6*'Common input data'!C50+'Input data plant-based products'!H$123*3.6*'Common input data'!G50</f>
        <v>5.888664E-005</v>
      </c>
      <c r="S82" s="89" t="n">
        <f aca="false">(F82+R82)*'Input data plant-based products'!B$130*'Common input data'!D$26</f>
        <v>0.000204280246547852</v>
      </c>
      <c r="T82" s="89" t="n">
        <v>0</v>
      </c>
      <c r="U82" s="89" t="n">
        <v>0</v>
      </c>
      <c r="V82" s="309"/>
      <c r="W82" s="92"/>
      <c r="Z82" s="30"/>
    </row>
    <row r="83" s="209" customFormat="true" ht="17.4" hidden="false" customHeight="false" outlineLevel="0" collapsed="false">
      <c r="A83" s="100"/>
      <c r="B83" s="101"/>
      <c r="C83" s="87"/>
      <c r="D83" s="31" t="s">
        <v>136</v>
      </c>
      <c r="E83" s="217" t="n">
        <f aca="false">SUM(J83:K83)*'Input data plant-based products'!O$123</f>
        <v>0.00212475704424619</v>
      </c>
      <c r="F83" s="89" t="n">
        <f aca="false">SUM(H83:O83)*'Input data plant-based products'!O$123</f>
        <v>0.00270900469310266</v>
      </c>
      <c r="G83" s="88" t="n">
        <f aca="false">SUM(S83:U83)/(1-'Common input data'!$B$124)</f>
        <v>0.00479282945424355</v>
      </c>
      <c r="H83" s="89" t="n">
        <f aca="false">('Input data plant-based products'!$F$19*('Common input data'!$B$76*'Common input data'!B71+'Common input data'!$B$77*'Common input data'!C71))/'Input data plant-based products'!$E$19</f>
        <v>0.000541332511023365</v>
      </c>
      <c r="I83" s="89" t="n">
        <v>0</v>
      </c>
      <c r="J83" s="89" t="n">
        <f aca="false">(SUM('Input data plant-based products'!F19:H19)*'Input data plant-based products'!$B$114*44/28)/'Input data plant-based products'!E19</f>
        <v>0.0018042392483609</v>
      </c>
      <c r="K83" s="89" t="n">
        <f aca="false">J83*'Input data plant-based products'!$B$115</f>
        <v>0.00018042392483609</v>
      </c>
      <c r="L83" s="89" t="n">
        <f aca="false">('Input data plant-based products'!$I$19*'Common input data'!$C$59*'Common input data'!H51)/'Input data plant-based products'!$E$19</f>
        <v>2.40505263157895E-006</v>
      </c>
      <c r="M83" s="89" t="n">
        <v>0</v>
      </c>
      <c r="N83" s="89" t="n">
        <v>0</v>
      </c>
      <c r="O83" s="89" t="n">
        <f aca="false">'Input data plant-based products'!$B$123*'Common input data'!$B$59*'Common input data'!B51</f>
        <v>1.9882622E-006</v>
      </c>
      <c r="P83" s="89" t="n">
        <v>0</v>
      </c>
      <c r="Q83" s="89" t="n">
        <v>0</v>
      </c>
      <c r="R83" s="89" t="n">
        <f aca="false">'Input data plant-based products'!G$123*3.6*'Common input data'!C51+'Input data plant-based products'!H$123*3.6*'Common input data'!G51</f>
        <v>3.479832E-006</v>
      </c>
      <c r="S83" s="89" t="n">
        <f aca="false">(F83+R83)*'Input data plant-based products'!B$130*'Common input data'!D$26</f>
        <v>0.0044625795406989</v>
      </c>
      <c r="T83" s="89" t="n">
        <v>0</v>
      </c>
      <c r="U83" s="89" t="n">
        <v>0</v>
      </c>
      <c r="V83" s="309"/>
      <c r="W83" s="92"/>
      <c r="Z83" s="30"/>
    </row>
    <row r="84" s="329" customFormat="true" ht="17.4" hidden="false" customHeight="false" outlineLevel="0" collapsed="false">
      <c r="A84" s="319" t="s">
        <v>280</v>
      </c>
      <c r="B84" s="320"/>
      <c r="C84" s="321"/>
      <c r="D84" s="322"/>
      <c r="E84" s="323"/>
      <c r="F84" s="324"/>
      <c r="G84" s="325"/>
      <c r="H84" s="321"/>
      <c r="I84" s="321"/>
      <c r="J84" s="321"/>
      <c r="K84" s="326"/>
      <c r="L84" s="326"/>
      <c r="M84" s="327"/>
      <c r="N84" s="326"/>
      <c r="O84" s="326"/>
      <c r="P84" s="326"/>
      <c r="Q84" s="326"/>
      <c r="R84" s="326"/>
      <c r="S84" s="326"/>
      <c r="T84" s="326"/>
      <c r="U84" s="326"/>
      <c r="V84" s="309"/>
      <c r="W84" s="92"/>
      <c r="X84" s="209"/>
      <c r="Y84" s="209"/>
      <c r="Z84" s="30"/>
      <c r="AA84" s="209"/>
      <c r="AB84" s="209"/>
      <c r="AC84" s="209"/>
      <c r="AD84" s="209"/>
      <c r="AE84" s="209"/>
      <c r="AF84" s="209"/>
      <c r="AG84" s="209"/>
      <c r="AH84" s="209"/>
      <c r="AI84" s="209"/>
      <c r="AJ84" s="209"/>
      <c r="AK84" s="209"/>
      <c r="AL84" s="209"/>
      <c r="AM84" s="209"/>
      <c r="AN84" s="209"/>
      <c r="AO84" s="209"/>
      <c r="AP84" s="209"/>
      <c r="AQ84" s="209"/>
      <c r="AR84" s="209"/>
      <c r="AS84" s="209"/>
      <c r="AT84" s="209"/>
      <c r="AU84" s="209"/>
      <c r="AV84" s="209"/>
      <c r="AW84" s="209"/>
      <c r="AX84" s="209"/>
      <c r="AY84" s="209"/>
      <c r="AZ84" s="209"/>
      <c r="BA84" s="209"/>
      <c r="BB84" s="209"/>
      <c r="BC84" s="209"/>
      <c r="BD84" s="209"/>
      <c r="BE84" s="209"/>
      <c r="BF84" s="209"/>
      <c r="BG84" s="209"/>
      <c r="BH84" s="209"/>
      <c r="BI84" s="209"/>
      <c r="BJ84" s="209"/>
      <c r="BK84" s="209"/>
      <c r="BL84" s="209"/>
      <c r="BM84" s="209"/>
      <c r="BN84" s="209"/>
      <c r="BO84" s="209"/>
      <c r="BP84" s="209"/>
      <c r="BQ84" s="209"/>
      <c r="BR84" s="209"/>
      <c r="BS84" s="209"/>
      <c r="BT84" s="209"/>
      <c r="BU84" s="209"/>
      <c r="BV84" s="209"/>
      <c r="BW84" s="209"/>
      <c r="BX84" s="209"/>
      <c r="BY84" s="209"/>
      <c r="BZ84" s="209"/>
      <c r="CA84" s="209"/>
      <c r="CB84" s="209"/>
      <c r="CC84" s="209"/>
      <c r="CD84" s="209"/>
      <c r="CE84" s="209"/>
      <c r="CF84" s="209"/>
      <c r="CG84" s="209"/>
      <c r="CH84" s="209"/>
      <c r="CI84" s="209"/>
      <c r="CJ84" s="209"/>
      <c r="CK84" s="209"/>
      <c r="CL84" s="209"/>
      <c r="CM84" s="209"/>
      <c r="CN84" s="209"/>
      <c r="CO84" s="209"/>
      <c r="CP84" s="209"/>
      <c r="CQ84" s="209"/>
      <c r="CR84" s="209"/>
      <c r="CS84" s="209"/>
      <c r="CT84" s="209"/>
      <c r="CU84" s="209"/>
      <c r="CV84" s="209"/>
      <c r="CW84" s="209"/>
      <c r="CX84" s="209"/>
      <c r="CY84" s="209"/>
      <c r="CZ84" s="209"/>
      <c r="DA84" s="209"/>
      <c r="DB84" s="209"/>
      <c r="DC84" s="209"/>
      <c r="DD84" s="209"/>
      <c r="DE84" s="209"/>
      <c r="DF84" s="209"/>
      <c r="DG84" s="209"/>
      <c r="DH84" s="209"/>
      <c r="DI84" s="209"/>
      <c r="DJ84" s="209"/>
      <c r="DK84" s="209"/>
      <c r="DL84" s="209"/>
      <c r="DM84" s="209"/>
      <c r="DN84" s="209"/>
      <c r="DO84" s="209"/>
      <c r="DP84" s="209"/>
      <c r="DQ84" s="209"/>
      <c r="DR84" s="209"/>
      <c r="DS84" s="209"/>
      <c r="DT84" s="209"/>
      <c r="DU84" s="209"/>
      <c r="DV84" s="209"/>
      <c r="DW84" s="209"/>
      <c r="DX84" s="209"/>
      <c r="DY84" s="209"/>
      <c r="DZ84" s="209"/>
      <c r="EA84" s="209"/>
      <c r="EB84" s="209"/>
      <c r="EC84" s="209"/>
      <c r="ED84" s="209"/>
      <c r="EE84" s="209"/>
      <c r="EF84" s="209"/>
      <c r="EG84" s="209"/>
      <c r="EH84" s="209"/>
      <c r="EI84" s="209"/>
      <c r="EJ84" s="209"/>
      <c r="EK84" s="209"/>
      <c r="EL84" s="209"/>
      <c r="EM84" s="209"/>
      <c r="EN84" s="209"/>
      <c r="EO84" s="209"/>
      <c r="EP84" s="209"/>
      <c r="EQ84" s="209"/>
      <c r="ER84" s="209"/>
      <c r="ES84" s="209"/>
      <c r="ET84" s="209"/>
      <c r="EU84" s="209"/>
      <c r="EV84" s="209"/>
      <c r="EW84" s="209"/>
      <c r="EX84" s="209"/>
      <c r="EY84" s="209"/>
      <c r="EZ84" s="209"/>
      <c r="FA84" s="209"/>
      <c r="FB84" s="209"/>
      <c r="FC84" s="209"/>
      <c r="FD84" s="209"/>
      <c r="FE84" s="209"/>
      <c r="FF84" s="209"/>
      <c r="FG84" s="209"/>
      <c r="FH84" s="209"/>
      <c r="FI84" s="209"/>
      <c r="FJ84" s="209"/>
      <c r="FK84" s="209"/>
      <c r="FL84" s="209"/>
      <c r="FM84" s="209"/>
      <c r="FN84" s="209"/>
      <c r="FO84" s="209"/>
      <c r="FP84" s="209"/>
      <c r="FQ84" s="209"/>
      <c r="FR84" s="209"/>
      <c r="FS84" s="209"/>
      <c r="FT84" s="209"/>
      <c r="FU84" s="209"/>
      <c r="FV84" s="209"/>
      <c r="FW84" s="209"/>
      <c r="FX84" s="209"/>
      <c r="FY84" s="209"/>
      <c r="FZ84" s="209"/>
      <c r="GA84" s="209"/>
      <c r="GB84" s="209"/>
      <c r="GC84" s="209"/>
      <c r="GD84" s="209"/>
      <c r="GE84" s="209"/>
      <c r="GF84" s="209"/>
      <c r="GG84" s="209"/>
      <c r="GH84" s="209"/>
      <c r="GI84" s="209"/>
      <c r="GJ84" s="209"/>
      <c r="GK84" s="209"/>
      <c r="GL84" s="209"/>
      <c r="GM84" s="209"/>
      <c r="GN84" s="209"/>
      <c r="GO84" s="209"/>
      <c r="GP84" s="209"/>
      <c r="GQ84" s="209"/>
      <c r="GR84" s="209"/>
      <c r="GS84" s="209"/>
      <c r="GT84" s="209"/>
      <c r="GU84" s="209"/>
      <c r="GV84" s="209"/>
      <c r="GW84" s="209"/>
      <c r="GX84" s="209"/>
      <c r="GY84" s="209"/>
      <c r="GZ84" s="209"/>
      <c r="HA84" s="209"/>
      <c r="HB84" s="209"/>
      <c r="HC84" s="209"/>
      <c r="HD84" s="209"/>
      <c r="HE84" s="209"/>
      <c r="HF84" s="209"/>
      <c r="HG84" s="209"/>
      <c r="HH84" s="209"/>
      <c r="HI84" s="209"/>
      <c r="HJ84" s="209"/>
      <c r="HK84" s="209"/>
      <c r="HL84" s="209"/>
      <c r="HM84" s="209"/>
      <c r="HN84" s="209"/>
      <c r="HO84" s="209"/>
      <c r="HP84" s="209"/>
      <c r="HQ84" s="209"/>
      <c r="HR84" s="209"/>
      <c r="HS84" s="209"/>
      <c r="HT84" s="209"/>
      <c r="HU84" s="209"/>
      <c r="HV84" s="209"/>
      <c r="HW84" s="209"/>
      <c r="HX84" s="209"/>
      <c r="HY84" s="209"/>
      <c r="HZ84" s="209"/>
      <c r="IA84" s="209"/>
      <c r="IB84" s="209"/>
      <c r="IC84" s="209"/>
      <c r="ID84" s="209"/>
      <c r="IE84" s="209"/>
      <c r="IF84" s="209"/>
      <c r="IG84" s="209"/>
      <c r="IH84" s="209"/>
      <c r="II84" s="209"/>
      <c r="IJ84" s="209"/>
      <c r="IK84" s="209"/>
      <c r="IL84" s="209"/>
      <c r="IM84" s="209"/>
      <c r="IN84" s="209"/>
      <c r="IO84" s="209"/>
      <c r="IP84" s="209"/>
      <c r="IQ84" s="209"/>
      <c r="IR84" s="209"/>
      <c r="IS84" s="209"/>
      <c r="IT84" s="209"/>
      <c r="IU84" s="209"/>
      <c r="IV84" s="209"/>
      <c r="IW84" s="209"/>
      <c r="IX84" s="209"/>
    </row>
    <row r="85" s="332" customFormat="true" ht="17.4" hidden="false" customHeight="false" outlineLevel="0" collapsed="false">
      <c r="A85" s="330" t="s">
        <v>141</v>
      </c>
      <c r="B85" s="76" t="s">
        <v>254</v>
      </c>
      <c r="C85" s="97" t="n">
        <f aca="false">'Input data plant-based products'!D20</f>
        <v>0.0294675392286227</v>
      </c>
      <c r="D85" s="78" t="s">
        <v>133</v>
      </c>
      <c r="E85" s="94" t="n">
        <f aca="false">IF($F$1="GWP100 without fb",E86+E87*'Common input data'!$C$5+E88*'Common input data'!$D$5,IF($F$1="GWP100 with fb",E86+E87*'Common input data'!$C$6+E88*'Common input data'!$D$6,IF($F$1="GTP100 without fb",E86+E87*'Common input data'!$C$7+E88*'Common input data'!$D$7,IF($F$1="GTP100 with fb",E86+E87*'Common input data'!$C$8+E88*'Common input data'!$D$8,E86+E87*'Common input data'!$C$9+E88*'Common input data'!$D$9))))</f>
        <v>0.488878285231587</v>
      </c>
      <c r="F85" s="95" t="n">
        <f aca="false">IF($F$1="GWP100 without fb",F86+F87*'Common input data'!$C$5+F88*'Common input data'!$D$5,IF($F$1="GWP100 with fb",F86+F87*'Common input data'!$C$6+F88*'Common input data'!$D$6,IF($F$1="GTP100 without fb",F86+F87*'Common input data'!$C$7+F88*'Common input data'!$D$7,IF($F$1="GTP100 with fb",F86+F87*'Common input data'!$C$8+F88*'Common input data'!$D$8,F86+F87*'Common input data'!$C$9+F88*'Common input data'!$D$9))))</f>
        <v>1.03832147378736</v>
      </c>
      <c r="G85" s="96" t="n">
        <f aca="false">IF($F$1="GWP100 without fb",G86+G87*'Common input data'!$C$5+G88*'Common input data'!$D$5,IF($F$1="GWP100 with fb",G86+G87*'Common input data'!$C$6+G88*'Common input data'!$D$6,IF($F$1="GTP100 without fb",G86+G87*'Common input data'!$C$7+G88*'Common input data'!$D$7,IF($F$1="GTP100 with fb",G86+G87*'Common input data'!$C$8+G88*'Common input data'!$D$8,G86+G87*'Common input data'!$C$9+G88*'Common input data'!$D$9))))</f>
        <v>2.43284105667631</v>
      </c>
      <c r="H85" s="83"/>
      <c r="I85" s="83"/>
      <c r="J85" s="83"/>
      <c r="K85" s="83"/>
      <c r="L85" s="83"/>
      <c r="M85" s="83"/>
      <c r="N85" s="83"/>
      <c r="O85" s="83"/>
      <c r="P85" s="83"/>
      <c r="Q85" s="83"/>
      <c r="R85" s="83"/>
      <c r="S85" s="83"/>
      <c r="T85" s="83"/>
      <c r="U85" s="83"/>
      <c r="V85" s="309"/>
      <c r="W85" s="92"/>
      <c r="X85" s="209"/>
      <c r="Y85" s="209"/>
      <c r="Z85" s="30"/>
      <c r="AA85" s="209"/>
      <c r="AB85" s="209"/>
      <c r="AC85" s="209"/>
      <c r="AD85" s="209"/>
      <c r="AE85" s="209"/>
      <c r="AF85" s="209"/>
      <c r="AG85" s="209"/>
      <c r="AH85" s="209"/>
      <c r="AI85" s="209"/>
      <c r="AJ85" s="209"/>
      <c r="AK85" s="209"/>
      <c r="AL85" s="209"/>
      <c r="AM85" s="209"/>
      <c r="AN85" s="209"/>
      <c r="AO85" s="209"/>
      <c r="AP85" s="209"/>
      <c r="AQ85" s="209"/>
      <c r="AR85" s="209"/>
      <c r="AS85" s="209"/>
      <c r="AT85" s="209"/>
      <c r="AU85" s="209"/>
      <c r="AV85" s="209"/>
      <c r="AW85" s="209"/>
      <c r="AX85" s="209"/>
      <c r="AY85" s="209"/>
      <c r="AZ85" s="209"/>
      <c r="BA85" s="209"/>
      <c r="BB85" s="209"/>
      <c r="BC85" s="209"/>
      <c r="BD85" s="209"/>
      <c r="BE85" s="209"/>
      <c r="BF85" s="209"/>
      <c r="BG85" s="209"/>
      <c r="BH85" s="209"/>
      <c r="BI85" s="209"/>
      <c r="BJ85" s="209"/>
      <c r="BK85" s="209"/>
      <c r="BL85" s="209"/>
      <c r="BM85" s="209"/>
      <c r="BN85" s="209"/>
      <c r="BO85" s="209"/>
      <c r="BP85" s="209"/>
      <c r="BQ85" s="209"/>
      <c r="BR85" s="209"/>
      <c r="BS85" s="209"/>
      <c r="BT85" s="209"/>
      <c r="BU85" s="209"/>
      <c r="BV85" s="209"/>
      <c r="BW85" s="209"/>
      <c r="BX85" s="209"/>
      <c r="BY85" s="209"/>
      <c r="BZ85" s="209"/>
      <c r="CA85" s="209"/>
      <c r="CB85" s="209"/>
      <c r="CC85" s="209"/>
      <c r="CD85" s="209"/>
      <c r="CE85" s="209"/>
      <c r="CF85" s="209"/>
      <c r="CG85" s="209"/>
      <c r="CH85" s="209"/>
      <c r="CI85" s="209"/>
      <c r="CJ85" s="209"/>
      <c r="CK85" s="209"/>
      <c r="CL85" s="209"/>
      <c r="CM85" s="209"/>
      <c r="CN85" s="209"/>
      <c r="CO85" s="209"/>
      <c r="CP85" s="209"/>
      <c r="CQ85" s="209"/>
      <c r="CR85" s="209"/>
      <c r="CS85" s="209"/>
      <c r="CT85" s="209"/>
      <c r="CU85" s="209"/>
      <c r="CV85" s="209"/>
      <c r="CW85" s="209"/>
      <c r="CX85" s="209"/>
      <c r="CY85" s="209"/>
      <c r="CZ85" s="209"/>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09"/>
      <c r="EC85" s="209"/>
      <c r="ED85" s="209"/>
      <c r="EE85" s="209"/>
      <c r="EF85" s="209"/>
      <c r="EG85" s="209"/>
      <c r="EH85" s="209"/>
      <c r="EI85" s="209"/>
      <c r="EJ85" s="209"/>
      <c r="EK85" s="209"/>
      <c r="EL85" s="209"/>
      <c r="EM85" s="209"/>
      <c r="EN85" s="209"/>
      <c r="EO85" s="209"/>
      <c r="EP85" s="209"/>
      <c r="EQ85" s="209"/>
      <c r="ER85" s="209"/>
      <c r="ES85" s="209"/>
      <c r="ET85" s="209"/>
      <c r="EU85" s="209"/>
      <c r="EV85" s="209"/>
      <c r="EW85" s="209"/>
      <c r="EX85" s="209"/>
      <c r="EY85" s="209"/>
      <c r="EZ85" s="209"/>
      <c r="FA85" s="209"/>
      <c r="FB85" s="209"/>
      <c r="FC85" s="209"/>
      <c r="FD85" s="209"/>
      <c r="FE85" s="209"/>
      <c r="FF85" s="209"/>
      <c r="FG85" s="209"/>
      <c r="FH85" s="209"/>
      <c r="FI85" s="209"/>
      <c r="FJ85" s="209"/>
      <c r="FK85" s="209"/>
      <c r="FL85" s="209"/>
      <c r="FM85" s="209"/>
      <c r="FN85" s="209"/>
      <c r="FO85" s="209"/>
      <c r="FP85" s="209"/>
      <c r="FQ85" s="209"/>
      <c r="FR85" s="209"/>
      <c r="FS85" s="209"/>
      <c r="FT85" s="209"/>
      <c r="FU85" s="209"/>
      <c r="FV85" s="209"/>
      <c r="FW85" s="209"/>
      <c r="FX85" s="209"/>
      <c r="FY85" s="209"/>
      <c r="FZ85" s="209"/>
      <c r="GA85" s="209"/>
      <c r="GB85" s="209"/>
      <c r="GC85" s="209"/>
      <c r="GD85" s="209"/>
      <c r="GE85" s="209"/>
      <c r="GF85" s="209"/>
      <c r="GG85" s="209"/>
      <c r="GH85" s="209"/>
      <c r="GI85" s="209"/>
      <c r="GJ85" s="209"/>
      <c r="GK85" s="209"/>
      <c r="GL85" s="209"/>
      <c r="GM85" s="209"/>
      <c r="GN85" s="209"/>
      <c r="GO85" s="209"/>
      <c r="GP85" s="209"/>
      <c r="GQ85" s="209"/>
      <c r="GR85" s="209"/>
      <c r="GS85" s="209"/>
      <c r="GT85" s="209"/>
      <c r="GU85" s="209"/>
      <c r="GV85" s="209"/>
      <c r="GW85" s="209"/>
      <c r="GX85" s="209"/>
      <c r="GY85" s="209"/>
      <c r="GZ85" s="209"/>
      <c r="HA85" s="209"/>
      <c r="HB85" s="209"/>
      <c r="HC85" s="209"/>
      <c r="HD85" s="209"/>
      <c r="HE85" s="209"/>
      <c r="HF85" s="209"/>
      <c r="HG85" s="209"/>
      <c r="HH85" s="209"/>
      <c r="HI85" s="209"/>
      <c r="HJ85" s="209"/>
      <c r="HK85" s="209"/>
      <c r="HL85" s="209"/>
      <c r="HM85" s="209"/>
      <c r="HN85" s="209"/>
      <c r="HO85" s="209"/>
      <c r="HP85" s="209"/>
      <c r="HQ85" s="209"/>
      <c r="HR85" s="209"/>
      <c r="HS85" s="209"/>
      <c r="HT85" s="209"/>
      <c r="HU85" s="209"/>
      <c r="HV85" s="209"/>
      <c r="HW85" s="209"/>
      <c r="HX85" s="209"/>
      <c r="HY85" s="209"/>
      <c r="HZ85" s="209"/>
      <c r="IA85" s="209"/>
      <c r="IB85" s="209"/>
      <c r="IC85" s="209"/>
      <c r="ID85" s="209"/>
      <c r="IE85" s="209"/>
      <c r="IF85" s="209"/>
      <c r="IG85" s="209"/>
      <c r="IH85" s="209"/>
      <c r="II85" s="209"/>
      <c r="IJ85" s="209"/>
      <c r="IK85" s="209"/>
      <c r="IL85" s="209"/>
      <c r="IM85" s="209"/>
      <c r="IN85" s="209"/>
      <c r="IO85" s="209"/>
      <c r="IP85" s="209"/>
      <c r="IQ85" s="209"/>
      <c r="IR85" s="209"/>
      <c r="IS85" s="209"/>
      <c r="IT85" s="209"/>
      <c r="IU85" s="209"/>
      <c r="IV85" s="209"/>
      <c r="IW85" s="209"/>
    </row>
    <row r="86" s="209" customFormat="true" ht="17.4" hidden="false" customHeight="false" outlineLevel="0" collapsed="false">
      <c r="A86" s="99"/>
      <c r="B86" s="31"/>
      <c r="C86" s="30"/>
      <c r="D86" s="85" t="s">
        <v>134</v>
      </c>
      <c r="E86" s="217" t="n">
        <f aca="false">IF(AND($F$2="No",$F$3="No"),SUM(J86:K86)*'Input data plant-based products'!O$123,IF(AND($F$2="Yes", $F$3="No"), (SUM(J86:K86)+Q86)*'Input data plant-based products'!O$123, IF(AND($F$2="No", $F$3="Yes"),(SUM(J86:K86)+P86)*'Input data plant-based products'!O$123, (SUM(J86:K86)+Q86+P86)*'Input data plant-based products'!O$123)))</f>
        <v>0.171049483076392</v>
      </c>
      <c r="F86" s="89" t="n">
        <f aca="false">IF(AND($F$2="No",$F$3="No"),SUM(H86:O86)*'Input data plant-based products'!O$123,IF(AND($F$2="Yes", $F$3="No"), (SUM(H86:O86)+Q86)*'Input data plant-based products'!O$123, IF(AND($F$2="No", $F$3="Yes"),(SUM(H86:O86)+P86)*'Input data plant-based products'!O$123, (SUM(H86:O86)+Q86+P86)*'Input data plant-based products'!O$123)))</f>
        <v>0.496751482731686</v>
      </c>
      <c r="G86" s="88" t="n">
        <f aca="false">SUM(S86:U86)/(1-'Common input data'!$B$124)</f>
        <v>1.4705429718065</v>
      </c>
      <c r="H86" s="87" t="n">
        <f aca="false">('Input data plant-based products'!$F$20*('Common input data'!$C$76*'Common input data'!B69+'Common input data'!$C$77*'Common input data'!C69))/'Input data plant-based products'!$E$20</f>
        <v>0.126644004353347</v>
      </c>
      <c r="I86" s="89" t="n">
        <f aca="false">'Common input data'!$B$81</f>
        <v>0.03</v>
      </c>
      <c r="J86" s="87" t="n">
        <v>0</v>
      </c>
      <c r="K86" s="89" t="n">
        <v>0</v>
      </c>
      <c r="L86" s="87" t="n">
        <f aca="false">('Input data plant-based products'!$I$20*'Common input data'!$C$59*'Common input data'!H49)/'Input data plant-based products'!$E$20</f>
        <v>0.0661818181818182</v>
      </c>
      <c r="M86" s="89" t="n">
        <v>0</v>
      </c>
      <c r="N86" s="89" t="n">
        <f aca="false">'Input data plant-based products'!G$152</f>
        <v>0.02</v>
      </c>
      <c r="O86" s="89" t="n">
        <f aca="false">'Input data plant-based products'!$B$123*'Common input data'!$B$59*'Common input data'!B49+'Input data plant-based products'!C$123*'Common input data'!C63</f>
        <v>0.06140132</v>
      </c>
      <c r="P86" s="89" t="n">
        <f aca="false">'Common input data'!D$13</f>
        <v>0.159771495181245</v>
      </c>
      <c r="Q86" s="89" t="n">
        <v>0</v>
      </c>
      <c r="R86" s="89" t="n">
        <f aca="false">'Input data plant-based products'!G$123*3.6*'Common input data'!C49+'Input data plant-based products'!H$123*3.6*'Common input data'!G49</f>
        <v>0.01334772</v>
      </c>
      <c r="S86" s="89" t="n">
        <f aca="false">(F86+R86)*'Input data plant-based products'!B$130*'Common input data'!D$26</f>
        <v>0.83921520833417</v>
      </c>
      <c r="T86" s="89" t="n">
        <f aca="false">'Common input data'!B$87</f>
        <v>0.3</v>
      </c>
      <c r="U86" s="89" t="n">
        <f aca="false">'Common input data'!B102+'Common input data'!C102</f>
        <v>0.23</v>
      </c>
      <c r="V86" s="309"/>
      <c r="W86" s="92"/>
      <c r="Z86" s="30"/>
    </row>
    <row r="87" s="209" customFormat="true" ht="17.4" hidden="false" customHeight="false" outlineLevel="0" collapsed="false">
      <c r="A87" s="74"/>
      <c r="B87" s="31"/>
      <c r="C87" s="93"/>
      <c r="D87" s="85" t="s">
        <v>135</v>
      </c>
      <c r="E87" s="217" t="n">
        <f aca="false">SUM(J87:K87)*'Input data plant-based products'!O$123</f>
        <v>0</v>
      </c>
      <c r="F87" s="89" t="n">
        <f aca="false">SUM(H87:O87)*'Input data plant-based products'!O$123</f>
        <v>5.42200184890994E-005</v>
      </c>
      <c r="G87" s="88" t="n">
        <f aca="false">SUM(S87:U87)/(1-'Common input data'!$B$124)</f>
        <v>0.000199854015483132</v>
      </c>
      <c r="H87" s="87" t="n">
        <f aca="false">('Input data plant-based products'!$F$20*('Common input data'!$C$76*'Common input data'!B70+'Common input data'!$C$77*'Common input data'!C70))/'Input data plant-based products'!$E$20</f>
        <v>5.58391929716816E-010</v>
      </c>
      <c r="I87" s="89" t="n">
        <v>0</v>
      </c>
      <c r="J87" s="87" t="n">
        <v>0</v>
      </c>
      <c r="K87" s="89" t="n">
        <v>0</v>
      </c>
      <c r="L87" s="87" t="n">
        <f aca="false">('Input data plant-based products'!$I$20*'Common input data'!$C$59*'Common input data'!H50)/'Input data plant-based products'!$E$20</f>
        <v>2.93163138231631E-005</v>
      </c>
      <c r="M87" s="89" t="n">
        <v>0</v>
      </c>
      <c r="N87" s="89" t="n">
        <v>0</v>
      </c>
      <c r="O87" s="89" t="n">
        <f aca="false">'Input data plant-based products'!$B$123*'Common input data'!$B$59*'Common input data'!B50</f>
        <v>2.13282E-005</v>
      </c>
      <c r="P87" s="89" t="n">
        <v>0</v>
      </c>
      <c r="Q87" s="89" t="n">
        <v>0</v>
      </c>
      <c r="R87" s="89" t="n">
        <f aca="false">'Input data plant-based products'!G$123*3.6*'Common input data'!C50+'Input data plant-based products'!H$123*3.6*'Common input data'!G50</f>
        <v>5.888664E-005</v>
      </c>
      <c r="S87" s="89" t="n">
        <f aca="false">(F87+R87)*'Input data plant-based products'!B$130*'Common input data'!D$26</f>
        <v>0.000186083074546266</v>
      </c>
      <c r="T87" s="89" t="n">
        <v>0</v>
      </c>
      <c r="U87" s="89" t="n">
        <v>0</v>
      </c>
      <c r="V87" s="309"/>
      <c r="W87" s="92"/>
      <c r="Z87" s="30"/>
    </row>
    <row r="88" s="209" customFormat="true" ht="17.4" hidden="false" customHeight="false" outlineLevel="0" collapsed="false">
      <c r="A88" s="100"/>
      <c r="B88" s="101"/>
      <c r="C88" s="87"/>
      <c r="D88" s="31" t="s">
        <v>136</v>
      </c>
      <c r="E88" s="219" t="n">
        <f aca="false">SUM(J88:K88)*'Input data plant-based products'!O$123</f>
        <v>0.00106653960454764</v>
      </c>
      <c r="F88" s="126" t="n">
        <f aca="false">SUM(H88:O88)*'Input data plant-based products'!O$123</f>
        <v>0.00181116278666795</v>
      </c>
      <c r="G88" s="106" t="n">
        <f aca="false">SUM(S88:U88)/(1-'Common input data'!$B$124)</f>
        <v>0.0032063860682664</v>
      </c>
      <c r="H88" s="87" t="n">
        <f aca="false">('Input data plant-based products'!$F$20*('Common input data'!$C$76*'Common input data'!B71+'Common input data'!$C$77*'Common input data'!C71))/'Input data plant-based products'!$E$20</f>
        <v>0.000691760554676572</v>
      </c>
      <c r="I88" s="87" t="n">
        <v>0</v>
      </c>
      <c r="J88" s="87" t="n">
        <f aca="false">(SUM('Input data plant-based products'!F20:H20)*'Input data plant-based products'!$B$114*44/28)/'Input data plant-based products'!E20</f>
        <v>0.000905653010854636</v>
      </c>
      <c r="K88" s="89" t="n">
        <f aca="false">J88*'Input data plant-based products'!$B$115</f>
        <v>9.05653010854636E-005</v>
      </c>
      <c r="L88" s="87" t="n">
        <f aca="false">('Input data plant-based products'!$I$20*'Common input data'!$C$59*'Common input data'!H51)/'Input data plant-based products'!$E$20</f>
        <v>1.77833125778331E-006</v>
      </c>
      <c r="M88" s="89" t="n">
        <v>0</v>
      </c>
      <c r="N88" s="89" t="n">
        <v>0</v>
      </c>
      <c r="O88" s="89" t="n">
        <f aca="false">'Input data plant-based products'!$B$123*'Common input data'!$B$59*'Common input data'!B51</f>
        <v>1.9882622E-006</v>
      </c>
      <c r="P88" s="89" t="n">
        <v>0</v>
      </c>
      <c r="Q88" s="89" t="n">
        <v>0</v>
      </c>
      <c r="R88" s="89" t="n">
        <f aca="false">'Input data plant-based products'!G$123*3.6*'Common input data'!C51+'Input data plant-based products'!H$123*3.6*'Common input data'!G51</f>
        <v>3.479832E-006</v>
      </c>
      <c r="S88" s="89" t="n">
        <f aca="false">(F88+R88)*'Input data plant-based products'!B$130*'Common input data'!D$26</f>
        <v>0.0029854500362325</v>
      </c>
      <c r="T88" s="89" t="n">
        <v>0</v>
      </c>
      <c r="U88" s="89" t="n">
        <v>0</v>
      </c>
      <c r="V88" s="309"/>
      <c r="W88" s="92"/>
      <c r="Z88" s="30"/>
    </row>
    <row r="89" s="334" customFormat="true" ht="17.4" hidden="false" customHeight="false" outlineLevel="0" collapsed="false">
      <c r="A89" s="107" t="s">
        <v>281</v>
      </c>
      <c r="B89" s="108"/>
      <c r="C89" s="69"/>
      <c r="D89" s="109"/>
      <c r="E89" s="110" t="s">
        <v>282</v>
      </c>
      <c r="F89" s="111" t="s">
        <v>282</v>
      </c>
      <c r="G89" s="112" t="s">
        <v>283</v>
      </c>
      <c r="H89" s="69"/>
      <c r="I89" s="69"/>
      <c r="J89" s="69"/>
      <c r="K89" s="113"/>
      <c r="L89" s="113"/>
      <c r="M89" s="114"/>
      <c r="N89" s="113"/>
      <c r="O89" s="113"/>
      <c r="P89" s="113"/>
      <c r="Q89" s="113"/>
      <c r="R89" s="113"/>
      <c r="S89" s="113"/>
      <c r="T89" s="113"/>
      <c r="U89" s="113"/>
      <c r="V89" s="309"/>
      <c r="W89" s="92"/>
      <c r="X89" s="209"/>
      <c r="Y89" s="209"/>
      <c r="Z89" s="30"/>
      <c r="AA89" s="209"/>
      <c r="AB89" s="209"/>
      <c r="AC89" s="209"/>
      <c r="AD89" s="209"/>
      <c r="AE89" s="209"/>
      <c r="AF89" s="209"/>
      <c r="AG89" s="209"/>
      <c r="AH89" s="209"/>
      <c r="AI89" s="209"/>
      <c r="AJ89" s="209"/>
      <c r="AK89" s="209"/>
      <c r="AL89" s="209"/>
      <c r="AM89" s="209"/>
      <c r="AN89" s="209"/>
      <c r="AO89" s="209"/>
      <c r="AP89" s="209"/>
      <c r="AQ89" s="209"/>
      <c r="AR89" s="209"/>
      <c r="AS89" s="209"/>
      <c r="AT89" s="209"/>
      <c r="AU89" s="209"/>
      <c r="AV89" s="209"/>
      <c r="AW89" s="209"/>
      <c r="AX89" s="209"/>
      <c r="AY89" s="209"/>
      <c r="AZ89" s="209"/>
      <c r="BA89" s="209"/>
      <c r="BB89" s="209"/>
      <c r="BC89" s="209"/>
      <c r="BD89" s="209"/>
      <c r="BE89" s="209"/>
      <c r="BF89" s="209"/>
      <c r="BG89" s="209"/>
      <c r="BH89" s="209"/>
      <c r="BI89" s="209"/>
      <c r="BJ89" s="209"/>
      <c r="BK89" s="209"/>
      <c r="BL89" s="209"/>
      <c r="BM89" s="209"/>
      <c r="BN89" s="209"/>
      <c r="BO89" s="209"/>
      <c r="BP89" s="209"/>
      <c r="BQ89" s="209"/>
      <c r="BR89" s="209"/>
      <c r="BS89" s="209"/>
      <c r="BT89" s="209"/>
      <c r="BU89" s="209"/>
      <c r="BV89" s="209"/>
      <c r="BW89" s="209"/>
      <c r="BX89" s="209"/>
      <c r="BY89" s="209"/>
      <c r="BZ89" s="209"/>
      <c r="CA89" s="209"/>
      <c r="CB89" s="209"/>
      <c r="CC89" s="209"/>
      <c r="CD89" s="209"/>
      <c r="CE89" s="209"/>
      <c r="CF89" s="209"/>
      <c r="CG89" s="209"/>
      <c r="CH89" s="209"/>
      <c r="CI89" s="209"/>
      <c r="CJ89" s="209"/>
      <c r="CK89" s="209"/>
      <c r="CL89" s="209"/>
      <c r="CM89" s="209"/>
      <c r="CN89" s="209"/>
      <c r="CO89" s="209"/>
      <c r="CP89" s="209"/>
      <c r="CQ89" s="209"/>
      <c r="CR89" s="209"/>
      <c r="CS89" s="209"/>
      <c r="CT89" s="209"/>
      <c r="CU89" s="209"/>
      <c r="CV89" s="209"/>
      <c r="CW89" s="209"/>
      <c r="CX89" s="209"/>
      <c r="CY89" s="209"/>
      <c r="CZ89" s="209"/>
      <c r="DA89" s="209"/>
      <c r="DB89" s="209"/>
      <c r="DC89" s="209"/>
      <c r="DD89" s="209"/>
      <c r="DE89" s="209"/>
      <c r="DF89" s="209"/>
      <c r="DG89" s="209"/>
      <c r="DH89" s="209"/>
      <c r="DI89" s="209"/>
      <c r="DJ89" s="209"/>
      <c r="DK89" s="209"/>
      <c r="DL89" s="209"/>
      <c r="DM89" s="209"/>
      <c r="DN89" s="209"/>
      <c r="DO89" s="209"/>
      <c r="DP89" s="209"/>
      <c r="DQ89" s="209"/>
      <c r="DR89" s="209"/>
      <c r="DS89" s="209"/>
      <c r="DT89" s="209"/>
      <c r="DU89" s="209"/>
      <c r="DV89" s="209"/>
      <c r="DW89" s="209"/>
      <c r="DX89" s="209"/>
      <c r="DY89" s="209"/>
      <c r="DZ89" s="209"/>
      <c r="EA89" s="209"/>
      <c r="EB89" s="209"/>
      <c r="EC89" s="209"/>
      <c r="ED89" s="209"/>
      <c r="EE89" s="209"/>
      <c r="EF89" s="209"/>
      <c r="EG89" s="209"/>
      <c r="EH89" s="209"/>
      <c r="EI89" s="209"/>
      <c r="EJ89" s="209"/>
      <c r="EK89" s="209"/>
      <c r="EL89" s="209"/>
      <c r="EM89" s="209"/>
      <c r="EN89" s="209"/>
      <c r="EO89" s="209"/>
      <c r="EP89" s="209"/>
      <c r="EQ89" s="209"/>
      <c r="ER89" s="209"/>
      <c r="ES89" s="209"/>
      <c r="ET89" s="209"/>
      <c r="EU89" s="209"/>
      <c r="EV89" s="209"/>
      <c r="EW89" s="209"/>
      <c r="EX89" s="209"/>
      <c r="EY89" s="209"/>
      <c r="EZ89" s="209"/>
      <c r="FA89" s="209"/>
      <c r="FB89" s="209"/>
      <c r="FC89" s="209"/>
      <c r="FD89" s="209"/>
      <c r="FE89" s="209"/>
      <c r="FF89" s="209"/>
      <c r="FG89" s="209"/>
      <c r="FH89" s="209"/>
      <c r="FI89" s="209"/>
      <c r="FJ89" s="209"/>
      <c r="FK89" s="209"/>
      <c r="FL89" s="209"/>
      <c r="FM89" s="209"/>
      <c r="FN89" s="209"/>
      <c r="FO89" s="209"/>
      <c r="FP89" s="209"/>
      <c r="FQ89" s="209"/>
      <c r="FR89" s="209"/>
      <c r="FS89" s="209"/>
      <c r="FT89" s="209"/>
      <c r="FU89" s="209"/>
      <c r="FV89" s="209"/>
      <c r="FW89" s="209"/>
      <c r="FX89" s="209"/>
      <c r="FY89" s="209"/>
      <c r="FZ89" s="209"/>
      <c r="GA89" s="209"/>
      <c r="GB89" s="209"/>
      <c r="GC89" s="209"/>
      <c r="GD89" s="209"/>
      <c r="GE89" s="209"/>
      <c r="GF89" s="209"/>
      <c r="GG89" s="209"/>
      <c r="GH89" s="209"/>
      <c r="GI89" s="209"/>
      <c r="GJ89" s="209"/>
      <c r="GK89" s="209"/>
      <c r="GL89" s="209"/>
      <c r="GM89" s="209"/>
      <c r="GN89" s="209"/>
      <c r="GO89" s="209"/>
      <c r="GP89" s="209"/>
      <c r="GQ89" s="209"/>
      <c r="GR89" s="209"/>
      <c r="GS89" s="209"/>
      <c r="GT89" s="209"/>
      <c r="GU89" s="209"/>
      <c r="GV89" s="209"/>
      <c r="GW89" s="209"/>
      <c r="GX89" s="209"/>
      <c r="GY89" s="209"/>
      <c r="GZ89" s="209"/>
      <c r="HA89" s="209"/>
      <c r="HB89" s="209"/>
      <c r="HC89" s="209"/>
      <c r="HD89" s="209"/>
      <c r="HE89" s="209"/>
      <c r="HF89" s="209"/>
      <c r="HG89" s="209"/>
      <c r="HH89" s="209"/>
      <c r="HI89" s="209"/>
      <c r="HJ89" s="209"/>
      <c r="HK89" s="209"/>
      <c r="HL89" s="209"/>
      <c r="HM89" s="209"/>
      <c r="HN89" s="209"/>
      <c r="HO89" s="209"/>
      <c r="HP89" s="209"/>
      <c r="HQ89" s="209"/>
      <c r="HR89" s="209"/>
      <c r="HS89" s="209"/>
      <c r="HT89" s="209"/>
      <c r="HU89" s="209"/>
      <c r="HV89" s="209"/>
      <c r="HW89" s="209"/>
      <c r="HX89" s="209"/>
      <c r="HY89" s="209"/>
      <c r="HZ89" s="209"/>
      <c r="IA89" s="209"/>
      <c r="IB89" s="209"/>
      <c r="IC89" s="209"/>
      <c r="ID89" s="209"/>
      <c r="IE89" s="209"/>
      <c r="IF89" s="209"/>
      <c r="IG89" s="209"/>
      <c r="IH89" s="209"/>
      <c r="II89" s="209"/>
      <c r="IJ89" s="209"/>
      <c r="IK89" s="209"/>
      <c r="IL89" s="209"/>
      <c r="IM89" s="209"/>
      <c r="IN89" s="209"/>
      <c r="IO89" s="209"/>
      <c r="IP89" s="209"/>
      <c r="IQ89" s="209"/>
      <c r="IR89" s="209"/>
      <c r="IS89" s="209"/>
      <c r="IT89" s="209"/>
      <c r="IU89" s="209"/>
      <c r="IV89" s="209"/>
      <c r="IW89" s="209"/>
      <c r="IX89" s="209"/>
    </row>
    <row r="90" s="332" customFormat="true" ht="17.4" hidden="false" customHeight="false" outlineLevel="0" collapsed="false">
      <c r="A90" s="75" t="s">
        <v>272</v>
      </c>
      <c r="B90" s="76"/>
      <c r="C90" s="188" t="n">
        <f aca="false">SUM(C94:C109)</f>
        <v>1</v>
      </c>
      <c r="D90" s="78" t="s">
        <v>133</v>
      </c>
      <c r="E90" s="79" t="n">
        <f aca="false">IF($F$1="GWP100 without fb",E91+E92*'Common input data'!$C$5+E93*'Common input data'!$D$5,IF($F$1="GWP100 with fb",E91+E92*'Common input data'!$C$6+E93*'Common input data'!$D$6,IF($F$1="GTP100 without fb",E91+E92*'Common input data'!$C$7+E93*'Common input data'!$D$7,IF($F$1="GTP100 with fb",E91+E92*'Common input data'!$C$8+E93*'Common input data'!$D$8,E91+E92*'Common input data'!$C$9+E93*'Common input data'!$D$9))))</f>
        <v>0.00508524524071094</v>
      </c>
      <c r="F90" s="80" t="n">
        <f aca="false">IF($F$1="GWP100 without fb",F91+F92*'Common input data'!$C$5+F93*'Common input data'!$D$5,IF($F$1="GWP100 with fb",F91+F92*'Common input data'!$C$6+F93*'Common input data'!$D$6,IF($F$1="GTP100 without fb",F91+F92*'Common input data'!$C$7+F93*'Common input data'!$D$7,IF($F$1="GTP100 with fb",F91+F92*'Common input data'!$C$8+F93*'Common input data'!$D$8,F91+F92*'Common input data'!$C$9+F93*'Common input data'!$D$9))))</f>
        <v>0.689332298008057</v>
      </c>
      <c r="G90" s="81" t="n">
        <f aca="false">IF($F$1="GWP100 without fb",G91+G92*'Common input data'!$C$5+G93*'Common input data'!$D$5,IF($F$1="GWP100 with fb",G91+G92*'Common input data'!$C$6+G93*'Common input data'!$D$6,IF($F$1="GTP100 without fb",G91+G92*'Common input data'!$C$7+G93*'Common input data'!$D$7,IF($F$1="GTP100 with fb",G91+G92*'Common input data'!$C$8+G93*'Common input data'!$D$8,G91+G92*'Common input data'!$C$9+G93*'Common input data'!$D$9))))</f>
        <v>4.04484669386855</v>
      </c>
      <c r="H90" s="95"/>
      <c r="I90" s="97"/>
      <c r="J90" s="97"/>
      <c r="K90" s="83"/>
      <c r="L90" s="83"/>
      <c r="M90" s="83"/>
      <c r="N90" s="83"/>
      <c r="O90" s="83"/>
      <c r="P90" s="83"/>
      <c r="Q90" s="83"/>
      <c r="R90" s="83"/>
      <c r="S90" s="83"/>
      <c r="T90" s="83"/>
      <c r="U90" s="83"/>
      <c r="V90" s="309"/>
      <c r="W90" s="92"/>
      <c r="X90" s="209"/>
      <c r="Y90" s="209"/>
      <c r="Z90" s="30"/>
      <c r="AA90" s="209"/>
      <c r="AB90" s="209"/>
      <c r="AC90" s="209"/>
      <c r="AD90" s="209"/>
      <c r="AE90" s="209"/>
      <c r="AF90" s="209"/>
      <c r="AG90" s="209"/>
      <c r="AH90" s="209"/>
      <c r="AI90" s="209"/>
      <c r="AJ90" s="209"/>
      <c r="AK90" s="209"/>
      <c r="AL90" s="209"/>
      <c r="AM90" s="209"/>
      <c r="AN90" s="209"/>
      <c r="AO90" s="209"/>
      <c r="AP90" s="209"/>
      <c r="AQ90" s="209"/>
      <c r="AR90" s="209"/>
      <c r="AS90" s="209"/>
      <c r="AT90" s="209"/>
      <c r="AU90" s="209"/>
      <c r="AV90" s="209"/>
      <c r="AW90" s="209"/>
      <c r="AX90" s="209"/>
      <c r="AY90" s="209"/>
      <c r="AZ90" s="209"/>
      <c r="BA90" s="209"/>
      <c r="BB90" s="209"/>
      <c r="BC90" s="209"/>
      <c r="BD90" s="209"/>
      <c r="BE90" s="209"/>
      <c r="BF90" s="209"/>
      <c r="BG90" s="209"/>
      <c r="BH90" s="209"/>
      <c r="BI90" s="209"/>
      <c r="BJ90" s="209"/>
      <c r="BK90" s="209"/>
      <c r="BL90" s="209"/>
      <c r="BM90" s="209"/>
      <c r="BN90" s="209"/>
      <c r="BO90" s="209"/>
      <c r="BP90" s="209"/>
      <c r="BQ90" s="209"/>
      <c r="BR90" s="209"/>
      <c r="BS90" s="209"/>
      <c r="BT90" s="209"/>
      <c r="BU90" s="209"/>
      <c r="BV90" s="209"/>
      <c r="BW90" s="209"/>
      <c r="BX90" s="209"/>
      <c r="BY90" s="209"/>
      <c r="BZ90" s="209"/>
      <c r="CA90" s="209"/>
      <c r="CB90" s="209"/>
      <c r="CC90" s="209"/>
      <c r="CD90" s="209"/>
      <c r="CE90" s="209"/>
      <c r="CF90" s="209"/>
      <c r="CG90" s="209"/>
      <c r="CH90" s="209"/>
      <c r="CI90" s="209"/>
      <c r="CJ90" s="209"/>
      <c r="CK90" s="209"/>
      <c r="CL90" s="209"/>
      <c r="CM90" s="209"/>
      <c r="CN90" s="209"/>
      <c r="CO90" s="209"/>
      <c r="CP90" s="209"/>
      <c r="CQ90" s="209"/>
      <c r="CR90" s="209"/>
      <c r="CS90" s="209"/>
      <c r="CT90" s="209"/>
      <c r="CU90" s="209"/>
      <c r="CV90" s="209"/>
      <c r="CW90" s="209"/>
      <c r="CX90" s="209"/>
      <c r="CY90" s="209"/>
      <c r="CZ90" s="209"/>
      <c r="DA90" s="209"/>
      <c r="DB90" s="209"/>
      <c r="DC90" s="209"/>
      <c r="DD90" s="209"/>
      <c r="DE90" s="209"/>
      <c r="DF90" s="209"/>
      <c r="DG90" s="209"/>
      <c r="DH90" s="209"/>
      <c r="DI90" s="209"/>
      <c r="DJ90" s="209"/>
      <c r="DK90" s="209"/>
      <c r="DL90" s="209"/>
      <c r="DM90" s="209"/>
      <c r="DN90" s="209"/>
      <c r="DO90" s="209"/>
      <c r="DP90" s="209"/>
      <c r="DQ90" s="209"/>
      <c r="DR90" s="209"/>
      <c r="DS90" s="209"/>
      <c r="DT90" s="209"/>
      <c r="DU90" s="209"/>
      <c r="DV90" s="209"/>
      <c r="DW90" s="209"/>
      <c r="DX90" s="209"/>
      <c r="DY90" s="209"/>
      <c r="DZ90" s="209"/>
      <c r="EA90" s="209"/>
      <c r="EB90" s="209"/>
      <c r="EC90" s="209"/>
      <c r="ED90" s="209"/>
      <c r="EE90" s="209"/>
      <c r="EF90" s="209"/>
      <c r="EG90" s="209"/>
      <c r="EH90" s="209"/>
      <c r="EI90" s="209"/>
      <c r="EJ90" s="209"/>
      <c r="EK90" s="209"/>
      <c r="EL90" s="209"/>
      <c r="EM90" s="209"/>
      <c r="EN90" s="209"/>
      <c r="EO90" s="209"/>
      <c r="EP90" s="209"/>
      <c r="EQ90" s="209"/>
      <c r="ER90" s="209"/>
      <c r="ES90" s="209"/>
      <c r="ET90" s="209"/>
      <c r="EU90" s="209"/>
      <c r="EV90" s="209"/>
      <c r="EW90" s="209"/>
      <c r="EX90" s="209"/>
      <c r="EY90" s="209"/>
      <c r="EZ90" s="209"/>
      <c r="FA90" s="209"/>
      <c r="FB90" s="209"/>
      <c r="FC90" s="209"/>
      <c r="FD90" s="209"/>
      <c r="FE90" s="209"/>
      <c r="FF90" s="209"/>
      <c r="FG90" s="209"/>
      <c r="FH90" s="209"/>
      <c r="FI90" s="209"/>
      <c r="FJ90" s="209"/>
      <c r="FK90" s="209"/>
      <c r="FL90" s="209"/>
      <c r="FM90" s="209"/>
      <c r="FN90" s="209"/>
      <c r="FO90" s="209"/>
      <c r="FP90" s="209"/>
      <c r="FQ90" s="209"/>
      <c r="FR90" s="209"/>
      <c r="FS90" s="209"/>
      <c r="FT90" s="209"/>
      <c r="FU90" s="209"/>
      <c r="FV90" s="209"/>
      <c r="FW90" s="209"/>
      <c r="FX90" s="209"/>
      <c r="FY90" s="209"/>
      <c r="FZ90" s="209"/>
      <c r="GA90" s="209"/>
      <c r="GB90" s="209"/>
      <c r="GC90" s="209"/>
      <c r="GD90" s="209"/>
      <c r="GE90" s="209"/>
      <c r="GF90" s="209"/>
      <c r="GG90" s="209"/>
      <c r="GH90" s="209"/>
      <c r="GI90" s="209"/>
      <c r="GJ90" s="209"/>
      <c r="GK90" s="209"/>
      <c r="GL90" s="209"/>
      <c r="GM90" s="209"/>
      <c r="GN90" s="209"/>
      <c r="GO90" s="209"/>
      <c r="GP90" s="209"/>
      <c r="GQ90" s="209"/>
      <c r="GR90" s="209"/>
      <c r="GS90" s="209"/>
      <c r="GT90" s="209"/>
      <c r="GU90" s="209"/>
      <c r="GV90" s="209"/>
      <c r="GW90" s="209"/>
      <c r="GX90" s="209"/>
      <c r="GY90" s="209"/>
      <c r="GZ90" s="209"/>
      <c r="HA90" s="209"/>
      <c r="HB90" s="209"/>
      <c r="HC90" s="209"/>
      <c r="HD90" s="209"/>
      <c r="HE90" s="209"/>
      <c r="HF90" s="209"/>
      <c r="HG90" s="209"/>
      <c r="HH90" s="209"/>
      <c r="HI90" s="209"/>
      <c r="HJ90" s="209"/>
      <c r="HK90" s="209"/>
      <c r="HL90" s="209"/>
      <c r="HM90" s="209"/>
      <c r="HN90" s="209"/>
      <c r="HO90" s="209"/>
      <c r="HP90" s="209"/>
      <c r="HQ90" s="209"/>
      <c r="HR90" s="209"/>
      <c r="HS90" s="209"/>
      <c r="HT90" s="209"/>
      <c r="HU90" s="209"/>
      <c r="HV90" s="209"/>
      <c r="HW90" s="209"/>
      <c r="HX90" s="209"/>
      <c r="HY90" s="209"/>
      <c r="HZ90" s="209"/>
      <c r="IA90" s="209"/>
      <c r="IB90" s="209"/>
      <c r="IC90" s="209"/>
      <c r="ID90" s="209"/>
      <c r="IE90" s="209"/>
      <c r="IF90" s="209"/>
      <c r="IG90" s="209"/>
      <c r="IH90" s="209"/>
      <c r="II90" s="209"/>
      <c r="IJ90" s="209"/>
      <c r="IK90" s="209"/>
      <c r="IL90" s="209"/>
      <c r="IM90" s="209"/>
      <c r="IN90" s="209"/>
      <c r="IO90" s="209"/>
      <c r="IP90" s="209"/>
      <c r="IQ90" s="209"/>
      <c r="IR90" s="209"/>
      <c r="IS90" s="209"/>
      <c r="IT90" s="209"/>
      <c r="IU90" s="209"/>
      <c r="IV90" s="209"/>
      <c r="IW90" s="209"/>
      <c r="IX90" s="209"/>
    </row>
    <row r="91" s="209" customFormat="true" ht="17.4" hidden="false" customHeight="false" outlineLevel="0" collapsed="false">
      <c r="A91" s="91"/>
      <c r="B91" s="31"/>
      <c r="C91" s="30"/>
      <c r="D91" s="85" t="s">
        <v>134</v>
      </c>
      <c r="E91" s="217" t="n">
        <f aca="false">E95*$C$94+E99*$C$98+$C$102*E103+$C$106*E107</f>
        <v>-0.182278096282763</v>
      </c>
      <c r="F91" s="89" t="n">
        <f aca="false">F95*$C$94+F99*$C$98+$C$102*F103+$C$106*F107</f>
        <v>0.36231065518038</v>
      </c>
      <c r="G91" s="88" t="n">
        <f aca="false">G95*$C$94+G99*$C$98+$C$102*G103+$C$106*G107</f>
        <v>2.42484255051776</v>
      </c>
      <c r="H91" s="89" t="n">
        <f aca="false">H95*$C$94+H99*$C$98+$C$102*H103+$C$106*H107</f>
        <v>0.0407515668537033</v>
      </c>
      <c r="I91" s="89" t="n">
        <f aca="false">I95*$C$94+I99*$C$98+$C$102*I103+$C$106*I107</f>
        <v>0.03</v>
      </c>
      <c r="J91" s="89" t="n">
        <f aca="false">J95*$C$94+J99*$C$98+$C$102*J103+$C$106*J107</f>
        <v>0</v>
      </c>
      <c r="K91" s="89" t="n">
        <f aca="false">K95*$C$94+K99*$C$98+$C$102*K103+$C$106*K107</f>
        <v>0</v>
      </c>
      <c r="L91" s="89" t="n">
        <f aca="false">L95*$C$94+L99*$C$98+$C$102*L103+$C$106*L107</f>
        <v>0.151542808877868</v>
      </c>
      <c r="M91" s="89" t="n">
        <f aca="false">M95*$C$94+M99*$C$98+$C$102*M103+$C$106*M107</f>
        <v>0</v>
      </c>
      <c r="N91" s="89" t="n">
        <f aca="false">N95*$C$94+N99*$C$98+$C$102*N103+$C$106*N107</f>
        <v>0.05</v>
      </c>
      <c r="O91" s="89" t="n">
        <f aca="false">O95*$C$94+O99*$C$98+$C$102*O103+$C$106*O107</f>
        <v>0</v>
      </c>
      <c r="P91" s="89" t="n">
        <f aca="false">P95*$C$94+P99*$C$98+$C$102*P103+$C$106*P107</f>
        <v>-0.0911390481413813</v>
      </c>
      <c r="Q91" s="89" t="n">
        <f aca="false">Q95*$C$94+Q99*$C$98+$C$102*Q103+$C$106*Q107</f>
        <v>0</v>
      </c>
      <c r="R91" s="89" t="n">
        <f aca="false">R95*$C$94+R99*$C$98+$C$102*R103+$C$106*R107</f>
        <v>0.01334772</v>
      </c>
      <c r="S91" s="89" t="n">
        <f aca="false">S95*$C$94+S99*$C$98+$C$102*S103+$C$106*S107</f>
        <v>1.71675877457434</v>
      </c>
      <c r="T91" s="89" t="n">
        <f aca="false">T95*$C$94+T99*$C$98+$C$102*T103+$C$106*T107</f>
        <v>0.3</v>
      </c>
      <c r="U91" s="89" t="n">
        <f aca="false">U95*$C$94+U99*$C$98+$C$102*U103+$C$106*U107</f>
        <v>0.241</v>
      </c>
      <c r="V91" s="309"/>
      <c r="W91" s="92"/>
      <c r="Z91" s="30"/>
    </row>
    <row r="92" s="209" customFormat="true" ht="17.4" hidden="false" customHeight="false" outlineLevel="0" collapsed="false">
      <c r="A92" s="91"/>
      <c r="B92" s="31"/>
      <c r="C92" s="93"/>
      <c r="D92" s="85" t="s">
        <v>135</v>
      </c>
      <c r="E92" s="217" t="n">
        <f aca="false">E96*$C$94+E100*$C$98+$C$102*E104+$C$106*E108</f>
        <v>0</v>
      </c>
      <c r="F92" s="89" t="n">
        <f aca="false">F96*$C$94+F100*$C$98+$C$102*F104+$C$106*F108</f>
        <v>0.000134257068067417</v>
      </c>
      <c r="G92" s="88" t="n">
        <f aca="false">G96*$C$94+G100*$C$98+$C$102*G104+$C$106*G108</f>
        <v>0.000947987848574093</v>
      </c>
      <c r="H92" s="89" t="n">
        <f aca="false">H96*$C$94+H100*$C$98+$C$102*H104+$C$106*H108</f>
        <v>1.79679615869804E-010</v>
      </c>
      <c r="I92" s="89" t="n">
        <f aca="false">I96*$C$94+I100*$C$98+$C$102*I104+$C$106*I108</f>
        <v>0</v>
      </c>
      <c r="J92" s="89" t="n">
        <f aca="false">J96*$C$94+J100*$C$98+$C$102*J104+$C$106*J108</f>
        <v>0</v>
      </c>
      <c r="K92" s="89" t="n">
        <f aca="false">K96*$C$94+K100*$C$98+$C$102*K104+$C$106*K108</f>
        <v>0</v>
      </c>
      <c r="L92" s="89" t="n">
        <f aca="false">L96*$C$94+L100*$C$98+$C$102*L104+$C$106*L108</f>
        <v>6.71283543540925E-005</v>
      </c>
      <c r="M92" s="89" t="n">
        <f aca="false">M96*$C$94+M100*$C$98+$C$102*M104+$C$106*M108</f>
        <v>0</v>
      </c>
      <c r="N92" s="89" t="n">
        <f aca="false">N96*$C$94+N100*$C$98+$C$102*N104+$C$106*N108</f>
        <v>0</v>
      </c>
      <c r="O92" s="89" t="n">
        <f aca="false">O96*$C$94+O100*$C$98+$C$102*O104+$C$106*O108</f>
        <v>0</v>
      </c>
      <c r="P92" s="89" t="n">
        <f aca="false">P96*$C$94+P100*$C$98+$C$102*P104+$C$106*P108</f>
        <v>0</v>
      </c>
      <c r="Q92" s="89" t="n">
        <f aca="false">Q96*$C$94+Q100*$C$98+$C$102*Q104+$C$106*Q108</f>
        <v>0</v>
      </c>
      <c r="R92" s="89" t="n">
        <f aca="false">R96*$C$94+R100*$C$98+$C$102*R104+$C$106*R108</f>
        <v>5.888664E-005</v>
      </c>
      <c r="S92" s="89" t="n">
        <f aca="false">S96*$C$94+S100*$C$98+$C$102*S104+$C$106*S108</f>
        <v>0.000882666745868095</v>
      </c>
      <c r="T92" s="89" t="n">
        <f aca="false">T96*$C$94+T100*$C$98+$C$102*T104+$C$106*T108</f>
        <v>0</v>
      </c>
      <c r="U92" s="89" t="n">
        <f aca="false">U96*$C$94+U100*$C$98+$C$102*U104+$C$106*U108</f>
        <v>0</v>
      </c>
      <c r="V92" s="309"/>
      <c r="W92" s="92"/>
      <c r="Z92" s="30"/>
    </row>
    <row r="93" s="209" customFormat="true" ht="17.4" hidden="false" customHeight="false" outlineLevel="0" collapsed="false">
      <c r="A93" s="74"/>
      <c r="B93" s="101"/>
      <c r="C93" s="87"/>
      <c r="D93" s="31" t="s">
        <v>136</v>
      </c>
      <c r="E93" s="217" t="n">
        <f aca="false">E97*$C$94+E101*$C$98+$C$102*E105+$C$106*E109</f>
        <v>0.000628736045380784</v>
      </c>
      <c r="F93" s="89" t="n">
        <f aca="false">F97*$C$94+F101*$C$98+$C$102*F105+$C$106*F109</f>
        <v>0.00108207014266236</v>
      </c>
      <c r="G93" s="88" t="n">
        <f aca="false">G97*$C$94+G101*$C$98+$C$102*G105+$C$106*G109</f>
        <v>0.00532809582717875</v>
      </c>
      <c r="H93" s="89" t="n">
        <f aca="false">H97*$C$94+H101*$C$98+$C$102*H105+$C$106*H109</f>
        <v>0.000222595034282112</v>
      </c>
      <c r="I93" s="89" t="n">
        <f aca="false">I97*$C$94+I101*$C$98+$C$102*I105+$C$106*I109</f>
        <v>0</v>
      </c>
      <c r="J93" s="89" t="n">
        <f aca="false">J97*$C$94+J101*$C$98+$C$102*J105+$C$106*J109</f>
        <v>0.00028578911153672</v>
      </c>
      <c r="K93" s="89" t="n">
        <f aca="false">K97*$C$94+K101*$C$98+$C$102*K105+$C$106*K109</f>
        <v>2.8578911153672E-005</v>
      </c>
      <c r="L93" s="89" t="n">
        <f aca="false">L97*$C$94+L101*$C$98+$C$102*L105+$C$106*L109</f>
        <v>4.07201435867823E-006</v>
      </c>
      <c r="M93" s="89" t="n">
        <f aca="false">M97*$C$94+M101*$C$98+$C$102*M105+$C$106*M109</f>
        <v>0</v>
      </c>
      <c r="N93" s="89" t="n">
        <f aca="false">N97*$C$94+N101*$C$98+$C$102*N105+$C$106*N109</f>
        <v>0</v>
      </c>
      <c r="O93" s="89" t="n">
        <f aca="false">O97*$C$94+O101*$C$98+$C$102*O105+$C$106*O109</f>
        <v>0</v>
      </c>
      <c r="P93" s="89" t="n">
        <f aca="false">P97*$C$94+P101*$C$98+$C$102*P105+$C$106*P109</f>
        <v>0</v>
      </c>
      <c r="Q93" s="89" t="n">
        <f aca="false">Q97*$C$94+Q101*$C$98+$C$102*Q105+$C$106*Q109</f>
        <v>0</v>
      </c>
      <c r="R93" s="89" t="n">
        <f aca="false">R97*$C$94+R101*$C$98+$C$102*R105+$C$106*R109</f>
        <v>3.479832E-006</v>
      </c>
      <c r="S93" s="89" t="n">
        <f aca="false">S97*$C$94+S101*$C$98+$C$102*S105+$C$106*S109</f>
        <v>0.004960963384207</v>
      </c>
      <c r="T93" s="89" t="n">
        <f aca="false">T97*$C$94+T101*$C$98+$C$102*T105+$C$106*T109</f>
        <v>0</v>
      </c>
      <c r="U93" s="89" t="n">
        <f aca="false">U97*$C$94+U101*$C$98+$C$102*U105+$C$106*U109</f>
        <v>0</v>
      </c>
      <c r="V93" s="309"/>
      <c r="W93" s="92"/>
      <c r="Z93" s="30"/>
    </row>
    <row r="94" s="332" customFormat="true" ht="17.4" hidden="false" customHeight="false" outlineLevel="0" collapsed="false">
      <c r="A94" s="75" t="s">
        <v>284</v>
      </c>
      <c r="B94" s="76" t="s">
        <v>254</v>
      </c>
      <c r="C94" s="97" t="n">
        <f aca="false">'Input data plant-based products'!D101</f>
        <v>0.11</v>
      </c>
      <c r="D94" s="78" t="s">
        <v>133</v>
      </c>
      <c r="E94" s="94" t="n">
        <f aca="false">IF($F$1="GWP100 without fb",E95+E96*'Common input data'!$C$5+E97*'Common input data'!$D$5,IF($F$1="GWP100 with fb",E95+E96*'Common input data'!$C$6+E97*'Common input data'!$D$6,IF($F$1="GTP100 without fb",E95+E96*'Common input data'!$C$7+E97*'Common input data'!$D$7,IF($F$1="GTP100 with fb",E95+E96*'Common input data'!$C$8+E97*'Common input data'!$D$8,E95+E96*'Common input data'!$C$9+E97*'Common input data'!$D$9))))</f>
        <v>-0.0314945512511385</v>
      </c>
      <c r="F94" s="95" t="n">
        <f aca="false">IF($F$1="GWP100 without fb",F95+F96*'Common input data'!$C$5+F97*'Common input data'!$D$5,IF($F$1="GWP100 with fb",F95+F96*'Common input data'!$C$6+F97*'Common input data'!$D$6,IF($F$1="GTP100 without fb",F95+F96*'Common input data'!$C$7+F97*'Common input data'!$D$7,IF($F$1="GTP100 with fb",F95+F96*'Common input data'!$C$8+F97*'Common input data'!$D$8,F95+F96*'Common input data'!$C$9+F97*'Common input data'!$D$9))))</f>
        <v>0.613719593506789</v>
      </c>
      <c r="G94" s="96" t="n">
        <f aca="false">IF($F$1="GWP100 without fb",G95+G96*'Common input data'!$C$5+G97*'Common input data'!$D$5,IF($F$1="GWP100 with fb",G95+G96*'Common input data'!$C$6+G97*'Common input data'!$D$6,IF($F$1="GTP100 without fb",G95+G96*'Common input data'!$C$7+G97*'Common input data'!$D$7,IF($F$1="GTP100 with fb",G95+G96*'Common input data'!$C$8+G97*'Common input data'!$D$8,G95+G96*'Common input data'!$C$9+G97*'Common input data'!$D$9))))</f>
        <v>3.76931083601217</v>
      </c>
      <c r="H94" s="83"/>
      <c r="I94" s="83"/>
      <c r="J94" s="83"/>
      <c r="K94" s="83"/>
      <c r="L94" s="83"/>
      <c r="M94" s="83"/>
      <c r="N94" s="83"/>
      <c r="O94" s="83"/>
      <c r="P94" s="83"/>
      <c r="Q94" s="83"/>
      <c r="R94" s="83"/>
      <c r="S94" s="83"/>
      <c r="T94" s="83"/>
      <c r="U94" s="83"/>
      <c r="V94" s="309"/>
      <c r="W94" s="92"/>
      <c r="X94" s="209"/>
      <c r="Y94" s="209"/>
      <c r="Z94" s="30"/>
      <c r="AA94" s="209"/>
      <c r="AB94" s="209"/>
      <c r="AC94" s="209"/>
      <c r="AD94" s="209"/>
      <c r="AE94" s="209"/>
      <c r="AF94" s="209"/>
      <c r="AG94" s="209"/>
      <c r="AH94" s="209"/>
      <c r="AI94" s="209"/>
      <c r="AJ94" s="209"/>
      <c r="AK94" s="209"/>
      <c r="AL94" s="209"/>
      <c r="AM94" s="209"/>
      <c r="AN94" s="209"/>
      <c r="AO94" s="209"/>
      <c r="AP94" s="209"/>
      <c r="AQ94" s="209"/>
      <c r="AR94" s="209"/>
      <c r="AS94" s="209"/>
      <c r="AT94" s="209"/>
      <c r="AU94" s="209"/>
      <c r="AV94" s="209"/>
      <c r="AW94" s="209"/>
      <c r="AX94" s="209"/>
      <c r="AY94" s="209"/>
      <c r="AZ94" s="209"/>
      <c r="BA94" s="209"/>
      <c r="BB94" s="209"/>
      <c r="BC94" s="209"/>
      <c r="BD94" s="209"/>
      <c r="BE94" s="209"/>
      <c r="BF94" s="209"/>
      <c r="BG94" s="209"/>
      <c r="BH94" s="209"/>
      <c r="BI94" s="209"/>
      <c r="BJ94" s="209"/>
      <c r="BK94" s="209"/>
      <c r="BL94" s="209"/>
      <c r="BM94" s="209"/>
      <c r="BN94" s="209"/>
      <c r="BO94" s="209"/>
      <c r="BP94" s="209"/>
      <c r="BQ94" s="209"/>
      <c r="BR94" s="209"/>
      <c r="BS94" s="209"/>
      <c r="BT94" s="209"/>
      <c r="BU94" s="209"/>
      <c r="BV94" s="209"/>
      <c r="BW94" s="209"/>
      <c r="BX94" s="209"/>
      <c r="BY94" s="209"/>
      <c r="BZ94" s="209"/>
      <c r="CA94" s="209"/>
      <c r="CB94" s="209"/>
      <c r="CC94" s="209"/>
      <c r="CD94" s="209"/>
      <c r="CE94" s="209"/>
      <c r="CF94" s="209"/>
      <c r="CG94" s="209"/>
      <c r="CH94" s="209"/>
      <c r="CI94" s="209"/>
      <c r="CJ94" s="209"/>
      <c r="CK94" s="209"/>
      <c r="CL94" s="209"/>
      <c r="CM94" s="209"/>
      <c r="CN94" s="209"/>
      <c r="CO94" s="209"/>
      <c r="CP94" s="209"/>
      <c r="CQ94" s="209"/>
      <c r="CR94" s="209"/>
      <c r="CS94" s="209"/>
      <c r="CT94" s="209"/>
      <c r="CU94" s="209"/>
      <c r="CV94" s="209"/>
      <c r="CW94" s="209"/>
      <c r="CX94" s="209"/>
      <c r="CY94" s="209"/>
      <c r="CZ94" s="209"/>
      <c r="DA94" s="209"/>
      <c r="DB94" s="209"/>
      <c r="DC94" s="209"/>
      <c r="DD94" s="209"/>
      <c r="DE94" s="209"/>
      <c r="DF94" s="209"/>
      <c r="DG94" s="209"/>
      <c r="DH94" s="209"/>
      <c r="DI94" s="209"/>
      <c r="DJ94" s="209"/>
      <c r="DK94" s="209"/>
      <c r="DL94" s="209"/>
      <c r="DM94" s="209"/>
      <c r="DN94" s="209"/>
      <c r="DO94" s="209"/>
      <c r="DP94" s="209"/>
      <c r="DQ94" s="209"/>
      <c r="DR94" s="209"/>
      <c r="DS94" s="209"/>
      <c r="DT94" s="209"/>
      <c r="DU94" s="209"/>
      <c r="DV94" s="209"/>
      <c r="DW94" s="209"/>
      <c r="DX94" s="209"/>
      <c r="DY94" s="209"/>
      <c r="DZ94" s="209"/>
      <c r="EA94" s="209"/>
      <c r="EB94" s="209"/>
      <c r="EC94" s="209"/>
      <c r="ED94" s="209"/>
      <c r="EE94" s="209"/>
      <c r="EF94" s="209"/>
      <c r="EG94" s="209"/>
      <c r="EH94" s="209"/>
      <c r="EI94" s="209"/>
      <c r="EJ94" s="209"/>
      <c r="EK94" s="209"/>
      <c r="EL94" s="209"/>
      <c r="EM94" s="209"/>
      <c r="EN94" s="209"/>
      <c r="EO94" s="209"/>
      <c r="EP94" s="209"/>
      <c r="EQ94" s="209"/>
      <c r="ER94" s="209"/>
      <c r="ES94" s="209"/>
      <c r="ET94" s="209"/>
      <c r="EU94" s="209"/>
      <c r="EV94" s="209"/>
      <c r="EW94" s="209"/>
      <c r="EX94" s="209"/>
      <c r="EY94" s="209"/>
      <c r="EZ94" s="209"/>
      <c r="FA94" s="209"/>
      <c r="FB94" s="209"/>
      <c r="FC94" s="209"/>
      <c r="FD94" s="209"/>
      <c r="FE94" s="209"/>
      <c r="FF94" s="209"/>
      <c r="FG94" s="209"/>
      <c r="FH94" s="209"/>
      <c r="FI94" s="209"/>
      <c r="FJ94" s="209"/>
      <c r="FK94" s="209"/>
      <c r="FL94" s="209"/>
      <c r="FM94" s="209"/>
      <c r="FN94" s="209"/>
      <c r="FO94" s="209"/>
      <c r="FP94" s="209"/>
      <c r="FQ94" s="209"/>
      <c r="FR94" s="209"/>
      <c r="FS94" s="209"/>
      <c r="FT94" s="209"/>
      <c r="FU94" s="209"/>
      <c r="FV94" s="209"/>
      <c r="FW94" s="209"/>
      <c r="FX94" s="209"/>
      <c r="FY94" s="209"/>
      <c r="FZ94" s="209"/>
      <c r="GA94" s="209"/>
      <c r="GB94" s="209"/>
      <c r="GC94" s="209"/>
      <c r="GD94" s="209"/>
      <c r="GE94" s="209"/>
      <c r="GF94" s="209"/>
      <c r="GG94" s="209"/>
      <c r="GH94" s="209"/>
      <c r="GI94" s="209"/>
      <c r="GJ94" s="209"/>
      <c r="GK94" s="209"/>
      <c r="GL94" s="209"/>
      <c r="GM94" s="209"/>
      <c r="GN94" s="209"/>
      <c r="GO94" s="209"/>
      <c r="GP94" s="209"/>
      <c r="GQ94" s="209"/>
      <c r="GR94" s="209"/>
      <c r="GS94" s="209"/>
      <c r="GT94" s="209"/>
      <c r="GU94" s="209"/>
      <c r="GV94" s="209"/>
      <c r="GW94" s="209"/>
      <c r="GX94" s="209"/>
      <c r="GY94" s="209"/>
      <c r="GZ94" s="209"/>
      <c r="HA94" s="209"/>
      <c r="HB94" s="209"/>
      <c r="HC94" s="209"/>
      <c r="HD94" s="209"/>
      <c r="HE94" s="209"/>
      <c r="HF94" s="209"/>
      <c r="HG94" s="209"/>
      <c r="HH94" s="209"/>
      <c r="HI94" s="209"/>
      <c r="HJ94" s="209"/>
      <c r="HK94" s="209"/>
      <c r="HL94" s="209"/>
      <c r="HM94" s="209"/>
      <c r="HN94" s="209"/>
      <c r="HO94" s="209"/>
      <c r="HP94" s="209"/>
      <c r="HQ94" s="209"/>
      <c r="HR94" s="209"/>
      <c r="HS94" s="209"/>
      <c r="HT94" s="209"/>
      <c r="HU94" s="209"/>
      <c r="HV94" s="209"/>
      <c r="HW94" s="209"/>
      <c r="HX94" s="209"/>
      <c r="HY94" s="209"/>
      <c r="HZ94" s="209"/>
      <c r="IA94" s="209"/>
      <c r="IB94" s="209"/>
      <c r="IC94" s="209"/>
      <c r="ID94" s="209"/>
      <c r="IE94" s="209"/>
      <c r="IF94" s="209"/>
      <c r="IG94" s="209"/>
      <c r="IH94" s="209"/>
      <c r="II94" s="209"/>
      <c r="IJ94" s="209"/>
      <c r="IK94" s="209"/>
      <c r="IL94" s="209"/>
      <c r="IM94" s="209"/>
      <c r="IN94" s="209"/>
      <c r="IO94" s="209"/>
      <c r="IP94" s="209"/>
      <c r="IQ94" s="209"/>
      <c r="IR94" s="209"/>
      <c r="IS94" s="209"/>
      <c r="IT94" s="209"/>
      <c r="IU94" s="209"/>
      <c r="IV94" s="209"/>
      <c r="IW94" s="209"/>
      <c r="IX94" s="209"/>
    </row>
    <row r="95" s="209" customFormat="true" ht="17.4" hidden="false" customHeight="false" outlineLevel="0" collapsed="false">
      <c r="A95" s="91"/>
      <c r="B95" s="31"/>
      <c r="C95" s="30"/>
      <c r="D95" s="85" t="s">
        <v>134</v>
      </c>
      <c r="E95" s="217" t="n">
        <f aca="false">IF(AND($F$2="No",$F$3="No"),SUM(J95:K95)*'Input data plant-based products'!O$125,IF(AND($F$2="Yes", $F$3="No"), (SUM(J95:K95)+Q95)*'Input data plant-based products'!O$125, IF(AND($F$2="No", $F$3="Yes"),(SUM(J95:K95)+P95)*'Input data plant-based products'!O$125, (SUM(J95:K95)+Q95+P95)*'Input data plant-based products'!O$125)))</f>
        <v>-0.182278096282763</v>
      </c>
      <c r="F95" s="89" t="n">
        <f aca="false">IF(AND($F$2="No",$F$3="No"),SUM(H95:O95)*'Input data plant-based products'!O$125,IF(AND($F$2="Yes", $F$3="No"), (SUM(H95:O95)+Q95)*'Input data plant-based products'!O$125, IF(AND($F$2="No", $F$3="Yes"),(SUM(H95:O95)+P95)*'Input data plant-based products'!O$125, (SUM(H95:O95)+Q95+P95)*'Input data plant-based products'!O$125)))</f>
        <v>0.329566528911626</v>
      </c>
      <c r="G95" s="88" t="n">
        <f aca="false">SUM(S95:U95)/(1-'Common input data'!$B$124)</f>
        <v>2.35971422628854</v>
      </c>
      <c r="H95" s="89" t="n">
        <f aca="false">('Input data plant-based products'!$F$101*('Common input data'!$C$76*'Common input data'!B69+'Common input data'!$C$77*'Common input data'!C69))/'Input data plant-based products'!$E$101</f>
        <v>0.0390274132192214</v>
      </c>
      <c r="I95" s="89" t="n">
        <f aca="false">'Common input data'!$B$81</f>
        <v>0.03</v>
      </c>
      <c r="J95" s="89" t="n">
        <v>0</v>
      </c>
      <c r="K95" s="89" t="n">
        <v>0</v>
      </c>
      <c r="L95" s="89" t="n">
        <f aca="false">('Input data plant-based products'!$I$101*'Common input data'!$C$59*'Common input data'!H49)/'Input data plant-based products'!$E$101</f>
        <v>0.136894899377973</v>
      </c>
      <c r="M95" s="89" t="n">
        <v>0</v>
      </c>
      <c r="N95" s="89" t="n">
        <f aca="false">'Input data plant-based products'!F$152</f>
        <v>0.05</v>
      </c>
      <c r="O95" s="89" t="n">
        <v>0</v>
      </c>
      <c r="P95" s="89" t="n">
        <f aca="false">'Common input data'!$F$13</f>
        <v>-0.0911390481413813</v>
      </c>
      <c r="Q95" s="89" t="n">
        <v>0</v>
      </c>
      <c r="R95" s="89" t="n">
        <f aca="false">'Input data plant-based products'!G$125*3.6*'Common input data'!C49+'Input data plant-based products'!H$125*3.6*'Common input data'!G49</f>
        <v>0.01334772</v>
      </c>
      <c r="S95" s="89" t="n">
        <f aca="false">(F95+R95)*'Input data plant-based products'!C$130</f>
        <v>1.56711811752613</v>
      </c>
      <c r="T95" s="89" t="n">
        <f aca="false">'Common input data'!B$87</f>
        <v>0.3</v>
      </c>
      <c r="U95" s="89" t="n">
        <f aca="false">'Common input data'!B101+'Common input data'!C101</f>
        <v>0.33</v>
      </c>
      <c r="V95" s="309"/>
      <c r="W95" s="92"/>
      <c r="Z95" s="30"/>
    </row>
    <row r="96" s="209" customFormat="true" ht="17.4" hidden="false" customHeight="false" outlineLevel="0" collapsed="false">
      <c r="A96" s="91"/>
      <c r="B96" s="31"/>
      <c r="C96" s="93"/>
      <c r="D96" s="85" t="s">
        <v>135</v>
      </c>
      <c r="E96" s="217" t="n">
        <f aca="false">SUM(J96:K96)*'Input data plant-based products'!O$125</f>
        <v>0</v>
      </c>
      <c r="F96" s="89" t="n">
        <f aca="false">SUM(H96:O96)*'Input data plant-based products'!O$125</f>
        <v>0.000121279992892792</v>
      </c>
      <c r="G96" s="88" t="n">
        <f aca="false">SUM(S96:U96)/(1-'Common input data'!$B$124)</f>
        <v>0.000884293774878029</v>
      </c>
      <c r="H96" s="89" t="n">
        <f aca="false">('Input data plant-based products'!$F$101*('Common input data'!$C$76*'Common input data'!B70+'Common input data'!$C$77*'Common input data'!C70))/'Input data plant-based products'!$E$101</f>
        <v>1.72077570435419E-010</v>
      </c>
      <c r="I96" s="89" t="n">
        <v>0</v>
      </c>
      <c r="J96" s="89" t="n">
        <v>0</v>
      </c>
      <c r="K96" s="89" t="n">
        <v>0</v>
      </c>
      <c r="L96" s="89" t="n">
        <f aca="false">('Input data plant-based products'!$I$101*'Common input data'!$C$59*'Common input data'!H50)/'Input data plant-based products'!$E$101</f>
        <v>6.06398243688255E-005</v>
      </c>
      <c r="M96" s="89" t="n">
        <v>0</v>
      </c>
      <c r="N96" s="89" t="n">
        <v>0</v>
      </c>
      <c r="O96" s="89" t="n">
        <v>0</v>
      </c>
      <c r="P96" s="89" t="n">
        <v>0</v>
      </c>
      <c r="Q96" s="89" t="n">
        <v>0</v>
      </c>
      <c r="R96" s="89" t="n">
        <f aca="false">'Input data plant-based products'!G$125*3.6*'Common input data'!C50+'Input data plant-based products'!H$125*3.6*'Common input data'!G50</f>
        <v>5.888664E-005</v>
      </c>
      <c r="S96" s="89" t="n">
        <f aca="false">(F96+R96)*'Input data plant-based products'!C$130</f>
        <v>0.000823361512320058</v>
      </c>
      <c r="T96" s="89" t="n">
        <v>0</v>
      </c>
      <c r="U96" s="89" t="n">
        <v>0</v>
      </c>
      <c r="V96" s="309"/>
      <c r="W96" s="92"/>
      <c r="Z96" s="30"/>
    </row>
    <row r="97" s="209" customFormat="true" ht="17.4" hidden="false" customHeight="false" outlineLevel="0" collapsed="false">
      <c r="A97" s="74"/>
      <c r="B97" s="101"/>
      <c r="C97" s="87"/>
      <c r="D97" s="31" t="s">
        <v>136</v>
      </c>
      <c r="E97" s="217" t="n">
        <f aca="false">SUM(J97:K97)*'Input data plant-based products'!O$125</f>
        <v>0.000505985050441692</v>
      </c>
      <c r="F97" s="89" t="n">
        <f aca="false">SUM(H97:O97)*'Input data plant-based products'!O$125</f>
        <v>0.000939696459183921</v>
      </c>
      <c r="G97" s="88" t="n">
        <f aca="false">SUM(S97:U97)/(1-'Common input data'!$B$124)</f>
        <v>0.00462929738717372</v>
      </c>
      <c r="H97" s="89" t="n">
        <f aca="false">('Input data plant-based products'!$F$101*('Common input data'!$C$76*'Common input data'!B71+'Common input data'!$C$77*'Common input data'!C71))/'Input data plant-based products'!$E$101</f>
        <v>0.000213177285051685</v>
      </c>
      <c r="I97" s="89" t="n">
        <v>0</v>
      </c>
      <c r="J97" s="89" t="n">
        <f aca="false">(SUM('Input data plant-based products'!F101:H101)*'Input data plant-based products'!$B$114*44/28)/'Input data plant-based products'!E101</f>
        <v>0.000229993204746223</v>
      </c>
      <c r="K97" s="89" t="n">
        <f aca="false">J97*'Input data plant-based products'!$B$115</f>
        <v>2.29993204746223E-005</v>
      </c>
      <c r="L97" s="89" t="n">
        <f aca="false">('Input data plant-based products'!$I$101*'Common input data'!$C$59*'Common input data'!H51)/'Input data plant-based products'!$E$101</f>
        <v>3.6784193194292E-006</v>
      </c>
      <c r="M97" s="89" t="n">
        <v>0</v>
      </c>
      <c r="N97" s="89" t="n">
        <v>0</v>
      </c>
      <c r="O97" s="89" t="n">
        <v>0</v>
      </c>
      <c r="P97" s="89" t="n">
        <v>0</v>
      </c>
      <c r="Q97" s="89" t="n">
        <v>0</v>
      </c>
      <c r="R97" s="89" t="n">
        <f aca="false">'Input data plant-based products'!G$125*3.6*'Common input data'!C51+'Input data plant-based products'!H$125*3.6*'Common input data'!G51</f>
        <v>3.479832E-006</v>
      </c>
      <c r="S97" s="89" t="n">
        <f aca="false">(F97+R97)*'Input data plant-based products'!C$130</f>
        <v>0.00431031565071052</v>
      </c>
      <c r="T97" s="89" t="n">
        <v>0</v>
      </c>
      <c r="U97" s="89" t="n">
        <v>0</v>
      </c>
      <c r="V97" s="309"/>
      <c r="W97" s="92"/>
      <c r="Z97" s="30"/>
    </row>
    <row r="98" s="332" customFormat="true" ht="17.4" hidden="false" customHeight="false" outlineLevel="0" collapsed="false">
      <c r="A98" s="75" t="s">
        <v>274</v>
      </c>
      <c r="B98" s="76" t="s">
        <v>254</v>
      </c>
      <c r="C98" s="97" t="n">
        <f aca="false">'Input data plant-based products'!D102</f>
        <v>0.56</v>
      </c>
      <c r="D98" s="78" t="s">
        <v>133</v>
      </c>
      <c r="E98" s="94" t="n">
        <f aca="false">IF($F$1="GWP100 without fb",E99+E100*'Common input data'!$C$5+E101*'Common input data'!$D$5,IF($F$1="GWP100 with fb",E99+E100*'Common input data'!$C$6+E101*'Common input data'!$D$6,IF($F$1="GTP100 without fb",E99+E100*'Common input data'!$C$7+E101*'Common input data'!$D$7,IF($F$1="GTP100 with fb",E99+E100*'Common input data'!$C$8+E101*'Common input data'!$D$8,E99+E100*'Common input data'!$C$9+E101*'Common input data'!$D$9))))</f>
        <v>0.0492339422405119</v>
      </c>
      <c r="F98" s="95" t="n">
        <f aca="false">IF($F$1="GWP100 without fb",F99+F100*'Common input data'!$C$5+F101*'Common input data'!$D$5,IF($F$1="GWP100 with fb",F99+F100*'Common input data'!$C$6+F101*'Common input data'!$D$6,IF($F$1="GTP100 without fb",F99+F100*'Common input data'!$C$7+F101*'Common input data'!$D$7,IF($F$1="GTP100 with fb",F99+F100*'Common input data'!$C$8+F101*'Common input data'!$D$8,F99+F100*'Common input data'!$C$9+F101*'Common input data'!$D$9))))</f>
        <v>0.782306655128765</v>
      </c>
      <c r="G98" s="96" t="n">
        <f aca="false">IF($F$1="GWP100 without fb",G99+G100*'Common input data'!$C$5+G101*'Common input data'!$D$5,IF($F$1="GWP100 with fb",G99+G100*'Common input data'!$C$6+G101*'Common input data'!$D$6,IF($F$1="GTP100 without fb",G99+G100*'Common input data'!$C$7+G101*'Common input data'!$D$7,IF($F$1="GTP100 with fb",G99+G100*'Common input data'!$C$8+G101*'Common input data'!$D$8,G99+G100*'Common input data'!$C$9+G101*'Common input data'!$D$9))))</f>
        <v>4.48936933875617</v>
      </c>
      <c r="H98" s="83"/>
      <c r="I98" s="83"/>
      <c r="J98" s="83"/>
      <c r="K98" s="83"/>
      <c r="L98" s="83"/>
      <c r="M98" s="83"/>
      <c r="N98" s="83"/>
      <c r="O98" s="83"/>
      <c r="P98" s="83"/>
      <c r="Q98" s="83"/>
      <c r="R98" s="83"/>
      <c r="S98" s="83"/>
      <c r="T98" s="83"/>
      <c r="U98" s="83"/>
      <c r="V98" s="309"/>
      <c r="W98" s="92"/>
      <c r="X98" s="209"/>
      <c r="Y98" s="209"/>
      <c r="Z98" s="30"/>
      <c r="AA98" s="209"/>
      <c r="AB98" s="209"/>
      <c r="AC98" s="209"/>
      <c r="AD98" s="209"/>
      <c r="AE98" s="209"/>
      <c r="AF98" s="209"/>
      <c r="AG98" s="209"/>
      <c r="AH98" s="209"/>
      <c r="AI98" s="209"/>
      <c r="AJ98" s="209"/>
      <c r="AK98" s="209"/>
      <c r="AL98" s="209"/>
      <c r="AM98" s="209"/>
      <c r="AN98" s="209"/>
      <c r="AO98" s="209"/>
      <c r="AP98" s="209"/>
      <c r="AQ98" s="209"/>
      <c r="AR98" s="209"/>
      <c r="AS98" s="209"/>
      <c r="AT98" s="209"/>
      <c r="AU98" s="209"/>
      <c r="AV98" s="209"/>
      <c r="AW98" s="209"/>
      <c r="AX98" s="209"/>
      <c r="AY98" s="209"/>
      <c r="AZ98" s="209"/>
      <c r="BA98" s="209"/>
      <c r="BB98" s="209"/>
      <c r="BC98" s="209"/>
      <c r="BD98" s="209"/>
      <c r="BE98" s="209"/>
      <c r="BF98" s="209"/>
      <c r="BG98" s="209"/>
      <c r="BH98" s="209"/>
      <c r="BI98" s="209"/>
      <c r="BJ98" s="209"/>
      <c r="BK98" s="209"/>
      <c r="BL98" s="209"/>
      <c r="BM98" s="209"/>
      <c r="BN98" s="209"/>
      <c r="BO98" s="209"/>
      <c r="BP98" s="209"/>
      <c r="BQ98" s="209"/>
      <c r="BR98" s="209"/>
      <c r="BS98" s="209"/>
      <c r="BT98" s="209"/>
      <c r="BU98" s="209"/>
      <c r="BV98" s="209"/>
      <c r="BW98" s="209"/>
      <c r="BX98" s="209"/>
      <c r="BY98" s="209"/>
      <c r="BZ98" s="209"/>
      <c r="CA98" s="209"/>
      <c r="CB98" s="209"/>
      <c r="CC98" s="209"/>
      <c r="CD98" s="209"/>
      <c r="CE98" s="209"/>
      <c r="CF98" s="209"/>
      <c r="CG98" s="209"/>
      <c r="CH98" s="209"/>
      <c r="CI98" s="209"/>
      <c r="CJ98" s="209"/>
      <c r="CK98" s="209"/>
      <c r="CL98" s="209"/>
      <c r="CM98" s="209"/>
      <c r="CN98" s="209"/>
      <c r="CO98" s="209"/>
      <c r="CP98" s="209"/>
      <c r="CQ98" s="209"/>
      <c r="CR98" s="209"/>
      <c r="CS98" s="209"/>
      <c r="CT98" s="209"/>
      <c r="CU98" s="209"/>
      <c r="CV98" s="209"/>
      <c r="CW98" s="209"/>
      <c r="CX98" s="209"/>
      <c r="CY98" s="209"/>
      <c r="CZ98" s="209"/>
      <c r="DA98" s="209"/>
      <c r="DB98" s="209"/>
      <c r="DC98" s="209"/>
      <c r="DD98" s="209"/>
      <c r="DE98" s="209"/>
      <c r="DF98" s="209"/>
      <c r="DG98" s="209"/>
      <c r="DH98" s="209"/>
      <c r="DI98" s="209"/>
      <c r="DJ98" s="209"/>
      <c r="DK98" s="209"/>
      <c r="DL98" s="209"/>
      <c r="DM98" s="209"/>
      <c r="DN98" s="209"/>
      <c r="DO98" s="209"/>
      <c r="DP98" s="209"/>
      <c r="DQ98" s="209"/>
      <c r="DR98" s="209"/>
      <c r="DS98" s="209"/>
      <c r="DT98" s="209"/>
      <c r="DU98" s="209"/>
      <c r="DV98" s="209"/>
      <c r="DW98" s="209"/>
      <c r="DX98" s="209"/>
      <c r="DY98" s="209"/>
      <c r="DZ98" s="209"/>
      <c r="EA98" s="209"/>
      <c r="EB98" s="209"/>
      <c r="EC98" s="209"/>
      <c r="ED98" s="209"/>
      <c r="EE98" s="209"/>
      <c r="EF98" s="209"/>
      <c r="EG98" s="209"/>
      <c r="EH98" s="209"/>
      <c r="EI98" s="209"/>
      <c r="EJ98" s="209"/>
      <c r="EK98" s="209"/>
      <c r="EL98" s="209"/>
      <c r="EM98" s="209"/>
      <c r="EN98" s="209"/>
      <c r="EO98" s="209"/>
      <c r="EP98" s="209"/>
      <c r="EQ98" s="209"/>
      <c r="ER98" s="209"/>
      <c r="ES98" s="209"/>
      <c r="ET98" s="209"/>
      <c r="EU98" s="209"/>
      <c r="EV98" s="209"/>
      <c r="EW98" s="209"/>
      <c r="EX98" s="209"/>
      <c r="EY98" s="209"/>
      <c r="EZ98" s="209"/>
      <c r="FA98" s="209"/>
      <c r="FB98" s="209"/>
      <c r="FC98" s="209"/>
      <c r="FD98" s="209"/>
      <c r="FE98" s="209"/>
      <c r="FF98" s="209"/>
      <c r="FG98" s="209"/>
      <c r="FH98" s="209"/>
      <c r="FI98" s="209"/>
      <c r="FJ98" s="209"/>
      <c r="FK98" s="209"/>
      <c r="FL98" s="209"/>
      <c r="FM98" s="209"/>
      <c r="FN98" s="209"/>
      <c r="FO98" s="209"/>
      <c r="FP98" s="209"/>
      <c r="FQ98" s="209"/>
      <c r="FR98" s="209"/>
      <c r="FS98" s="209"/>
      <c r="FT98" s="209"/>
      <c r="FU98" s="209"/>
      <c r="FV98" s="209"/>
      <c r="FW98" s="209"/>
      <c r="FX98" s="209"/>
      <c r="FY98" s="209"/>
      <c r="FZ98" s="209"/>
      <c r="GA98" s="209"/>
      <c r="GB98" s="209"/>
      <c r="GC98" s="209"/>
      <c r="GD98" s="209"/>
      <c r="GE98" s="209"/>
      <c r="GF98" s="209"/>
      <c r="GG98" s="209"/>
      <c r="GH98" s="209"/>
      <c r="GI98" s="209"/>
      <c r="GJ98" s="209"/>
      <c r="GK98" s="209"/>
      <c r="GL98" s="209"/>
      <c r="GM98" s="209"/>
      <c r="GN98" s="209"/>
      <c r="GO98" s="209"/>
      <c r="GP98" s="209"/>
      <c r="GQ98" s="209"/>
      <c r="GR98" s="209"/>
      <c r="GS98" s="209"/>
      <c r="GT98" s="209"/>
      <c r="GU98" s="209"/>
      <c r="GV98" s="209"/>
      <c r="GW98" s="209"/>
      <c r="GX98" s="209"/>
      <c r="GY98" s="209"/>
      <c r="GZ98" s="209"/>
      <c r="HA98" s="209"/>
      <c r="HB98" s="209"/>
      <c r="HC98" s="209"/>
      <c r="HD98" s="209"/>
      <c r="HE98" s="209"/>
      <c r="HF98" s="209"/>
      <c r="HG98" s="209"/>
      <c r="HH98" s="209"/>
      <c r="HI98" s="209"/>
      <c r="HJ98" s="209"/>
      <c r="HK98" s="209"/>
      <c r="HL98" s="209"/>
      <c r="HM98" s="209"/>
      <c r="HN98" s="209"/>
      <c r="HO98" s="209"/>
      <c r="HP98" s="209"/>
      <c r="HQ98" s="209"/>
      <c r="HR98" s="209"/>
      <c r="HS98" s="209"/>
      <c r="HT98" s="209"/>
      <c r="HU98" s="209"/>
      <c r="HV98" s="209"/>
      <c r="HW98" s="209"/>
      <c r="HX98" s="209"/>
      <c r="HY98" s="209"/>
      <c r="HZ98" s="209"/>
      <c r="IA98" s="209"/>
      <c r="IB98" s="209"/>
      <c r="IC98" s="209"/>
      <c r="ID98" s="209"/>
      <c r="IE98" s="209"/>
      <c r="IF98" s="209"/>
      <c r="IG98" s="209"/>
      <c r="IH98" s="209"/>
      <c r="II98" s="209"/>
      <c r="IJ98" s="209"/>
      <c r="IK98" s="209"/>
      <c r="IL98" s="209"/>
      <c r="IM98" s="209"/>
      <c r="IN98" s="209"/>
      <c r="IO98" s="209"/>
      <c r="IP98" s="209"/>
      <c r="IQ98" s="209"/>
      <c r="IR98" s="209"/>
      <c r="IS98" s="209"/>
      <c r="IT98" s="209"/>
      <c r="IU98" s="209"/>
      <c r="IV98" s="209"/>
      <c r="IW98" s="209"/>
      <c r="IX98" s="209"/>
    </row>
    <row r="99" s="209" customFormat="true" ht="17.4" hidden="false" customHeight="false" outlineLevel="0" collapsed="false">
      <c r="A99" s="91"/>
      <c r="B99" s="31"/>
      <c r="C99" s="30"/>
      <c r="D99" s="85" t="s">
        <v>134</v>
      </c>
      <c r="E99" s="217" t="n">
        <f aca="false">IF(AND($F$2="No",$F$3="No"),SUM(J99:K99)*'Input data plant-based products'!O$125,IF(AND($F$2="Yes", $F$3="No"), (SUM(J99:K99)+Q99)*'Input data plant-based products'!O$125, IF(AND($F$2="No", $F$3="Yes"),(SUM(J99:K99)+P99)*'Input data plant-based products'!O$125, (SUM(J99:K99)+Q99+P99)*'Input data plant-based products'!O$125)))</f>
        <v>-0.182278096282763</v>
      </c>
      <c r="F99" s="89" t="n">
        <f aca="false">IF(AND($F$2="No",$F$3="No"),SUM(H99:O99)*'Input data plant-based products'!O$125,IF(AND($F$2="Yes", $F$3="No"), (SUM(H99:O99)+Q99)*'Input data plant-based products'!O$125, IF(AND($F$2="No", $F$3="Yes"),(SUM(H99:O99)+P99)*'Input data plant-based products'!O$125, (SUM(H99:O99)+Q99+P99)*'Input data plant-based products'!O$125)))</f>
        <v>0.393275646438181</v>
      </c>
      <c r="G99" s="88" t="n">
        <f aca="false">SUM(S99:U99)/(1-'Common input data'!$B$124)</f>
        <v>2.56501085777766</v>
      </c>
      <c r="H99" s="89" t="n">
        <f aca="false">('Input data plant-based products'!$F$102*('Common input data'!$C$76*'Common input data'!B69+'Common input data'!$C$77*'Common input data'!C69))/'Input data plant-based products'!$E$102</f>
        <v>0.0460941747312584</v>
      </c>
      <c r="I99" s="89" t="n">
        <f aca="false">'Common input data'!$B$81</f>
        <v>0.03</v>
      </c>
      <c r="J99" s="89" t="n">
        <v>0</v>
      </c>
      <c r="K99" s="89" t="n">
        <v>0</v>
      </c>
      <c r="L99" s="89" t="n">
        <f aca="false">('Input data plant-based products'!$I$102*'Common input data'!$C$59*'Common input data'!H49)/'Input data plant-based products'!$E$102</f>
        <v>0.161682696629213</v>
      </c>
      <c r="M99" s="89" t="n">
        <v>0</v>
      </c>
      <c r="N99" s="89" t="n">
        <f aca="false">'Input data plant-based products'!F$152</f>
        <v>0.05</v>
      </c>
      <c r="O99" s="89" t="n">
        <v>0</v>
      </c>
      <c r="P99" s="89" t="n">
        <f aca="false">'Common input data'!$F$13</f>
        <v>-0.0911390481413813</v>
      </c>
      <c r="Q99" s="89" t="n">
        <v>0</v>
      </c>
      <c r="R99" s="89" t="n">
        <f aca="false">'Input data plant-based products'!G$125*3.6*'Common input data'!C49+'Input data plant-based products'!H$125*3.6*'Common input data'!G49</f>
        <v>0.01334772</v>
      </c>
      <c r="S99" s="89" t="n">
        <f aca="false">(F99+R99)*'Input data plant-based products'!C$130</f>
        <v>1.85826878462249</v>
      </c>
      <c r="T99" s="89" t="n">
        <f aca="false">'Common input data'!B$87</f>
        <v>0.3</v>
      </c>
      <c r="U99" s="89" t="n">
        <f aca="false">'Common input data'!B100+'Common input data'!C100</f>
        <v>0.23</v>
      </c>
      <c r="V99" s="309"/>
      <c r="W99" s="92"/>
      <c r="Z99" s="30"/>
    </row>
    <row r="100" s="209" customFormat="true" ht="17.4" hidden="false" customHeight="false" outlineLevel="0" collapsed="false">
      <c r="A100" s="91"/>
      <c r="B100" s="31"/>
      <c r="C100" s="93"/>
      <c r="D100" s="85" t="s">
        <v>135</v>
      </c>
      <c r="E100" s="217" t="n">
        <f aca="false">SUM(J100:K100)*'Input data plant-based products'!O$125</f>
        <v>0</v>
      </c>
      <c r="F100" s="89" t="n">
        <f aca="false">SUM(H100:O100)*'Input data plant-based products'!O$125</f>
        <v>0.000143240371899741</v>
      </c>
      <c r="G100" s="88" t="n">
        <f aca="false">SUM(S100:U100)/(1-'Common input data'!$B$124)</f>
        <v>0.000992079695822462</v>
      </c>
      <c r="H100" s="89" t="n">
        <f aca="false">('Input data plant-based products'!$F$102*('Common input data'!$C$76*'Common input data'!B70+'Common input data'!$C$77*'Common input data'!C70))/'Input data plant-based products'!$E$102</f>
        <v>2.0323595505618E-010</v>
      </c>
      <c r="I100" s="89" t="n">
        <v>0</v>
      </c>
      <c r="J100" s="89" t="n">
        <v>0</v>
      </c>
      <c r="K100" s="89" t="n">
        <v>0</v>
      </c>
      <c r="L100" s="89" t="n">
        <f aca="false">('Input data plant-based products'!$I$102*'Common input data'!$C$59*'Common input data'!H50)/'Input data plant-based products'!$E$102</f>
        <v>7.16199827139153E-005</v>
      </c>
      <c r="M100" s="89" t="n">
        <v>0</v>
      </c>
      <c r="N100" s="89" t="n">
        <v>0</v>
      </c>
      <c r="O100" s="89" t="n">
        <v>0</v>
      </c>
      <c r="P100" s="89" t="n">
        <v>0</v>
      </c>
      <c r="Q100" s="89" t="n">
        <v>0</v>
      </c>
      <c r="R100" s="89" t="n">
        <f aca="false">'Input data plant-based products'!G$125*3.6*'Common input data'!C50+'Input data plant-based products'!H$125*3.6*'Common input data'!G50</f>
        <v>5.888664E-005</v>
      </c>
      <c r="S100" s="89" t="n">
        <f aca="false">(F100+R100)*'Input data plant-based products'!C$130</f>
        <v>0.000923720444381815</v>
      </c>
      <c r="T100" s="89" t="n">
        <v>0</v>
      </c>
      <c r="U100" s="89" t="n">
        <v>0</v>
      </c>
      <c r="V100" s="309"/>
      <c r="W100" s="92"/>
      <c r="Z100" s="30"/>
    </row>
    <row r="101" s="209" customFormat="true" ht="17.4" hidden="false" customHeight="false" outlineLevel="0" collapsed="false">
      <c r="A101" s="74"/>
      <c r="B101" s="101"/>
      <c r="C101" s="87"/>
      <c r="D101" s="31" t="s">
        <v>136</v>
      </c>
      <c r="E101" s="217" t="n">
        <f aca="false">SUM(J101:K101)*'Input data plant-based products'!O$125</f>
        <v>0.000776886035313002</v>
      </c>
      <c r="F101" s="89" t="n">
        <f aca="false">SUM(H101:O101)*'Input data plant-based products'!O$125</f>
        <v>0.00128913032230199</v>
      </c>
      <c r="G101" s="88" t="n">
        <f aca="false">SUM(S101:U101)/(1-'Common input data'!$B$124)</f>
        <v>0.00634438849436425</v>
      </c>
      <c r="H101" s="89" t="n">
        <f aca="false">('Input data plant-based products'!$F$102*('Common input data'!$C$76*'Common input data'!B71+'Common input data'!$C$77*'Common input data'!C71))/'Input data plant-based products'!$E$102</f>
        <v>0.000251777666398555</v>
      </c>
      <c r="I101" s="89" t="n">
        <v>0</v>
      </c>
      <c r="J101" s="89" t="n">
        <f aca="false">(SUM('Input data plant-based products'!F102:H102)*'Input data plant-based products'!$B$114*44/28)/'Input data plant-based products'!E102</f>
        <v>0.000353130016051364</v>
      </c>
      <c r="K101" s="89" t="n">
        <f aca="false">J101*'Input data plant-based products'!$B$115</f>
        <v>3.53130016051364E-005</v>
      </c>
      <c r="L101" s="89" t="n">
        <f aca="false">('Input data plant-based products'!$I$102*'Common input data'!$C$59*'Common input data'!H51)/'Input data plant-based products'!$E$102</f>
        <v>4.34447709593777E-006</v>
      </c>
      <c r="M101" s="89" t="n">
        <v>0</v>
      </c>
      <c r="N101" s="89" t="n">
        <v>0</v>
      </c>
      <c r="O101" s="89" t="n">
        <v>0</v>
      </c>
      <c r="P101" s="89" t="n">
        <v>0</v>
      </c>
      <c r="Q101" s="89" t="n">
        <v>0</v>
      </c>
      <c r="R101" s="89" t="n">
        <f aca="false">'Input data plant-based products'!G$125*3.6*'Common input data'!C51+'Input data plant-based products'!H$125*3.6*'Common input data'!G51</f>
        <v>3.479832E-006</v>
      </c>
      <c r="S101" s="89" t="n">
        <f aca="false">(F101+R101)*'Input data plant-based products'!C$130</f>
        <v>0.00590722840516008</v>
      </c>
      <c r="T101" s="89" t="n">
        <v>0</v>
      </c>
      <c r="U101" s="89" t="n">
        <v>0</v>
      </c>
      <c r="V101" s="309"/>
      <c r="W101" s="92"/>
      <c r="Z101" s="30"/>
    </row>
    <row r="102" s="332" customFormat="true" ht="17.4" hidden="false" customHeight="false" outlineLevel="0" collapsed="false">
      <c r="A102" s="75" t="s">
        <v>285</v>
      </c>
      <c r="B102" s="76" t="s">
        <v>254</v>
      </c>
      <c r="C102" s="97" t="n">
        <f aca="false">'Input data plant-based products'!D103</f>
        <v>0.28</v>
      </c>
      <c r="D102" s="78" t="s">
        <v>133</v>
      </c>
      <c r="E102" s="94" t="n">
        <f aca="false">IF($F$1="GWP100 without fb",E103+E104*'Common input data'!$C$5+E105*'Common input data'!$D$5,IF($F$1="GWP100 with fb",E103+E104*'Common input data'!$C$6+E105*'Common input data'!$D$6,IF($F$1="GTP100 without fb",E103+E104*'Common input data'!$C$7+E105*'Common input data'!$D$7,IF($F$1="GTP100 with fb",E103+E104*'Common input data'!$C$8+E105*'Common input data'!$D$8,E103+E104*'Common input data'!$C$9+E105*'Common input data'!$D$9))))</f>
        <v>-0.0574248356983232</v>
      </c>
      <c r="F102" s="95" t="n">
        <f aca="false">IF($F$1="GWP100 without fb",F103+F104*'Common input data'!$C$5+F105*'Common input data'!$D$5,IF($F$1="GWP100 with fb",F103+F104*'Common input data'!$C$6+F105*'Common input data'!$D$6,IF($F$1="GTP100 without fb",F103+F104*'Common input data'!$C$7+F105*'Common input data'!$D$7,IF($F$1="GTP100 with fb",F103+F104*'Common input data'!$C$8+F105*'Common input data'!$D$8,F103+F104*'Common input data'!$C$9+F105*'Common input data'!$D$9))))</f>
        <v>0.553545413942264</v>
      </c>
      <c r="G102" s="96" t="n">
        <f aca="false">IF($F$1="GWP100 without fb",G103+G104*'Common input data'!$C$5+G105*'Common input data'!$D$5,IF($F$1="GWP100 with fb",G103+G104*'Common input data'!$C$6+G105*'Common input data'!$D$6,IF($F$1="GTP100 without fb",G103+G104*'Common input data'!$C$7+G105*'Common input data'!$D$7,IF($F$1="GTP100 with fb",G103+G104*'Common input data'!$C$8+G105*'Common input data'!$D$8,G103+G104*'Common input data'!$C$9+G105*'Common input data'!$D$9))))</f>
        <v>3.36656353245036</v>
      </c>
      <c r="H102" s="83"/>
      <c r="I102" s="83"/>
      <c r="J102" s="83"/>
      <c r="K102" s="83"/>
      <c r="L102" s="83"/>
      <c r="M102" s="83"/>
      <c r="N102" s="83"/>
      <c r="O102" s="83"/>
      <c r="P102" s="83"/>
      <c r="Q102" s="83"/>
      <c r="R102" s="83"/>
      <c r="S102" s="83"/>
      <c r="T102" s="83"/>
      <c r="U102" s="83"/>
      <c r="V102" s="309"/>
      <c r="W102" s="92"/>
      <c r="X102" s="209"/>
      <c r="Y102" s="209"/>
      <c r="Z102" s="30"/>
      <c r="AA102" s="209"/>
      <c r="AB102" s="209"/>
      <c r="AC102" s="209"/>
      <c r="AD102" s="209"/>
      <c r="AE102" s="209"/>
      <c r="AF102" s="209"/>
      <c r="AG102" s="209"/>
      <c r="AH102" s="209"/>
      <c r="AI102" s="209"/>
      <c r="AJ102" s="209"/>
      <c r="AK102" s="209"/>
      <c r="AL102" s="209"/>
      <c r="AM102" s="209"/>
      <c r="AN102" s="209"/>
      <c r="AO102" s="209"/>
      <c r="AP102" s="209"/>
      <c r="AQ102" s="209"/>
      <c r="AR102" s="209"/>
      <c r="AS102" s="209"/>
      <c r="AT102" s="209"/>
      <c r="AU102" s="209"/>
      <c r="AV102" s="209"/>
      <c r="AW102" s="209"/>
      <c r="AX102" s="209"/>
      <c r="AY102" s="209"/>
      <c r="AZ102" s="209"/>
      <c r="BA102" s="209"/>
      <c r="BB102" s="209"/>
      <c r="BC102" s="209"/>
      <c r="BD102" s="209"/>
      <c r="BE102" s="209"/>
      <c r="BF102" s="209"/>
      <c r="BG102" s="209"/>
      <c r="BH102" s="209"/>
      <c r="BI102" s="209"/>
      <c r="BJ102" s="209"/>
      <c r="BK102" s="209"/>
      <c r="BL102" s="209"/>
      <c r="BM102" s="209"/>
      <c r="BN102" s="209"/>
      <c r="BO102" s="209"/>
      <c r="BP102" s="209"/>
      <c r="BQ102" s="209"/>
      <c r="BR102" s="209"/>
      <c r="BS102" s="209"/>
      <c r="BT102" s="209"/>
      <c r="BU102" s="209"/>
      <c r="BV102" s="209"/>
      <c r="BW102" s="209"/>
      <c r="BX102" s="209"/>
      <c r="BY102" s="209"/>
      <c r="BZ102" s="209"/>
      <c r="CA102" s="209"/>
      <c r="CB102" s="209"/>
      <c r="CC102" s="209"/>
      <c r="CD102" s="209"/>
      <c r="CE102" s="209"/>
      <c r="CF102" s="209"/>
      <c r="CG102" s="209"/>
      <c r="CH102" s="209"/>
      <c r="CI102" s="209"/>
      <c r="CJ102" s="209"/>
      <c r="CK102" s="209"/>
      <c r="CL102" s="209"/>
      <c r="CM102" s="209"/>
      <c r="CN102" s="209"/>
      <c r="CO102" s="209"/>
      <c r="CP102" s="209"/>
      <c r="CQ102" s="209"/>
      <c r="CR102" s="209"/>
      <c r="CS102" s="209"/>
      <c r="CT102" s="209"/>
      <c r="CU102" s="209"/>
      <c r="CV102" s="209"/>
      <c r="CW102" s="209"/>
      <c r="CX102" s="209"/>
      <c r="CY102" s="209"/>
      <c r="CZ102" s="209"/>
      <c r="DA102" s="209"/>
      <c r="DB102" s="209"/>
      <c r="DC102" s="209"/>
      <c r="DD102" s="209"/>
      <c r="DE102" s="209"/>
      <c r="DF102" s="209"/>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09"/>
      <c r="EC102" s="209"/>
      <c r="ED102" s="209"/>
      <c r="EE102" s="209"/>
      <c r="EF102" s="209"/>
      <c r="EG102" s="209"/>
      <c r="EH102" s="209"/>
      <c r="EI102" s="209"/>
      <c r="EJ102" s="209"/>
      <c r="EK102" s="209"/>
      <c r="EL102" s="209"/>
      <c r="EM102" s="209"/>
      <c r="EN102" s="209"/>
      <c r="EO102" s="209"/>
      <c r="EP102" s="209"/>
      <c r="EQ102" s="209"/>
      <c r="ER102" s="209"/>
      <c r="ES102" s="209"/>
      <c r="ET102" s="209"/>
      <c r="EU102" s="209"/>
      <c r="EV102" s="209"/>
      <c r="EW102" s="209"/>
      <c r="EX102" s="209"/>
      <c r="EY102" s="209"/>
      <c r="EZ102" s="209"/>
      <c r="FA102" s="209"/>
      <c r="FB102" s="209"/>
      <c r="FC102" s="209"/>
      <c r="FD102" s="209"/>
      <c r="FE102" s="209"/>
      <c r="FF102" s="209"/>
      <c r="FG102" s="209"/>
      <c r="FH102" s="209"/>
      <c r="FI102" s="209"/>
      <c r="FJ102" s="209"/>
      <c r="FK102" s="209"/>
      <c r="FL102" s="209"/>
      <c r="FM102" s="209"/>
      <c r="FN102" s="209"/>
      <c r="FO102" s="209"/>
      <c r="FP102" s="209"/>
      <c r="FQ102" s="209"/>
      <c r="FR102" s="209"/>
      <c r="FS102" s="209"/>
      <c r="FT102" s="209"/>
      <c r="FU102" s="209"/>
      <c r="FV102" s="209"/>
      <c r="FW102" s="209"/>
      <c r="FX102" s="209"/>
      <c r="FY102" s="209"/>
      <c r="FZ102" s="209"/>
      <c r="GA102" s="209"/>
      <c r="GB102" s="209"/>
      <c r="GC102" s="209"/>
      <c r="GD102" s="209"/>
      <c r="GE102" s="209"/>
      <c r="GF102" s="209"/>
      <c r="GG102" s="209"/>
      <c r="GH102" s="209"/>
      <c r="GI102" s="209"/>
      <c r="GJ102" s="209"/>
      <c r="GK102" s="209"/>
      <c r="GL102" s="209"/>
      <c r="GM102" s="209"/>
      <c r="GN102" s="209"/>
      <c r="GO102" s="209"/>
      <c r="GP102" s="209"/>
      <c r="GQ102" s="209"/>
      <c r="GR102" s="209"/>
      <c r="GS102" s="209"/>
      <c r="GT102" s="209"/>
      <c r="GU102" s="209"/>
      <c r="GV102" s="209"/>
      <c r="GW102" s="209"/>
      <c r="GX102" s="209"/>
      <c r="GY102" s="209"/>
      <c r="GZ102" s="209"/>
      <c r="HA102" s="209"/>
      <c r="HB102" s="209"/>
      <c r="HC102" s="209"/>
      <c r="HD102" s="209"/>
      <c r="HE102" s="209"/>
      <c r="HF102" s="209"/>
      <c r="HG102" s="209"/>
      <c r="HH102" s="209"/>
      <c r="HI102" s="209"/>
      <c r="HJ102" s="209"/>
      <c r="HK102" s="209"/>
      <c r="HL102" s="209"/>
      <c r="HM102" s="209"/>
      <c r="HN102" s="209"/>
      <c r="HO102" s="209"/>
      <c r="HP102" s="209"/>
      <c r="HQ102" s="209"/>
      <c r="HR102" s="209"/>
      <c r="HS102" s="209"/>
      <c r="HT102" s="209"/>
      <c r="HU102" s="209"/>
      <c r="HV102" s="209"/>
      <c r="HW102" s="209"/>
      <c r="HX102" s="209"/>
      <c r="HY102" s="209"/>
      <c r="HZ102" s="209"/>
      <c r="IA102" s="209"/>
      <c r="IB102" s="209"/>
      <c r="IC102" s="209"/>
      <c r="ID102" s="209"/>
      <c r="IE102" s="209"/>
      <c r="IF102" s="209"/>
      <c r="IG102" s="209"/>
      <c r="IH102" s="209"/>
      <c r="II102" s="209"/>
      <c r="IJ102" s="209"/>
      <c r="IK102" s="209"/>
      <c r="IL102" s="209"/>
      <c r="IM102" s="209"/>
      <c r="IN102" s="209"/>
      <c r="IO102" s="209"/>
      <c r="IP102" s="209"/>
      <c r="IQ102" s="209"/>
      <c r="IR102" s="209"/>
      <c r="IS102" s="209"/>
      <c r="IT102" s="209"/>
      <c r="IU102" s="209"/>
      <c r="IV102" s="209"/>
      <c r="IW102" s="209"/>
      <c r="IX102" s="209"/>
    </row>
    <row r="103" s="209" customFormat="true" ht="17.4" hidden="false" customHeight="false" outlineLevel="0" collapsed="false">
      <c r="A103" s="99"/>
      <c r="B103" s="31"/>
      <c r="C103" s="30"/>
      <c r="D103" s="85" t="s">
        <v>134</v>
      </c>
      <c r="E103" s="217" t="n">
        <f aca="false">IF(AND($F$2="No",$F$3="No"),SUM(J103:K103)*'Input data plant-based products'!O$125,IF(AND($F$2="Yes", $F$3="No"), (SUM(J103:K103)+Q103)*'Input data plant-based products'!O$125, IF(AND($F$2="No", $F$3="Yes"),(SUM(J103:K103)+P103)*'Input data plant-based products'!O$125, (SUM(J103:K103)+Q103+P103)*'Input data plant-based products'!O$125)))</f>
        <v>-0.182278096282763</v>
      </c>
      <c r="F103" s="89" t="n">
        <f aca="false">IF(AND($F$2="No",$F$3="No"),SUM(H103:O103)*'Input data plant-based products'!O$125,IF(AND($F$2="Yes", $F$3="No"), (SUM(H103:O103)+Q103)*'Input data plant-based products'!O$125, IF(AND($F$2="No", $F$3="Yes"),(SUM(H103:O103)+P103)*'Input data plant-based products'!O$125, (SUM(H103:O103)+Q103+P103)*'Input data plant-based products'!O$125)))</f>
        <v>0.317148891797082</v>
      </c>
      <c r="G103" s="88" t="n">
        <f aca="false">SUM(S103:U103)/(1-'Common input data'!$B$124)</f>
        <v>2.19136555981148</v>
      </c>
      <c r="H103" s="87" t="n">
        <f aca="false">('Input data plant-based products'!$F$103*('Common input data'!$C$76*'Common input data'!B69+'Common input data'!$C$77*'Common input data'!C69))/'Input data plant-based products'!$E$103</f>
        <v>0.0323158590784829</v>
      </c>
      <c r="I103" s="89" t="n">
        <f aca="false">'Common input data'!$B$81</f>
        <v>0.03</v>
      </c>
      <c r="J103" s="87" t="n">
        <v>0</v>
      </c>
      <c r="K103" s="89" t="n">
        <v>0</v>
      </c>
      <c r="L103" s="87" t="n">
        <f aca="false">('Input data plant-based products'!$I$103*'Common input data'!$C$59*'Common input data'!H49)/'Input data plant-based products'!$E$103</f>
        <v>0.13739763496144</v>
      </c>
      <c r="M103" s="89" t="n">
        <v>0</v>
      </c>
      <c r="N103" s="89" t="n">
        <f aca="false">'Input data plant-based products'!F$152</f>
        <v>0.05</v>
      </c>
      <c r="O103" s="89" t="n">
        <v>0</v>
      </c>
      <c r="P103" s="89" t="n">
        <f aca="false">'Common input data'!$F$13</f>
        <v>-0.0911390481413813</v>
      </c>
      <c r="Q103" s="89" t="n">
        <v>0</v>
      </c>
      <c r="R103" s="89" t="n">
        <f aca="false">'Input data plant-based products'!G$125*3.6*'Common input data'!C49+'Input data plant-based products'!H$125*3.6*'Common input data'!G49</f>
        <v>0.01334772</v>
      </c>
      <c r="S103" s="89" t="n">
        <f aca="false">(F103+R103)*'Input data plant-based products'!C$130</f>
        <v>1.51036951591267</v>
      </c>
      <c r="T103" s="89" t="n">
        <f aca="false">'Common input data'!B$87</f>
        <v>0.3</v>
      </c>
      <c r="U103" s="89" t="n">
        <f aca="false">'Common input data'!B100+'Common input data'!C100</f>
        <v>0.23</v>
      </c>
      <c r="V103" s="309"/>
      <c r="W103" s="92"/>
      <c r="Z103" s="30"/>
    </row>
    <row r="104" s="209" customFormat="true" ht="17.4" hidden="false" customHeight="false" outlineLevel="0" collapsed="false">
      <c r="A104" s="99"/>
      <c r="B104" s="31"/>
      <c r="C104" s="93"/>
      <c r="D104" s="85" t="s">
        <v>135</v>
      </c>
      <c r="E104" s="217" t="n">
        <f aca="false">SUM(J104:K104)*'Input data plant-based products'!O$125</f>
        <v>0</v>
      </c>
      <c r="F104" s="89" t="n">
        <f aca="false">SUM(H104:O104)*'Input data plant-based products'!O$125</f>
        <v>0.000121725323531105</v>
      </c>
      <c r="G104" s="88" t="n">
        <f aca="false">SUM(S104:U104)/(1-'Common input data'!$B$124)</f>
        <v>0.000886479546487901</v>
      </c>
      <c r="H104" s="87" t="n">
        <f aca="false">('Input data plant-based products'!$F$103*('Common input data'!$C$76*'Common input data'!B70+'Common input data'!$C$77*'Common input data'!C70))/'Input data plant-based products'!$E$103</f>
        <v>1.42485347043702E-010</v>
      </c>
      <c r="I104" s="89" t="n">
        <v>0</v>
      </c>
      <c r="J104" s="87" t="n">
        <v>0</v>
      </c>
      <c r="K104" s="89" t="n">
        <v>0</v>
      </c>
      <c r="L104" s="87" t="n">
        <f aca="false">('Input data plant-based products'!$I$103*'Common input data'!$C$59*'Common input data'!H50)/'Input data plant-based products'!$E$103</f>
        <v>6.08625192802057E-005</v>
      </c>
      <c r="M104" s="89" t="n">
        <v>0</v>
      </c>
      <c r="N104" s="89" t="n">
        <v>0</v>
      </c>
      <c r="O104" s="89" t="n">
        <v>0</v>
      </c>
      <c r="P104" s="89" t="n">
        <v>0</v>
      </c>
      <c r="Q104" s="89" t="n">
        <v>0</v>
      </c>
      <c r="R104" s="89" t="n">
        <f aca="false">'Input data plant-based products'!G$125*3.6*'Common input data'!C50+'Input data plant-based products'!H$125*3.6*'Common input data'!G50</f>
        <v>5.888664E-005</v>
      </c>
      <c r="S104" s="89" t="n">
        <f aca="false">(F104+R104)*'Input data plant-based products'!C$130</f>
        <v>0.000825396673337152</v>
      </c>
      <c r="T104" s="89" t="n">
        <v>0</v>
      </c>
      <c r="U104" s="89" t="n">
        <v>0</v>
      </c>
      <c r="V104" s="309"/>
      <c r="W104" s="92"/>
      <c r="Z104" s="30"/>
    </row>
    <row r="105" s="209" customFormat="true" ht="17.4" hidden="false" customHeight="false" outlineLevel="0" collapsed="false">
      <c r="A105" s="74"/>
      <c r="B105" s="101"/>
      <c r="C105" s="87"/>
      <c r="D105" s="31" t="s">
        <v>136</v>
      </c>
      <c r="E105" s="217" t="n">
        <f aca="false">SUM(J105:K105)*'Input data plant-based products'!O$125</f>
        <v>0.000418970673102146</v>
      </c>
      <c r="F105" s="89" t="n">
        <f aca="false">SUM(H105:O105)*'Input data plant-based products'!O$125</f>
        <v>0.000779388795789007</v>
      </c>
      <c r="G105" s="88" t="n">
        <f aca="false">SUM(S105:U105)/(1-'Common input data'!$B$124)</f>
        <v>0.00384247539616877</v>
      </c>
      <c r="H105" s="87" t="n">
        <f aca="false">('Input data plant-based products'!$F$103*('Common input data'!$C$76*'Common input data'!B71+'Common input data'!$C$77*'Common input data'!C71))/'Input data plant-based products'!$E$103</f>
        <v>0.000176517133322865</v>
      </c>
      <c r="I105" s="87" t="n">
        <v>0</v>
      </c>
      <c r="J105" s="87" t="n">
        <f aca="false">(SUM('Input data plant-based products'!F103:H103)*'Input data plant-based products'!$B$114*44/28)/'Input data plant-based products'!E103</f>
        <v>0.00019044121504643</v>
      </c>
      <c r="K105" s="89" t="n">
        <f aca="false">J105*'Input data plant-based products'!$B$115</f>
        <v>1.9044121504643E-005</v>
      </c>
      <c r="L105" s="87" t="n">
        <f aca="false">('Input data plant-based products'!$I$103*'Common input data'!$C$59*'Common input data'!H51)/'Input data plant-based products'!$E$103</f>
        <v>3.69192802056555E-006</v>
      </c>
      <c r="M105" s="89" t="n">
        <v>0</v>
      </c>
      <c r="N105" s="89" t="n">
        <v>0</v>
      </c>
      <c r="O105" s="89" t="n">
        <v>0</v>
      </c>
      <c r="P105" s="89" t="n">
        <v>0</v>
      </c>
      <c r="Q105" s="89" t="n">
        <v>0</v>
      </c>
      <c r="R105" s="89" t="n">
        <f aca="false">'Input data plant-based products'!G$125*3.6*'Common input data'!C51+'Input data plant-based products'!H$125*3.6*'Common input data'!G51</f>
        <v>3.479832E-006</v>
      </c>
      <c r="S105" s="89" t="n">
        <f aca="false">(F105+R105)*'Input data plant-based products'!C$130</f>
        <v>0.00357770962899576</v>
      </c>
      <c r="T105" s="89" t="n">
        <v>0</v>
      </c>
      <c r="U105" s="89" t="n">
        <v>0</v>
      </c>
      <c r="V105" s="309"/>
      <c r="W105" s="92"/>
      <c r="Z105" s="30"/>
    </row>
    <row r="106" s="332" customFormat="true" ht="17.4" hidden="false" customHeight="false" outlineLevel="0" collapsed="false">
      <c r="A106" s="75" t="s">
        <v>141</v>
      </c>
      <c r="B106" s="76" t="s">
        <v>254</v>
      </c>
      <c r="C106" s="97" t="n">
        <f aca="false">'Input data plant-based products'!D104</f>
        <v>0.05</v>
      </c>
      <c r="D106" s="78" t="s">
        <v>133</v>
      </c>
      <c r="E106" s="94" t="n">
        <f aca="false">IF($F$1="GWP100 without fb",E107+E108*'Common input data'!$C$5+E109*'Common input data'!$D$5,IF($F$1="GWP100 with fb",E107+E108*'Common input data'!$C$6+E109*'Common input data'!$D$6,IF($F$1="GTP100 without fb",E107+E108*'Common input data'!$C$7+E109*'Common input data'!$D$7,IF($F$1="GTP100 with fb",E107+E108*'Common input data'!$C$8+E109*'Common input data'!$D$8,E107+E108*'Common input data'!$C$9+E109*'Common input data'!$D$9))))</f>
        <v>-0.0588481556164002</v>
      </c>
      <c r="F106" s="95" t="n">
        <f aca="false">IF($F$1="GWP100 without fb",F107+F108*'Common input data'!$C$5+F109*'Common input data'!$D$5,IF($F$1="GWP100 with fb",F107+F108*'Common input data'!$C$6+F109*'Common input data'!$D$6,IF($F$1="GTP100 without fb",F107+F108*'Common input data'!$C$7+F109*'Common input data'!$D$7,IF($F$1="GTP100 with fb",F107+F108*'Common input data'!$C$8+F109*'Common input data'!$D$8,F107+F108*'Common input data'!$C$9+F109*'Common input data'!$D$9))))</f>
        <v>0.574773998927355</v>
      </c>
      <c r="G106" s="96" t="n">
        <f aca="false">IF($F$1="GWP100 without fb",G107+G108*'Common input data'!$C$5+G109*'Common input data'!$D$5,IF($F$1="GWP100 with fb",G107+G108*'Common input data'!$C$6+G109*'Common input data'!$D$6,IF($F$1="GTP100 without fb",G107+G108*'Common input data'!$C$7+G109*'Common input data'!$D$7,IF($F$1="GTP100 with fb",G107+G108*'Common input data'!$C$8+G109*'Common input data'!$D$8,G107+G108*'Common input data'!$C$9+G109*'Common input data'!$D$9))))</f>
        <v>3.47075766235318</v>
      </c>
      <c r="H106" s="83"/>
      <c r="I106" s="83"/>
      <c r="J106" s="83"/>
      <c r="K106" s="83"/>
      <c r="L106" s="83"/>
      <c r="M106" s="83"/>
      <c r="N106" s="83"/>
      <c r="O106" s="83"/>
      <c r="P106" s="83"/>
      <c r="Q106" s="83"/>
      <c r="R106" s="83"/>
      <c r="S106" s="83"/>
      <c r="T106" s="83"/>
      <c r="U106" s="83"/>
      <c r="V106" s="309"/>
      <c r="W106" s="92"/>
      <c r="X106" s="209"/>
      <c r="Y106" s="209"/>
      <c r="Z106" s="30"/>
      <c r="AA106" s="209"/>
      <c r="AB106" s="209"/>
      <c r="AC106" s="209"/>
      <c r="AD106" s="209"/>
      <c r="AE106" s="209"/>
      <c r="AF106" s="209"/>
      <c r="AG106" s="209"/>
      <c r="AH106" s="209"/>
      <c r="AI106" s="209"/>
      <c r="AJ106" s="209"/>
      <c r="AK106" s="209"/>
      <c r="AL106" s="209"/>
      <c r="AM106" s="209"/>
      <c r="AN106" s="209"/>
      <c r="AO106" s="209"/>
      <c r="AP106" s="209"/>
      <c r="AQ106" s="209"/>
      <c r="AR106" s="209"/>
      <c r="AS106" s="209"/>
      <c r="AT106" s="209"/>
      <c r="AU106" s="209"/>
      <c r="AV106" s="209"/>
      <c r="AW106" s="209"/>
      <c r="AX106" s="209"/>
      <c r="AY106" s="209"/>
      <c r="AZ106" s="209"/>
      <c r="BA106" s="209"/>
      <c r="BB106" s="209"/>
      <c r="BC106" s="209"/>
      <c r="BD106" s="209"/>
      <c r="BE106" s="209"/>
      <c r="BF106" s="209"/>
      <c r="BG106" s="209"/>
      <c r="BH106" s="209"/>
      <c r="BI106" s="209"/>
      <c r="BJ106" s="209"/>
      <c r="BK106" s="209"/>
      <c r="BL106" s="209"/>
      <c r="BM106" s="209"/>
      <c r="BN106" s="209"/>
      <c r="BO106" s="209"/>
      <c r="BP106" s="209"/>
      <c r="BQ106" s="209"/>
      <c r="BR106" s="209"/>
      <c r="BS106" s="209"/>
      <c r="BT106" s="209"/>
      <c r="BU106" s="209"/>
      <c r="BV106" s="209"/>
      <c r="BW106" s="209"/>
      <c r="BX106" s="209"/>
      <c r="BY106" s="209"/>
      <c r="BZ106" s="209"/>
      <c r="CA106" s="209"/>
      <c r="CB106" s="209"/>
      <c r="CC106" s="209"/>
      <c r="CD106" s="209"/>
      <c r="CE106" s="209"/>
      <c r="CF106" s="209"/>
      <c r="CG106" s="209"/>
      <c r="CH106" s="209"/>
      <c r="CI106" s="209"/>
      <c r="CJ106" s="209"/>
      <c r="CK106" s="209"/>
      <c r="CL106" s="209"/>
      <c r="CM106" s="209"/>
      <c r="CN106" s="209"/>
      <c r="CO106" s="209"/>
      <c r="CP106" s="209"/>
      <c r="CQ106" s="209"/>
      <c r="CR106" s="209"/>
      <c r="CS106" s="209"/>
      <c r="CT106" s="209"/>
      <c r="CU106" s="209"/>
      <c r="CV106" s="209"/>
      <c r="CW106" s="209"/>
      <c r="CX106" s="209"/>
      <c r="CY106" s="209"/>
      <c r="CZ106" s="209"/>
      <c r="DA106" s="209"/>
      <c r="DB106" s="209"/>
      <c r="DC106" s="209"/>
      <c r="DD106" s="209"/>
      <c r="DE106" s="209"/>
      <c r="DF106" s="209"/>
      <c r="DG106" s="209"/>
      <c r="DH106" s="209"/>
      <c r="DI106" s="209"/>
      <c r="DJ106" s="209"/>
      <c r="DK106" s="209"/>
      <c r="DL106" s="209"/>
      <c r="DM106" s="209"/>
      <c r="DN106" s="209"/>
      <c r="DO106" s="209"/>
      <c r="DP106" s="209"/>
      <c r="DQ106" s="209"/>
      <c r="DR106" s="209"/>
      <c r="DS106" s="209"/>
      <c r="DT106" s="209"/>
      <c r="DU106" s="209"/>
      <c r="DV106" s="209"/>
      <c r="DW106" s="209"/>
      <c r="DX106" s="209"/>
      <c r="DY106" s="209"/>
      <c r="DZ106" s="209"/>
      <c r="EA106" s="209"/>
      <c r="EB106" s="209"/>
      <c r="EC106" s="209"/>
      <c r="ED106" s="209"/>
      <c r="EE106" s="209"/>
      <c r="EF106" s="209"/>
      <c r="EG106" s="209"/>
      <c r="EH106" s="209"/>
      <c r="EI106" s="209"/>
      <c r="EJ106" s="209"/>
      <c r="EK106" s="209"/>
      <c r="EL106" s="209"/>
      <c r="EM106" s="209"/>
      <c r="EN106" s="209"/>
      <c r="EO106" s="209"/>
      <c r="EP106" s="209"/>
      <c r="EQ106" s="209"/>
      <c r="ER106" s="209"/>
      <c r="ES106" s="209"/>
      <c r="ET106" s="209"/>
      <c r="EU106" s="209"/>
      <c r="EV106" s="209"/>
      <c r="EW106" s="209"/>
      <c r="EX106" s="209"/>
      <c r="EY106" s="209"/>
      <c r="EZ106" s="209"/>
      <c r="FA106" s="209"/>
      <c r="FB106" s="209"/>
      <c r="FC106" s="209"/>
      <c r="FD106" s="209"/>
      <c r="FE106" s="209"/>
      <c r="FF106" s="209"/>
      <c r="FG106" s="209"/>
      <c r="FH106" s="209"/>
      <c r="FI106" s="209"/>
      <c r="FJ106" s="209"/>
      <c r="FK106" s="209"/>
      <c r="FL106" s="209"/>
      <c r="FM106" s="209"/>
      <c r="FN106" s="209"/>
      <c r="FO106" s="209"/>
      <c r="FP106" s="209"/>
      <c r="FQ106" s="209"/>
      <c r="FR106" s="209"/>
      <c r="FS106" s="209"/>
      <c r="FT106" s="209"/>
      <c r="FU106" s="209"/>
      <c r="FV106" s="209"/>
      <c r="FW106" s="209"/>
      <c r="FX106" s="209"/>
      <c r="FY106" s="209"/>
      <c r="FZ106" s="209"/>
      <c r="GA106" s="209"/>
      <c r="GB106" s="209"/>
      <c r="GC106" s="209"/>
      <c r="GD106" s="209"/>
      <c r="GE106" s="209"/>
      <c r="GF106" s="209"/>
      <c r="GG106" s="209"/>
      <c r="GH106" s="209"/>
      <c r="GI106" s="209"/>
      <c r="GJ106" s="209"/>
      <c r="GK106" s="209"/>
      <c r="GL106" s="209"/>
      <c r="GM106" s="209"/>
      <c r="GN106" s="209"/>
      <c r="GO106" s="209"/>
      <c r="GP106" s="209"/>
      <c r="GQ106" s="209"/>
      <c r="GR106" s="209"/>
      <c r="GS106" s="209"/>
      <c r="GT106" s="209"/>
      <c r="GU106" s="209"/>
      <c r="GV106" s="209"/>
      <c r="GW106" s="209"/>
      <c r="GX106" s="209"/>
      <c r="GY106" s="209"/>
      <c r="GZ106" s="209"/>
      <c r="HA106" s="209"/>
      <c r="HB106" s="209"/>
      <c r="HC106" s="209"/>
      <c r="HD106" s="209"/>
      <c r="HE106" s="209"/>
      <c r="HF106" s="209"/>
      <c r="HG106" s="209"/>
      <c r="HH106" s="209"/>
      <c r="HI106" s="209"/>
      <c r="HJ106" s="209"/>
      <c r="HK106" s="209"/>
      <c r="HL106" s="209"/>
      <c r="HM106" s="209"/>
      <c r="HN106" s="209"/>
      <c r="HO106" s="209"/>
      <c r="HP106" s="209"/>
      <c r="HQ106" s="209"/>
      <c r="HR106" s="209"/>
      <c r="HS106" s="209"/>
      <c r="HT106" s="209"/>
      <c r="HU106" s="209"/>
      <c r="HV106" s="209"/>
      <c r="HW106" s="209"/>
      <c r="HX106" s="209"/>
      <c r="HY106" s="209"/>
      <c r="HZ106" s="209"/>
      <c r="IA106" s="209"/>
      <c r="IB106" s="209"/>
      <c r="IC106" s="209"/>
      <c r="ID106" s="209"/>
      <c r="IE106" s="209"/>
      <c r="IF106" s="209"/>
      <c r="IG106" s="209"/>
      <c r="IH106" s="209"/>
      <c r="II106" s="209"/>
      <c r="IJ106" s="209"/>
      <c r="IK106" s="209"/>
      <c r="IL106" s="209"/>
      <c r="IM106" s="209"/>
      <c r="IN106" s="209"/>
      <c r="IO106" s="209"/>
      <c r="IP106" s="209"/>
      <c r="IQ106" s="209"/>
      <c r="IR106" s="209"/>
      <c r="IS106" s="209"/>
      <c r="IT106" s="209"/>
      <c r="IU106" s="209"/>
      <c r="IV106" s="209"/>
      <c r="IW106" s="209"/>
      <c r="IX106" s="209"/>
    </row>
    <row r="107" s="209" customFormat="true" ht="17.4" hidden="false" customHeight="false" outlineLevel="0" collapsed="false">
      <c r="A107" s="99"/>
      <c r="B107" s="31"/>
      <c r="C107" s="30"/>
      <c r="D107" s="85" t="s">
        <v>134</v>
      </c>
      <c r="E107" s="217" t="n">
        <f aca="false">IF(AND($F$2="No",$F$3="No"),SUM(J107:K107)*'Input data plant-based products'!O$125,IF(AND($F$2="Yes", $F$3="No"), (SUM(J107:K107)+Q107)*'Input data plant-based products'!O$125, IF(AND($F$2="No", $F$3="Yes"),(SUM(J107:K107)+P107)*'Input data plant-based products'!O$125, (SUM(J107:K107)+Q107+P107)*'Input data plant-based products'!O$125)))</f>
        <v>-0.182278096282763</v>
      </c>
      <c r="F107" s="89" t="n">
        <f aca="false">IF(AND($F$2="No",$F$3="No"),SUM(H107:O107)*'Input data plant-based products'!O$125,IF(AND($F$2="Yes", $F$3="No"), (SUM(H107:O107)+Q107)*'Input data plant-based products'!O$125, IF(AND($F$2="No", $F$3="Yes"),(SUM(H107:O107)+P107)*'Input data plant-based products'!O$125, (SUM(H107:O107)+Q107+P107)*'Input data plant-based products'!O$125)))</f>
        <v>0.340445705830735</v>
      </c>
      <c r="G107" s="88" t="n">
        <f aca="false">SUM(S107:U107)/(1-'Common input data'!$B$124)</f>
        <v>2.30571097046645</v>
      </c>
      <c r="H107" s="87" t="n">
        <f aca="false">('Input data plant-based products'!$F$104*('Common input data'!$C$76*'Common input data'!B69+'Common input data'!$C$77*'Common input data'!C69))/'Input data plant-based products'!$E$104</f>
        <v>0.0319474601621801</v>
      </c>
      <c r="I107" s="89" t="n">
        <f aca="false">'Common input data'!$B$81</f>
        <v>0.03</v>
      </c>
      <c r="J107" s="87" t="n">
        <v>0</v>
      </c>
      <c r="K107" s="89" t="n">
        <v>0</v>
      </c>
      <c r="L107" s="87" t="n">
        <f aca="false">('Input data plant-based products'!$I$104*'Common input data'!$C$59*'Common input data'!H49)/'Input data plant-based products'!$E$104</f>
        <v>0.149414440894569</v>
      </c>
      <c r="M107" s="89" t="n">
        <v>0</v>
      </c>
      <c r="N107" s="89" t="n">
        <f aca="false">'Input data plant-based products'!F$152</f>
        <v>0.05</v>
      </c>
      <c r="O107" s="89" t="n">
        <v>0</v>
      </c>
      <c r="P107" s="89" t="n">
        <f aca="false">'Common input data'!$F$13</f>
        <v>-0.0911390481413813</v>
      </c>
      <c r="Q107" s="89" t="n">
        <v>0</v>
      </c>
      <c r="R107" s="89" t="n">
        <f aca="false">'Input data plant-based products'!G$125*3.6*'Common input data'!C49+'Input data plant-based products'!H$125*3.6*'Common input data'!G49</f>
        <v>0.01334772</v>
      </c>
      <c r="S107" s="89" t="n">
        <f aca="false">(F107+R107)*'Input data plant-based products'!C$130</f>
        <v>1.61683595604646</v>
      </c>
      <c r="T107" s="89" t="n">
        <f aca="false">'Common input data'!B$87</f>
        <v>0.3</v>
      </c>
      <c r="U107" s="87" t="n">
        <f aca="false">'Common input data'!B102+'Common input data'!C102</f>
        <v>0.23</v>
      </c>
      <c r="V107" s="309"/>
      <c r="W107" s="92"/>
      <c r="Z107" s="30"/>
    </row>
    <row r="108" s="209" customFormat="true" ht="17.4" hidden="false" customHeight="false" outlineLevel="0" collapsed="false">
      <c r="A108" s="74"/>
      <c r="B108" s="31"/>
      <c r="C108" s="93"/>
      <c r="D108" s="85" t="s">
        <v>135</v>
      </c>
      <c r="E108" s="217" t="n">
        <f aca="false">SUM(J108:K108)*'Input data plant-based products'!O$125</f>
        <v>0</v>
      </c>
      <c r="F108" s="89" t="n">
        <f aca="false">SUM(H108:O108)*'Input data plant-based products'!O$125</f>
        <v>0.000132371399932907</v>
      </c>
      <c r="G108" s="88" t="n">
        <f aca="false">SUM(S108:U108)/(1-'Common input data'!$B$124)</f>
        <v>0.000938732613206372</v>
      </c>
      <c r="H108" s="87" t="n">
        <f aca="false">('Input data plant-based products'!$F$104*('Common input data'!$C$76*'Common input data'!B70+'Common input data'!$C$77*'Common input data'!C70))/'Input data plant-based products'!$E$104</f>
        <v>1.40861022364217E-010</v>
      </c>
      <c r="I108" s="87" t="n">
        <v>0</v>
      </c>
      <c r="J108" s="87" t="n">
        <v>0</v>
      </c>
      <c r="K108" s="87" t="n">
        <v>0</v>
      </c>
      <c r="L108" s="87" t="n">
        <f aca="false">('Input data plant-based products'!$I$104*'Common input data'!$C$59*'Common input data'!H50)/'Input data plant-based products'!$E$104</f>
        <v>6.61855591054313E-005</v>
      </c>
      <c r="M108" s="89" t="n">
        <v>0</v>
      </c>
      <c r="N108" s="89" t="n">
        <v>0</v>
      </c>
      <c r="O108" s="89" t="n">
        <v>0</v>
      </c>
      <c r="P108" s="89" t="n">
        <v>0</v>
      </c>
      <c r="Q108" s="89" t="n">
        <v>0</v>
      </c>
      <c r="R108" s="89" t="n">
        <f aca="false">'Input data plant-based products'!G$125*3.6*'Common input data'!C50+'Input data plant-based products'!H$125*3.6*'Common input data'!G50</f>
        <v>5.888664E-005</v>
      </c>
      <c r="S108" s="89" t="n">
        <f aca="false">(F108+R108)*'Input data plant-based products'!C$130</f>
        <v>0.000874049242493387</v>
      </c>
      <c r="T108" s="89" t="n">
        <v>0</v>
      </c>
      <c r="U108" s="89" t="n">
        <v>0</v>
      </c>
      <c r="V108" s="309"/>
      <c r="W108" s="92"/>
      <c r="Z108" s="30"/>
    </row>
    <row r="109" s="209" customFormat="true" ht="17.4" hidden="false" customHeight="false" outlineLevel="0" collapsed="false">
      <c r="A109" s="100"/>
      <c r="B109" s="101"/>
      <c r="C109" s="87"/>
      <c r="D109" s="31" t="s">
        <v>136</v>
      </c>
      <c r="E109" s="219" t="n">
        <f aca="false">SUM(J109:K109)*'Input data plant-based products'!O$125</f>
        <v>0.000414194431766317</v>
      </c>
      <c r="F109" s="126" t="n">
        <f aca="false">SUM(H109:O109)*'Input data plant-based products'!O$125</f>
        <v>0.000771233776841949</v>
      </c>
      <c r="G109" s="106" t="n">
        <f aca="false">SUM(S109:U109)/(1-'Common input data'!$B$124)</f>
        <v>0.00380244893636816</v>
      </c>
      <c r="H109" s="87" t="n">
        <f aca="false">('Input data plant-based products'!$F$104*('Common input data'!$C$76*'Common input data'!B71+'Common input data'!$C$77*'Common input data'!C71))/'Input data plant-based products'!$E$104</f>
        <v>0.000174504848256666</v>
      </c>
      <c r="I109" s="87" t="n">
        <v>0</v>
      </c>
      <c r="J109" s="87" t="n">
        <f aca="false">(SUM('Input data plant-based products'!F104:H104)*'Input data plant-based products'!$B$114*44/28)/'Input data plant-based products'!E104</f>
        <v>0.000188270196257417</v>
      </c>
      <c r="K109" s="89" t="n">
        <f aca="false">J109*'Input data plant-based products'!$B$115</f>
        <v>1.88270196257417E-005</v>
      </c>
      <c r="L109" s="87" t="n">
        <f aca="false">('Input data plant-based products'!$I$104*'Common input data'!$C$59*'Common input data'!H51)/'Input data plant-based products'!$E$104</f>
        <v>4.01482428115016E-006</v>
      </c>
      <c r="M109" s="89" t="n">
        <v>0</v>
      </c>
      <c r="N109" s="89" t="n">
        <v>0</v>
      </c>
      <c r="O109" s="89" t="n">
        <v>0</v>
      </c>
      <c r="P109" s="89" t="n">
        <v>0</v>
      </c>
      <c r="Q109" s="89" t="n">
        <v>0</v>
      </c>
      <c r="R109" s="89" t="n">
        <f aca="false">'Input data plant-based products'!G$125*3.6*'Common input data'!C51+'Input data plant-based products'!H$125*3.6*'Common input data'!G51</f>
        <v>3.479832E-006</v>
      </c>
      <c r="S109" s="89" t="n">
        <f aca="false">(F109+R109)*'Input data plant-based products'!C$130</f>
        <v>0.00354044119240771</v>
      </c>
      <c r="T109" s="89" t="n">
        <v>0</v>
      </c>
      <c r="U109" s="89" t="n">
        <v>0</v>
      </c>
      <c r="V109" s="309"/>
      <c r="W109" s="92"/>
      <c r="Z109" s="30"/>
    </row>
    <row r="110" s="334" customFormat="true" ht="17.4" hidden="false" customHeight="false" outlineLevel="0" collapsed="false">
      <c r="A110" s="107" t="s">
        <v>286</v>
      </c>
      <c r="B110" s="108"/>
      <c r="C110" s="69"/>
      <c r="D110" s="109"/>
      <c r="E110" s="110" t="s">
        <v>287</v>
      </c>
      <c r="F110" s="111" t="s">
        <v>287</v>
      </c>
      <c r="G110" s="112" t="s">
        <v>288</v>
      </c>
      <c r="H110" s="69"/>
      <c r="I110" s="69"/>
      <c r="J110" s="69"/>
      <c r="K110" s="113"/>
      <c r="L110" s="113"/>
      <c r="M110" s="114"/>
      <c r="N110" s="113"/>
      <c r="O110" s="113"/>
      <c r="P110" s="113"/>
      <c r="Q110" s="113"/>
      <c r="R110" s="113"/>
      <c r="S110" s="113"/>
      <c r="T110" s="113"/>
      <c r="U110" s="113"/>
      <c r="V110" s="74"/>
      <c r="W110" s="30"/>
      <c r="X110" s="30"/>
      <c r="Y110" s="30"/>
      <c r="Z110" s="30"/>
      <c r="AA110" s="30"/>
      <c r="AB110" s="30"/>
      <c r="AC110" s="30"/>
      <c r="AD110" s="30"/>
      <c r="AE110" s="30"/>
      <c r="AF110" s="30"/>
      <c r="AG110" s="30"/>
      <c r="AH110" s="30"/>
      <c r="AI110" s="30"/>
      <c r="AJ110" s="30"/>
      <c r="AK110" s="30"/>
      <c r="AL110" s="209"/>
      <c r="AM110" s="209"/>
      <c r="AN110" s="209"/>
      <c r="AO110" s="209"/>
      <c r="AP110" s="209"/>
      <c r="AQ110" s="209"/>
      <c r="AR110" s="209"/>
      <c r="AS110" s="209"/>
      <c r="AT110" s="209"/>
      <c r="AU110" s="209"/>
      <c r="AV110" s="209"/>
      <c r="AW110" s="209"/>
      <c r="AX110" s="209"/>
      <c r="AY110" s="209"/>
      <c r="AZ110" s="209"/>
      <c r="BA110" s="209"/>
      <c r="BB110" s="209"/>
      <c r="BC110" s="209"/>
      <c r="BD110" s="209"/>
      <c r="BE110" s="209"/>
      <c r="BF110" s="209"/>
      <c r="BG110" s="209"/>
      <c r="BH110" s="209"/>
      <c r="BI110" s="209"/>
      <c r="BJ110" s="209"/>
      <c r="BK110" s="209"/>
      <c r="BL110" s="209"/>
      <c r="BM110" s="209"/>
      <c r="BN110" s="209"/>
      <c r="BO110" s="209"/>
      <c r="BP110" s="209"/>
      <c r="BQ110" s="209"/>
      <c r="BR110" s="209"/>
      <c r="BS110" s="209"/>
      <c r="BT110" s="209"/>
      <c r="BU110" s="209"/>
      <c r="BV110" s="209"/>
      <c r="BW110" s="209"/>
      <c r="BX110" s="209"/>
      <c r="BY110" s="209"/>
      <c r="BZ110" s="209"/>
      <c r="CA110" s="209"/>
      <c r="CB110" s="209"/>
      <c r="CC110" s="209"/>
      <c r="CD110" s="209"/>
      <c r="CE110" s="209"/>
      <c r="CF110" s="209"/>
      <c r="CG110" s="209"/>
      <c r="CH110" s="209"/>
      <c r="CI110" s="209"/>
      <c r="CJ110" s="209"/>
      <c r="CK110" s="209"/>
      <c r="CL110" s="209"/>
      <c r="CM110" s="209"/>
      <c r="CN110" s="209"/>
      <c r="CO110" s="209"/>
      <c r="CP110" s="209"/>
      <c r="CQ110" s="209"/>
      <c r="CR110" s="209"/>
      <c r="CS110" s="209"/>
      <c r="CT110" s="209"/>
      <c r="CU110" s="209"/>
      <c r="CV110" s="209"/>
      <c r="CW110" s="209"/>
      <c r="CX110" s="209"/>
      <c r="CY110" s="209"/>
      <c r="CZ110" s="209"/>
      <c r="DA110" s="209"/>
      <c r="DB110" s="209"/>
      <c r="DC110" s="209"/>
      <c r="DD110" s="209"/>
      <c r="DE110" s="209"/>
      <c r="DF110" s="209"/>
      <c r="DG110" s="209"/>
      <c r="DH110" s="209"/>
      <c r="DI110" s="209"/>
      <c r="DJ110" s="209"/>
      <c r="DK110" s="209"/>
      <c r="DL110" s="209"/>
      <c r="DM110" s="209"/>
      <c r="DN110" s="209"/>
      <c r="DO110" s="209"/>
      <c r="DP110" s="209"/>
      <c r="DQ110" s="209"/>
      <c r="DR110" s="209"/>
      <c r="DS110" s="209"/>
      <c r="DT110" s="209"/>
      <c r="DU110" s="209"/>
      <c r="DV110" s="209"/>
      <c r="DW110" s="209"/>
      <c r="DX110" s="209"/>
      <c r="DY110" s="209"/>
      <c r="DZ110" s="209"/>
      <c r="EA110" s="209"/>
      <c r="EB110" s="209"/>
      <c r="EC110" s="209"/>
      <c r="ED110" s="209"/>
      <c r="EE110" s="209"/>
      <c r="EF110" s="209"/>
      <c r="EG110" s="209"/>
      <c r="EH110" s="209"/>
      <c r="EI110" s="209"/>
      <c r="EJ110" s="209"/>
      <c r="EK110" s="209"/>
      <c r="EL110" s="209"/>
      <c r="EM110" s="209"/>
      <c r="EN110" s="209"/>
      <c r="EO110" s="209"/>
      <c r="EP110" s="209"/>
      <c r="EQ110" s="209"/>
      <c r="ER110" s="209"/>
      <c r="ES110" s="209"/>
      <c r="ET110" s="209"/>
      <c r="EU110" s="209"/>
      <c r="EV110" s="209"/>
      <c r="EW110" s="209"/>
      <c r="EX110" s="209"/>
      <c r="EY110" s="209"/>
      <c r="EZ110" s="209"/>
      <c r="FA110" s="209"/>
      <c r="FB110" s="209"/>
      <c r="FC110" s="209"/>
      <c r="FD110" s="209"/>
      <c r="FE110" s="209"/>
      <c r="FF110" s="209"/>
      <c r="FG110" s="209"/>
      <c r="FH110" s="209"/>
      <c r="FI110" s="209"/>
      <c r="FJ110" s="209"/>
      <c r="FK110" s="209"/>
      <c r="FL110" s="209"/>
      <c r="FM110" s="209"/>
      <c r="FN110" s="209"/>
      <c r="FO110" s="209"/>
      <c r="FP110" s="209"/>
      <c r="FQ110" s="209"/>
      <c r="FR110" s="209"/>
      <c r="FS110" s="209"/>
      <c r="FT110" s="209"/>
      <c r="FU110" s="209"/>
      <c r="FV110" s="209"/>
      <c r="FW110" s="209"/>
      <c r="FX110" s="209"/>
      <c r="FY110" s="209"/>
      <c r="FZ110" s="209"/>
      <c r="GA110" s="209"/>
      <c r="GB110" s="209"/>
      <c r="GC110" s="209"/>
      <c r="GD110" s="209"/>
      <c r="GE110" s="209"/>
      <c r="GF110" s="209"/>
      <c r="GG110" s="209"/>
      <c r="GH110" s="209"/>
      <c r="GI110" s="209"/>
      <c r="GJ110" s="209"/>
      <c r="GK110" s="209"/>
      <c r="GL110" s="209"/>
      <c r="GM110" s="209"/>
      <c r="GN110" s="209"/>
      <c r="GO110" s="209"/>
      <c r="GP110" s="209"/>
      <c r="GQ110" s="209"/>
      <c r="GR110" s="209"/>
      <c r="GS110" s="209"/>
      <c r="GT110" s="209"/>
      <c r="GU110" s="209"/>
      <c r="GV110" s="209"/>
      <c r="GW110" s="209"/>
      <c r="GX110" s="209"/>
      <c r="GY110" s="209"/>
      <c r="GZ110" s="209"/>
      <c r="HA110" s="209"/>
      <c r="HB110" s="209"/>
      <c r="HC110" s="209"/>
      <c r="HD110" s="209"/>
      <c r="HE110" s="209"/>
      <c r="HF110" s="209"/>
      <c r="HG110" s="209"/>
      <c r="HH110" s="209"/>
      <c r="HI110" s="209"/>
      <c r="HJ110" s="209"/>
      <c r="HK110" s="209"/>
      <c r="HL110" s="209"/>
      <c r="HM110" s="209"/>
      <c r="HN110" s="209"/>
      <c r="HO110" s="209"/>
      <c r="HP110" s="209"/>
      <c r="HQ110" s="209"/>
      <c r="HR110" s="209"/>
      <c r="HS110" s="209"/>
      <c r="HT110" s="209"/>
      <c r="HU110" s="209"/>
      <c r="HV110" s="209"/>
      <c r="HW110" s="209"/>
      <c r="HX110" s="209"/>
      <c r="HY110" s="209"/>
      <c r="HZ110" s="209"/>
      <c r="IA110" s="209"/>
      <c r="IB110" s="209"/>
      <c r="IC110" s="209"/>
      <c r="ID110" s="209"/>
      <c r="IE110" s="209"/>
      <c r="IF110" s="209"/>
      <c r="IG110" s="209"/>
      <c r="IH110" s="209"/>
      <c r="II110" s="209"/>
      <c r="IJ110" s="209"/>
      <c r="IK110" s="209"/>
      <c r="IL110" s="209"/>
      <c r="IM110" s="209"/>
      <c r="IN110" s="209"/>
      <c r="IO110" s="209"/>
      <c r="IP110" s="209"/>
      <c r="IQ110" s="209"/>
      <c r="IR110" s="209"/>
      <c r="IS110" s="209"/>
      <c r="IT110" s="209"/>
      <c r="IU110" s="209"/>
      <c r="IV110" s="209"/>
      <c r="IW110" s="209"/>
      <c r="IX110" s="209"/>
    </row>
    <row r="111" s="332" customFormat="true" ht="17.4" hidden="false" customHeight="false" outlineLevel="0" collapsed="false">
      <c r="A111" s="134" t="s">
        <v>137</v>
      </c>
      <c r="B111" s="135" t="s">
        <v>254</v>
      </c>
      <c r="C111" s="136" t="n">
        <f aca="false">'Input data plant-based products'!D38</f>
        <v>1</v>
      </c>
      <c r="D111" s="137" t="s">
        <v>133</v>
      </c>
      <c r="E111" s="79" t="n">
        <f aca="false">IF($F$1="GWP100 without fb",E112+E113*'Common input data'!$C$5+E114*'Common input data'!$D$5,IF($F$1="GWP100 with fb",E112+E113*'Common input data'!$C$6+E114*'Common input data'!$D$6,IF($F$1="GTP100 without fb",E112+E113*'Common input data'!$C$7+E114*'Common input data'!$D$7,IF($F$1="GTP100 with fb",E112+E113*'Common input data'!$C$8+E114*'Common input data'!$D$8,E112+E113*'Common input data'!$C$9+E114*'Common input data'!$D$9))))</f>
        <v>0.400287220326458</v>
      </c>
      <c r="F111" s="80" t="n">
        <f aca="false">IF($F$1="GWP100 without fb",F112+F113*'Common input data'!$C$5+F114*'Common input data'!$D$5,IF($F$1="GWP100 with fb",F112+F113*'Common input data'!$C$6+F114*'Common input data'!$D$6,IF($F$1="GTP100 without fb",F112+F113*'Common input data'!$C$7+F114*'Common input data'!$D$7,IF($F$1="GTP100 with fb",F112+F113*'Common input data'!$C$8+F114*'Common input data'!$D$8,F112+F113*'Common input data'!$C$9+F114*'Common input data'!$D$9))))</f>
        <v>0.824786281005415</v>
      </c>
      <c r="G111" s="81" t="n">
        <f aca="false">IF($F$1="GWP100 without fb",G112+G113*'Common input data'!$C$5+G114*'Common input data'!$D$5,IF($F$1="GWP100 with fb",G112+G113*'Common input data'!$C$6+G114*'Common input data'!$D$6,IF($F$1="GTP100 without fb",G112+G113*'Common input data'!$C$7+G114*'Common input data'!$D$7,IF($F$1="GTP100 with fb",G112+G113*'Common input data'!$C$8+G114*'Common input data'!$D$8,G112+G113*'Common input data'!$C$9+G114*'Common input data'!$D$9))))</f>
        <v>1.52316546097799</v>
      </c>
      <c r="H111" s="80"/>
      <c r="I111" s="261"/>
      <c r="J111" s="261"/>
      <c r="K111" s="262"/>
      <c r="L111" s="262"/>
      <c r="M111" s="262"/>
      <c r="N111" s="262"/>
      <c r="O111" s="262"/>
      <c r="P111" s="262"/>
      <c r="Q111" s="262"/>
      <c r="R111" s="262"/>
      <c r="S111" s="336"/>
      <c r="T111" s="262"/>
      <c r="U111" s="263"/>
      <c r="V111" s="74"/>
      <c r="W111" s="30"/>
      <c r="X111" s="30"/>
      <c r="Y111" s="30"/>
      <c r="Z111" s="30"/>
      <c r="AA111" s="30"/>
      <c r="AB111" s="30"/>
      <c r="AC111" s="30"/>
      <c r="AD111" s="30"/>
      <c r="AE111" s="30"/>
      <c r="AF111" s="30"/>
      <c r="AG111" s="30"/>
      <c r="AH111" s="30"/>
      <c r="AI111" s="30"/>
      <c r="AJ111" s="30"/>
      <c r="AK111" s="30"/>
      <c r="AL111" s="209"/>
      <c r="AM111" s="209"/>
      <c r="AN111" s="209"/>
      <c r="AO111" s="209"/>
      <c r="AP111" s="209"/>
      <c r="AQ111" s="209"/>
      <c r="AR111" s="209"/>
      <c r="AS111" s="209"/>
      <c r="AT111" s="209"/>
      <c r="AU111" s="209"/>
      <c r="AV111" s="209"/>
      <c r="AW111" s="209"/>
      <c r="AX111" s="209"/>
      <c r="AY111" s="209"/>
      <c r="AZ111" s="209"/>
      <c r="BA111" s="209"/>
      <c r="BB111" s="209"/>
      <c r="BC111" s="209"/>
      <c r="BD111" s="209"/>
      <c r="BE111" s="209"/>
      <c r="BF111" s="209"/>
      <c r="BG111" s="209"/>
      <c r="BH111" s="209"/>
      <c r="BI111" s="209"/>
      <c r="BJ111" s="209"/>
      <c r="BK111" s="209"/>
      <c r="BL111" s="209"/>
      <c r="BM111" s="209"/>
      <c r="BN111" s="209"/>
      <c r="BO111" s="209"/>
      <c r="BP111" s="209"/>
      <c r="BQ111" s="209"/>
      <c r="BR111" s="209"/>
      <c r="BS111" s="209"/>
      <c r="BT111" s="209"/>
      <c r="BU111" s="209"/>
      <c r="BV111" s="209"/>
      <c r="BW111" s="209"/>
      <c r="BX111" s="209"/>
      <c r="BY111" s="209"/>
      <c r="BZ111" s="209"/>
      <c r="CA111" s="209"/>
      <c r="CB111" s="209"/>
      <c r="CC111" s="209"/>
      <c r="CD111" s="209"/>
      <c r="CE111" s="209"/>
      <c r="CF111" s="209"/>
      <c r="CG111" s="209"/>
      <c r="CH111" s="209"/>
      <c r="CI111" s="209"/>
      <c r="CJ111" s="209"/>
      <c r="CK111" s="209"/>
      <c r="CL111" s="209"/>
      <c r="CM111" s="209"/>
      <c r="CN111" s="209"/>
      <c r="CO111" s="209"/>
      <c r="CP111" s="209"/>
      <c r="CQ111" s="209"/>
      <c r="CR111" s="209"/>
      <c r="CS111" s="209"/>
      <c r="CT111" s="209"/>
      <c r="CU111" s="209"/>
      <c r="CV111" s="209"/>
      <c r="CW111" s="209"/>
      <c r="CX111" s="209"/>
      <c r="CY111" s="209"/>
      <c r="CZ111" s="209"/>
      <c r="DA111" s="209"/>
      <c r="DB111" s="209"/>
      <c r="DC111" s="209"/>
      <c r="DD111" s="209"/>
      <c r="DE111" s="209"/>
      <c r="DF111" s="209"/>
      <c r="DG111" s="209"/>
      <c r="DH111" s="209"/>
      <c r="DI111" s="209"/>
      <c r="DJ111" s="209"/>
      <c r="DK111" s="209"/>
      <c r="DL111" s="209"/>
      <c r="DM111" s="209"/>
      <c r="DN111" s="209"/>
      <c r="DO111" s="209"/>
      <c r="DP111" s="209"/>
      <c r="DQ111" s="209"/>
      <c r="DR111" s="209"/>
      <c r="DS111" s="209"/>
      <c r="DT111" s="209"/>
      <c r="DU111" s="209"/>
      <c r="DV111" s="209"/>
      <c r="DW111" s="209"/>
      <c r="DX111" s="209"/>
      <c r="DY111" s="209"/>
      <c r="DZ111" s="209"/>
      <c r="EA111" s="209"/>
      <c r="EB111" s="209"/>
      <c r="EC111" s="209"/>
      <c r="ED111" s="209"/>
      <c r="EE111" s="209"/>
      <c r="EF111" s="209"/>
      <c r="EG111" s="209"/>
      <c r="EH111" s="209"/>
      <c r="EI111" s="209"/>
      <c r="EJ111" s="209"/>
      <c r="EK111" s="209"/>
      <c r="EL111" s="209"/>
      <c r="EM111" s="209"/>
      <c r="EN111" s="209"/>
      <c r="EO111" s="209"/>
      <c r="EP111" s="209"/>
      <c r="EQ111" s="209"/>
      <c r="ER111" s="209"/>
      <c r="ES111" s="209"/>
      <c r="ET111" s="209"/>
      <c r="EU111" s="209"/>
      <c r="EV111" s="209"/>
      <c r="EW111" s="209"/>
      <c r="EX111" s="209"/>
      <c r="EY111" s="209"/>
      <c r="EZ111" s="209"/>
      <c r="FA111" s="209"/>
      <c r="FB111" s="209"/>
      <c r="FC111" s="209"/>
      <c r="FD111" s="209"/>
      <c r="FE111" s="209"/>
      <c r="FF111" s="209"/>
      <c r="FG111" s="209"/>
      <c r="FH111" s="209"/>
      <c r="FI111" s="209"/>
      <c r="FJ111" s="209"/>
      <c r="FK111" s="209"/>
      <c r="FL111" s="209"/>
      <c r="FM111" s="209"/>
      <c r="FN111" s="209"/>
      <c r="FO111" s="209"/>
      <c r="FP111" s="209"/>
      <c r="FQ111" s="209"/>
      <c r="FR111" s="209"/>
      <c r="FS111" s="209"/>
      <c r="FT111" s="209"/>
      <c r="FU111" s="209"/>
      <c r="FV111" s="209"/>
      <c r="FW111" s="209"/>
      <c r="FX111" s="209"/>
      <c r="FY111" s="209"/>
      <c r="FZ111" s="209"/>
      <c r="GA111" s="209"/>
      <c r="GB111" s="209"/>
      <c r="GC111" s="209"/>
      <c r="GD111" s="209"/>
      <c r="GE111" s="209"/>
      <c r="GF111" s="209"/>
      <c r="GG111" s="209"/>
      <c r="GH111" s="209"/>
      <c r="GI111" s="209"/>
      <c r="GJ111" s="209"/>
      <c r="GK111" s="209"/>
      <c r="GL111" s="209"/>
      <c r="GM111" s="209"/>
      <c r="GN111" s="209"/>
      <c r="GO111" s="209"/>
      <c r="GP111" s="209"/>
      <c r="GQ111" s="209"/>
      <c r="GR111" s="209"/>
      <c r="GS111" s="209"/>
      <c r="GT111" s="209"/>
      <c r="GU111" s="209"/>
      <c r="GV111" s="209"/>
      <c r="GW111" s="209"/>
      <c r="GX111" s="209"/>
      <c r="GY111" s="209"/>
      <c r="GZ111" s="209"/>
      <c r="HA111" s="209"/>
      <c r="HB111" s="209"/>
      <c r="HC111" s="209"/>
      <c r="HD111" s="209"/>
      <c r="HE111" s="209"/>
      <c r="HF111" s="209"/>
      <c r="HG111" s="209"/>
      <c r="HH111" s="209"/>
      <c r="HI111" s="209"/>
      <c r="HJ111" s="209"/>
      <c r="HK111" s="209"/>
      <c r="HL111" s="209"/>
      <c r="HM111" s="209"/>
      <c r="HN111" s="209"/>
      <c r="HO111" s="209"/>
      <c r="HP111" s="209"/>
      <c r="HQ111" s="209"/>
      <c r="HR111" s="209"/>
      <c r="HS111" s="209"/>
      <c r="HT111" s="209"/>
      <c r="HU111" s="209"/>
      <c r="HV111" s="209"/>
      <c r="HW111" s="209"/>
      <c r="HX111" s="209"/>
      <c r="HY111" s="209"/>
      <c r="HZ111" s="209"/>
      <c r="IA111" s="209"/>
      <c r="IB111" s="209"/>
      <c r="IC111" s="209"/>
      <c r="ID111" s="209"/>
      <c r="IE111" s="209"/>
      <c r="IF111" s="209"/>
      <c r="IG111" s="209"/>
      <c r="IH111" s="209"/>
      <c r="II111" s="209"/>
      <c r="IJ111" s="209"/>
      <c r="IK111" s="209"/>
      <c r="IL111" s="209"/>
      <c r="IM111" s="209"/>
      <c r="IN111" s="209"/>
      <c r="IO111" s="209"/>
      <c r="IP111" s="209"/>
      <c r="IQ111" s="209"/>
      <c r="IR111" s="209"/>
      <c r="IS111" s="209"/>
      <c r="IT111" s="209"/>
      <c r="IU111" s="209"/>
      <c r="IV111" s="209"/>
      <c r="IW111" s="209"/>
      <c r="IX111" s="209"/>
    </row>
    <row r="112" s="209" customFormat="true" ht="17.4" hidden="false" customHeight="false" outlineLevel="0" collapsed="false">
      <c r="A112" s="99"/>
      <c r="B112" s="31"/>
      <c r="C112" s="30"/>
      <c r="D112" s="85" t="s">
        <v>134</v>
      </c>
      <c r="E112" s="217" t="n">
        <f aca="false">IF(AND($F$2="No",$F$3="No"),SUM(J112:K112)*'Input data plant-based products'!O$126,IF(AND($F$2="Yes", $F$3="No"), (SUM(J112:K112)+Q112)*'Input data plant-based products'!O$126, IF(AND($F$2="No", $F$3="Yes"),(SUM(J112:K112)+P112)*'Input data plant-based products'!O$126, (SUM(J112:K112)+Q112+P112)*'Input data plant-based products'!O$126)))</f>
        <v>0.259931665259221</v>
      </c>
      <c r="F112" s="89" t="n">
        <f aca="false">IF(AND($F$2="No",$F$3="No"),SUM(H112:O112)*'Input data plant-based products'!O$126,IF(AND($F$2="Yes", $F$3="No"), (SUM(H112:O112)+Q112)*'Input data plant-based products'!O$126, IF(AND($F$2="No", $F$3="Yes"),(SUM(H112:O112)+P112)*'Input data plant-based products'!O$126, (SUM(H112:O112)+Q112+P112)*'Input data plant-based products'!O$126)))</f>
        <v>0.650312200888948</v>
      </c>
      <c r="G112" s="88" t="n">
        <f aca="false">SUM(S112:U112)/(1-'Common input data'!$B$123)</f>
        <v>1.23674173810697</v>
      </c>
      <c r="H112" s="87" t="n">
        <f aca="false">('Input data plant-based products'!$F$21*('Common input data'!$B$76*'Common input data'!B69+'Common input data'!$B$77*'Common input data'!C69))/'Input data plant-based products'!$E$21</f>
        <v>0.00422546380583506</v>
      </c>
      <c r="I112" s="87" t="n">
        <f aca="false">'Common input data'!B81</f>
        <v>0.03</v>
      </c>
      <c r="J112" s="87" t="n">
        <v>0</v>
      </c>
      <c r="K112" s="87" t="n">
        <v>0</v>
      </c>
      <c r="L112" s="87" t="n">
        <f aca="false">('Input data plant-based products'!$I$21*'Common input data'!$C$59*'Common input data'!H49)/'Input data plant-based products'!$E$21</f>
        <v>0.00583308013719988</v>
      </c>
      <c r="M112" s="87" t="n">
        <v>0</v>
      </c>
      <c r="N112" s="87" t="n">
        <f aca="false">'Input data plant-based products'!G152</f>
        <v>0.02</v>
      </c>
      <c r="O112" s="87" t="n">
        <v>0</v>
      </c>
      <c r="P112" s="87" t="n">
        <f aca="false">'Common input data'!E13</f>
        <v>0.0399894869629571</v>
      </c>
      <c r="Q112" s="87" t="n">
        <v>0</v>
      </c>
      <c r="R112" s="87" t="n">
        <f aca="false">'Input data plant-based products'!I$126*3.6*'Common input data'!B49+'Input data plant-based products'!J$126*3.6*'Common input data'!C49+'Input data plant-based products'!K$126*'Common input data'!B63+'Input data plant-based products'!L$126*3.6*'Common input data'!G49</f>
        <v>0.058137108</v>
      </c>
      <c r="S112" s="87" t="n">
        <f aca="false">(F112+R112)*'Common input data'!D$29/'Common input data'!$C$29</f>
        <v>0.809656353015941</v>
      </c>
      <c r="T112" s="89" t="n">
        <f aca="false">'Common input data'!B88</f>
        <v>0.05</v>
      </c>
      <c r="U112" s="318" t="n">
        <f aca="false">'Common input data'!C98</f>
        <v>0.03</v>
      </c>
      <c r="V112" s="74"/>
      <c r="W112" s="30"/>
      <c r="X112" s="30"/>
      <c r="Y112" s="30"/>
      <c r="Z112" s="30"/>
      <c r="AA112" s="30"/>
      <c r="AB112" s="30"/>
      <c r="AC112" s="30"/>
      <c r="AD112" s="30"/>
      <c r="AE112" s="30"/>
      <c r="AF112" s="30"/>
      <c r="AG112" s="30"/>
      <c r="AH112" s="30"/>
      <c r="AI112" s="30"/>
      <c r="AJ112" s="30"/>
      <c r="AK112" s="30"/>
    </row>
    <row r="113" s="209" customFormat="true" ht="17.4" hidden="false" customHeight="false" outlineLevel="0" collapsed="false">
      <c r="A113" s="99"/>
      <c r="B113" s="31"/>
      <c r="C113" s="93"/>
      <c r="D113" s="85" t="s">
        <v>135</v>
      </c>
      <c r="E113" s="86" t="n">
        <f aca="false">SUM(J113:K113)*'Input data plant-based products'!O$126</f>
        <v>0</v>
      </c>
      <c r="F113" s="87" t="n">
        <f aca="false">SUM(H113:O113)*'Input data plant-based products'!O$126</f>
        <v>1.67951493033489E-005</v>
      </c>
      <c r="G113" s="88" t="n">
        <f aca="false">SUM(S113:U113)/(1-'Common input data'!$B$123)</f>
        <v>0.00027067519939525</v>
      </c>
      <c r="H113" s="87" t="n">
        <f aca="false">('Input data plant-based products'!$F$21*('Common input data'!$B$76*'Common input data'!B70+'Common input data'!$B$77*'Common input data'!C70))/'Input data plant-based products'!$E$21</f>
        <v>1.13125537885875E-011</v>
      </c>
      <c r="I113" s="87" t="n">
        <v>0</v>
      </c>
      <c r="J113" s="87" t="n">
        <v>0</v>
      </c>
      <c r="K113" s="87" t="n">
        <v>0</v>
      </c>
      <c r="L113" s="87" t="n">
        <f aca="false">('Input data plant-based products'!$I$21*'Common input data'!$C$59*'Common input data'!H50)/'Input data plant-based products'!$E$21</f>
        <v>2.58385781103835E-006</v>
      </c>
      <c r="M113" s="87" t="n">
        <v>0</v>
      </c>
      <c r="N113" s="87" t="n">
        <v>0</v>
      </c>
      <c r="O113" s="87" t="n">
        <v>0</v>
      </c>
      <c r="P113" s="87" t="n">
        <v>0</v>
      </c>
      <c r="Q113" s="87" t="n">
        <v>0</v>
      </c>
      <c r="R113" s="87" t="n">
        <f aca="false">'Input data plant-based products'!I$126*3.6*'Common input data'!B50+'Input data plant-based products'!J$126*3.6*'Common input data'!C50+'Input data plant-based products'!L$126*3.6*'Common input data'!G50</f>
        <v>0.000153577464</v>
      </c>
      <c r="S113" s="87" t="n">
        <f aca="false">(F113+R113)*'Common input data'!D$29/'Common input data'!$C$29</f>
        <v>0.00019471155806097</v>
      </c>
      <c r="T113" s="89" t="n">
        <v>0</v>
      </c>
      <c r="U113" s="318" t="n">
        <v>0</v>
      </c>
      <c r="V113" s="74"/>
      <c r="W113" s="30"/>
      <c r="X113" s="30"/>
      <c r="Y113" s="30"/>
      <c r="Z113" s="30"/>
      <c r="AA113" s="30"/>
      <c r="AB113" s="30"/>
      <c r="AC113" s="30"/>
      <c r="AD113" s="30"/>
      <c r="AE113" s="30"/>
      <c r="AF113" s="30"/>
      <c r="AG113" s="30"/>
      <c r="AH113" s="30"/>
      <c r="AI113" s="30"/>
      <c r="AJ113" s="30"/>
      <c r="AK113" s="30"/>
    </row>
    <row r="114" s="209" customFormat="true" ht="18" hidden="false" customHeight="false" outlineLevel="0" collapsed="false">
      <c r="A114" s="250"/>
      <c r="B114" s="251"/>
      <c r="C114" s="105"/>
      <c r="D114" s="125" t="s">
        <v>136</v>
      </c>
      <c r="E114" s="198" t="n">
        <f aca="false">SUM(J114:K114)*'Input data plant-based products'!O$126</f>
        <v>0.00047099179552764</v>
      </c>
      <c r="F114" s="199" t="n">
        <f aca="false">SUM(H114:O114)*'Input data plant-based products'!O$126</f>
        <v>0.000583567265235411</v>
      </c>
      <c r="G114" s="200" t="n">
        <f aca="false">SUM(S114:U114)/(1-'Common input data'!$B$123)</f>
        <v>0.000930271027152953</v>
      </c>
      <c r="H114" s="105" t="n">
        <f aca="false">('Input data plant-based products'!$F$21*('Common input data'!$B$76*'Common input data'!B71+'Common input data'!$B$77*'Common input data'!C71))/'Input data plant-based products'!$E$21</f>
        <v>1.7162565894453E-005</v>
      </c>
      <c r="I114" s="105" t="n">
        <v>0</v>
      </c>
      <c r="J114" s="105" t="n">
        <f aca="false">(SUM('Input data plant-based products'!F21:H21)*'Input data plant-based products'!B114*44/28)/'Input data plant-based products'!E21</f>
        <v>6.58729783954742E-005</v>
      </c>
      <c r="K114" s="105" t="n">
        <f aca="false">J114*'Input data plant-based products'!B115</f>
        <v>6.58729783954742E-006</v>
      </c>
      <c r="L114" s="105" t="n">
        <f aca="false">('Input data plant-based products'!$I$21*'Common input data'!$C$59*'Common input data'!H51)/'Input data plant-based products'!$E$21</f>
        <v>1.56737137511693E-007</v>
      </c>
      <c r="M114" s="105" t="n">
        <v>0</v>
      </c>
      <c r="N114" s="105" t="n">
        <v>0</v>
      </c>
      <c r="O114" s="105" t="n">
        <v>0</v>
      </c>
      <c r="P114" s="105" t="n">
        <v>0</v>
      </c>
      <c r="Q114" s="105" t="n">
        <v>0</v>
      </c>
      <c r="R114" s="105" t="n">
        <f aca="false">'Input data plant-based products'!I$126*3.6*'Common input data'!B51+'Input data plant-based products'!J$126*3.6*'Common input data'!C51+'Input data plant-based products'!L$126*3.6*'Common input data'!G51</f>
        <v>1.97846016E-006</v>
      </c>
      <c r="S114" s="105" t="n">
        <f aca="false">(F114+R114)*'Common input data'!D$29/'Common input data'!$C$29</f>
        <v>0.000669195114737613</v>
      </c>
      <c r="T114" s="126" t="n">
        <v>0</v>
      </c>
      <c r="U114" s="337" t="n">
        <v>0</v>
      </c>
      <c r="V114" s="74"/>
      <c r="W114" s="30"/>
      <c r="X114" s="30"/>
      <c r="Y114" s="30"/>
      <c r="Z114" s="30"/>
      <c r="AA114" s="30"/>
      <c r="AB114" s="30"/>
      <c r="AC114" s="30"/>
      <c r="AD114" s="30"/>
      <c r="AE114" s="30"/>
      <c r="AF114" s="30"/>
      <c r="AG114" s="30"/>
      <c r="AH114" s="30"/>
      <c r="AI114" s="30"/>
      <c r="AJ114" s="30"/>
      <c r="AK114" s="30"/>
    </row>
  </sheetData>
  <dataValidations count="2">
    <dataValidation allowBlank="true" operator="between" showDropDown="false" showErrorMessage="true" showInputMessage="true" sqref="F2:F3" type="list">
      <formula1>"Yes,No"</formula1>
      <formula2>0</formula2>
    </dataValidation>
    <dataValidation allowBlank="true" operator="between" showDropDown="false" showErrorMessage="true" showInputMessage="true" sqref="F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4B183"/>
    <pageSetUpPr fitToPage="false"/>
  </sheetPr>
  <dimension ref="A1:IX247"/>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8.90234375" defaultRowHeight="14.4" zeroHeight="false" outlineLevelRow="0" outlineLevelCol="0"/>
  <cols>
    <col collapsed="false" customWidth="true" hidden="false" outlineLevel="0" max="1" min="1" style="30" width="52.89"/>
    <col collapsed="false" customWidth="true" hidden="false" outlineLevel="0" max="2" min="2" style="30" width="37.66"/>
    <col collapsed="false" customWidth="true" hidden="false" outlineLevel="0" max="3" min="3" style="30" width="19.89"/>
    <col collapsed="false" customWidth="true" hidden="false" outlineLevel="0" max="4" min="4" style="30" width="27.99"/>
    <col collapsed="false" customWidth="true" hidden="false" outlineLevel="0" max="7" min="5" style="30" width="38.89"/>
    <col collapsed="false" customWidth="true" hidden="false" outlineLevel="0" max="8" min="8" style="30" width="45.45"/>
    <col collapsed="false" customWidth="true" hidden="false" outlineLevel="0" max="9" min="9" style="30" width="40.66"/>
    <col collapsed="false" customWidth="true" hidden="false" outlineLevel="0" max="10" min="10" style="30" width="18.44"/>
    <col collapsed="false" customWidth="true" hidden="false" outlineLevel="0" max="11" min="11" style="30" width="23.11"/>
    <col collapsed="false" customWidth="true" hidden="false" outlineLevel="0" max="12" min="12" style="30" width="19"/>
    <col collapsed="false" customWidth="true" hidden="false" outlineLevel="0" max="13" min="13" style="30" width="29.33"/>
    <col collapsed="false" customWidth="true" hidden="false" outlineLevel="0" max="17" min="14" style="30" width="28.66"/>
    <col collapsed="false" customWidth="true" hidden="false" outlineLevel="0" max="18" min="18" style="30" width="27.66"/>
    <col collapsed="false" customWidth="true" hidden="false" outlineLevel="0" max="19" min="19" style="30" width="27.11"/>
    <col collapsed="false" customWidth="true" hidden="false" outlineLevel="0" max="20" min="20" style="30" width="19"/>
    <col collapsed="false" customWidth="true" hidden="false" outlineLevel="0" max="21" min="21" style="30" width="22.33"/>
    <col collapsed="false" customWidth="false" hidden="false" outlineLevel="0" max="26" min="22" style="30" width="8.89"/>
    <col collapsed="false" customWidth="true" hidden="false" outlineLevel="0" max="27" min="27" style="30" width="39.66"/>
    <col collapsed="false" customWidth="false" hidden="false" outlineLevel="0" max="31" min="28" style="30" width="8.89"/>
    <col collapsed="false" customWidth="true" hidden="false" outlineLevel="0" max="32" min="32" style="30" width="33.89"/>
    <col collapsed="false" customWidth="true" hidden="false" outlineLevel="0" max="33" min="33" style="30" width="27.66"/>
    <col collapsed="false" customWidth="true" hidden="false" outlineLevel="0" max="34" min="34" style="30" width="19"/>
    <col collapsed="false" customWidth="true" hidden="false" outlineLevel="0" max="35" min="35" style="30" width="17.67"/>
    <col collapsed="false" customWidth="false" hidden="false" outlineLevel="0" max="36" min="36" style="30" width="8.89"/>
    <col collapsed="false" customWidth="true" hidden="false" outlineLevel="0" max="37" min="37" style="30" width="28.66"/>
    <col collapsed="false" customWidth="true" hidden="false" outlineLevel="0" max="38" min="38" style="30" width="27.66"/>
    <col collapsed="false" customWidth="false" hidden="false" outlineLevel="0" max="1025" min="39" style="30" width="8.89"/>
  </cols>
  <sheetData>
    <row r="1" customFormat="false" ht="31.2" hidden="false" customHeight="false" outlineLevel="0" collapsed="false">
      <c r="A1" s="32" t="s">
        <v>15</v>
      </c>
      <c r="E1" s="33" t="s">
        <v>104</v>
      </c>
      <c r="F1" s="34" t="s">
        <v>105</v>
      </c>
    </row>
    <row r="2" customFormat="false" ht="17.4" hidden="false" customHeight="false" outlineLevel="0" collapsed="false">
      <c r="C2" s="338"/>
      <c r="E2" s="33" t="s">
        <v>106</v>
      </c>
      <c r="F2" s="34" t="s">
        <v>107</v>
      </c>
      <c r="G2" s="33"/>
      <c r="H2" s="37"/>
      <c r="I2" s="92"/>
      <c r="J2" s="117"/>
      <c r="K2" s="92"/>
      <c r="L2" s="92"/>
      <c r="M2" s="92"/>
      <c r="N2" s="92"/>
      <c r="O2" s="92"/>
      <c r="P2" s="92"/>
      <c r="Q2" s="92"/>
      <c r="R2" s="92"/>
      <c r="S2" s="92"/>
      <c r="T2" s="92"/>
      <c r="U2" s="92"/>
      <c r="V2" s="19"/>
    </row>
    <row r="3" customFormat="false" ht="69.6" hidden="false" customHeight="false" outlineLevel="0" collapsed="false">
      <c r="E3" s="38" t="s">
        <v>108</v>
      </c>
      <c r="F3" s="34" t="s">
        <v>107</v>
      </c>
      <c r="G3" s="33"/>
    </row>
    <row r="4" customFormat="false" ht="18" hidden="false" customHeight="false" outlineLevel="0" collapsed="false">
      <c r="G4" s="33"/>
    </row>
    <row r="5" customFormat="false" ht="17.4" hidden="false" customHeight="false" outlineLevel="0" collapsed="false">
      <c r="A5" s="49"/>
      <c r="B5" s="42"/>
      <c r="C5" s="42"/>
      <c r="D5" s="42"/>
      <c r="E5" s="43" t="s">
        <v>109</v>
      </c>
      <c r="F5" s="44"/>
      <c r="G5" s="45"/>
      <c r="H5" s="232"/>
      <c r="I5" s="204"/>
      <c r="J5" s="339" t="s">
        <v>119</v>
      </c>
      <c r="K5" s="340"/>
      <c r="L5" s="50"/>
      <c r="M5" s="50"/>
      <c r="N5" s="50"/>
      <c r="O5" s="50"/>
      <c r="P5" s="50"/>
      <c r="Q5" s="50"/>
      <c r="R5" s="50"/>
      <c r="S5" s="50"/>
      <c r="T5" s="50"/>
      <c r="U5" s="50"/>
      <c r="V5" s="74"/>
    </row>
    <row r="6" s="310" customFormat="true" ht="34.8" hidden="false" customHeight="false" outlineLevel="0" collapsed="false">
      <c r="A6" s="207"/>
      <c r="B6" s="54" t="s">
        <v>112</v>
      </c>
      <c r="C6" s="55" t="s">
        <v>238</v>
      </c>
      <c r="D6" s="55" t="s">
        <v>114</v>
      </c>
      <c r="E6" s="56" t="s">
        <v>115</v>
      </c>
      <c r="F6" s="57" t="s">
        <v>116</v>
      </c>
      <c r="G6" s="58" t="s">
        <v>117</v>
      </c>
      <c r="H6" s="55" t="s">
        <v>239</v>
      </c>
      <c r="I6" s="54" t="s">
        <v>240</v>
      </c>
      <c r="J6" s="60" t="s">
        <v>120</v>
      </c>
      <c r="K6" s="59" t="s">
        <v>121</v>
      </c>
      <c r="L6" s="55" t="s">
        <v>241</v>
      </c>
      <c r="M6" s="55" t="s">
        <v>242</v>
      </c>
      <c r="N6" s="55" t="s">
        <v>243</v>
      </c>
      <c r="O6" s="55" t="s">
        <v>244</v>
      </c>
      <c r="P6" s="54" t="s">
        <v>123</v>
      </c>
      <c r="Q6" s="54" t="s">
        <v>124</v>
      </c>
      <c r="R6" s="55" t="s">
        <v>245</v>
      </c>
      <c r="S6" s="54" t="s">
        <v>127</v>
      </c>
      <c r="T6" s="54" t="s">
        <v>128</v>
      </c>
      <c r="U6" s="54" t="s">
        <v>129</v>
      </c>
      <c r="V6" s="309"/>
      <c r="W6" s="92"/>
      <c r="X6" s="209"/>
      <c r="Y6" s="209"/>
      <c r="Z6" s="30"/>
      <c r="AA6" s="209"/>
      <c r="AB6" s="209"/>
      <c r="AC6" s="209"/>
      <c r="AD6" s="209"/>
      <c r="AE6" s="209"/>
      <c r="AF6" s="209"/>
      <c r="AG6" s="209"/>
      <c r="AH6" s="209"/>
      <c r="AI6" s="209"/>
      <c r="AJ6" s="209"/>
      <c r="AK6" s="209"/>
      <c r="AL6" s="209"/>
      <c r="AM6" s="209"/>
      <c r="AN6" s="209"/>
      <c r="AO6" s="209"/>
      <c r="AP6" s="209"/>
      <c r="AQ6" s="209"/>
      <c r="AR6" s="209"/>
      <c r="AS6" s="209"/>
      <c r="AT6" s="209"/>
      <c r="AU6" s="209"/>
      <c r="AV6" s="209"/>
      <c r="AW6" s="209"/>
      <c r="AX6" s="209"/>
      <c r="AY6" s="209"/>
      <c r="AZ6" s="209"/>
      <c r="BA6" s="209"/>
      <c r="BB6" s="209"/>
      <c r="BC6" s="209"/>
      <c r="BD6" s="209"/>
      <c r="BE6" s="209"/>
      <c r="BF6" s="209"/>
      <c r="BG6" s="209"/>
      <c r="BH6" s="209"/>
      <c r="BI6" s="209"/>
      <c r="BJ6" s="209"/>
      <c r="BK6" s="209"/>
      <c r="BL6" s="209"/>
      <c r="BM6" s="209"/>
      <c r="BN6" s="209"/>
      <c r="BO6" s="209"/>
      <c r="BP6" s="209"/>
      <c r="BQ6" s="209"/>
      <c r="BR6" s="209"/>
      <c r="BS6" s="209"/>
      <c r="BT6" s="209"/>
      <c r="BU6" s="209"/>
      <c r="BV6" s="209"/>
      <c r="BW6" s="209"/>
      <c r="BX6" s="209"/>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c r="DI6" s="209"/>
      <c r="DJ6" s="209"/>
      <c r="DK6" s="209"/>
      <c r="DL6" s="209"/>
      <c r="DM6" s="209"/>
      <c r="DN6" s="209"/>
      <c r="DO6" s="209"/>
      <c r="DP6" s="209"/>
      <c r="DQ6" s="209"/>
      <c r="DR6" s="209"/>
      <c r="DS6" s="209"/>
      <c r="DT6" s="209"/>
      <c r="DU6" s="209"/>
      <c r="DV6" s="209"/>
      <c r="DW6" s="209"/>
      <c r="DX6" s="209"/>
      <c r="DY6" s="209"/>
      <c r="DZ6" s="209"/>
      <c r="EA6" s="209"/>
      <c r="EB6" s="209"/>
      <c r="EC6" s="209"/>
      <c r="ED6" s="209"/>
      <c r="EE6" s="209"/>
      <c r="EF6" s="209"/>
      <c r="EG6" s="209"/>
      <c r="EH6" s="209"/>
      <c r="EI6" s="209"/>
      <c r="EJ6" s="209"/>
      <c r="EK6" s="209"/>
      <c r="EL6" s="209"/>
      <c r="EM6" s="209"/>
      <c r="EN6" s="209"/>
      <c r="EO6" s="209"/>
      <c r="EP6" s="209"/>
      <c r="EQ6" s="209"/>
      <c r="ER6" s="209"/>
      <c r="ES6" s="209"/>
      <c r="ET6" s="209"/>
      <c r="EU6" s="209"/>
      <c r="EV6" s="209"/>
      <c r="EW6" s="209"/>
      <c r="EX6" s="209"/>
      <c r="EY6" s="209"/>
      <c r="EZ6" s="209"/>
      <c r="FA6" s="209"/>
      <c r="FB6" s="209"/>
      <c r="FC6" s="209"/>
      <c r="FD6" s="209"/>
      <c r="FE6" s="209"/>
      <c r="FF6" s="209"/>
      <c r="FG6" s="209"/>
      <c r="FH6" s="209"/>
      <c r="FI6" s="209"/>
      <c r="FJ6" s="209"/>
      <c r="FK6" s="209"/>
      <c r="FL6" s="209"/>
      <c r="FM6" s="209"/>
      <c r="FN6" s="209"/>
      <c r="FO6" s="209"/>
      <c r="FP6" s="209"/>
      <c r="FQ6" s="209"/>
      <c r="FR6" s="209"/>
      <c r="FS6" s="209"/>
      <c r="FT6" s="209"/>
      <c r="FU6" s="209"/>
      <c r="FV6" s="209"/>
      <c r="FW6" s="209"/>
      <c r="FX6" s="209"/>
      <c r="FY6" s="209"/>
      <c r="FZ6" s="209"/>
      <c r="GA6" s="209"/>
      <c r="GB6" s="209"/>
      <c r="GC6" s="209"/>
      <c r="GD6" s="209"/>
      <c r="GE6" s="209"/>
      <c r="GF6" s="209"/>
      <c r="GG6" s="209"/>
      <c r="GH6" s="209"/>
      <c r="GI6" s="209"/>
      <c r="GJ6" s="209"/>
      <c r="GK6" s="209"/>
      <c r="GL6" s="209"/>
      <c r="GM6" s="209"/>
      <c r="GN6" s="209"/>
      <c r="GO6" s="209"/>
      <c r="GP6" s="209"/>
      <c r="GQ6" s="209"/>
      <c r="GR6" s="209"/>
      <c r="GS6" s="209"/>
      <c r="GT6" s="209"/>
      <c r="GU6" s="209"/>
      <c r="GV6" s="209"/>
      <c r="GW6" s="209"/>
      <c r="GX6" s="209"/>
      <c r="GY6" s="209"/>
      <c r="GZ6" s="209"/>
      <c r="HA6" s="209"/>
      <c r="HB6" s="209"/>
      <c r="HC6" s="209"/>
      <c r="HD6" s="209"/>
      <c r="HE6" s="209"/>
      <c r="HF6" s="209"/>
      <c r="HG6" s="209"/>
      <c r="HH6" s="209"/>
      <c r="HI6" s="209"/>
      <c r="HJ6" s="209"/>
      <c r="HK6" s="209"/>
      <c r="HL6" s="209"/>
      <c r="HM6" s="209"/>
      <c r="HN6" s="209"/>
      <c r="HO6" s="209"/>
      <c r="HP6" s="209"/>
      <c r="HQ6" s="209"/>
      <c r="HR6" s="209"/>
      <c r="HS6" s="209"/>
      <c r="HT6" s="209"/>
      <c r="HU6" s="209"/>
      <c r="HV6" s="209"/>
      <c r="HW6" s="209"/>
      <c r="HX6" s="209"/>
      <c r="HY6" s="209"/>
      <c r="HZ6" s="209"/>
      <c r="IA6" s="209"/>
      <c r="IB6" s="209"/>
      <c r="IC6" s="209"/>
      <c r="ID6" s="209"/>
      <c r="IE6" s="209"/>
      <c r="IF6" s="209"/>
      <c r="IG6" s="209"/>
      <c r="IH6" s="209"/>
      <c r="II6" s="209"/>
      <c r="IJ6" s="209"/>
      <c r="IK6" s="209"/>
      <c r="IL6" s="209"/>
      <c r="IM6" s="209"/>
      <c r="IN6" s="209"/>
      <c r="IO6" s="209"/>
      <c r="IP6" s="209"/>
      <c r="IQ6" s="209"/>
      <c r="IR6" s="209"/>
      <c r="IS6" s="209"/>
      <c r="IT6" s="209"/>
      <c r="IU6" s="209"/>
      <c r="IV6" s="209"/>
      <c r="IW6" s="209"/>
      <c r="IX6" s="209"/>
    </row>
    <row r="7" s="334" customFormat="true" ht="17.4" hidden="false" customHeight="false" outlineLevel="0" collapsed="false">
      <c r="A7" s="107" t="s">
        <v>289</v>
      </c>
      <c r="B7" s="108"/>
      <c r="C7" s="69"/>
      <c r="D7" s="109"/>
      <c r="E7" s="66" t="s">
        <v>290</v>
      </c>
      <c r="F7" s="67" t="s">
        <v>290</v>
      </c>
      <c r="G7" s="68" t="s">
        <v>290</v>
      </c>
      <c r="H7" s="69"/>
      <c r="I7" s="69"/>
      <c r="J7" s="69"/>
      <c r="K7" s="113"/>
      <c r="L7" s="113"/>
      <c r="M7" s="114"/>
      <c r="N7" s="113"/>
      <c r="O7" s="113"/>
      <c r="P7" s="113"/>
      <c r="Q7" s="113"/>
      <c r="R7" s="113"/>
      <c r="S7" s="113"/>
      <c r="T7" s="113"/>
      <c r="U7" s="113"/>
      <c r="V7" s="309"/>
      <c r="W7" s="92"/>
      <c r="X7" s="209"/>
      <c r="Y7" s="209"/>
      <c r="Z7" s="30"/>
      <c r="AA7" s="209"/>
      <c r="AB7" s="209"/>
      <c r="AC7" s="209"/>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c r="EO7" s="209"/>
      <c r="EP7" s="209"/>
      <c r="EQ7" s="209"/>
      <c r="ER7" s="209"/>
      <c r="ES7" s="209"/>
      <c r="ET7" s="209"/>
      <c r="EU7" s="209"/>
      <c r="EV7" s="209"/>
      <c r="EW7" s="209"/>
      <c r="EX7" s="209"/>
      <c r="EY7" s="209"/>
      <c r="EZ7" s="209"/>
      <c r="FA7" s="209"/>
      <c r="FB7" s="209"/>
      <c r="FC7" s="209"/>
      <c r="FD7" s="209"/>
      <c r="FE7" s="209"/>
      <c r="FF7" s="209"/>
      <c r="FG7" s="209"/>
      <c r="FH7" s="209"/>
      <c r="FI7" s="209"/>
      <c r="FJ7" s="209"/>
      <c r="FK7" s="209"/>
      <c r="FL7" s="209"/>
      <c r="FM7" s="209"/>
      <c r="FN7" s="209"/>
      <c r="FO7" s="209"/>
      <c r="FP7" s="209"/>
      <c r="FQ7" s="209"/>
      <c r="FR7" s="209"/>
      <c r="FS7" s="209"/>
      <c r="FT7" s="209"/>
      <c r="FU7" s="209"/>
      <c r="FV7" s="209"/>
      <c r="FW7" s="209"/>
      <c r="FX7" s="209"/>
      <c r="FY7" s="209"/>
      <c r="FZ7" s="209"/>
      <c r="GA7" s="209"/>
      <c r="GB7" s="209"/>
      <c r="GC7" s="209"/>
      <c r="GD7" s="209"/>
      <c r="GE7" s="209"/>
      <c r="GF7" s="209"/>
      <c r="GG7" s="209"/>
      <c r="GH7" s="209"/>
      <c r="GI7" s="209"/>
      <c r="GJ7" s="209"/>
      <c r="GK7" s="209"/>
      <c r="GL7" s="209"/>
      <c r="GM7" s="209"/>
      <c r="GN7" s="209"/>
      <c r="GO7" s="209"/>
      <c r="GP7" s="209"/>
      <c r="GQ7" s="209"/>
      <c r="GR7" s="209"/>
      <c r="GS7" s="209"/>
      <c r="GT7" s="209"/>
      <c r="GU7" s="209"/>
      <c r="GV7" s="209"/>
      <c r="GW7" s="209"/>
      <c r="GX7" s="209"/>
      <c r="GY7" s="209"/>
      <c r="GZ7" s="209"/>
      <c r="HA7" s="209"/>
      <c r="HB7" s="209"/>
      <c r="HC7" s="209"/>
      <c r="HD7" s="209"/>
      <c r="HE7" s="209"/>
      <c r="HF7" s="209"/>
      <c r="HG7" s="209"/>
      <c r="HH7" s="209"/>
      <c r="HI7" s="209"/>
      <c r="HJ7" s="209"/>
      <c r="HK7" s="209"/>
      <c r="HL7" s="209"/>
      <c r="HM7" s="209"/>
      <c r="HN7" s="209"/>
      <c r="HO7" s="209"/>
      <c r="HP7" s="209"/>
      <c r="HQ7" s="209"/>
      <c r="HR7" s="209"/>
      <c r="HS7" s="209"/>
      <c r="HT7" s="209"/>
      <c r="HU7" s="209"/>
      <c r="HV7" s="209"/>
      <c r="HW7" s="209"/>
      <c r="HX7" s="209"/>
      <c r="HY7" s="209"/>
      <c r="HZ7" s="209"/>
      <c r="IA7" s="209"/>
      <c r="IB7" s="209"/>
      <c r="IC7" s="209"/>
      <c r="ID7" s="209"/>
      <c r="IE7" s="209"/>
      <c r="IF7" s="209"/>
      <c r="IG7" s="209"/>
      <c r="IH7" s="209"/>
      <c r="II7" s="209"/>
      <c r="IJ7" s="209"/>
      <c r="IK7" s="209"/>
      <c r="IL7" s="209"/>
      <c r="IM7" s="209"/>
      <c r="IN7" s="209"/>
      <c r="IO7" s="209"/>
      <c r="IP7" s="209"/>
      <c r="IQ7" s="209"/>
      <c r="IR7" s="209"/>
      <c r="IS7" s="209"/>
      <c r="IT7" s="209"/>
      <c r="IU7" s="209"/>
      <c r="IV7" s="209"/>
      <c r="IW7" s="209"/>
      <c r="IX7" s="209"/>
    </row>
    <row r="8" s="332" customFormat="true" ht="17.4" hidden="false" customHeight="false" outlineLevel="0" collapsed="false">
      <c r="A8" s="330" t="s">
        <v>272</v>
      </c>
      <c r="B8" s="76"/>
      <c r="C8" s="188" t="n">
        <f aca="false">SUM(C12:C35)</f>
        <v>1</v>
      </c>
      <c r="D8" s="78" t="s">
        <v>133</v>
      </c>
      <c r="E8" s="79" t="n">
        <f aca="false">IF($F$1="GWP100 without fb",E9+E10*'Common input data'!$C$5+E11*'Common input data'!$D$5,IF($F$1="GWP100 with fb",E9+E10*'Common input data'!$C$6+E11*'Common input data'!$D$6,IF($F$1="GTP100 without fb",E9+E10*'Common input data'!$C$7+E11*'Common input data'!$D$7,IF($F$1="GTP100 with fb",E9+E10*'Common input data'!$C$8+E11*'Common input data'!$D$8,E9+E10*'Common input data'!$C$9+E11*'Common input data'!$D$9))))</f>
        <v>0.0186769069322187</v>
      </c>
      <c r="F8" s="80" t="n">
        <f aca="false">IF($F$1="GWP100 without fb",F9+F10*'Common input data'!$C$5+F11*'Common input data'!$D$5,IF($F$1="GWP100 with fb",F9+F10*'Common input data'!$C$6+F11*'Common input data'!$D$6,IF($F$1="GTP100 without fb",F9+F10*'Common input data'!$C$7+F11*'Common input data'!$D$7,IF($F$1="GTP100 with fb",F9+F10*'Common input data'!$C$8+F11*'Common input data'!$D$8,F9+F10*'Common input data'!$C$9+F11*'Common input data'!$D$9))))</f>
        <v>1.05581367520404</v>
      </c>
      <c r="G8" s="81" t="n">
        <f aca="false">IF($F$1="GWP100 without fb",G9+G10*'Common input data'!$C$5+G11*'Common input data'!$D$5,IF($F$1="GWP100 with fb",G9+G10*'Common input data'!$C$6+G11*'Common input data'!$D$6,IF($F$1="GTP100 without fb",G9+G10*'Common input data'!$C$7+G11*'Common input data'!$D$7,IF($F$1="GTP100 with fb",G9+G10*'Common input data'!$C$8+G11*'Common input data'!$D$8,G9+G10*'Common input data'!$C$9+G11*'Common input data'!$D$9))))</f>
        <v>1.49398934861444</v>
      </c>
      <c r="H8" s="95"/>
      <c r="I8" s="97"/>
      <c r="J8" s="97"/>
      <c r="K8" s="83"/>
      <c r="L8" s="83"/>
      <c r="M8" s="83"/>
      <c r="N8" s="83"/>
      <c r="O8" s="83"/>
      <c r="P8" s="83"/>
      <c r="Q8" s="83"/>
      <c r="R8" s="83"/>
      <c r="S8" s="83"/>
      <c r="T8" s="83"/>
      <c r="U8" s="83"/>
      <c r="V8" s="309"/>
      <c r="W8" s="92"/>
      <c r="X8" s="209"/>
      <c r="Y8" s="209"/>
      <c r="Z8" s="30"/>
      <c r="AA8" s="209"/>
      <c r="AB8" s="209"/>
      <c r="AC8" s="209"/>
      <c r="AD8" s="209"/>
      <c r="AE8" s="209"/>
      <c r="AF8" s="209"/>
      <c r="AG8" s="209"/>
      <c r="AH8" s="209"/>
      <c r="AI8" s="209"/>
      <c r="AJ8" s="209"/>
      <c r="AK8" s="209"/>
      <c r="AL8" s="209"/>
      <c r="AM8" s="209"/>
      <c r="AN8" s="209"/>
      <c r="AO8" s="209"/>
      <c r="AP8" s="209"/>
      <c r="AQ8" s="209"/>
      <c r="AR8" s="209"/>
      <c r="AS8" s="209"/>
      <c r="AT8" s="209"/>
      <c r="AU8" s="209"/>
      <c r="AV8" s="209"/>
      <c r="AW8" s="209"/>
      <c r="AX8" s="209"/>
      <c r="AY8" s="209"/>
      <c r="AZ8" s="209"/>
      <c r="BA8" s="209"/>
      <c r="BB8" s="209"/>
      <c r="BC8" s="209"/>
      <c r="BD8" s="209"/>
      <c r="BE8" s="209"/>
      <c r="BF8" s="209"/>
      <c r="BG8" s="209"/>
      <c r="BH8" s="209"/>
      <c r="BI8" s="209"/>
      <c r="BJ8" s="209"/>
      <c r="BK8" s="209"/>
      <c r="BL8" s="209"/>
      <c r="BM8" s="209"/>
      <c r="BN8" s="209"/>
      <c r="BO8" s="209"/>
      <c r="BP8" s="209"/>
      <c r="BQ8" s="209"/>
      <c r="BR8" s="209"/>
      <c r="BS8" s="209"/>
      <c r="BT8" s="209"/>
      <c r="BU8" s="209"/>
      <c r="BV8" s="209"/>
      <c r="BW8" s="209"/>
      <c r="BX8" s="209"/>
      <c r="BY8" s="209"/>
      <c r="BZ8" s="209"/>
      <c r="CA8" s="209"/>
      <c r="CB8" s="209"/>
      <c r="CC8" s="209"/>
      <c r="CD8" s="209"/>
      <c r="CE8" s="209"/>
      <c r="CF8" s="209"/>
      <c r="CG8" s="209"/>
      <c r="CH8" s="209"/>
      <c r="CI8" s="209"/>
      <c r="CJ8" s="209"/>
      <c r="CK8" s="209"/>
      <c r="CL8" s="209"/>
      <c r="CM8" s="209"/>
      <c r="CN8" s="209"/>
      <c r="CO8" s="209"/>
      <c r="CP8" s="209"/>
      <c r="CQ8" s="209"/>
      <c r="CR8" s="209"/>
      <c r="CS8" s="209"/>
      <c r="CT8" s="209"/>
      <c r="CU8" s="209"/>
      <c r="CV8" s="209"/>
      <c r="CW8" s="209"/>
      <c r="CX8" s="209"/>
      <c r="CY8" s="209"/>
      <c r="CZ8" s="209"/>
      <c r="DA8" s="209"/>
      <c r="DB8" s="209"/>
      <c r="DC8" s="209"/>
      <c r="DD8" s="209"/>
      <c r="DE8" s="209"/>
      <c r="DF8" s="209"/>
      <c r="DG8" s="209"/>
      <c r="DH8" s="209"/>
      <c r="DI8" s="209"/>
      <c r="DJ8" s="209"/>
      <c r="DK8" s="209"/>
      <c r="DL8" s="209"/>
      <c r="DM8" s="209"/>
      <c r="DN8" s="209"/>
      <c r="DO8" s="209"/>
      <c r="DP8" s="209"/>
      <c r="DQ8" s="209"/>
      <c r="DR8" s="209"/>
      <c r="DS8" s="209"/>
      <c r="DT8" s="209"/>
      <c r="DU8" s="209"/>
      <c r="DV8" s="209"/>
      <c r="DW8" s="209"/>
      <c r="DX8" s="209"/>
      <c r="DY8" s="209"/>
      <c r="DZ8" s="209"/>
      <c r="EA8" s="209"/>
      <c r="EB8" s="209"/>
      <c r="EC8" s="209"/>
      <c r="ED8" s="209"/>
      <c r="EE8" s="209"/>
      <c r="EF8" s="209"/>
      <c r="EG8" s="209"/>
      <c r="EH8" s="209"/>
      <c r="EI8" s="209"/>
      <c r="EJ8" s="209"/>
      <c r="EK8" s="209"/>
      <c r="EL8" s="209"/>
      <c r="EM8" s="209"/>
      <c r="EN8" s="209"/>
      <c r="EO8" s="209"/>
      <c r="EP8" s="209"/>
      <c r="EQ8" s="209"/>
      <c r="ER8" s="209"/>
      <c r="ES8" s="209"/>
      <c r="ET8" s="209"/>
      <c r="EU8" s="209"/>
      <c r="EV8" s="209"/>
      <c r="EW8" s="209"/>
      <c r="EX8" s="209"/>
      <c r="EY8" s="209"/>
      <c r="EZ8" s="209"/>
      <c r="FA8" s="209"/>
      <c r="FB8" s="209"/>
      <c r="FC8" s="209"/>
      <c r="FD8" s="209"/>
      <c r="FE8" s="209"/>
      <c r="FF8" s="209"/>
      <c r="FG8" s="209"/>
      <c r="FH8" s="209"/>
      <c r="FI8" s="209"/>
      <c r="FJ8" s="209"/>
      <c r="FK8" s="209"/>
      <c r="FL8" s="209"/>
      <c r="FM8" s="209"/>
      <c r="FN8" s="209"/>
      <c r="FO8" s="209"/>
      <c r="FP8" s="209"/>
      <c r="FQ8" s="209"/>
      <c r="FR8" s="209"/>
      <c r="FS8" s="209"/>
      <c r="FT8" s="209"/>
      <c r="FU8" s="209"/>
      <c r="FV8" s="209"/>
      <c r="FW8" s="209"/>
      <c r="FX8" s="209"/>
      <c r="FY8" s="209"/>
      <c r="FZ8" s="209"/>
      <c r="GA8" s="209"/>
      <c r="GB8" s="209"/>
      <c r="GC8" s="209"/>
      <c r="GD8" s="209"/>
      <c r="GE8" s="209"/>
      <c r="GF8" s="209"/>
      <c r="GG8" s="209"/>
      <c r="GH8" s="209"/>
      <c r="GI8" s="209"/>
      <c r="GJ8" s="209"/>
      <c r="GK8" s="209"/>
      <c r="GL8" s="209"/>
      <c r="GM8" s="209"/>
      <c r="GN8" s="209"/>
      <c r="GO8" s="209"/>
      <c r="GP8" s="209"/>
      <c r="GQ8" s="209"/>
      <c r="GR8" s="209"/>
      <c r="GS8" s="209"/>
      <c r="GT8" s="209"/>
      <c r="GU8" s="209"/>
      <c r="GV8" s="209"/>
      <c r="GW8" s="209"/>
      <c r="GX8" s="209"/>
      <c r="GY8" s="209"/>
      <c r="GZ8" s="209"/>
      <c r="HA8" s="209"/>
      <c r="HB8" s="209"/>
      <c r="HC8" s="209"/>
      <c r="HD8" s="209"/>
      <c r="HE8" s="209"/>
      <c r="HF8" s="209"/>
      <c r="HG8" s="209"/>
      <c r="HH8" s="209"/>
      <c r="HI8" s="209"/>
      <c r="HJ8" s="209"/>
      <c r="HK8" s="209"/>
      <c r="HL8" s="209"/>
      <c r="HM8" s="209"/>
      <c r="HN8" s="209"/>
      <c r="HO8" s="209"/>
      <c r="HP8" s="209"/>
      <c r="HQ8" s="209"/>
      <c r="HR8" s="209"/>
      <c r="HS8" s="209"/>
      <c r="HT8" s="209"/>
      <c r="HU8" s="209"/>
      <c r="HV8" s="209"/>
      <c r="HW8" s="209"/>
      <c r="HX8" s="209"/>
      <c r="HY8" s="209"/>
      <c r="HZ8" s="209"/>
      <c r="IA8" s="209"/>
      <c r="IB8" s="209"/>
      <c r="IC8" s="209"/>
      <c r="ID8" s="209"/>
      <c r="IE8" s="209"/>
      <c r="IF8" s="209"/>
      <c r="IG8" s="209"/>
      <c r="IH8" s="209"/>
      <c r="II8" s="209"/>
      <c r="IJ8" s="209"/>
      <c r="IK8" s="209"/>
      <c r="IL8" s="209"/>
      <c r="IM8" s="209"/>
      <c r="IN8" s="209"/>
      <c r="IO8" s="209"/>
      <c r="IP8" s="209"/>
      <c r="IQ8" s="209"/>
      <c r="IR8" s="209"/>
      <c r="IS8" s="209"/>
      <c r="IT8" s="209"/>
      <c r="IU8" s="209"/>
      <c r="IV8" s="209"/>
      <c r="IW8" s="209"/>
      <c r="IX8" s="209"/>
    </row>
    <row r="9" s="209" customFormat="true" ht="17.4" hidden="false" customHeight="false" outlineLevel="0" collapsed="false">
      <c r="A9" s="315"/>
      <c r="B9" s="31"/>
      <c r="C9" s="30"/>
      <c r="D9" s="85" t="s">
        <v>134</v>
      </c>
      <c r="E9" s="217" t="n">
        <f aca="false">E13*$C$12+E17*$C$16+$C$20*E21+$C$24*E25+$C$28*E29+$C$32*E33</f>
        <v>0.00519863330518442</v>
      </c>
      <c r="F9" s="89" t="n">
        <f aca="false">F13*$C$12+F17*$C$16+$C$20*F21+$C$24*F25+$C$28*F29+$C$32*F33</f>
        <v>0.899744360741441</v>
      </c>
      <c r="G9" s="88" t="n">
        <f aca="false">G13*$C$12+G17*$C$16+$C$20*G21+$C$24*G25+$C$28*G29+$C$32*G33</f>
        <v>1.30772688953508</v>
      </c>
      <c r="H9" s="89" t="n">
        <f aca="false">H13*$C$12+H17*$C$16+$C$20*H21+$C$24*H25+$C$28*H29+$C$32*H33</f>
        <v>0.00700097080402957</v>
      </c>
      <c r="I9" s="89" t="n">
        <f aca="false">I13*$C$12+I17*$C$16+$C$20*I21+$C$24*I25+$C$28*I29+$C$32*I33</f>
        <v>0.03</v>
      </c>
      <c r="J9" s="89" t="n">
        <f aca="false">J13*$C$12+J17*$C$16+$C$20*J21+$C$24*J25+$C$28*J29+$C$32*J33</f>
        <v>0</v>
      </c>
      <c r="K9" s="89" t="n">
        <f aca="false">K13*$C$12+K17*$C$16+$C$20*K21+$C$24*K25+$C$28*K29+$C$32*K33</f>
        <v>0</v>
      </c>
      <c r="L9" s="89" t="n">
        <f aca="false">L13*$C$12+L17*$C$16+$C$20*L21+$C$24*L25+$C$28*L29+$C$32*L33</f>
        <v>0.000842993135329584</v>
      </c>
      <c r="M9" s="89" t="n">
        <f aca="false">M13*$C$12+M17*$C$16+$C$20*M21+$C$24*M25+$C$28*M29+$C$32*M33</f>
        <v>0.851501763496898</v>
      </c>
      <c r="N9" s="89" t="n">
        <f aca="false">N13*$C$12+N17*$C$16+$C$20*N21+$C$24*N25+$C$28*N29+$C$32*N33</f>
        <v>0.0052</v>
      </c>
      <c r="O9" s="89" t="n">
        <f aca="false">O13*$C$12+O17*$C$16+$C$20*O21+$C$24*O25+$C$28*O29+$C$32*O33</f>
        <v>0</v>
      </c>
      <c r="P9" s="89" t="n">
        <f aca="false">P13*$C$12+P17*$C$16+$C$20*P21+$C$24*P25+$C$28*P29+$C$32*P33</f>
        <v>0.00519863330518442</v>
      </c>
      <c r="Q9" s="89" t="n">
        <f aca="false">Q13*$C$12+Q17*$C$16+$C$20*Q21+$C$24*Q25+$C$28*Q29+$C$32*Q33</f>
        <v>0</v>
      </c>
      <c r="R9" s="89" t="n">
        <f aca="false">R13*$C$12+R17*$C$16+$C$20*R21+$C$24*R25+$C$28*R29+$C$32*R33</f>
        <v>0</v>
      </c>
      <c r="S9" s="89" t="n">
        <f aca="false">S13*$C$12+S17*$C$16+$C$20*S21+$C$24*S25+$C$28*S29+$C$32*S33</f>
        <v>0.899744360741441</v>
      </c>
      <c r="T9" s="89" t="n">
        <f aca="false">T13*$C$12+T17*$C$16+$C$20*T21+$C$24*T25+$C$28*T29+$C$32*T33</f>
        <v>0.05</v>
      </c>
      <c r="U9" s="89" t="n">
        <f aca="false">U13*$C$12+U17*$C$16+$C$20*U21+$C$24*U25+$C$28*U29+$C$32*U33</f>
        <v>0.146</v>
      </c>
      <c r="V9" s="309"/>
      <c r="W9" s="92"/>
      <c r="Z9" s="30"/>
    </row>
    <row r="10" s="209" customFormat="true" ht="17.4" hidden="false" customHeight="false" outlineLevel="0" collapsed="false">
      <c r="A10" s="315"/>
      <c r="B10" s="31"/>
      <c r="C10" s="93"/>
      <c r="D10" s="85" t="s">
        <v>135</v>
      </c>
      <c r="E10" s="217" t="n">
        <f aca="false">E14*$C$12+E18*$C$16+$C$20*E22+$C$24*E26+$C$28*E30+$C$32*E34</f>
        <v>0</v>
      </c>
      <c r="F10" s="89" t="n">
        <f aca="false">F14*$C$12+F18*$C$16+$C$20*F22+$C$24*F26+$C$28*F30+$C$32*F34</f>
        <v>0.00359859475178071</v>
      </c>
      <c r="G10" s="88" t="n">
        <f aca="false">G14*$C$12+G18*$C$16+$C$20*G22+$C$24*G26+$C$28*G30+$C$32*G34</f>
        <v>0.00429477831695991</v>
      </c>
      <c r="H10" s="89" t="n">
        <f aca="false">H14*$C$12+H18*$C$16+$C$20*H22+$C$24*H26+$C$28*H30+$C$32*H34</f>
        <v>2.90535920218954E-011</v>
      </c>
      <c r="I10" s="89" t="n">
        <f aca="false">I14*$C$12+I18*$C$16+$C$20*I22+$C$24*I26+$C$28*I30+$C$32*I34</f>
        <v>0</v>
      </c>
      <c r="J10" s="89" t="n">
        <f aca="false">J14*$C$12+J18*$C$16+$C$20*J22+$C$24*J26+$C$28*J30+$C$32*J34</f>
        <v>0</v>
      </c>
      <c r="K10" s="89" t="n">
        <f aca="false">K14*$C$12+K18*$C$16+$C$20*K22+$C$24*K26+$C$28*K30+$C$32*K34</f>
        <v>0</v>
      </c>
      <c r="L10" s="89" t="n">
        <f aca="false">L14*$C$12+L18*$C$16+$C$20*L22+$C$24*L26+$C$28*L30+$C$32*L34</f>
        <v>3.73417533471205E-007</v>
      </c>
      <c r="M10" s="89" t="n">
        <f aca="false">M14*$C$12+M18*$C$16+$C$20*M22+$C$24*M26+$C$28*M30+$C$32*M34</f>
        <v>0.00359822130519365</v>
      </c>
      <c r="N10" s="89" t="n">
        <f aca="false">N14*$C$12+N18*$C$16+$C$20*N22+$C$24*N26+$C$28*N30+$C$32*N34</f>
        <v>0</v>
      </c>
      <c r="O10" s="89" t="n">
        <f aca="false">O14*$C$12+O18*$C$16+$C$20*O22+$C$24*O26+$C$28*O30+$C$32*O34</f>
        <v>0</v>
      </c>
      <c r="P10" s="89" t="n">
        <f aca="false">P14*$C$12+P18*$C$16+$C$20*P22+$C$24*P26+$C$28*P30+$C$32*P34</f>
        <v>0</v>
      </c>
      <c r="Q10" s="89" t="n">
        <f aca="false">Q14*$C$12+Q18*$C$16+$C$20*Q22+$C$24*Q26+$C$28*Q30+$C$32*Q34</f>
        <v>0</v>
      </c>
      <c r="R10" s="89" t="n">
        <f aca="false">R14*$C$12+R18*$C$16+$C$20*R22+$C$24*R26+$C$28*R30+$C$32*R34</f>
        <v>0</v>
      </c>
      <c r="S10" s="89" t="n">
        <f aca="false">S14*$C$12+S18*$C$16+$C$20*S22+$C$24*S26+$C$28*S30+$C$32*S34</f>
        <v>0.00359859475178071</v>
      </c>
      <c r="T10" s="89" t="n">
        <f aca="false">T14*$C$12+T18*$C$16+$C$20*T22+$C$24*T26+$C$28*T30+$C$32*T34</f>
        <v>0</v>
      </c>
      <c r="U10" s="89" t="n">
        <f aca="false">U14*$C$12+U18*$C$16+$C$20*U22+$C$24*U26+$C$28*U30+$C$32*U34</f>
        <v>0</v>
      </c>
      <c r="V10" s="309"/>
      <c r="W10" s="92"/>
      <c r="Z10" s="30"/>
    </row>
    <row r="11" s="209" customFormat="true" ht="17.4" hidden="false" customHeight="false" outlineLevel="0" collapsed="false">
      <c r="A11" s="74"/>
      <c r="B11" s="101"/>
      <c r="C11" s="87"/>
      <c r="D11" s="31" t="s">
        <v>136</v>
      </c>
      <c r="E11" s="217" t="n">
        <f aca="false">E15*$C$12+E19*$C$16+$C$20*E23+$C$24*E27+$C$28*E31+$C$32*E35</f>
        <v>4.52291061309874E-005</v>
      </c>
      <c r="F11" s="89" t="n">
        <f aca="false">F15*$C$12+F19*$C$16+$C$20*F23+$C$24*F27+$C$28*F31+$C$32*F35</f>
        <v>0.000113144607053863</v>
      </c>
      <c r="G11" s="88" t="n">
        <f aca="false">G15*$C$12+G19*$C$16+$C$20*G23+$C$24*G27+$C$28*G31+$C$32*G35</f>
        <v>0.000135033544640009</v>
      </c>
      <c r="H11" s="89" t="n">
        <f aca="false">H15*$C$12+H19*$C$16+$C$20*H23+$C$24*H27+$C$28*H31+$C$32*H35</f>
        <v>3.6773514309806E-005</v>
      </c>
      <c r="I11" s="89" t="n">
        <f aca="false">I15*$C$12+I19*$C$16+$C$20*I23+$C$24*I27+$C$28*I31+$C$32*I35</f>
        <v>0</v>
      </c>
      <c r="J11" s="89" t="n">
        <f aca="false">J15*$C$12+J19*$C$16+$C$20*J23+$C$24*J27+$C$28*J31+$C$32*J35</f>
        <v>4.34316105634011E-005</v>
      </c>
      <c r="K11" s="89" t="n">
        <f aca="false">K15*$C$12+K19*$C$16+$C$20*K23+$C$24*K27+$C$28*K31+$C$32*K35</f>
        <v>1.79749556758632E-006</v>
      </c>
      <c r="L11" s="89" t="n">
        <f aca="false">L15*$C$12+L19*$C$16+$C$20*L23+$C$24*L27+$C$28*L31+$C$32*L35</f>
        <v>2.26515542159161E-008</v>
      </c>
      <c r="M11" s="89" t="n">
        <f aca="false">M15*$C$12+M19*$C$16+$C$20*M23+$C$24*M27+$C$28*M31+$C$32*M35</f>
        <v>3.11193350588539E-005</v>
      </c>
      <c r="N11" s="89" t="n">
        <f aca="false">N15*$C$12+N19*$C$16+$C$20*N23+$C$24*N27+$C$28*N31+$C$32*N35</f>
        <v>0</v>
      </c>
      <c r="O11" s="89" t="n">
        <f aca="false">O15*$C$12+O19*$C$16+$C$20*O23+$C$24*O27+$C$28*O31+$C$32*O35</f>
        <v>0</v>
      </c>
      <c r="P11" s="89" t="n">
        <f aca="false">P15*$C$12+P19*$C$16+$C$20*P23+$C$24*P27+$C$28*P31+$C$32*P35</f>
        <v>0</v>
      </c>
      <c r="Q11" s="89" t="n">
        <f aca="false">Q15*$C$12+Q19*$C$16+$C$20*Q23+$C$24*Q27+$C$28*Q31+$C$32*Q35</f>
        <v>0</v>
      </c>
      <c r="R11" s="89" t="n">
        <f aca="false">R15*$C$12+R19*$C$16+$C$20*R23+$C$24*R27+$C$28*R31+$C$32*R35</f>
        <v>0</v>
      </c>
      <c r="S11" s="89" t="n">
        <f aca="false">S15*$C$12+S19*$C$16+$C$20*S23+$C$24*S27+$C$28*S31+$C$32*S35</f>
        <v>0.000113144607053863</v>
      </c>
      <c r="T11" s="89" t="n">
        <f aca="false">T15*$C$12+T19*$C$16+$C$20*T23+$C$24*T27+$C$28*T31+$C$32*T35</f>
        <v>0</v>
      </c>
      <c r="U11" s="89" t="n">
        <f aca="false">U15*$C$12+U19*$C$16+$C$20*U23+$C$24*U27+$C$28*U31+$C$32*U35</f>
        <v>0</v>
      </c>
      <c r="V11" s="309"/>
      <c r="W11" s="92"/>
      <c r="Z11" s="30"/>
    </row>
    <row r="12" s="332" customFormat="true" ht="17.4" hidden="false" customHeight="false" outlineLevel="0" collapsed="false">
      <c r="A12" s="330" t="s">
        <v>137</v>
      </c>
      <c r="B12" s="331" t="s">
        <v>291</v>
      </c>
      <c r="C12" s="331" t="n">
        <f aca="false">'Input data plant-based products'!D23</f>
        <v>0.14</v>
      </c>
      <c r="D12" s="78" t="s">
        <v>133</v>
      </c>
      <c r="E12" s="94" t="n">
        <f aca="false">IF($F$1="GWP100 without fb",E13+E14*'Common input data'!$C$5+E15*'Common input data'!$D$5,IF($F$1="GWP100 with fb",E13+E14*'Common input data'!$C$6+E15*'Common input data'!$D$6,IF($F$1="GTP100 without fb",E13+E14*'Common input data'!$C$7+E15*'Common input data'!$D$7,IF($F$1="GTP100 with fb",E13+E14*'Common input data'!$C$8+E15*'Common input data'!$D$8,E13+E14*'Common input data'!$C$9+E15*'Common input data'!$D$9))))</f>
        <v>0.0146507704260652</v>
      </c>
      <c r="F12" s="95" t="n">
        <f aca="false">IF($F$1="GWP100 without fb",F13+F14*'Common input data'!$C$5+F15*'Common input data'!$D$5,IF($F$1="GWP100 with fb",F13+F14*'Common input data'!$C$6+F15*'Common input data'!$D$6,IF($F$1="GTP100 without fb",F13+F14*'Common input data'!$C$7+F15*'Common input data'!$D$7,IF($F$1="GTP100 with fb",F13+F14*'Common input data'!$C$8+F15*'Common input data'!$D$8,F13+F14*'Common input data'!$C$9+F15*'Common input data'!$D$9))))</f>
        <v>0.842823997198092</v>
      </c>
      <c r="G12" s="96" t="n">
        <f aca="false">IF($F$1="GWP100 without fb",G13+G14*'Common input data'!$C$5+G15*'Common input data'!$D$5,IF($F$1="GWP100 with fb",G13+G14*'Common input data'!$C$6+G15*'Common input data'!$D$6,IF($F$1="GTP100 without fb",G13+G14*'Common input data'!$C$7+G15*'Common input data'!$D$7,IF($F$1="GTP100 with fb",G13+G14*'Common input data'!$C$8+G15*'Common input data'!$D$8,G13+G14*'Common input data'!$C$9+G15*'Common input data'!$D$9))))</f>
        <v>1.10135338011468</v>
      </c>
      <c r="H12" s="83"/>
      <c r="I12" s="83"/>
      <c r="J12" s="83"/>
      <c r="K12" s="83"/>
      <c r="L12" s="83"/>
      <c r="M12" s="83"/>
      <c r="N12" s="83"/>
      <c r="O12" s="83"/>
      <c r="P12" s="83"/>
      <c r="Q12" s="83"/>
      <c r="R12" s="83"/>
      <c r="S12" s="83"/>
      <c r="T12" s="83"/>
      <c r="U12" s="83"/>
      <c r="V12" s="309"/>
      <c r="W12" s="92"/>
      <c r="X12" s="209"/>
      <c r="Y12" s="209"/>
      <c r="Z12" s="30"/>
      <c r="AA12" s="209"/>
      <c r="AB12" s="209"/>
      <c r="AC12" s="209"/>
      <c r="AD12" s="209"/>
      <c r="AE12" s="209"/>
      <c r="AF12" s="209"/>
      <c r="AG12" s="209"/>
      <c r="AH12" s="209"/>
      <c r="AI12" s="209"/>
      <c r="AJ12" s="209"/>
      <c r="AK12" s="209"/>
      <c r="AL12" s="209"/>
      <c r="AM12" s="209"/>
      <c r="AN12" s="209"/>
      <c r="AO12" s="209"/>
      <c r="AP12" s="209"/>
      <c r="AQ12" s="209"/>
      <c r="AR12" s="209"/>
      <c r="AS12" s="209"/>
      <c r="AT12" s="209"/>
      <c r="AU12" s="209"/>
      <c r="AV12" s="209"/>
      <c r="AW12" s="209"/>
      <c r="AX12" s="209"/>
      <c r="AY12" s="209"/>
      <c r="AZ12" s="209"/>
      <c r="BA12" s="209"/>
      <c r="BB12" s="209"/>
      <c r="BC12" s="209"/>
      <c r="BD12" s="209"/>
      <c r="BE12" s="209"/>
      <c r="BF12" s="209"/>
      <c r="BG12" s="209"/>
      <c r="BH12" s="209"/>
      <c r="BI12" s="209"/>
      <c r="BJ12" s="209"/>
      <c r="BK12" s="209"/>
      <c r="BL12" s="209"/>
      <c r="BM12" s="209"/>
      <c r="BN12" s="209"/>
      <c r="BO12" s="209"/>
      <c r="BP12" s="209"/>
      <c r="BQ12" s="209"/>
      <c r="BR12" s="209"/>
      <c r="BS12" s="209"/>
      <c r="BT12" s="209"/>
      <c r="BU12" s="209"/>
      <c r="BV12" s="209"/>
      <c r="BW12" s="209"/>
      <c r="BX12" s="209"/>
      <c r="BY12" s="209"/>
      <c r="BZ12" s="209"/>
      <c r="CA12" s="209"/>
      <c r="CB12" s="209"/>
      <c r="CC12" s="209"/>
      <c r="CD12" s="209"/>
      <c r="CE12" s="209"/>
      <c r="CF12" s="209"/>
      <c r="CG12" s="209"/>
      <c r="CH12" s="209"/>
      <c r="CI12" s="209"/>
      <c r="CJ12" s="209"/>
      <c r="CK12" s="209"/>
      <c r="CL12" s="209"/>
      <c r="CM12" s="209"/>
      <c r="CN12" s="209"/>
      <c r="CO12" s="209"/>
      <c r="CP12" s="209"/>
      <c r="CQ12" s="209"/>
      <c r="CR12" s="209"/>
      <c r="CS12" s="209"/>
      <c r="CT12" s="209"/>
      <c r="CU12" s="209"/>
      <c r="CV12" s="209"/>
      <c r="CW12" s="209"/>
      <c r="CX12" s="209"/>
      <c r="CY12" s="209"/>
      <c r="CZ12" s="209"/>
      <c r="DA12" s="209"/>
      <c r="DB12" s="209"/>
      <c r="DC12" s="209"/>
      <c r="DD12" s="209"/>
      <c r="DE12" s="209"/>
      <c r="DF12" s="209"/>
      <c r="DG12" s="209"/>
      <c r="DH12" s="209"/>
      <c r="DI12" s="209"/>
      <c r="DJ12" s="209"/>
      <c r="DK12" s="209"/>
      <c r="DL12" s="209"/>
      <c r="DM12" s="209"/>
      <c r="DN12" s="209"/>
      <c r="DO12" s="209"/>
      <c r="DP12" s="209"/>
      <c r="DQ12" s="209"/>
      <c r="DR12" s="209"/>
      <c r="DS12" s="209"/>
      <c r="DT12" s="209"/>
      <c r="DU12" s="209"/>
      <c r="DV12" s="209"/>
      <c r="DW12" s="209"/>
      <c r="DX12" s="209"/>
      <c r="DY12" s="209"/>
      <c r="DZ12" s="209"/>
      <c r="EA12" s="209"/>
      <c r="EB12" s="209"/>
      <c r="EC12" s="209"/>
      <c r="ED12" s="209"/>
      <c r="EE12" s="209"/>
      <c r="EF12" s="209"/>
      <c r="EG12" s="209"/>
      <c r="EH12" s="209"/>
      <c r="EI12" s="209"/>
      <c r="EJ12" s="209"/>
      <c r="EK12" s="209"/>
      <c r="EL12" s="209"/>
      <c r="EM12" s="209"/>
      <c r="EN12" s="209"/>
      <c r="EO12" s="209"/>
      <c r="EP12" s="209"/>
      <c r="EQ12" s="209"/>
      <c r="ER12" s="209"/>
      <c r="ES12" s="209"/>
      <c r="ET12" s="209"/>
      <c r="EU12" s="209"/>
      <c r="EV12" s="209"/>
      <c r="EW12" s="209"/>
      <c r="EX12" s="209"/>
      <c r="EY12" s="209"/>
      <c r="EZ12" s="209"/>
      <c r="FA12" s="209"/>
      <c r="FB12" s="209"/>
      <c r="FC12" s="209"/>
      <c r="FD12" s="209"/>
      <c r="FE12" s="209"/>
      <c r="FF12" s="209"/>
      <c r="FG12" s="209"/>
      <c r="FH12" s="209"/>
      <c r="FI12" s="209"/>
      <c r="FJ12" s="209"/>
      <c r="FK12" s="209"/>
      <c r="FL12" s="209"/>
      <c r="FM12" s="209"/>
      <c r="FN12" s="209"/>
      <c r="FO12" s="209"/>
      <c r="FP12" s="209"/>
      <c r="FQ12" s="209"/>
      <c r="FR12" s="209"/>
      <c r="FS12" s="209"/>
      <c r="FT12" s="209"/>
      <c r="FU12" s="209"/>
      <c r="FV12" s="209"/>
      <c r="FW12" s="209"/>
      <c r="FX12" s="209"/>
      <c r="FY12" s="209"/>
      <c r="FZ12" s="209"/>
      <c r="GA12" s="209"/>
      <c r="GB12" s="209"/>
      <c r="GC12" s="209"/>
      <c r="GD12" s="209"/>
      <c r="GE12" s="209"/>
      <c r="GF12" s="209"/>
      <c r="GG12" s="209"/>
      <c r="GH12" s="209"/>
      <c r="GI12" s="209"/>
      <c r="GJ12" s="209"/>
      <c r="GK12" s="209"/>
      <c r="GL12" s="209"/>
      <c r="GM12" s="209"/>
      <c r="GN12" s="209"/>
      <c r="GO12" s="209"/>
      <c r="GP12" s="209"/>
      <c r="GQ12" s="209"/>
      <c r="GR12" s="209"/>
      <c r="GS12" s="209"/>
      <c r="GT12" s="209"/>
      <c r="GU12" s="209"/>
      <c r="GV12" s="209"/>
      <c r="GW12" s="209"/>
      <c r="GX12" s="209"/>
      <c r="GY12" s="209"/>
      <c r="GZ12" s="209"/>
      <c r="HA12" s="209"/>
      <c r="HB12" s="209"/>
      <c r="HC12" s="209"/>
      <c r="HD12" s="209"/>
      <c r="HE12" s="209"/>
      <c r="HF12" s="209"/>
      <c r="HG12" s="209"/>
      <c r="HH12" s="209"/>
      <c r="HI12" s="209"/>
      <c r="HJ12" s="209"/>
      <c r="HK12" s="209"/>
      <c r="HL12" s="209"/>
      <c r="HM12" s="209"/>
      <c r="HN12" s="209"/>
      <c r="HO12" s="209"/>
      <c r="HP12" s="209"/>
      <c r="HQ12" s="209"/>
      <c r="HR12" s="209"/>
      <c r="HS12" s="209"/>
      <c r="HT12" s="209"/>
      <c r="HU12" s="209"/>
      <c r="HV12" s="209"/>
      <c r="HW12" s="209"/>
      <c r="HX12" s="209"/>
      <c r="HY12" s="209"/>
      <c r="HZ12" s="209"/>
      <c r="IA12" s="209"/>
      <c r="IB12" s="209"/>
      <c r="IC12" s="209"/>
      <c r="ID12" s="209"/>
      <c r="IE12" s="209"/>
      <c r="IF12" s="209"/>
      <c r="IG12" s="209"/>
      <c r="IH12" s="209"/>
      <c r="II12" s="209"/>
      <c r="IJ12" s="209"/>
      <c r="IK12" s="209"/>
      <c r="IL12" s="209"/>
      <c r="IM12" s="209"/>
      <c r="IN12" s="209"/>
      <c r="IO12" s="209"/>
      <c r="IP12" s="209"/>
      <c r="IQ12" s="209"/>
      <c r="IR12" s="209"/>
      <c r="IS12" s="209"/>
      <c r="IT12" s="209"/>
      <c r="IU12" s="209"/>
      <c r="IV12" s="209"/>
      <c r="IW12" s="209"/>
      <c r="IX12" s="209"/>
    </row>
    <row r="13" s="209" customFormat="true" ht="17.4" hidden="false" customHeight="false" outlineLevel="0" collapsed="false">
      <c r="A13" s="315"/>
      <c r="B13" s="30"/>
      <c r="C13" s="30"/>
      <c r="D13" s="85" t="s">
        <v>134</v>
      </c>
      <c r="E13" s="217" t="n">
        <f aca="false">IF(AND($F$2="No",$F$3="No"),SUM(J13:K13),IF(AND($F$2="Yes", $F$3="No"), SUM(J13:K13)+Q13, IF(AND($F$2="No", $F$3="Yes"),SUM(J13:K13)+P13, SUM(J13:K13)+Q13+P13)))</f>
        <v>0</v>
      </c>
      <c r="F13" s="89" t="n">
        <f aca="false">IF(AND($F$2="No",$F$3="No"),SUM(H13:O13),IF(AND($F$2="Yes", $F$3="No"), SUM(H13:O13)+Q13, IF(AND($F$2="No", $F$3="Yes"),SUM(H13:O13)+P13, SUM(H13:O13)+Q13+P13)))</f>
        <v>0.751113950857784</v>
      </c>
      <c r="G13" s="88" t="n">
        <f aca="false">SUM(S13:U13)/(1-'Common input data'!$B$121)</f>
        <v>0.99190112287598</v>
      </c>
      <c r="H13" s="89" t="n">
        <f aca="false">('Input data plant-based products'!$F$23*('Common input data'!$B$76*'Common input data'!B69+'Common input data'!$B$77*'Common input data'!C69))/'Input data plant-based products'!$E$23</f>
        <v>0.00748434247012092</v>
      </c>
      <c r="I13" s="89" t="n">
        <f aca="false">'Common input data'!$B$81</f>
        <v>0.03</v>
      </c>
      <c r="J13" s="89" t="n">
        <v>0</v>
      </c>
      <c r="K13" s="89" t="n">
        <v>0</v>
      </c>
      <c r="L13" s="89" t="n">
        <v>0</v>
      </c>
      <c r="M13" s="89" t="n">
        <f aca="false">'Input data plant-based products'!M139/'Input data plant-based products'!E$23</f>
        <v>0.713629608387663</v>
      </c>
      <c r="N13" s="89" t="n">
        <v>0</v>
      </c>
      <c r="O13" s="89" t="n">
        <v>0</v>
      </c>
      <c r="P13" s="89" t="n">
        <v>0</v>
      </c>
      <c r="Q13" s="89" t="n">
        <v>0</v>
      </c>
      <c r="R13" s="89" t="n">
        <v>0</v>
      </c>
      <c r="S13" s="89" t="n">
        <f aca="false">(F13+R13)</f>
        <v>0.751113950857784</v>
      </c>
      <c r="T13" s="89" t="n">
        <f aca="false">'Common input data'!$B$88</f>
        <v>0.05</v>
      </c>
      <c r="U13" s="89" t="n">
        <f aca="false">'Common input data'!C$98</f>
        <v>0.03</v>
      </c>
      <c r="V13" s="309"/>
      <c r="W13" s="92"/>
      <c r="Z13" s="30"/>
    </row>
    <row r="14" s="209" customFormat="true" ht="17.4" hidden="false" customHeight="false" outlineLevel="0" collapsed="false">
      <c r="A14" s="315"/>
      <c r="B14" s="30"/>
      <c r="C14" s="93"/>
      <c r="D14" s="85" t="s">
        <v>135</v>
      </c>
      <c r="E14" s="217" t="n">
        <f aca="false">SUM(J14:K14)</f>
        <v>0</v>
      </c>
      <c r="F14" s="89" t="n">
        <f aca="false">SUM(H14:O14)</f>
        <v>0.00168175826134052</v>
      </c>
      <c r="G14" s="88" t="n">
        <f aca="false">SUM(S14:U14)/(1-'Common input data'!$B$121)</f>
        <v>0.00200711094562659</v>
      </c>
      <c r="H14" s="89" t="n">
        <f aca="false">('Input data plant-based products'!$F$23*('Common input data'!$B$76*'Common input data'!B70+'Common input data'!$B$77*'Common input data'!C70))/'Input data plant-based products'!$E$23</f>
        <v>2.00373333333334E-011</v>
      </c>
      <c r="I14" s="89" t="n">
        <v>0</v>
      </c>
      <c r="J14" s="89" t="n">
        <v>0</v>
      </c>
      <c r="K14" s="89" t="n">
        <v>0</v>
      </c>
      <c r="L14" s="89" t="n">
        <v>0</v>
      </c>
      <c r="M14" s="89" t="n">
        <f aca="false">'Input data plant-based products'!N139/'Input data plant-based products'!E$23</f>
        <v>0.00168175824130318</v>
      </c>
      <c r="N14" s="89" t="n">
        <v>0</v>
      </c>
      <c r="O14" s="89" t="n">
        <v>0</v>
      </c>
      <c r="P14" s="89" t="n">
        <v>0</v>
      </c>
      <c r="Q14" s="89" t="n">
        <v>0</v>
      </c>
      <c r="R14" s="89" t="n">
        <v>0</v>
      </c>
      <c r="S14" s="89" t="n">
        <f aca="false">(F14+R14)</f>
        <v>0.00168175826134052</v>
      </c>
      <c r="T14" s="89" t="n">
        <v>0</v>
      </c>
      <c r="U14" s="89" t="n">
        <v>0</v>
      </c>
      <c r="V14" s="309"/>
      <c r="W14" s="92"/>
      <c r="Z14" s="30"/>
    </row>
    <row r="15" s="209" customFormat="true" ht="17.4" hidden="false" customHeight="false" outlineLevel="0" collapsed="false">
      <c r="A15" s="74"/>
      <c r="B15" s="30"/>
      <c r="C15" s="87"/>
      <c r="D15" s="31" t="s">
        <v>136</v>
      </c>
      <c r="E15" s="217" t="n">
        <f aca="false">SUM(J15:K15)</f>
        <v>4.91636591478697E-005</v>
      </c>
      <c r="F15" s="89" t="n">
        <f aca="false">SUM(H15:O15)</f>
        <v>0.000115873374009163</v>
      </c>
      <c r="G15" s="88" t="n">
        <f aca="false">SUM(S15:U15)/(1-'Common input data'!$B$121)</f>
        <v>0.000138290218414086</v>
      </c>
      <c r="H15" s="89" t="n">
        <f aca="false">('Input data plant-based products'!$F$23*('Common input data'!$B$76*'Common input data'!B71+'Common input data'!$B$77*'Common input data'!C71))/'Input data plant-based products'!$E$23</f>
        <v>3.03991530214322E-005</v>
      </c>
      <c r="I15" s="89" t="n">
        <v>0</v>
      </c>
      <c r="J15" s="89" t="n">
        <f aca="false">(SUM('Input data plant-based products'!F23:H23)*'Input data plant-based products'!$B$114*44/28)/'Input data plant-based products'!E23</f>
        <v>4.68671679197995E-005</v>
      </c>
      <c r="K15" s="89" t="n">
        <f aca="false">J15*'Input data plant-based products'!$B$115*(1-'Input data plant-based products'!L139)</f>
        <v>2.29649122807018E-006</v>
      </c>
      <c r="L15" s="89" t="n">
        <v>0</v>
      </c>
      <c r="M15" s="89" t="n">
        <f aca="false">'Input data plant-based products'!O139/'Input data plant-based products'!E$23</f>
        <v>3.63105618398611E-005</v>
      </c>
      <c r="N15" s="89" t="n">
        <v>0</v>
      </c>
      <c r="O15" s="89" t="n">
        <v>0</v>
      </c>
      <c r="P15" s="89" t="n">
        <v>0</v>
      </c>
      <c r="Q15" s="89" t="n">
        <v>0</v>
      </c>
      <c r="R15" s="89" t="n">
        <v>0</v>
      </c>
      <c r="S15" s="89" t="n">
        <f aca="false">(F15+R15)</f>
        <v>0.000115873374009163</v>
      </c>
      <c r="T15" s="89" t="n">
        <v>0</v>
      </c>
      <c r="U15" s="89" t="n">
        <v>0</v>
      </c>
      <c r="V15" s="309"/>
      <c r="W15" s="92"/>
      <c r="Z15" s="30"/>
    </row>
    <row r="16" s="332" customFormat="true" ht="17.4" hidden="false" customHeight="false" outlineLevel="0" collapsed="false">
      <c r="A16" s="330" t="s">
        <v>187</v>
      </c>
      <c r="B16" s="331" t="s">
        <v>291</v>
      </c>
      <c r="C16" s="331" t="n">
        <f aca="false">'Input data plant-based products'!D24</f>
        <v>0.56</v>
      </c>
      <c r="D16" s="78" t="s">
        <v>133</v>
      </c>
      <c r="E16" s="94" t="n">
        <f aca="false">IF($F$1="GWP100 without fb",E17+E18*'Common input data'!$C$5+E19*'Common input data'!$D$5,IF($F$1="GWP100 with fb",E17+E18*'Common input data'!$C$6+E19*'Common input data'!$D$6,IF($F$1="GTP100 without fb",E17+E18*'Common input data'!$C$7+E19*'Common input data'!$D$7,IF($F$1="GTP100 with fb",E17+E18*'Common input data'!$C$8+E19*'Common input data'!$D$8,E17+E18*'Common input data'!$C$9+E19*'Common input data'!$D$9))))</f>
        <v>0.00993363698035034</v>
      </c>
      <c r="F16" s="95" t="n">
        <f aca="false">IF($F$1="GWP100 without fb",F17+F18*'Common input data'!$C$5+F19*'Common input data'!$D$5,IF($F$1="GWP100 with fb",F17+F18*'Common input data'!$C$6+F19*'Common input data'!$D$6,IF($F$1="GTP100 without fb",F17+F18*'Common input data'!$C$7+F19*'Common input data'!$D$7,IF($F$1="GTP100 with fb",F17+F18*'Common input data'!$C$8+F19*'Common input data'!$D$8,F17+F18*'Common input data'!$C$9+F19*'Common input data'!$D$9))))</f>
        <v>1.5342010168996</v>
      </c>
      <c r="G16" s="96" t="n">
        <f aca="false">IF($F$1="GWP100 without fb",G17+G18*'Common input data'!$C$5+G19*'Common input data'!$D$5,IF($F$1="GWP100 with fb",G17+G18*'Common input data'!$C$6+G19*'Common input data'!$D$6,IF($F$1="GTP100 without fb",G17+G18*'Common input data'!$C$7+G19*'Common input data'!$D$7,IF($F$1="GTP100 with fb",G17+G18*'Common input data'!$C$8+G19*'Common input data'!$D$8,G17+G18*'Common input data'!$C$9+G19*'Common input data'!$D$9))))</f>
        <v>2.04583007148777</v>
      </c>
      <c r="H16" s="83"/>
      <c r="I16" s="83"/>
      <c r="J16" s="83"/>
      <c r="K16" s="83"/>
      <c r="L16" s="83"/>
      <c r="M16" s="83"/>
      <c r="N16" s="83"/>
      <c r="O16" s="83"/>
      <c r="P16" s="83"/>
      <c r="Q16" s="83"/>
      <c r="R16" s="83"/>
      <c r="S16" s="83"/>
      <c r="T16" s="83"/>
      <c r="U16" s="83"/>
      <c r="V16" s="309"/>
      <c r="W16" s="92"/>
      <c r="X16" s="209"/>
      <c r="Y16" s="209"/>
      <c r="Z16" s="30"/>
      <c r="AA16" s="209"/>
      <c r="AB16" s="209"/>
      <c r="AC16" s="209"/>
      <c r="AD16" s="209"/>
      <c r="AE16" s="209"/>
      <c r="AF16" s="209"/>
      <c r="AG16" s="209"/>
      <c r="AH16" s="209"/>
      <c r="AI16" s="209"/>
      <c r="AJ16" s="209"/>
      <c r="AK16" s="209"/>
      <c r="AL16" s="209"/>
      <c r="AM16" s="209"/>
      <c r="AN16" s="209"/>
      <c r="AO16" s="209"/>
      <c r="AP16" s="209"/>
      <c r="AQ16" s="209"/>
      <c r="AR16" s="209"/>
      <c r="AS16" s="209"/>
      <c r="AT16" s="209"/>
      <c r="AU16" s="209"/>
      <c r="AV16" s="209"/>
      <c r="AW16" s="209"/>
      <c r="AX16" s="209"/>
      <c r="AY16" s="209"/>
      <c r="AZ16" s="209"/>
      <c r="BA16" s="209"/>
      <c r="BB16" s="209"/>
      <c r="BC16" s="209"/>
      <c r="BD16" s="209"/>
      <c r="BE16" s="209"/>
      <c r="BF16" s="209"/>
      <c r="BG16" s="209"/>
      <c r="BH16" s="209"/>
      <c r="BI16" s="209"/>
      <c r="BJ16" s="209"/>
      <c r="BK16" s="209"/>
      <c r="BL16" s="209"/>
      <c r="BM16" s="209"/>
      <c r="BN16" s="209"/>
      <c r="BO16" s="209"/>
      <c r="BP16" s="209"/>
      <c r="BQ16" s="209"/>
      <c r="BR16" s="209"/>
      <c r="BS16" s="209"/>
      <c r="BT16" s="209"/>
      <c r="BU16" s="209"/>
      <c r="BV16" s="209"/>
      <c r="BW16" s="209"/>
      <c r="BX16" s="209"/>
      <c r="BY16" s="209"/>
      <c r="BZ16" s="209"/>
      <c r="CA16" s="209"/>
      <c r="CB16" s="209"/>
      <c r="CC16" s="209"/>
      <c r="CD16" s="209"/>
      <c r="CE16" s="209"/>
      <c r="CF16" s="209"/>
      <c r="CG16" s="209"/>
      <c r="CH16" s="209"/>
      <c r="CI16" s="209"/>
      <c r="CJ16" s="209"/>
      <c r="CK16" s="209"/>
      <c r="CL16" s="209"/>
      <c r="CM16" s="209"/>
      <c r="CN16" s="209"/>
      <c r="CO16" s="209"/>
      <c r="CP16" s="209"/>
      <c r="CQ16" s="209"/>
      <c r="CR16" s="209"/>
      <c r="CS16" s="209"/>
      <c r="CT16" s="209"/>
      <c r="CU16" s="209"/>
      <c r="CV16" s="209"/>
      <c r="CW16" s="209"/>
      <c r="CX16" s="209"/>
      <c r="CY16" s="209"/>
      <c r="CZ16" s="209"/>
      <c r="DA16" s="209"/>
      <c r="DB16" s="209"/>
      <c r="DC16" s="209"/>
      <c r="DD16" s="209"/>
      <c r="DE16" s="209"/>
      <c r="DF16" s="209"/>
      <c r="DG16" s="209"/>
      <c r="DH16" s="209"/>
      <c r="DI16" s="209"/>
      <c r="DJ16" s="209"/>
      <c r="DK16" s="209"/>
      <c r="DL16" s="209"/>
      <c r="DM16" s="209"/>
      <c r="DN16" s="209"/>
      <c r="DO16" s="209"/>
      <c r="DP16" s="209"/>
      <c r="DQ16" s="209"/>
      <c r="DR16" s="209"/>
      <c r="DS16" s="209"/>
      <c r="DT16" s="209"/>
      <c r="DU16" s="209"/>
      <c r="DV16" s="209"/>
      <c r="DW16" s="209"/>
      <c r="DX16" s="209"/>
      <c r="DY16" s="209"/>
      <c r="DZ16" s="209"/>
      <c r="EA16" s="209"/>
      <c r="EB16" s="209"/>
      <c r="EC16" s="209"/>
      <c r="ED16" s="209"/>
      <c r="EE16" s="209"/>
      <c r="EF16" s="209"/>
      <c r="EG16" s="209"/>
      <c r="EH16" s="209"/>
      <c r="EI16" s="209"/>
      <c r="EJ16" s="209"/>
      <c r="EK16" s="209"/>
      <c r="EL16" s="209"/>
      <c r="EM16" s="209"/>
      <c r="EN16" s="209"/>
      <c r="EO16" s="209"/>
      <c r="EP16" s="209"/>
      <c r="EQ16" s="209"/>
      <c r="ER16" s="209"/>
      <c r="ES16" s="209"/>
      <c r="ET16" s="209"/>
      <c r="EU16" s="209"/>
      <c r="EV16" s="209"/>
      <c r="EW16" s="209"/>
      <c r="EX16" s="209"/>
      <c r="EY16" s="209"/>
      <c r="EZ16" s="209"/>
      <c r="FA16" s="209"/>
      <c r="FB16" s="209"/>
      <c r="FC16" s="209"/>
      <c r="FD16" s="209"/>
      <c r="FE16" s="209"/>
      <c r="FF16" s="209"/>
      <c r="FG16" s="209"/>
      <c r="FH16" s="209"/>
      <c r="FI16" s="209"/>
      <c r="FJ16" s="209"/>
      <c r="FK16" s="209"/>
      <c r="FL16" s="209"/>
      <c r="FM16" s="209"/>
      <c r="FN16" s="209"/>
      <c r="FO16" s="209"/>
      <c r="FP16" s="209"/>
      <c r="FQ16" s="209"/>
      <c r="FR16" s="209"/>
      <c r="FS16" s="209"/>
      <c r="FT16" s="209"/>
      <c r="FU16" s="209"/>
      <c r="FV16" s="209"/>
      <c r="FW16" s="209"/>
      <c r="FX16" s="209"/>
      <c r="FY16" s="209"/>
      <c r="FZ16" s="209"/>
      <c r="GA16" s="209"/>
      <c r="GB16" s="209"/>
      <c r="GC16" s="209"/>
      <c r="GD16" s="209"/>
      <c r="GE16" s="209"/>
      <c r="GF16" s="209"/>
      <c r="GG16" s="209"/>
      <c r="GH16" s="209"/>
      <c r="GI16" s="209"/>
      <c r="GJ16" s="209"/>
      <c r="GK16" s="209"/>
      <c r="GL16" s="209"/>
      <c r="GM16" s="209"/>
      <c r="GN16" s="209"/>
      <c r="GO16" s="209"/>
      <c r="GP16" s="209"/>
      <c r="GQ16" s="209"/>
      <c r="GR16" s="209"/>
      <c r="GS16" s="209"/>
      <c r="GT16" s="209"/>
      <c r="GU16" s="209"/>
      <c r="GV16" s="209"/>
      <c r="GW16" s="209"/>
      <c r="GX16" s="209"/>
      <c r="GY16" s="209"/>
      <c r="GZ16" s="209"/>
      <c r="HA16" s="209"/>
      <c r="HB16" s="209"/>
      <c r="HC16" s="209"/>
      <c r="HD16" s="209"/>
      <c r="HE16" s="209"/>
      <c r="HF16" s="209"/>
      <c r="HG16" s="209"/>
      <c r="HH16" s="209"/>
      <c r="HI16" s="209"/>
      <c r="HJ16" s="209"/>
      <c r="HK16" s="209"/>
      <c r="HL16" s="209"/>
      <c r="HM16" s="209"/>
      <c r="HN16" s="209"/>
      <c r="HO16" s="209"/>
      <c r="HP16" s="209"/>
      <c r="HQ16" s="209"/>
      <c r="HR16" s="209"/>
      <c r="HS16" s="209"/>
      <c r="HT16" s="209"/>
      <c r="HU16" s="209"/>
      <c r="HV16" s="209"/>
      <c r="HW16" s="209"/>
      <c r="HX16" s="209"/>
      <c r="HY16" s="209"/>
      <c r="HZ16" s="209"/>
      <c r="IA16" s="209"/>
      <c r="IB16" s="209"/>
      <c r="IC16" s="209"/>
      <c r="ID16" s="209"/>
      <c r="IE16" s="209"/>
      <c r="IF16" s="209"/>
      <c r="IG16" s="209"/>
      <c r="IH16" s="209"/>
      <c r="II16" s="209"/>
      <c r="IJ16" s="209"/>
      <c r="IK16" s="209"/>
      <c r="IL16" s="209"/>
      <c r="IM16" s="209"/>
      <c r="IN16" s="209"/>
      <c r="IO16" s="209"/>
      <c r="IP16" s="209"/>
      <c r="IQ16" s="209"/>
      <c r="IR16" s="209"/>
      <c r="IS16" s="209"/>
      <c r="IT16" s="209"/>
      <c r="IU16" s="209"/>
      <c r="IV16" s="209"/>
      <c r="IW16" s="209"/>
      <c r="IX16" s="209"/>
    </row>
    <row r="17" s="209" customFormat="true" ht="17.4" hidden="false" customHeight="false" outlineLevel="0" collapsed="false">
      <c r="A17" s="315"/>
      <c r="B17" s="30"/>
      <c r="C17" s="30"/>
      <c r="D17" s="85" t="s">
        <v>134</v>
      </c>
      <c r="E17" s="217" t="n">
        <f aca="false">IF(AND($F$2="No",$F$3="No"),SUM(J17:K17),IF(AND($F$2="Yes", $F$3="No"), SUM(J17:K17)+Q17, IF(AND($F$2="No", $F$3="Yes"),SUM(J17:K17)+P17, SUM(J17:K17)+Q17+P17)))</f>
        <v>0</v>
      </c>
      <c r="F17" s="89" t="n">
        <f aca="false">IF(AND($F$2="No",$F$3="No"),SUM(H17:O17),IF(AND($F$2="Yes", $F$3="No"), SUM(H17:O17)+Q17, IF(AND($F$2="No", $F$3="Yes"),SUM(H17:O17)+P17, SUM(H17:O17)+Q17+P17)))</f>
        <v>1.30689963540466</v>
      </c>
      <c r="G17" s="88" t="n">
        <f aca="false">SUM(S17:U17)/(1-'Common input data'!$B$121)</f>
        <v>1.77455500107968</v>
      </c>
      <c r="H17" s="89" t="n">
        <f aca="false">('Input data plant-based products'!$F$24*('Common input data'!$C$76*'Common input data'!B69+'Common input data'!$C$77*'Common input data'!C69))/'Input data plant-based products'!$E$24</f>
        <v>0.00565648686178081</v>
      </c>
      <c r="I17" s="89" t="n">
        <f aca="false">'Common input data'!$B$81</f>
        <v>0.03</v>
      </c>
      <c r="J17" s="89" t="n">
        <v>0</v>
      </c>
      <c r="K17" s="89" t="n">
        <v>0</v>
      </c>
      <c r="L17" s="89" t="n">
        <v>0</v>
      </c>
      <c r="M17" s="89" t="n">
        <f aca="false">'Input data plant-based products'!M140/'Input data plant-based products'!E$24*'Common input data'!D$33</f>
        <v>1.27124314854288</v>
      </c>
      <c r="N17" s="89" t="n">
        <v>0</v>
      </c>
      <c r="O17" s="89" t="n">
        <v>0</v>
      </c>
      <c r="P17" s="89" t="n">
        <v>0</v>
      </c>
      <c r="Q17" s="89" t="n">
        <v>0</v>
      </c>
      <c r="R17" s="89" t="n">
        <v>0</v>
      </c>
      <c r="S17" s="89" t="n">
        <f aca="false">(F17+R17)</f>
        <v>1.30689963540466</v>
      </c>
      <c r="T17" s="89" t="n">
        <f aca="false">'Common input data'!$B$88</f>
        <v>0.05</v>
      </c>
      <c r="U17" s="89" t="n">
        <f aca="false">'Common input data'!B99+'Common input data'!C99</f>
        <v>0.13</v>
      </c>
      <c r="V17" s="309"/>
      <c r="W17" s="92"/>
      <c r="Z17" s="30"/>
    </row>
    <row r="18" s="209" customFormat="true" ht="17.4" hidden="false" customHeight="false" outlineLevel="0" collapsed="false">
      <c r="A18" s="315"/>
      <c r="B18" s="30"/>
      <c r="C18" s="93"/>
      <c r="D18" s="85" t="s">
        <v>135</v>
      </c>
      <c r="E18" s="217" t="n">
        <f aca="false">SUM(J18:K18)</f>
        <v>0</v>
      </c>
      <c r="F18" s="89" t="n">
        <f aca="false">SUM(H18:O18)</f>
        <v>0.00573989655353534</v>
      </c>
      <c r="G18" s="88" t="n">
        <f aca="false">SUM(S18:U18)/(1-'Common input data'!$B$121)</f>
        <v>0.00685033602283726</v>
      </c>
      <c r="H18" s="89" t="n">
        <f aca="false">('Input data plant-based products'!$F$24*('Common input data'!$C$76*'Common input data'!B70+'Common input data'!$C$77*'Common input data'!C70))/'Input data plant-based products'!$E$24</f>
        <v>2.49402775148757E-011</v>
      </c>
      <c r="I18" s="89" t="n">
        <v>0</v>
      </c>
      <c r="J18" s="89" t="n">
        <v>0</v>
      </c>
      <c r="K18" s="89" t="n">
        <v>0</v>
      </c>
      <c r="L18" s="89" t="n">
        <v>0</v>
      </c>
      <c r="M18" s="89" t="n">
        <f aca="false">'Input data plant-based products'!N140/'Input data plant-based products'!E$24*'Common input data'!D$33</f>
        <v>0.00573989652859506</v>
      </c>
      <c r="N18" s="89" t="n">
        <v>0</v>
      </c>
      <c r="O18" s="89" t="n">
        <v>0</v>
      </c>
      <c r="P18" s="89" t="n">
        <v>0</v>
      </c>
      <c r="Q18" s="89" t="n">
        <v>0</v>
      </c>
      <c r="R18" s="89" t="n">
        <v>0</v>
      </c>
      <c r="S18" s="89" t="n">
        <f aca="false">(F18+R18)</f>
        <v>0.00573989655353534</v>
      </c>
      <c r="T18" s="89" t="n">
        <v>0</v>
      </c>
      <c r="U18" s="89" t="n">
        <v>0</v>
      </c>
      <c r="V18" s="309"/>
      <c r="W18" s="92"/>
      <c r="Z18" s="30"/>
    </row>
    <row r="19" s="209" customFormat="true" ht="17.4" hidden="false" customHeight="false" outlineLevel="0" collapsed="false">
      <c r="A19" s="74"/>
      <c r="B19" s="30"/>
      <c r="C19" s="87"/>
      <c r="D19" s="31" t="s">
        <v>136</v>
      </c>
      <c r="E19" s="217" t="n">
        <f aca="false">SUM(J19:K19)</f>
        <v>3.33343522830548E-005</v>
      </c>
      <c r="F19" s="89" t="n">
        <f aca="false">SUM(H19:O19)</f>
        <v>0.000107868787499117</v>
      </c>
      <c r="G19" s="88" t="n">
        <f aca="false">SUM(S19:U19)/(1-'Common input data'!$B$121)</f>
        <v>0.000128737065877929</v>
      </c>
      <c r="H19" s="89" t="n">
        <f aca="false">('Input data plant-based products'!$F$24*('Common input data'!$C$76*'Common input data'!B71+'Common input data'!$C$77*'Common input data'!C71))/'Input data plant-based products'!$E$24</f>
        <v>3.08971159669654E-005</v>
      </c>
      <c r="I19" s="89" t="n">
        <v>0</v>
      </c>
      <c r="J19" s="89" t="n">
        <f aca="false">(SUM('Input data plant-based products'!F24:H24)*'Input data plant-based products'!$B$114*44/28)/'Input data plant-based products'!E24</f>
        <v>3.33343522830548E-005</v>
      </c>
      <c r="K19" s="89" t="n">
        <f aca="false">J19*'Input data plant-based products'!$B$115*(1-'Input data plant-based products'!L140)</f>
        <v>0</v>
      </c>
      <c r="L19" s="89" t="n">
        <v>0</v>
      </c>
      <c r="M19" s="89" t="n">
        <f aca="false">'Input data plant-based products'!O140/'Input data plant-based products'!E$24*'Common input data'!D$33</f>
        <v>4.36373192490968E-005</v>
      </c>
      <c r="N19" s="89" t="n">
        <v>0</v>
      </c>
      <c r="O19" s="89" t="n">
        <v>0</v>
      </c>
      <c r="P19" s="89" t="n">
        <v>0</v>
      </c>
      <c r="Q19" s="89" t="n">
        <v>0</v>
      </c>
      <c r="R19" s="89" t="n">
        <v>0</v>
      </c>
      <c r="S19" s="89" t="n">
        <f aca="false">(F19+R19)</f>
        <v>0.000107868787499117</v>
      </c>
      <c r="T19" s="89" t="n">
        <v>0</v>
      </c>
      <c r="U19" s="89" t="n">
        <v>0</v>
      </c>
      <c r="V19" s="309"/>
      <c r="W19" s="92"/>
      <c r="Z19" s="30"/>
    </row>
    <row r="20" s="332" customFormat="true" ht="17.4" hidden="false" customHeight="false" outlineLevel="0" collapsed="false">
      <c r="A20" s="330" t="s">
        <v>285</v>
      </c>
      <c r="B20" s="331" t="s">
        <v>291</v>
      </c>
      <c r="C20" s="331" t="n">
        <f aca="false">'Input data plant-based products'!D25</f>
        <v>0.11</v>
      </c>
      <c r="D20" s="78" t="s">
        <v>133</v>
      </c>
      <c r="E20" s="94" t="n">
        <f aca="false">IF($F$1="GWP100 without fb",E21+E22*'Common input data'!$C$5+E23*'Common input data'!$D$5,IF($F$1="GWP100 with fb",E21+E22*'Common input data'!$C$6+E23*'Common input data'!$D$6,IF($F$1="GTP100 without fb",E21+E22*'Common input data'!$C$7+E23*'Common input data'!$D$7,IF($F$1="GTP100 with fb",E21+E22*'Common input data'!$C$8+E23*'Common input data'!$D$8,E21+E22*'Common input data'!$C$9+E23*'Common input data'!$D$9))))</f>
        <v>0.018497345429373</v>
      </c>
      <c r="F20" s="95" t="n">
        <f aca="false">IF($F$1="GWP100 without fb",F21+F22*'Common input data'!$C$5+F23*'Common input data'!$D$5,IF($F$1="GWP100 with fb",F21+F22*'Common input data'!$C$6+F23*'Common input data'!$D$6,IF($F$1="GTP100 without fb",F21+F22*'Common input data'!$C$7+F23*'Common input data'!$D$7,IF($F$1="GTP100 with fb",F21+F22*'Common input data'!$C$8+F23*'Common input data'!$D$8,F21+F22*'Common input data'!$C$9+F23*'Common input data'!$D$9))))</f>
        <v>0.0936589953611968</v>
      </c>
      <c r="G20" s="96" t="n">
        <f aca="false">IF($F$1="GWP100 without fb",G21+G22*'Common input data'!$C$5+G23*'Common input data'!$D$5,IF($F$1="GWP100 with fb",G21+G22*'Common input data'!$C$6+G23*'Common input data'!$D$6,IF($F$1="GTP100 without fb",G21+G22*'Common input data'!$C$7+G23*'Common input data'!$D$7,IF($F$1="GTP100 with fb",G21+G22*'Common input data'!$C$8+G23*'Common input data'!$D$8,G21+G22*'Common input data'!$C$9+G23*'Common input data'!$D$9))))</f>
        <v>0.445947004846875</v>
      </c>
      <c r="H20" s="83"/>
      <c r="I20" s="83"/>
      <c r="J20" s="83"/>
      <c r="K20" s="83"/>
      <c r="L20" s="83"/>
      <c r="M20" s="83"/>
      <c r="N20" s="83"/>
      <c r="O20" s="83"/>
      <c r="P20" s="83"/>
      <c r="Q20" s="83"/>
      <c r="R20" s="83"/>
      <c r="S20" s="83"/>
      <c r="T20" s="83"/>
      <c r="U20" s="83"/>
      <c r="V20" s="309"/>
      <c r="W20" s="92"/>
      <c r="X20" s="209"/>
      <c r="Y20" s="209"/>
      <c r="Z20" s="30"/>
      <c r="AA20" s="209"/>
      <c r="AB20" s="209"/>
      <c r="AC20" s="209"/>
      <c r="AD20" s="209"/>
      <c r="AE20" s="209"/>
      <c r="AF20" s="209"/>
      <c r="AG20" s="209"/>
      <c r="AH20" s="209"/>
      <c r="AI20" s="209"/>
      <c r="AJ20" s="209"/>
      <c r="AK20" s="209"/>
      <c r="AL20" s="209"/>
      <c r="AM20" s="209"/>
      <c r="AN20" s="209"/>
      <c r="AO20" s="209"/>
      <c r="AP20" s="209"/>
      <c r="AQ20" s="209"/>
      <c r="AR20" s="209"/>
      <c r="AS20" s="209"/>
      <c r="AT20" s="209"/>
      <c r="AU20" s="209"/>
      <c r="AV20" s="209"/>
      <c r="AW20" s="209"/>
      <c r="AX20" s="209"/>
      <c r="AY20" s="209"/>
      <c r="AZ20" s="209"/>
      <c r="BA20" s="209"/>
      <c r="BB20" s="209"/>
      <c r="BC20" s="209"/>
      <c r="BD20" s="209"/>
      <c r="BE20" s="209"/>
      <c r="BF20" s="209"/>
      <c r="BG20" s="209"/>
      <c r="BH20" s="209"/>
      <c r="BI20" s="209"/>
      <c r="BJ20" s="209"/>
      <c r="BK20" s="209"/>
      <c r="BL20" s="209"/>
      <c r="BM20" s="209"/>
      <c r="BN20" s="209"/>
      <c r="BO20" s="209"/>
      <c r="BP20" s="209"/>
      <c r="BQ20" s="209"/>
      <c r="BR20" s="209"/>
      <c r="BS20" s="209"/>
      <c r="BT20" s="209"/>
      <c r="BU20" s="209"/>
      <c r="BV20" s="209"/>
      <c r="BW20" s="209"/>
      <c r="BX20" s="209"/>
      <c r="BY20" s="209"/>
      <c r="BZ20" s="209"/>
      <c r="CA20" s="209"/>
      <c r="CB20" s="209"/>
      <c r="CC20" s="209"/>
      <c r="CD20" s="209"/>
      <c r="CE20" s="209"/>
      <c r="CF20" s="209"/>
      <c r="CG20" s="209"/>
      <c r="CH20" s="209"/>
      <c r="CI20" s="209"/>
      <c r="CJ20" s="209"/>
      <c r="CK20" s="209"/>
      <c r="CL20" s="209"/>
      <c r="CM20" s="209"/>
      <c r="CN20" s="209"/>
      <c r="CO20" s="209"/>
      <c r="CP20" s="209"/>
      <c r="CQ20" s="209"/>
      <c r="CR20" s="209"/>
      <c r="CS20" s="209"/>
      <c r="CT20" s="209"/>
      <c r="CU20" s="209"/>
      <c r="CV20" s="209"/>
      <c r="CW20" s="209"/>
      <c r="CX20" s="209"/>
      <c r="CY20" s="209"/>
      <c r="CZ20" s="209"/>
      <c r="DA20" s="209"/>
      <c r="DB20" s="209"/>
      <c r="DC20" s="209"/>
      <c r="DD20" s="209"/>
      <c r="DE20" s="209"/>
      <c r="DF20" s="209"/>
      <c r="DG20" s="209"/>
      <c r="DH20" s="209"/>
      <c r="DI20" s="209"/>
      <c r="DJ20" s="209"/>
      <c r="DK20" s="209"/>
      <c r="DL20" s="209"/>
      <c r="DM20" s="209"/>
      <c r="DN20" s="209"/>
      <c r="DO20" s="209"/>
      <c r="DP20" s="209"/>
      <c r="DQ20" s="209"/>
      <c r="DR20" s="209"/>
      <c r="DS20" s="209"/>
      <c r="DT20" s="209"/>
      <c r="DU20" s="209"/>
      <c r="DV20" s="209"/>
      <c r="DW20" s="209"/>
      <c r="DX20" s="209"/>
      <c r="DY20" s="209"/>
      <c r="DZ20" s="209"/>
      <c r="EA20" s="209"/>
      <c r="EB20" s="209"/>
      <c r="EC20" s="209"/>
      <c r="ED20" s="209"/>
      <c r="EE20" s="209"/>
      <c r="EF20" s="209"/>
      <c r="EG20" s="209"/>
      <c r="EH20" s="209"/>
      <c r="EI20" s="209"/>
      <c r="EJ20" s="209"/>
      <c r="EK20" s="209"/>
      <c r="EL20" s="209"/>
      <c r="EM20" s="209"/>
      <c r="EN20" s="209"/>
      <c r="EO20" s="209"/>
      <c r="EP20" s="209"/>
      <c r="EQ20" s="209"/>
      <c r="ER20" s="209"/>
      <c r="ES20" s="209"/>
      <c r="ET20" s="209"/>
      <c r="EU20" s="209"/>
      <c r="EV20" s="209"/>
      <c r="EW20" s="209"/>
      <c r="EX20" s="209"/>
      <c r="EY20" s="209"/>
      <c r="EZ20" s="209"/>
      <c r="FA20" s="209"/>
      <c r="FB20" s="209"/>
      <c r="FC20" s="209"/>
      <c r="FD20" s="209"/>
      <c r="FE20" s="209"/>
      <c r="FF20" s="209"/>
      <c r="FG20" s="209"/>
      <c r="FH20" s="209"/>
      <c r="FI20" s="209"/>
      <c r="FJ20" s="209"/>
      <c r="FK20" s="209"/>
      <c r="FL20" s="209"/>
      <c r="FM20" s="209"/>
      <c r="FN20" s="209"/>
      <c r="FO20" s="209"/>
      <c r="FP20" s="209"/>
      <c r="FQ20" s="209"/>
      <c r="FR20" s="209"/>
      <c r="FS20" s="209"/>
      <c r="FT20" s="209"/>
      <c r="FU20" s="209"/>
      <c r="FV20" s="209"/>
      <c r="FW20" s="209"/>
      <c r="FX20" s="209"/>
      <c r="FY20" s="209"/>
      <c r="FZ20" s="209"/>
      <c r="GA20" s="209"/>
      <c r="GB20" s="209"/>
      <c r="GC20" s="209"/>
      <c r="GD20" s="209"/>
      <c r="GE20" s="209"/>
      <c r="GF20" s="209"/>
      <c r="GG20" s="209"/>
      <c r="GH20" s="209"/>
      <c r="GI20" s="209"/>
      <c r="GJ20" s="209"/>
      <c r="GK20" s="209"/>
      <c r="GL20" s="209"/>
      <c r="GM20" s="209"/>
      <c r="GN20" s="209"/>
      <c r="GO20" s="209"/>
      <c r="GP20" s="209"/>
      <c r="GQ20" s="209"/>
      <c r="GR20" s="209"/>
      <c r="GS20" s="209"/>
      <c r="GT20" s="209"/>
      <c r="GU20" s="209"/>
      <c r="GV20" s="209"/>
      <c r="GW20" s="209"/>
      <c r="GX20" s="209"/>
      <c r="GY20" s="209"/>
      <c r="GZ20" s="209"/>
      <c r="HA20" s="209"/>
      <c r="HB20" s="209"/>
      <c r="HC20" s="209"/>
      <c r="HD20" s="209"/>
      <c r="HE20" s="209"/>
      <c r="HF20" s="209"/>
      <c r="HG20" s="209"/>
      <c r="HH20" s="209"/>
      <c r="HI20" s="209"/>
      <c r="HJ20" s="209"/>
      <c r="HK20" s="209"/>
      <c r="HL20" s="209"/>
      <c r="HM20" s="209"/>
      <c r="HN20" s="209"/>
      <c r="HO20" s="209"/>
      <c r="HP20" s="209"/>
      <c r="HQ20" s="209"/>
      <c r="HR20" s="209"/>
      <c r="HS20" s="209"/>
      <c r="HT20" s="209"/>
      <c r="HU20" s="209"/>
      <c r="HV20" s="209"/>
      <c r="HW20" s="209"/>
      <c r="HX20" s="209"/>
      <c r="HY20" s="209"/>
      <c r="HZ20" s="209"/>
      <c r="IA20" s="209"/>
      <c r="IB20" s="209"/>
      <c r="IC20" s="209"/>
      <c r="ID20" s="209"/>
      <c r="IE20" s="209"/>
      <c r="IF20" s="209"/>
      <c r="IG20" s="209"/>
      <c r="IH20" s="209"/>
      <c r="II20" s="209"/>
      <c r="IJ20" s="209"/>
      <c r="IK20" s="209"/>
      <c r="IL20" s="209"/>
      <c r="IM20" s="209"/>
      <c r="IN20" s="209"/>
      <c r="IO20" s="209"/>
      <c r="IP20" s="209"/>
      <c r="IQ20" s="209"/>
      <c r="IR20" s="209"/>
      <c r="IS20" s="209"/>
      <c r="IT20" s="209"/>
      <c r="IU20" s="209"/>
      <c r="IV20" s="209"/>
      <c r="IW20" s="209"/>
      <c r="IX20" s="209"/>
    </row>
    <row r="21" s="209" customFormat="true" ht="17.4" hidden="false" customHeight="false" outlineLevel="0" collapsed="false">
      <c r="A21" s="99"/>
      <c r="B21" s="30"/>
      <c r="C21" s="30"/>
      <c r="D21" s="85" t="s">
        <v>134</v>
      </c>
      <c r="E21" s="217" t="n">
        <f aca="false">IF(AND($F$2="No",$F$3="No"),SUM(J21:K21),IF(AND($F$2="Yes", $F$3="No"), SUM(J21:K21)+Q21, IF(AND($F$2="No", $F$3="Yes"),SUM(J21:K21)+P21, SUM(J21:K21)+Q21+P21)))</f>
        <v>0</v>
      </c>
      <c r="F21" s="89" t="n">
        <f aca="false">IF(AND($F$2="No",$F$3="No"),SUM(H21:O21),IF(AND($F$2="Yes", $F$3="No"), SUM(H21:O21)+Q21, IF(AND($F$2="No", $F$3="Yes"),SUM(H21:O21)+P21, SUM(H21:O21)+Q21+P21)))</f>
        <v>0.0595753623962006</v>
      </c>
      <c r="G21" s="88" t="n">
        <f aca="false">SUM(S21:U21)/(1-'Common input data'!$B$121)</f>
        <v>0.405269557699249</v>
      </c>
      <c r="H21" s="87" t="n">
        <f aca="false">('Input data plant-based products'!$F$25*('Common input data'!$C$76*'Common input data'!B69+'Common input data'!$C$77*'Common input data'!C69))/'Input data plant-based products'!$E$25</f>
        <v>0.00957536239620058</v>
      </c>
      <c r="I21" s="89" t="n">
        <f aca="false">'Common input data'!$B$81</f>
        <v>0.03</v>
      </c>
      <c r="J21" s="87" t="n">
        <v>0</v>
      </c>
      <c r="K21" s="89" t="n">
        <v>0</v>
      </c>
      <c r="L21" s="87" t="n">
        <v>0</v>
      </c>
      <c r="M21" s="89" t="n">
        <v>0</v>
      </c>
      <c r="N21" s="89" t="n">
        <f aca="false">'Input data plant-based products'!G$152</f>
        <v>0.02</v>
      </c>
      <c r="O21" s="89" t="n">
        <v>0</v>
      </c>
      <c r="P21" s="89" t="n">
        <v>0</v>
      </c>
      <c r="Q21" s="89" t="n">
        <v>0</v>
      </c>
      <c r="R21" s="89" t="n">
        <v>0</v>
      </c>
      <c r="S21" s="89" t="n">
        <f aca="false">(F21+R21)</f>
        <v>0.0595753623962006</v>
      </c>
      <c r="T21" s="89" t="n">
        <f aca="false">'Common input data'!$B$88</f>
        <v>0.05</v>
      </c>
      <c r="U21" s="89" t="n">
        <f aca="false">'Common input data'!B100+'Common input data'!C100</f>
        <v>0.23</v>
      </c>
      <c r="V21" s="309"/>
      <c r="W21" s="92"/>
      <c r="Z21" s="30"/>
    </row>
    <row r="22" s="209" customFormat="true" ht="17.4" hidden="false" customHeight="false" outlineLevel="0" collapsed="false">
      <c r="A22" s="74"/>
      <c r="B22" s="333"/>
      <c r="C22" s="93"/>
      <c r="D22" s="85" t="s">
        <v>135</v>
      </c>
      <c r="E22" s="217" t="n">
        <f aca="false">SUM(J22:K22)</f>
        <v>0</v>
      </c>
      <c r="F22" s="89" t="n">
        <f aca="false">SUM(H22:O22)</f>
        <v>4.22191726600357E-011</v>
      </c>
      <c r="G22" s="88" t="n">
        <f aca="false">SUM(S22:U22)/(1-'Common input data'!$B$121)</f>
        <v>5.03868870510033E-011</v>
      </c>
      <c r="H22" s="87" t="n">
        <f aca="false">('Input data plant-based products'!$F$25*('Common input data'!$C$76*'Common input data'!B70+'Common input data'!$C$77*'Common input data'!C70))/'Input data plant-based products'!$E$25</f>
        <v>4.22191726600357E-011</v>
      </c>
      <c r="I22" s="89" t="n">
        <v>0</v>
      </c>
      <c r="J22" s="87" t="n">
        <v>0</v>
      </c>
      <c r="K22" s="89" t="n">
        <v>0</v>
      </c>
      <c r="L22" s="87" t="n">
        <v>0</v>
      </c>
      <c r="M22" s="89" t="n">
        <v>0</v>
      </c>
      <c r="N22" s="89" t="n">
        <v>0</v>
      </c>
      <c r="O22" s="89" t="n">
        <v>0</v>
      </c>
      <c r="P22" s="89" t="n">
        <v>0</v>
      </c>
      <c r="Q22" s="89" t="n">
        <v>0</v>
      </c>
      <c r="R22" s="89" t="n">
        <v>0</v>
      </c>
      <c r="S22" s="89" t="n">
        <f aca="false">(F22+R22)</f>
        <v>4.22191726600357E-011</v>
      </c>
      <c r="T22" s="89" t="n">
        <v>0</v>
      </c>
      <c r="U22" s="89" t="n">
        <v>0</v>
      </c>
      <c r="V22" s="309"/>
      <c r="W22" s="92"/>
      <c r="Z22" s="30"/>
    </row>
    <row r="23" s="209" customFormat="true" ht="17.4" hidden="false" customHeight="false" outlineLevel="0" collapsed="false">
      <c r="A23" s="100"/>
      <c r="B23" s="30"/>
      <c r="C23" s="87"/>
      <c r="D23" s="31" t="s">
        <v>136</v>
      </c>
      <c r="E23" s="217" t="n">
        <f aca="false">SUM(J23:K23)</f>
        <v>6.20716289576274E-005</v>
      </c>
      <c r="F23" s="89" t="n">
        <f aca="false">SUM(H23:O23)</f>
        <v>0.000114374602448136</v>
      </c>
      <c r="G23" s="88" t="n">
        <f aca="false">SUM(S23:U23)/(1-'Common input data'!$B$121)</f>
        <v>0.000136501494746552</v>
      </c>
      <c r="H23" s="87" t="n">
        <f aca="false">('Input data plant-based products'!$F$25*('Common input data'!$C$76*'Common input data'!B71+'Common input data'!$C$77*'Common input data'!C71))/'Input data plant-based products'!$E$25</f>
        <v>5.23029734905081E-005</v>
      </c>
      <c r="I23" s="87" t="n">
        <v>0</v>
      </c>
      <c r="J23" s="87" t="n">
        <f aca="false">(SUM('Input data plant-based products'!F25:H25)*'Input data plant-based products'!$B$114*44/28)/'Input data plant-based products'!E25</f>
        <v>5.64287535978431E-005</v>
      </c>
      <c r="K23" s="89" t="n">
        <f aca="false">J23*'Input data plant-based products'!$B$115</f>
        <v>5.64287535978431E-006</v>
      </c>
      <c r="L23" s="87" t="n">
        <v>0</v>
      </c>
      <c r="M23" s="89" t="n">
        <v>0</v>
      </c>
      <c r="N23" s="89" t="n">
        <v>0</v>
      </c>
      <c r="O23" s="89" t="n">
        <v>0</v>
      </c>
      <c r="P23" s="89" t="n">
        <v>0</v>
      </c>
      <c r="Q23" s="89" t="n">
        <v>0</v>
      </c>
      <c r="R23" s="89" t="n">
        <v>0</v>
      </c>
      <c r="S23" s="89" t="n">
        <f aca="false">(F23+R23)</f>
        <v>0.000114374602448136</v>
      </c>
      <c r="T23" s="89" t="n">
        <v>0</v>
      </c>
      <c r="U23" s="89" t="n">
        <v>0</v>
      </c>
      <c r="V23" s="309"/>
      <c r="W23" s="92"/>
      <c r="Z23" s="30"/>
    </row>
    <row r="24" s="332" customFormat="true" ht="17.4" hidden="false" customHeight="false" outlineLevel="0" collapsed="false">
      <c r="A24" s="330" t="s">
        <v>285</v>
      </c>
      <c r="B24" s="331" t="s">
        <v>254</v>
      </c>
      <c r="C24" s="331" t="n">
        <f aca="false">'Input data plant-based products'!D26</f>
        <v>0.07</v>
      </c>
      <c r="D24" s="78" t="s">
        <v>133</v>
      </c>
      <c r="E24" s="94" t="n">
        <f aca="false">IF($F$1="GWP100 without fb",E25+E26*'Common input data'!$C$5+E27*'Common input data'!$D$5,IF($F$1="GWP100 with fb",E25+E26*'Common input data'!$C$6+E27*'Common input data'!$D$6,IF($F$1="GTP100 without fb",E25+E26*'Common input data'!$C$7+E27*'Common input data'!$D$7,IF($F$1="GTP100 with fb",E25+E26*'Common input data'!$C$8+E27*'Common input data'!$D$8,E25+E26*'Common input data'!$C$9+E27*'Common input data'!$D$9))))</f>
        <v>0.0634138056424384</v>
      </c>
      <c r="F24" s="95" t="n">
        <f aca="false">IF($F$1="GWP100 without fb",F25+F26*'Common input data'!$C$5+F27*'Common input data'!$D$5,IF($F$1="GWP100 with fb",F25+F26*'Common input data'!$C$6+F27*'Common input data'!$D$6,IF($F$1="GTP100 without fb",F25+F26*'Common input data'!$C$7+F27*'Common input data'!$D$7,IF($F$1="GTP100 with fb",F25+F26*'Common input data'!$C$8+F27*'Common input data'!$D$8,F25+F26*'Common input data'!$C$9+F27*'Common input data'!$D$9))))</f>
        <v>0.143800917474048</v>
      </c>
      <c r="G24" s="96" t="n">
        <f aca="false">IF($F$1="GWP100 without fb",G25+G26*'Common input data'!$C$5+G27*'Common input data'!$D$5,IF($F$1="GWP100 with fb",G25+G26*'Common input data'!$C$6+G27*'Common input data'!$D$6,IF($F$1="GTP100 without fb",G25+G26*'Common input data'!$C$7+G27*'Common input data'!$D$7,IF($F$1="GTP100 with fb",G25+G26*'Common input data'!$C$8+G27*'Common input data'!$D$8,G25+G26*'Common input data'!$C$9+G27*'Common input data'!$D$9))))</f>
        <v>0.505789375192801</v>
      </c>
      <c r="H24" s="83"/>
      <c r="I24" s="83"/>
      <c r="J24" s="83"/>
      <c r="K24" s="83"/>
      <c r="L24" s="83"/>
      <c r="M24" s="83"/>
      <c r="N24" s="83"/>
      <c r="O24" s="83"/>
      <c r="P24" s="83"/>
      <c r="Q24" s="83"/>
      <c r="R24" s="83"/>
      <c r="S24" s="83"/>
      <c r="T24" s="83"/>
      <c r="U24" s="83"/>
      <c r="V24" s="309"/>
      <c r="W24" s="92"/>
      <c r="X24" s="209"/>
      <c r="Y24" s="209"/>
      <c r="Z24" s="30"/>
      <c r="AA24" s="209"/>
      <c r="AB24" s="209"/>
      <c r="AC24" s="209"/>
      <c r="AD24" s="209"/>
      <c r="AE24" s="209"/>
      <c r="AF24" s="209"/>
      <c r="AG24" s="209"/>
      <c r="AH24" s="209"/>
      <c r="AI24" s="209"/>
      <c r="AJ24" s="209"/>
      <c r="AK24" s="209"/>
      <c r="AL24" s="209"/>
      <c r="AM24" s="209"/>
      <c r="AN24" s="209"/>
      <c r="AO24" s="209"/>
      <c r="AP24" s="209"/>
      <c r="AQ24" s="209"/>
      <c r="AR24" s="209"/>
      <c r="AS24" s="209"/>
      <c r="AT24" s="209"/>
      <c r="AU24" s="209"/>
      <c r="AV24" s="209"/>
      <c r="AW24" s="209"/>
      <c r="AX24" s="209"/>
      <c r="AY24" s="209"/>
      <c r="AZ24" s="209"/>
      <c r="BA24" s="209"/>
      <c r="BB24" s="209"/>
      <c r="BC24" s="209"/>
      <c r="BD24" s="209"/>
      <c r="BE24" s="209"/>
      <c r="BF24" s="209"/>
      <c r="BG24" s="209"/>
      <c r="BH24" s="209"/>
      <c r="BI24" s="209"/>
      <c r="BJ24" s="209"/>
      <c r="BK24" s="209"/>
      <c r="BL24" s="209"/>
      <c r="BM24" s="209"/>
      <c r="BN24" s="209"/>
      <c r="BO24" s="209"/>
      <c r="BP24" s="209"/>
      <c r="BQ24" s="209"/>
      <c r="BR24" s="209"/>
      <c r="BS24" s="209"/>
      <c r="BT24" s="209"/>
      <c r="BU24" s="209"/>
      <c r="BV24" s="209"/>
      <c r="BW24" s="209"/>
      <c r="BX24" s="209"/>
      <c r="BY24" s="209"/>
      <c r="BZ24" s="209"/>
      <c r="CA24" s="209"/>
      <c r="CB24" s="209"/>
      <c r="CC24" s="209"/>
      <c r="CD24" s="209"/>
      <c r="CE24" s="209"/>
      <c r="CF24" s="209"/>
      <c r="CG24" s="209"/>
      <c r="CH24" s="209"/>
      <c r="CI24" s="209"/>
      <c r="CJ24" s="209"/>
      <c r="CK24" s="209"/>
      <c r="CL24" s="209"/>
      <c r="CM24" s="209"/>
      <c r="CN24" s="209"/>
      <c r="CO24" s="209"/>
      <c r="CP24" s="209"/>
      <c r="CQ24" s="209"/>
      <c r="CR24" s="209"/>
      <c r="CS24" s="209"/>
      <c r="CT24" s="209"/>
      <c r="CU24" s="209"/>
      <c r="CV24" s="209"/>
      <c r="CW24" s="209"/>
      <c r="CX24" s="209"/>
      <c r="CY24" s="209"/>
      <c r="CZ24" s="209"/>
      <c r="DA24" s="209"/>
      <c r="DB24" s="209"/>
      <c r="DC24" s="209"/>
      <c r="DD24" s="209"/>
      <c r="DE24" s="209"/>
      <c r="DF24" s="209"/>
      <c r="DG24" s="209"/>
      <c r="DH24" s="209"/>
      <c r="DI24" s="209"/>
      <c r="DJ24" s="209"/>
      <c r="DK24" s="209"/>
      <c r="DL24" s="209"/>
      <c r="DM24" s="209"/>
      <c r="DN24" s="209"/>
      <c r="DO24" s="209"/>
      <c r="DP24" s="209"/>
      <c r="DQ24" s="209"/>
      <c r="DR24" s="209"/>
      <c r="DS24" s="209"/>
      <c r="DT24" s="209"/>
      <c r="DU24" s="209"/>
      <c r="DV24" s="209"/>
      <c r="DW24" s="209"/>
      <c r="DX24" s="209"/>
      <c r="DY24" s="209"/>
      <c r="DZ24" s="209"/>
      <c r="EA24" s="209"/>
      <c r="EB24" s="209"/>
      <c r="EC24" s="209"/>
      <c r="ED24" s="209"/>
      <c r="EE24" s="209"/>
      <c r="EF24" s="209"/>
      <c r="EG24" s="209"/>
      <c r="EH24" s="209"/>
      <c r="EI24" s="209"/>
      <c r="EJ24" s="209"/>
      <c r="EK24" s="209"/>
      <c r="EL24" s="209"/>
      <c r="EM24" s="209"/>
      <c r="EN24" s="209"/>
      <c r="EO24" s="209"/>
      <c r="EP24" s="209"/>
      <c r="EQ24" s="209"/>
      <c r="ER24" s="209"/>
      <c r="ES24" s="209"/>
      <c r="ET24" s="209"/>
      <c r="EU24" s="209"/>
      <c r="EV24" s="209"/>
      <c r="EW24" s="209"/>
      <c r="EX24" s="209"/>
      <c r="EY24" s="209"/>
      <c r="EZ24" s="209"/>
      <c r="FA24" s="209"/>
      <c r="FB24" s="209"/>
      <c r="FC24" s="209"/>
      <c r="FD24" s="209"/>
      <c r="FE24" s="209"/>
      <c r="FF24" s="209"/>
      <c r="FG24" s="209"/>
      <c r="FH24" s="209"/>
      <c r="FI24" s="209"/>
      <c r="FJ24" s="209"/>
      <c r="FK24" s="209"/>
      <c r="FL24" s="209"/>
      <c r="FM24" s="209"/>
      <c r="FN24" s="209"/>
      <c r="FO24" s="209"/>
      <c r="FP24" s="209"/>
      <c r="FQ24" s="209"/>
      <c r="FR24" s="209"/>
      <c r="FS24" s="209"/>
      <c r="FT24" s="209"/>
      <c r="FU24" s="209"/>
      <c r="FV24" s="209"/>
      <c r="FW24" s="209"/>
      <c r="FX24" s="209"/>
      <c r="FY24" s="209"/>
      <c r="FZ24" s="209"/>
      <c r="GA24" s="209"/>
      <c r="GB24" s="209"/>
      <c r="GC24" s="209"/>
      <c r="GD24" s="209"/>
      <c r="GE24" s="209"/>
      <c r="GF24" s="209"/>
      <c r="GG24" s="209"/>
      <c r="GH24" s="209"/>
      <c r="GI24" s="209"/>
      <c r="GJ24" s="209"/>
      <c r="GK24" s="209"/>
      <c r="GL24" s="209"/>
      <c r="GM24" s="209"/>
      <c r="GN24" s="209"/>
      <c r="GO24" s="209"/>
      <c r="GP24" s="209"/>
      <c r="GQ24" s="209"/>
      <c r="GR24" s="209"/>
      <c r="GS24" s="209"/>
      <c r="GT24" s="209"/>
      <c r="GU24" s="209"/>
      <c r="GV24" s="209"/>
      <c r="GW24" s="209"/>
      <c r="GX24" s="209"/>
      <c r="GY24" s="209"/>
      <c r="GZ24" s="209"/>
      <c r="HA24" s="209"/>
      <c r="HB24" s="209"/>
      <c r="HC24" s="209"/>
      <c r="HD24" s="209"/>
      <c r="HE24" s="209"/>
      <c r="HF24" s="209"/>
      <c r="HG24" s="209"/>
      <c r="HH24" s="209"/>
      <c r="HI24" s="209"/>
      <c r="HJ24" s="209"/>
      <c r="HK24" s="209"/>
      <c r="HL24" s="209"/>
      <c r="HM24" s="209"/>
      <c r="HN24" s="209"/>
      <c r="HO24" s="209"/>
      <c r="HP24" s="209"/>
      <c r="HQ24" s="209"/>
      <c r="HR24" s="209"/>
      <c r="HS24" s="209"/>
      <c r="HT24" s="209"/>
      <c r="HU24" s="209"/>
      <c r="HV24" s="209"/>
      <c r="HW24" s="209"/>
      <c r="HX24" s="209"/>
      <c r="HY24" s="209"/>
      <c r="HZ24" s="209"/>
      <c r="IA24" s="209"/>
      <c r="IB24" s="209"/>
      <c r="IC24" s="209"/>
      <c r="ID24" s="209"/>
      <c r="IE24" s="209"/>
      <c r="IF24" s="209"/>
      <c r="IG24" s="209"/>
      <c r="IH24" s="209"/>
      <c r="II24" s="209"/>
      <c r="IJ24" s="209"/>
      <c r="IK24" s="209"/>
      <c r="IL24" s="209"/>
      <c r="IM24" s="209"/>
      <c r="IN24" s="209"/>
      <c r="IO24" s="209"/>
      <c r="IP24" s="209"/>
      <c r="IQ24" s="209"/>
      <c r="IR24" s="209"/>
      <c r="IS24" s="209"/>
      <c r="IT24" s="209"/>
      <c r="IU24" s="209"/>
      <c r="IV24" s="209"/>
      <c r="IW24" s="209"/>
      <c r="IX24" s="209"/>
    </row>
    <row r="25" s="209" customFormat="true" ht="17.4" hidden="false" customHeight="false" outlineLevel="0" collapsed="false">
      <c r="A25" s="74"/>
      <c r="B25" s="30"/>
      <c r="C25" s="30"/>
      <c r="D25" s="85" t="s">
        <v>134</v>
      </c>
      <c r="E25" s="217" t="n">
        <f aca="false">IF(AND($F$2="No",$F$3="No"),SUM(J25:K25),IF(AND($F$2="Yes", $F$3="No"), SUM(J25:K25)+Q25, IF(AND($F$2="No", $F$3="Yes"),SUM(J25:K25)+P25, SUM(J25:K25)+Q25+P25)))</f>
        <v>0.0399894869629571</v>
      </c>
      <c r="F25" s="89" t="n">
        <f aca="false">IF(AND($F$2="No",$F$3="No"),SUM(H25:O25),IF(AND($F$2="Yes", $F$3="No"), SUM(H25:O25)+Q25, IF(AND($F$2="No", $F$3="Yes"),SUM(H25:O25)+P25, SUM(H25:O25)+Q25+P25)))</f>
        <v>0.104331692331442</v>
      </c>
      <c r="G25" s="88" t="n">
        <f aca="false">SUM(S25:U25)/(1-'Common input data'!$B$121)</f>
        <v>0.458684440066168</v>
      </c>
      <c r="H25" s="87" t="n">
        <f aca="false">('Input data plant-based products'!$F$26*('Common input data'!$C$76*'Common input data'!B69+'Common input data'!$C$77*'Common input data'!C69))/'Input data plant-based products'!$E$26</f>
        <v>0.00979263693655252</v>
      </c>
      <c r="I25" s="89" t="n">
        <f aca="false">'Common input data'!$B$81</f>
        <v>0.03</v>
      </c>
      <c r="J25" s="87" t="n">
        <v>0</v>
      </c>
      <c r="K25" s="87" t="n">
        <v>0</v>
      </c>
      <c r="L25" s="87" t="n">
        <f aca="false">('Input data plant-based products'!$I$26*'Common input data'!$C$59*'Common input data'!H49)/'Input data plant-based products'!$E$26</f>
        <v>0.00454956843193288</v>
      </c>
      <c r="M25" s="89" t="n">
        <v>0</v>
      </c>
      <c r="N25" s="89" t="n">
        <f aca="false">'Input data plant-based products'!G$152</f>
        <v>0.02</v>
      </c>
      <c r="O25" s="89" t="n">
        <v>0</v>
      </c>
      <c r="P25" s="89" t="n">
        <f aca="false">'Common input data'!E$13</f>
        <v>0.0399894869629571</v>
      </c>
      <c r="Q25" s="89" t="n">
        <v>0</v>
      </c>
      <c r="R25" s="89" t="n">
        <v>0</v>
      </c>
      <c r="S25" s="89" t="n">
        <f aca="false">(F25+R25)</f>
        <v>0.104331692331442</v>
      </c>
      <c r="T25" s="89" t="n">
        <f aca="false">'Common input data'!$B$88</f>
        <v>0.05</v>
      </c>
      <c r="U25" s="89" t="n">
        <f aca="false">'Common input data'!B100+'Common input data'!C100</f>
        <v>0.23</v>
      </c>
      <c r="V25" s="309"/>
      <c r="W25" s="92"/>
      <c r="Z25" s="30"/>
    </row>
    <row r="26" s="209" customFormat="true" ht="17.4" hidden="false" customHeight="false" outlineLevel="0" collapsed="false">
      <c r="A26" s="74"/>
      <c r="B26" s="30"/>
      <c r="C26" s="93"/>
      <c r="D26" s="85" t="s">
        <v>135</v>
      </c>
      <c r="E26" s="217" t="n">
        <f aca="false">SUM(J26:K26)</f>
        <v>0</v>
      </c>
      <c r="F26" s="89" t="n">
        <f aca="false">SUM(H26:O26)</f>
        <v>2.01534858240895E-006</v>
      </c>
      <c r="G26" s="88" t="n">
        <f aca="false">SUM(S26:U26)/(1-'Common input data'!$B$121)</f>
        <v>2.40523759685995E-006</v>
      </c>
      <c r="H26" s="87" t="n">
        <f aca="false">('Input data plant-based products'!$F$26*('Common input data'!$C$76*'Common input data'!B70+'Common input data'!$C$77*'Common input data'!C70))/'Input data plant-based products'!$E$26</f>
        <v>4.31771678725603E-011</v>
      </c>
      <c r="I26" s="89" t="n">
        <v>0</v>
      </c>
      <c r="J26" s="87" t="n">
        <v>0</v>
      </c>
      <c r="K26" s="87" t="n">
        <v>0</v>
      </c>
      <c r="L26" s="87" t="n">
        <f aca="false">('Input data plant-based products'!$I$26*'Common input data'!$C$59*'Common input data'!H50)/'Input data plant-based products'!$E$26</f>
        <v>2.01530540524108E-006</v>
      </c>
      <c r="M26" s="89" t="n">
        <v>0</v>
      </c>
      <c r="N26" s="89" t="n">
        <v>0</v>
      </c>
      <c r="O26" s="87" t="n">
        <v>0</v>
      </c>
      <c r="P26" s="87" t="n">
        <v>0</v>
      </c>
      <c r="Q26" s="89" t="n">
        <v>0</v>
      </c>
      <c r="R26" s="89" t="n">
        <v>0</v>
      </c>
      <c r="S26" s="89" t="n">
        <f aca="false">(F26+R26)</f>
        <v>2.01534858240895E-006</v>
      </c>
      <c r="T26" s="89" t="n">
        <v>0</v>
      </c>
      <c r="U26" s="89" t="n">
        <v>0</v>
      </c>
      <c r="V26" s="309"/>
      <c r="W26" s="92"/>
      <c r="Z26" s="30"/>
    </row>
    <row r="27" s="209" customFormat="true" ht="17.4" hidden="false" customHeight="false" outlineLevel="0" collapsed="false">
      <c r="A27" s="74"/>
      <c r="B27" s="30"/>
      <c r="C27" s="87"/>
      <c r="D27" s="31" t="s">
        <v>136</v>
      </c>
      <c r="E27" s="217" t="n">
        <f aca="false">SUM(J27:K27)</f>
        <v>7.86050962398701E-005</v>
      </c>
      <c r="F27" s="89" t="n">
        <f aca="false">SUM(H27:O27)</f>
        <v>0.000132217125136924</v>
      </c>
      <c r="G27" s="88" t="n">
        <f aca="false">SUM(S27:U27)/(1-'Common input data'!$B$121)</f>
        <v>0.000157795829021272</v>
      </c>
      <c r="H27" s="87" t="n">
        <f aca="false">('Input data plant-based products'!$F$26*('Common input data'!$C$76*'Common input data'!B71+'Common input data'!$C$77*'Common input data'!C71))/'Input data plant-based products'!$E$26</f>
        <v>5.34897802194836E-005</v>
      </c>
      <c r="I27" s="87" t="n">
        <v>0</v>
      </c>
      <c r="J27" s="87" t="n">
        <f aca="false">(SUM('Input data plant-based products'!F26:H26)*'Input data plant-based products'!$B$114*44/28)/'Input data plant-based products'!E26</f>
        <v>7.14591783998819E-005</v>
      </c>
      <c r="K27" s="89" t="n">
        <f aca="false">J27*'Input data plant-based products'!$B$115</f>
        <v>7.14591783998819E-006</v>
      </c>
      <c r="L27" s="87" t="n">
        <f aca="false">('Input data plant-based products'!$I$26*'Common input data'!$C$59*'Common input data'!H51)/'Input data plant-based products'!$E$26</f>
        <v>1.22248677570378E-007</v>
      </c>
      <c r="M27" s="89" t="n">
        <v>0</v>
      </c>
      <c r="N27" s="89" t="n">
        <v>0</v>
      </c>
      <c r="O27" s="87" t="n">
        <v>0</v>
      </c>
      <c r="P27" s="87" t="n">
        <v>0</v>
      </c>
      <c r="Q27" s="89" t="n">
        <v>0</v>
      </c>
      <c r="R27" s="89" t="n">
        <v>0</v>
      </c>
      <c r="S27" s="89" t="n">
        <f aca="false">(F27+R27)</f>
        <v>0.000132217125136924</v>
      </c>
      <c r="T27" s="89" t="n">
        <v>0</v>
      </c>
      <c r="U27" s="89" t="n">
        <v>0</v>
      </c>
      <c r="V27" s="309"/>
      <c r="W27" s="92"/>
      <c r="Z27" s="30"/>
    </row>
    <row r="28" s="332" customFormat="true" ht="17.4" hidden="false" customHeight="false" outlineLevel="0" collapsed="false">
      <c r="A28" s="330" t="s">
        <v>141</v>
      </c>
      <c r="B28" s="331" t="s">
        <v>291</v>
      </c>
      <c r="C28" s="331" t="n">
        <f aca="false">'Input data plant-based products'!D27</f>
        <v>0.06</v>
      </c>
      <c r="D28" s="78" t="s">
        <v>133</v>
      </c>
      <c r="E28" s="94" t="n">
        <f aca="false">IF($F$1="GWP100 without fb",E29+E30*'Common input data'!$C$5+E31*'Common input data'!$D$5,IF($F$1="GWP100 with fb",E29+E30*'Common input data'!$C$6+E31*'Common input data'!$D$6,IF($F$1="GTP100 without fb",E29+E30*'Common input data'!$C$7+E31*'Common input data'!$D$7,IF($F$1="GTP100 with fb",E29+E30*'Common input data'!$C$8+E31*'Common input data'!$D$8,E29+E30*'Common input data'!$C$9+E31*'Common input data'!$D$9))))</f>
        <v>0.0232049101238738</v>
      </c>
      <c r="F28" s="95" t="n">
        <f aca="false">IF($F$1="GWP100 without fb",F29+F30*'Common input data'!$C$5+F31*'Common input data'!$D$5,IF($F$1="GWP100 with fb",F29+F30*'Common input data'!$C$6+F31*'Common input data'!$D$6,IF($F$1="GTP100 without fb",F29+F30*'Common input data'!$C$7+F31*'Common input data'!$D$7,IF($F$1="GTP100 with fb",F29+F30*'Common input data'!$C$8+F31*'Common input data'!$D$8,F29+F30*'Common input data'!$C$9+F31*'Common input data'!$D$9))))</f>
        <v>0.847440869443725</v>
      </c>
      <c r="G28" s="96" t="n">
        <f aca="false">IF($F$1="GWP100 without fb",G29+G30*'Common input data'!$C$5+G31*'Common input data'!$D$5,IF($F$1="GWP100 with fb",G29+G30*'Common input data'!$C$6+G31*'Common input data'!$D$6,IF($F$1="GTP100 without fb",G29+G30*'Common input data'!$C$7+G31*'Common input data'!$D$7,IF($F$1="GTP100 with fb",G29+G30*'Common input data'!$C$8+G31*'Common input data'!$D$8,G29+G30*'Common input data'!$C$9+G31*'Common input data'!$D$9))))</f>
        <v>1.34555539974189</v>
      </c>
      <c r="H28" s="83"/>
      <c r="I28" s="83"/>
      <c r="J28" s="83"/>
      <c r="K28" s="83"/>
      <c r="L28" s="83"/>
      <c r="M28" s="83"/>
      <c r="N28" s="83"/>
      <c r="O28" s="83"/>
      <c r="P28" s="83"/>
      <c r="Q28" s="83"/>
      <c r="R28" s="83"/>
      <c r="S28" s="83"/>
      <c r="T28" s="83"/>
      <c r="U28" s="83"/>
      <c r="V28" s="309"/>
      <c r="W28" s="92"/>
      <c r="X28" s="209"/>
      <c r="Y28" s="209"/>
      <c r="Z28" s="30"/>
      <c r="AA28" s="209"/>
      <c r="AB28" s="209"/>
      <c r="AC28" s="209"/>
      <c r="AD28" s="209"/>
      <c r="AE28" s="209"/>
      <c r="AF28" s="209"/>
      <c r="AG28" s="209"/>
      <c r="AH28" s="209"/>
      <c r="AI28" s="209"/>
      <c r="AJ28" s="209"/>
      <c r="AK28" s="209"/>
      <c r="AL28" s="209"/>
      <c r="AM28" s="209"/>
      <c r="AN28" s="209"/>
      <c r="AO28" s="209"/>
      <c r="AP28" s="209"/>
      <c r="AQ28" s="209"/>
      <c r="AR28" s="209"/>
      <c r="AS28" s="209"/>
      <c r="AT28" s="209"/>
      <c r="AU28" s="209"/>
      <c r="AV28" s="209"/>
      <c r="AW28" s="209"/>
      <c r="AX28" s="209"/>
      <c r="AY28" s="209"/>
      <c r="AZ28" s="209"/>
      <c r="BA28" s="209"/>
      <c r="BB28" s="209"/>
      <c r="BC28" s="209"/>
      <c r="BD28" s="209"/>
      <c r="BE28" s="209"/>
      <c r="BF28" s="209"/>
      <c r="BG28" s="209"/>
      <c r="BH28" s="209"/>
      <c r="BI28" s="209"/>
      <c r="BJ28" s="209"/>
      <c r="BK28" s="209"/>
      <c r="BL28" s="209"/>
      <c r="BM28" s="209"/>
      <c r="BN28" s="209"/>
      <c r="BO28" s="209"/>
      <c r="BP28" s="209"/>
      <c r="BQ28" s="209"/>
      <c r="BR28" s="209"/>
      <c r="BS28" s="209"/>
      <c r="BT28" s="209"/>
      <c r="BU28" s="209"/>
      <c r="BV28" s="209"/>
      <c r="BW28" s="209"/>
      <c r="BX28" s="209"/>
      <c r="BY28" s="209"/>
      <c r="BZ28" s="209"/>
      <c r="CA28" s="209"/>
      <c r="CB28" s="209"/>
      <c r="CC28" s="209"/>
      <c r="CD28" s="209"/>
      <c r="CE28" s="209"/>
      <c r="CF28" s="209"/>
      <c r="CG28" s="209"/>
      <c r="CH28" s="209"/>
      <c r="CI28" s="209"/>
      <c r="CJ28" s="209"/>
      <c r="CK28" s="209"/>
      <c r="CL28" s="209"/>
      <c r="CM28" s="209"/>
      <c r="CN28" s="209"/>
      <c r="CO28" s="209"/>
      <c r="CP28" s="209"/>
      <c r="CQ28" s="209"/>
      <c r="CR28" s="209"/>
      <c r="CS28" s="209"/>
      <c r="CT28" s="209"/>
      <c r="CU28" s="209"/>
      <c r="CV28" s="209"/>
      <c r="CW28" s="209"/>
      <c r="CX28" s="209"/>
      <c r="CY28" s="209"/>
      <c r="CZ28" s="209"/>
      <c r="DA28" s="209"/>
      <c r="DB28" s="209"/>
      <c r="DC28" s="209"/>
      <c r="DD28" s="209"/>
      <c r="DE28" s="209"/>
      <c r="DF28" s="209"/>
      <c r="DG28" s="209"/>
      <c r="DH28" s="209"/>
      <c r="DI28" s="209"/>
      <c r="DJ28" s="209"/>
      <c r="DK28" s="209"/>
      <c r="DL28" s="209"/>
      <c r="DM28" s="209"/>
      <c r="DN28" s="209"/>
      <c r="DO28" s="209"/>
      <c r="DP28" s="209"/>
      <c r="DQ28" s="209"/>
      <c r="DR28" s="209"/>
      <c r="DS28" s="209"/>
      <c r="DT28" s="209"/>
      <c r="DU28" s="209"/>
      <c r="DV28" s="209"/>
      <c r="DW28" s="209"/>
      <c r="DX28" s="209"/>
      <c r="DY28" s="209"/>
      <c r="DZ28" s="209"/>
      <c r="EA28" s="209"/>
      <c r="EB28" s="209"/>
      <c r="EC28" s="209"/>
      <c r="ED28" s="209"/>
      <c r="EE28" s="209"/>
      <c r="EF28" s="209"/>
      <c r="EG28" s="209"/>
      <c r="EH28" s="209"/>
      <c r="EI28" s="209"/>
      <c r="EJ28" s="209"/>
      <c r="EK28" s="209"/>
      <c r="EL28" s="209"/>
      <c r="EM28" s="209"/>
      <c r="EN28" s="209"/>
      <c r="EO28" s="209"/>
      <c r="EP28" s="209"/>
      <c r="EQ28" s="209"/>
      <c r="ER28" s="209"/>
      <c r="ES28" s="209"/>
      <c r="ET28" s="209"/>
      <c r="EU28" s="209"/>
      <c r="EV28" s="209"/>
      <c r="EW28" s="209"/>
      <c r="EX28" s="209"/>
      <c r="EY28" s="209"/>
      <c r="EZ28" s="209"/>
      <c r="FA28" s="209"/>
      <c r="FB28" s="209"/>
      <c r="FC28" s="209"/>
      <c r="FD28" s="209"/>
      <c r="FE28" s="209"/>
      <c r="FF28" s="209"/>
      <c r="FG28" s="209"/>
      <c r="FH28" s="209"/>
      <c r="FI28" s="209"/>
      <c r="FJ28" s="209"/>
      <c r="FK28" s="209"/>
      <c r="FL28" s="209"/>
      <c r="FM28" s="209"/>
      <c r="FN28" s="209"/>
      <c r="FO28" s="209"/>
      <c r="FP28" s="209"/>
      <c r="FQ28" s="209"/>
      <c r="FR28" s="209"/>
      <c r="FS28" s="209"/>
      <c r="FT28" s="209"/>
      <c r="FU28" s="209"/>
      <c r="FV28" s="209"/>
      <c r="FW28" s="209"/>
      <c r="FX28" s="209"/>
      <c r="FY28" s="209"/>
      <c r="FZ28" s="209"/>
      <c r="GA28" s="209"/>
      <c r="GB28" s="209"/>
      <c r="GC28" s="209"/>
      <c r="GD28" s="209"/>
      <c r="GE28" s="209"/>
      <c r="GF28" s="209"/>
      <c r="GG28" s="209"/>
      <c r="GH28" s="209"/>
      <c r="GI28" s="209"/>
      <c r="GJ28" s="209"/>
      <c r="GK28" s="209"/>
      <c r="GL28" s="209"/>
      <c r="GM28" s="209"/>
      <c r="GN28" s="209"/>
      <c r="GO28" s="209"/>
      <c r="GP28" s="209"/>
      <c r="GQ28" s="209"/>
      <c r="GR28" s="209"/>
      <c r="GS28" s="209"/>
      <c r="GT28" s="209"/>
      <c r="GU28" s="209"/>
      <c r="GV28" s="209"/>
      <c r="GW28" s="209"/>
      <c r="GX28" s="209"/>
      <c r="GY28" s="209"/>
      <c r="GZ28" s="209"/>
      <c r="HA28" s="209"/>
      <c r="HB28" s="209"/>
      <c r="HC28" s="209"/>
      <c r="HD28" s="209"/>
      <c r="HE28" s="209"/>
      <c r="HF28" s="209"/>
      <c r="HG28" s="209"/>
      <c r="HH28" s="209"/>
      <c r="HI28" s="209"/>
      <c r="HJ28" s="209"/>
      <c r="HK28" s="209"/>
      <c r="HL28" s="209"/>
      <c r="HM28" s="209"/>
      <c r="HN28" s="209"/>
      <c r="HO28" s="209"/>
      <c r="HP28" s="209"/>
      <c r="HQ28" s="209"/>
      <c r="HR28" s="209"/>
      <c r="HS28" s="209"/>
      <c r="HT28" s="209"/>
      <c r="HU28" s="209"/>
      <c r="HV28" s="209"/>
      <c r="HW28" s="209"/>
      <c r="HX28" s="209"/>
      <c r="HY28" s="209"/>
      <c r="HZ28" s="209"/>
      <c r="IA28" s="209"/>
      <c r="IB28" s="209"/>
      <c r="IC28" s="209"/>
      <c r="ID28" s="209"/>
      <c r="IE28" s="209"/>
      <c r="IF28" s="209"/>
      <c r="IG28" s="209"/>
      <c r="IH28" s="209"/>
      <c r="II28" s="209"/>
      <c r="IJ28" s="209"/>
      <c r="IK28" s="209"/>
      <c r="IL28" s="209"/>
      <c r="IM28" s="209"/>
      <c r="IN28" s="209"/>
      <c r="IO28" s="209"/>
      <c r="IP28" s="209"/>
      <c r="IQ28" s="209"/>
      <c r="IR28" s="209"/>
      <c r="IS28" s="209"/>
      <c r="IT28" s="209"/>
      <c r="IU28" s="209"/>
      <c r="IV28" s="209"/>
      <c r="IW28" s="209"/>
      <c r="IX28" s="209"/>
    </row>
    <row r="29" s="209" customFormat="true" ht="17.4" hidden="false" customHeight="false" outlineLevel="0" collapsed="false">
      <c r="A29" s="99"/>
      <c r="B29" s="30"/>
      <c r="C29" s="30"/>
      <c r="D29" s="85" t="s">
        <v>134</v>
      </c>
      <c r="E29" s="217" t="n">
        <f aca="false">IF(AND($F$2="No",$F$3="No"),SUM(J29:K29),IF(AND($F$2="Yes", $F$3="No"), SUM(J29:K29)+Q29, IF(AND($F$2="No", $F$3="Yes"),SUM(J29:K29)+P29, SUM(J29:K29)+Q29+P29)))</f>
        <v>0</v>
      </c>
      <c r="F29" s="89" t="n">
        <f aca="false">IF(AND($F$2="No",$F$3="No"),SUM(H29:O29),IF(AND($F$2="Yes", $F$3="No"), SUM(H29:O29)+Q29, IF(AND($F$2="No", $F$3="Yes"),SUM(H29:O29)+P29, SUM(H29:O29)+Q29+P29)))</f>
        <v>0.711188445385197</v>
      </c>
      <c r="G29" s="88" t="n">
        <f aca="false">SUM(S29:U29)/(1-'Common input data'!$B$121)</f>
        <v>1.18294360351497</v>
      </c>
      <c r="H29" s="87" t="n">
        <f aca="false">('Input data plant-based products'!$F$27*('Common input data'!$C$76*'Common input data'!B69+'Common input data'!$C$77*'Common input data'!C69))/'Input data plant-based products'!$E$27</f>
        <v>0.0128975264083483</v>
      </c>
      <c r="I29" s="89" t="n">
        <f aca="false">'Common input data'!$B$81</f>
        <v>0.03</v>
      </c>
      <c r="J29" s="87" t="n">
        <v>0</v>
      </c>
      <c r="K29" s="87" t="n">
        <v>0</v>
      </c>
      <c r="L29" s="87" t="n">
        <v>0</v>
      </c>
      <c r="M29" s="89" t="n">
        <f aca="false">AVERAGE(M13,M17,M21)</f>
        <v>0.661624252310182</v>
      </c>
      <c r="N29" s="89" t="n">
        <f aca="false">AVERAGE(N13,N17,N21)</f>
        <v>0.00666666666666667</v>
      </c>
      <c r="O29" s="87" t="n">
        <v>0</v>
      </c>
      <c r="P29" s="89" t="n">
        <v>0</v>
      </c>
      <c r="Q29" s="89" t="n">
        <v>0</v>
      </c>
      <c r="R29" s="89" t="n">
        <v>0</v>
      </c>
      <c r="S29" s="89" t="n">
        <f aca="false">(F29+R29)</f>
        <v>0.711188445385197</v>
      </c>
      <c r="T29" s="89" t="n">
        <f aca="false">'Common input data'!$B$88</f>
        <v>0.05</v>
      </c>
      <c r="U29" s="89" t="n">
        <f aca="false">'Common input data'!B102+'Common input data'!C102</f>
        <v>0.23</v>
      </c>
      <c r="V29" s="309"/>
      <c r="W29" s="92"/>
      <c r="Z29" s="30"/>
    </row>
    <row r="30" s="209" customFormat="true" ht="17.4" hidden="false" customHeight="false" outlineLevel="0" collapsed="false">
      <c r="A30" s="74"/>
      <c r="B30" s="333"/>
      <c r="C30" s="93"/>
      <c r="D30" s="85" t="s">
        <v>135</v>
      </c>
      <c r="E30" s="217" t="n">
        <f aca="false">SUM(J30:K30)</f>
        <v>0</v>
      </c>
      <c r="F30" s="89" t="n">
        <f aca="false">SUM(H30:O30)</f>
        <v>0.00247388498016649</v>
      </c>
      <c r="G30" s="88" t="n">
        <f aca="false">SUM(S30:U30)/(1-'Common input data'!$B$121)</f>
        <v>0.00295248237279687</v>
      </c>
      <c r="H30" s="87" t="n">
        <f aca="false">('Input data plant-based products'!$F$27*('Common input data'!$C$76*'Common input data'!B70+'Common input data'!$C$77*'Common input data'!C70))/'Input data plant-based products'!$E$27</f>
        <v>5.6867079468187E-011</v>
      </c>
      <c r="I30" s="89" t="n">
        <v>0</v>
      </c>
      <c r="J30" s="87" t="n">
        <v>0</v>
      </c>
      <c r="K30" s="87" t="n">
        <v>0</v>
      </c>
      <c r="L30" s="87" t="n">
        <v>0</v>
      </c>
      <c r="M30" s="89" t="n">
        <f aca="false">AVERAGE(M14,M18,M22)</f>
        <v>0.00247388492329941</v>
      </c>
      <c r="N30" s="89" t="n">
        <v>0</v>
      </c>
      <c r="O30" s="87" t="n">
        <v>0</v>
      </c>
      <c r="P30" s="87" t="n">
        <v>0</v>
      </c>
      <c r="Q30" s="89" t="n">
        <v>0</v>
      </c>
      <c r="R30" s="89" t="n">
        <v>0</v>
      </c>
      <c r="S30" s="89" t="n">
        <f aca="false">(F30+R30)</f>
        <v>0.00247388498016649</v>
      </c>
      <c r="T30" s="89" t="n">
        <v>0</v>
      </c>
      <c r="U30" s="89" t="n">
        <v>0</v>
      </c>
      <c r="V30" s="309"/>
      <c r="W30" s="92"/>
      <c r="Z30" s="30"/>
    </row>
    <row r="31" s="209" customFormat="true" ht="17.4" hidden="false" customHeight="false" outlineLevel="0" collapsed="false">
      <c r="A31" s="100"/>
      <c r="B31" s="30"/>
      <c r="C31" s="87"/>
      <c r="D31" s="31" t="s">
        <v>136</v>
      </c>
      <c r="E31" s="217" t="n">
        <f aca="false">SUM(J31:K31)</f>
        <v>7.78688259190397E-005</v>
      </c>
      <c r="F31" s="89" t="n">
        <f aca="false">SUM(H31:O31)</f>
        <v>0.000174967566217676</v>
      </c>
      <c r="G31" s="88" t="n">
        <f aca="false">SUM(S31:U31)/(1-'Common input data'!$B$121)</f>
        <v>0.000208816763596702</v>
      </c>
      <c r="H31" s="87" t="n">
        <f aca="false">('Input data plant-based products'!$F$27*('Common input data'!$C$76*'Common input data'!B71+'Common input data'!$C$77*'Common input data'!C71))/'Input data plant-based products'!$E$27</f>
        <v>7.04494466023173E-005</v>
      </c>
      <c r="I31" s="87" t="n">
        <v>0</v>
      </c>
      <c r="J31" s="87" t="n">
        <f aca="false">(SUM('Input data plant-based products'!F27:H27)*'Input data plant-based products'!$B$114*44/28)/'Input data plant-based products'!E27</f>
        <v>7.60066626832989E-005</v>
      </c>
      <c r="K31" s="89" t="n">
        <f aca="false">J31*'Input data plant-based products'!$B$115*(1-AVERAGE('Input data plant-based products'!L139:L144))</f>
        <v>1.86216323574082E-006</v>
      </c>
      <c r="L31" s="87" t="n">
        <v>0</v>
      </c>
      <c r="M31" s="89" t="n">
        <f aca="false">AVERAGE(M15,M19,M23)</f>
        <v>2.66492936963193E-005</v>
      </c>
      <c r="N31" s="89" t="n">
        <v>0</v>
      </c>
      <c r="O31" s="87" t="n">
        <v>0</v>
      </c>
      <c r="P31" s="87" t="n">
        <v>0</v>
      </c>
      <c r="Q31" s="89" t="n">
        <v>0</v>
      </c>
      <c r="R31" s="89" t="n">
        <v>0</v>
      </c>
      <c r="S31" s="89" t="n">
        <f aca="false">(F31+R31)</f>
        <v>0.000174967566217676</v>
      </c>
      <c r="T31" s="89" t="n">
        <v>0</v>
      </c>
      <c r="U31" s="89" t="n">
        <v>0</v>
      </c>
      <c r="V31" s="309"/>
      <c r="W31" s="92"/>
      <c r="Z31" s="30"/>
    </row>
    <row r="32" s="332" customFormat="true" ht="17.4" hidden="false" customHeight="false" outlineLevel="0" collapsed="false">
      <c r="A32" s="330" t="s">
        <v>141</v>
      </c>
      <c r="B32" s="331" t="s">
        <v>254</v>
      </c>
      <c r="C32" s="331" t="n">
        <f aca="false">'Input data plant-based products'!D28</f>
        <v>0.06</v>
      </c>
      <c r="D32" s="78" t="s">
        <v>133</v>
      </c>
      <c r="E32" s="94" t="n">
        <f aca="false">IF($F$1="GWP100 without fb",E33+E34*'Common input data'!$C$5+E35*'Common input data'!$D$5,IF($F$1="GWP100 with fb",E33+E34*'Common input data'!$C$6+E35*'Common input data'!$D$6,IF($F$1="GTP100 without fb",E33+E34*'Common input data'!$C$7+E35*'Common input data'!$D$7,IF($F$1="GTP100 with fb",E33+E34*'Common input data'!$C$8+E35*'Common input data'!$D$8,E33+E34*'Common input data'!$C$9+E35*'Common input data'!$D$9))))</f>
        <v>0.0532832227323201</v>
      </c>
      <c r="F32" s="95" t="n">
        <f aca="false">IF($F$1="GWP100 without fb",F33+F34*'Common input data'!$C$5+F35*'Common input data'!$D$5,IF($F$1="GWP100 with fb",F33+F34*'Common input data'!$C$6+F35*'Common input data'!$D$6,IF($F$1="GTP100 without fb",F33+F34*'Common input data'!$C$7+F35*'Common input data'!$D$7,IF($F$1="GTP100 with fb",F33+F34*'Common input data'!$C$8+F35*'Common input data'!$D$8,F33+F34*'Common input data'!$C$9+F35*'Common input data'!$D$9))))</f>
        <v>0.124179004216475</v>
      </c>
      <c r="G32" s="96" t="n">
        <f aca="false">IF($F$1="GWP100 without fb",G33+G34*'Common input data'!$C$5+G35*'Common input data'!$D$5,IF($F$1="GWP100 with fb",G33+G34*'Common input data'!$C$6+G35*'Common input data'!$D$6,IF($F$1="GTP100 without fb",G33+G34*'Common input data'!$C$7+G35*'Common input data'!$D$7,IF($F$1="GTP100 with fb",G33+G34*'Common input data'!$C$8+G35*'Common input data'!$D$8,G33+G34*'Common input data'!$C$9+G35*'Common input data'!$D$9))))</f>
        <v>0.482371409734425</v>
      </c>
      <c r="H32" s="83"/>
      <c r="I32" s="83"/>
      <c r="J32" s="83"/>
      <c r="K32" s="83"/>
      <c r="L32" s="83"/>
      <c r="M32" s="83"/>
      <c r="N32" s="83"/>
      <c r="O32" s="83"/>
      <c r="P32" s="83"/>
      <c r="Q32" s="83"/>
      <c r="R32" s="83"/>
      <c r="S32" s="83"/>
      <c r="T32" s="83"/>
      <c r="U32" s="83"/>
      <c r="V32" s="309"/>
      <c r="W32" s="92"/>
      <c r="X32" s="209"/>
      <c r="Y32" s="209"/>
      <c r="Z32" s="30"/>
      <c r="AA32" s="209"/>
      <c r="AB32" s="209"/>
      <c r="AC32" s="209"/>
      <c r="AD32" s="209"/>
      <c r="AE32" s="209"/>
      <c r="AF32" s="209"/>
      <c r="AG32" s="209"/>
      <c r="AH32" s="209"/>
      <c r="AI32" s="209"/>
      <c r="AJ32" s="209"/>
      <c r="AK32" s="209"/>
      <c r="AL32" s="209"/>
      <c r="AM32" s="209"/>
      <c r="AN32" s="209"/>
      <c r="AO32" s="209"/>
      <c r="AP32" s="209"/>
      <c r="AQ32" s="209"/>
      <c r="AR32" s="209"/>
      <c r="AS32" s="209"/>
      <c r="AT32" s="209"/>
      <c r="AU32" s="209"/>
      <c r="AV32" s="209"/>
      <c r="AW32" s="209"/>
      <c r="AX32" s="209"/>
      <c r="AY32" s="209"/>
      <c r="AZ32" s="209"/>
      <c r="BA32" s="209"/>
      <c r="BB32" s="209"/>
      <c r="BC32" s="209"/>
      <c r="BD32" s="209"/>
      <c r="BE32" s="209"/>
      <c r="BF32" s="209"/>
      <c r="BG32" s="209"/>
      <c r="BH32" s="209"/>
      <c r="BI32" s="209"/>
      <c r="BJ32" s="209"/>
      <c r="BK32" s="209"/>
      <c r="BL32" s="209"/>
      <c r="BM32" s="209"/>
      <c r="BN32" s="209"/>
      <c r="BO32" s="209"/>
      <c r="BP32" s="209"/>
      <c r="BQ32" s="209"/>
      <c r="BR32" s="209"/>
      <c r="BS32" s="209"/>
      <c r="BT32" s="209"/>
      <c r="BU32" s="209"/>
      <c r="BV32" s="209"/>
      <c r="BW32" s="209"/>
      <c r="BX32" s="209"/>
      <c r="BY32" s="209"/>
      <c r="BZ32" s="209"/>
      <c r="CA32" s="209"/>
      <c r="CB32" s="209"/>
      <c r="CC32" s="209"/>
      <c r="CD32" s="209"/>
      <c r="CE32" s="209"/>
      <c r="CF32" s="209"/>
      <c r="CG32" s="209"/>
      <c r="CH32" s="209"/>
      <c r="CI32" s="209"/>
      <c r="CJ32" s="209"/>
      <c r="CK32" s="209"/>
      <c r="CL32" s="209"/>
      <c r="CM32" s="209"/>
      <c r="CN32" s="209"/>
      <c r="CO32" s="209"/>
      <c r="CP32" s="209"/>
      <c r="CQ32" s="209"/>
      <c r="CR32" s="209"/>
      <c r="CS32" s="209"/>
      <c r="CT32" s="209"/>
      <c r="CU32" s="209"/>
      <c r="CV32" s="209"/>
      <c r="CW32" s="209"/>
      <c r="CX32" s="209"/>
      <c r="CY32" s="209"/>
      <c r="CZ32" s="209"/>
      <c r="DA32" s="209"/>
      <c r="DB32" s="209"/>
      <c r="DC32" s="209"/>
      <c r="DD32" s="209"/>
      <c r="DE32" s="209"/>
      <c r="DF32" s="209"/>
      <c r="DG32" s="209"/>
      <c r="DH32" s="209"/>
      <c r="DI32" s="209"/>
      <c r="DJ32" s="209"/>
      <c r="DK32" s="209"/>
      <c r="DL32" s="209"/>
      <c r="DM32" s="209"/>
      <c r="DN32" s="209"/>
      <c r="DO32" s="209"/>
      <c r="DP32" s="209"/>
      <c r="DQ32" s="209"/>
      <c r="DR32" s="209"/>
      <c r="DS32" s="209"/>
      <c r="DT32" s="209"/>
      <c r="DU32" s="209"/>
      <c r="DV32" s="209"/>
      <c r="DW32" s="209"/>
      <c r="DX32" s="209"/>
      <c r="DY32" s="209"/>
      <c r="DZ32" s="209"/>
      <c r="EA32" s="209"/>
      <c r="EB32" s="209"/>
      <c r="EC32" s="209"/>
      <c r="ED32" s="209"/>
      <c r="EE32" s="209"/>
      <c r="EF32" s="209"/>
      <c r="EG32" s="209"/>
      <c r="EH32" s="209"/>
      <c r="EI32" s="209"/>
      <c r="EJ32" s="209"/>
      <c r="EK32" s="209"/>
      <c r="EL32" s="209"/>
      <c r="EM32" s="209"/>
      <c r="EN32" s="209"/>
      <c r="EO32" s="209"/>
      <c r="EP32" s="209"/>
      <c r="EQ32" s="209"/>
      <c r="ER32" s="209"/>
      <c r="ES32" s="209"/>
      <c r="ET32" s="209"/>
      <c r="EU32" s="209"/>
      <c r="EV32" s="209"/>
      <c r="EW32" s="209"/>
      <c r="EX32" s="209"/>
      <c r="EY32" s="209"/>
      <c r="EZ32" s="209"/>
      <c r="FA32" s="209"/>
      <c r="FB32" s="209"/>
      <c r="FC32" s="209"/>
      <c r="FD32" s="209"/>
      <c r="FE32" s="209"/>
      <c r="FF32" s="209"/>
      <c r="FG32" s="209"/>
      <c r="FH32" s="209"/>
      <c r="FI32" s="209"/>
      <c r="FJ32" s="209"/>
      <c r="FK32" s="209"/>
      <c r="FL32" s="209"/>
      <c r="FM32" s="209"/>
      <c r="FN32" s="209"/>
      <c r="FO32" s="209"/>
      <c r="FP32" s="209"/>
      <c r="FQ32" s="209"/>
      <c r="FR32" s="209"/>
      <c r="FS32" s="209"/>
      <c r="FT32" s="209"/>
      <c r="FU32" s="209"/>
      <c r="FV32" s="209"/>
      <c r="FW32" s="209"/>
      <c r="FX32" s="209"/>
      <c r="FY32" s="209"/>
      <c r="FZ32" s="209"/>
      <c r="GA32" s="209"/>
      <c r="GB32" s="209"/>
      <c r="GC32" s="209"/>
      <c r="GD32" s="209"/>
      <c r="GE32" s="209"/>
      <c r="GF32" s="209"/>
      <c r="GG32" s="209"/>
      <c r="GH32" s="209"/>
      <c r="GI32" s="209"/>
      <c r="GJ32" s="209"/>
      <c r="GK32" s="209"/>
      <c r="GL32" s="209"/>
      <c r="GM32" s="209"/>
      <c r="GN32" s="209"/>
      <c r="GO32" s="209"/>
      <c r="GP32" s="209"/>
      <c r="GQ32" s="209"/>
      <c r="GR32" s="209"/>
      <c r="GS32" s="209"/>
      <c r="GT32" s="209"/>
      <c r="GU32" s="209"/>
      <c r="GV32" s="209"/>
      <c r="GW32" s="209"/>
      <c r="GX32" s="209"/>
      <c r="GY32" s="209"/>
      <c r="GZ32" s="209"/>
      <c r="HA32" s="209"/>
      <c r="HB32" s="209"/>
      <c r="HC32" s="209"/>
      <c r="HD32" s="209"/>
      <c r="HE32" s="209"/>
      <c r="HF32" s="209"/>
      <c r="HG32" s="209"/>
      <c r="HH32" s="209"/>
      <c r="HI32" s="209"/>
      <c r="HJ32" s="209"/>
      <c r="HK32" s="209"/>
      <c r="HL32" s="209"/>
      <c r="HM32" s="209"/>
      <c r="HN32" s="209"/>
      <c r="HO32" s="209"/>
      <c r="HP32" s="209"/>
      <c r="HQ32" s="209"/>
      <c r="HR32" s="209"/>
      <c r="HS32" s="209"/>
      <c r="HT32" s="209"/>
      <c r="HU32" s="209"/>
      <c r="HV32" s="209"/>
      <c r="HW32" s="209"/>
      <c r="HX32" s="209"/>
      <c r="HY32" s="209"/>
      <c r="HZ32" s="209"/>
      <c r="IA32" s="209"/>
      <c r="IB32" s="209"/>
      <c r="IC32" s="209"/>
      <c r="ID32" s="209"/>
      <c r="IE32" s="209"/>
      <c r="IF32" s="209"/>
      <c r="IG32" s="209"/>
      <c r="IH32" s="209"/>
      <c r="II32" s="209"/>
      <c r="IJ32" s="209"/>
      <c r="IK32" s="209"/>
      <c r="IL32" s="209"/>
      <c r="IM32" s="209"/>
      <c r="IN32" s="209"/>
      <c r="IO32" s="209"/>
      <c r="IP32" s="209"/>
      <c r="IQ32" s="209"/>
      <c r="IR32" s="209"/>
      <c r="IS32" s="209"/>
      <c r="IT32" s="209"/>
      <c r="IU32" s="209"/>
      <c r="IV32" s="209"/>
      <c r="IW32" s="209"/>
      <c r="IX32" s="209"/>
    </row>
    <row r="33" s="209" customFormat="true" ht="17.4" hidden="false" customHeight="false" outlineLevel="0" collapsed="false">
      <c r="A33" s="99"/>
      <c r="B33" s="31"/>
      <c r="C33" s="30"/>
      <c r="D33" s="85" t="s">
        <v>134</v>
      </c>
      <c r="E33" s="217" t="n">
        <f aca="false">IF(AND($F$2="No",$F$3="No"),SUM(J33:K33),IF(AND($F$2="Yes", $F$3="No"), SUM(J33:K33)+Q33, IF(AND($F$2="No", $F$3="Yes"),SUM(J33:K33)+P33, SUM(J33:K33)+Q33+P33)))</f>
        <v>0.0399894869629571</v>
      </c>
      <c r="F33" s="89" t="n">
        <f aca="false">IF(AND($F$2="No",$F$3="No"),SUM(H33:O33),IF(AND($F$2="Yes", $F$3="No"), SUM(H33:O33)+Q33, IF(AND($F$2="No", $F$3="Yes"),SUM(H33:O33)+P33, SUM(H33:O33)+Q33+P33)))</f>
        <v>0.103279945747424</v>
      </c>
      <c r="G33" s="88" t="n">
        <f aca="false">SUM(S33:U33)/(1-'Common input data'!$B$121)</f>
        <v>0.457429222756205</v>
      </c>
      <c r="H33" s="87" t="n">
        <f aca="false">('Input data plant-based products'!$F$28*('Common input data'!$C$76*'Common input data'!B69+'Common input data'!$C$77*'Common input data'!C69))/'Input data plant-based products'!$E$28</f>
        <v>0.00454840303289578</v>
      </c>
      <c r="I33" s="89" t="n">
        <f aca="false">'Common input data'!$B$81</f>
        <v>0.03</v>
      </c>
      <c r="J33" s="87" t="n">
        <v>0</v>
      </c>
      <c r="K33" s="87" t="n">
        <v>0</v>
      </c>
      <c r="L33" s="87" t="n">
        <f aca="false">('Input data plant-based products'!$I$28*'Common input data'!$C$59*'Common input data'!H49)/'Input data plant-based products'!$E$28</f>
        <v>0.00874205575157137</v>
      </c>
      <c r="M33" s="89" t="n">
        <v>0</v>
      </c>
      <c r="N33" s="89" t="n">
        <f aca="false">'Input data plant-based products'!G$152</f>
        <v>0.02</v>
      </c>
      <c r="O33" s="87" t="n">
        <v>0</v>
      </c>
      <c r="P33" s="89" t="n">
        <f aca="false">'Common input data'!E$13</f>
        <v>0.0399894869629571</v>
      </c>
      <c r="Q33" s="89" t="n">
        <v>0</v>
      </c>
      <c r="R33" s="89" t="n">
        <v>0</v>
      </c>
      <c r="S33" s="89" t="n">
        <f aca="false">(F33+R33)</f>
        <v>0.103279945747424</v>
      </c>
      <c r="T33" s="89" t="n">
        <f aca="false">'Common input data'!$B$88</f>
        <v>0.05</v>
      </c>
      <c r="U33" s="89" t="n">
        <f aca="false">'Common input data'!B102+'Common input data'!C102</f>
        <v>0.23</v>
      </c>
      <c r="V33" s="309"/>
      <c r="W33" s="92"/>
      <c r="Z33" s="30"/>
    </row>
    <row r="34" s="209" customFormat="true" ht="17.4" hidden="false" customHeight="false" outlineLevel="0" collapsed="false">
      <c r="A34" s="74"/>
      <c r="B34" s="31"/>
      <c r="C34" s="93"/>
      <c r="D34" s="85" t="s">
        <v>135</v>
      </c>
      <c r="E34" s="217" t="n">
        <f aca="false">SUM(J34:K34)</f>
        <v>0</v>
      </c>
      <c r="F34" s="89" t="n">
        <f aca="false">SUM(H34:O34)</f>
        <v>3.87245597297942E-006</v>
      </c>
      <c r="G34" s="88" t="n">
        <f aca="false">SUM(S34:U34)/(1-'Common input data'!$B$121)</f>
        <v>4.62162068621484E-006</v>
      </c>
      <c r="H34" s="87" t="n">
        <f aca="false">('Input data plant-based products'!$F$28*('Common input data'!$C$76*'Common input data'!B70+'Common input data'!$C$77*'Common input data'!C70))/'Input data plant-based products'!$E$28</f>
        <v>2.00545739187326E-011</v>
      </c>
      <c r="I34" s="89" t="n">
        <v>0</v>
      </c>
      <c r="J34" s="87" t="n">
        <v>0</v>
      </c>
      <c r="K34" s="87" t="n">
        <v>0</v>
      </c>
      <c r="L34" s="87" t="n">
        <f aca="false">('Input data plant-based products'!$I$28*'Common input data'!$C$59*'Common input data'!H50)/'Input data plant-based products'!$E$28</f>
        <v>3.8724359184055E-006</v>
      </c>
      <c r="M34" s="89" t="n">
        <v>0</v>
      </c>
      <c r="N34" s="89" t="n">
        <v>0</v>
      </c>
      <c r="O34" s="87" t="n">
        <v>0</v>
      </c>
      <c r="P34" s="87" t="n">
        <v>0</v>
      </c>
      <c r="Q34" s="89" t="n">
        <v>0</v>
      </c>
      <c r="R34" s="89" t="n">
        <v>0</v>
      </c>
      <c r="S34" s="89" t="n">
        <f aca="false">(F34+R34)</f>
        <v>3.87245597297942E-006</v>
      </c>
      <c r="T34" s="89" t="n">
        <v>0</v>
      </c>
      <c r="U34" s="89" t="n">
        <v>0</v>
      </c>
      <c r="V34" s="309"/>
      <c r="W34" s="92"/>
      <c r="Z34" s="30"/>
    </row>
    <row r="35" s="209" customFormat="true" ht="17.4" hidden="false" customHeight="false" outlineLevel="0" collapsed="false">
      <c r="A35" s="100"/>
      <c r="B35" s="101"/>
      <c r="C35" s="87"/>
      <c r="D35" s="31" t="s">
        <v>136</v>
      </c>
      <c r="E35" s="219" t="n">
        <f aca="false">SUM(J35:K35)</f>
        <v>4.46098515750437E-005</v>
      </c>
      <c r="F35" s="126" t="n">
        <f aca="false">SUM(H35:O35)</f>
        <v>6.96892448522457E-005</v>
      </c>
      <c r="G35" s="106" t="n">
        <f aca="false">SUM(S35:U35)/(1-'Common input data'!$B$121)</f>
        <v>8.3171315016405E-005</v>
      </c>
      <c r="H35" s="87" t="n">
        <f aca="false">('Input data plant-based products'!$F$28*('Common input data'!$C$76*'Common input data'!B71+'Common input data'!$C$77*'Common input data'!C71))/'Input data plant-based products'!$E$28</f>
        <v>2.48444908307689E-005</v>
      </c>
      <c r="I35" s="87" t="n">
        <v>0</v>
      </c>
      <c r="J35" s="87" t="n">
        <f aca="false">(SUM('Input data plant-based products'!F28:H28)*'Input data plant-based products'!$B$114*44/28)/'Input data plant-based products'!E28</f>
        <v>4.0554410522767E-005</v>
      </c>
      <c r="K35" s="89" t="n">
        <f aca="false">J35*'Input data plant-based products'!$B$115</f>
        <v>4.0554410522767E-006</v>
      </c>
      <c r="L35" s="87" t="n">
        <f aca="false">('Input data plant-based products'!$I$28*'Common input data'!$C$59*'Common input data'!H51)/'Input data plant-based products'!$E$28</f>
        <v>2.34902446433161E-007</v>
      </c>
      <c r="M35" s="89" t="n">
        <v>0</v>
      </c>
      <c r="N35" s="89" t="n">
        <v>0</v>
      </c>
      <c r="O35" s="87" t="n">
        <v>0</v>
      </c>
      <c r="P35" s="87" t="n">
        <v>0</v>
      </c>
      <c r="Q35" s="89" t="n">
        <v>0</v>
      </c>
      <c r="R35" s="89" t="n">
        <v>0</v>
      </c>
      <c r="S35" s="89" t="n">
        <f aca="false">(F35+R35)</f>
        <v>6.96892448522457E-005</v>
      </c>
      <c r="T35" s="89" t="n">
        <v>0</v>
      </c>
      <c r="U35" s="89" t="n">
        <v>0</v>
      </c>
      <c r="V35" s="309"/>
      <c r="W35" s="92"/>
      <c r="Z35" s="30"/>
    </row>
    <row r="36" s="334" customFormat="true" ht="17.4" hidden="false" customHeight="false" outlineLevel="0" collapsed="false">
      <c r="A36" s="107" t="s">
        <v>292</v>
      </c>
      <c r="B36" s="108"/>
      <c r="C36" s="69"/>
      <c r="D36" s="109"/>
      <c r="E36" s="110" t="s">
        <v>293</v>
      </c>
      <c r="F36" s="111" t="s">
        <v>293</v>
      </c>
      <c r="G36" s="112" t="s">
        <v>293</v>
      </c>
      <c r="H36" s="69"/>
      <c r="I36" s="69"/>
      <c r="J36" s="69"/>
      <c r="K36" s="113"/>
      <c r="L36" s="113"/>
      <c r="M36" s="114"/>
      <c r="N36" s="113"/>
      <c r="O36" s="113"/>
      <c r="P36" s="113"/>
      <c r="Q36" s="113"/>
      <c r="R36" s="113"/>
      <c r="S36" s="113"/>
      <c r="T36" s="113"/>
      <c r="U36" s="113"/>
      <c r="V36" s="309"/>
      <c r="W36" s="92"/>
      <c r="X36" s="209"/>
      <c r="Y36" s="209"/>
      <c r="Z36" s="30"/>
      <c r="AA36" s="209"/>
      <c r="AB36" s="209"/>
      <c r="AC36" s="209"/>
      <c r="AD36" s="209"/>
      <c r="AE36" s="209"/>
      <c r="AF36" s="209"/>
      <c r="AG36" s="209"/>
      <c r="AH36" s="209"/>
      <c r="AI36" s="209"/>
      <c r="AJ36" s="209"/>
      <c r="AK36" s="209"/>
      <c r="AL36" s="209"/>
      <c r="AM36" s="209"/>
      <c r="AN36" s="209"/>
      <c r="AO36" s="209"/>
      <c r="AP36" s="209"/>
      <c r="AQ36" s="209"/>
      <c r="AR36" s="209"/>
      <c r="AS36" s="209"/>
      <c r="AT36" s="209"/>
      <c r="AU36" s="209"/>
      <c r="AV36" s="209"/>
      <c r="AW36" s="209"/>
      <c r="AX36" s="209"/>
      <c r="AY36" s="209"/>
      <c r="AZ36" s="209"/>
      <c r="BA36" s="209"/>
      <c r="BB36" s="209"/>
      <c r="BC36" s="209"/>
      <c r="BD36" s="209"/>
      <c r="BE36" s="209"/>
      <c r="BF36" s="209"/>
      <c r="BG36" s="209"/>
      <c r="BH36" s="209"/>
      <c r="BI36" s="209"/>
      <c r="BJ36" s="209"/>
      <c r="BK36" s="209"/>
      <c r="BL36" s="209"/>
      <c r="BM36" s="209"/>
      <c r="BN36" s="209"/>
      <c r="BO36" s="209"/>
      <c r="BP36" s="209"/>
      <c r="BQ36" s="209"/>
      <c r="BR36" s="209"/>
      <c r="BS36" s="209"/>
      <c r="BT36" s="209"/>
      <c r="BU36" s="209"/>
      <c r="BV36" s="209"/>
      <c r="BW36" s="209"/>
      <c r="BX36" s="209"/>
      <c r="BY36" s="209"/>
      <c r="BZ36" s="209"/>
      <c r="CA36" s="209"/>
      <c r="CB36" s="209"/>
      <c r="CC36" s="209"/>
      <c r="CD36" s="209"/>
      <c r="CE36" s="209"/>
      <c r="CF36" s="209"/>
      <c r="CG36" s="209"/>
      <c r="CH36" s="209"/>
      <c r="CI36" s="209"/>
      <c r="CJ36" s="209"/>
      <c r="CK36" s="209"/>
      <c r="CL36" s="209"/>
      <c r="CM36" s="209"/>
      <c r="CN36" s="209"/>
      <c r="CO36" s="209"/>
      <c r="CP36" s="209"/>
      <c r="CQ36" s="209"/>
      <c r="CR36" s="209"/>
      <c r="CS36" s="209"/>
      <c r="CT36" s="209"/>
      <c r="CU36" s="209"/>
      <c r="CV36" s="209"/>
      <c r="CW36" s="209"/>
      <c r="CX36" s="209"/>
      <c r="CY36" s="209"/>
      <c r="CZ36" s="209"/>
      <c r="DA36" s="209"/>
      <c r="DB36" s="209"/>
      <c r="DC36" s="209"/>
      <c r="DD36" s="209"/>
      <c r="DE36" s="209"/>
      <c r="DF36" s="209"/>
      <c r="DG36" s="209"/>
      <c r="DH36" s="209"/>
      <c r="DI36" s="209"/>
      <c r="DJ36" s="209"/>
      <c r="DK36" s="209"/>
      <c r="DL36" s="209"/>
      <c r="DM36" s="209"/>
      <c r="DN36" s="209"/>
      <c r="DO36" s="209"/>
      <c r="DP36" s="209"/>
      <c r="DQ36" s="209"/>
      <c r="DR36" s="209"/>
      <c r="DS36" s="209"/>
      <c r="DT36" s="209"/>
      <c r="DU36" s="209"/>
      <c r="DV36" s="209"/>
      <c r="DW36" s="209"/>
      <c r="DX36" s="209"/>
      <c r="DY36" s="209"/>
      <c r="DZ36" s="209"/>
      <c r="EA36" s="209"/>
      <c r="EB36" s="209"/>
      <c r="EC36" s="209"/>
      <c r="ED36" s="209"/>
      <c r="EE36" s="209"/>
      <c r="EF36" s="209"/>
      <c r="EG36" s="209"/>
      <c r="EH36" s="209"/>
      <c r="EI36" s="209"/>
      <c r="EJ36" s="209"/>
      <c r="EK36" s="209"/>
      <c r="EL36" s="209"/>
      <c r="EM36" s="209"/>
      <c r="EN36" s="209"/>
      <c r="EO36" s="209"/>
      <c r="EP36" s="209"/>
      <c r="EQ36" s="209"/>
      <c r="ER36" s="209"/>
      <c r="ES36" s="209"/>
      <c r="ET36" s="209"/>
      <c r="EU36" s="209"/>
      <c r="EV36" s="209"/>
      <c r="EW36" s="209"/>
      <c r="EX36" s="209"/>
      <c r="EY36" s="209"/>
      <c r="EZ36" s="209"/>
      <c r="FA36" s="209"/>
      <c r="FB36" s="209"/>
      <c r="FC36" s="209"/>
      <c r="FD36" s="209"/>
      <c r="FE36" s="209"/>
      <c r="FF36" s="209"/>
      <c r="FG36" s="209"/>
      <c r="FH36" s="209"/>
      <c r="FI36" s="209"/>
      <c r="FJ36" s="209"/>
      <c r="FK36" s="209"/>
      <c r="FL36" s="209"/>
      <c r="FM36" s="209"/>
      <c r="FN36" s="209"/>
      <c r="FO36" s="209"/>
      <c r="FP36" s="209"/>
      <c r="FQ36" s="209"/>
      <c r="FR36" s="209"/>
      <c r="FS36" s="209"/>
      <c r="FT36" s="209"/>
      <c r="FU36" s="209"/>
      <c r="FV36" s="209"/>
      <c r="FW36" s="209"/>
      <c r="FX36" s="209"/>
      <c r="FY36" s="209"/>
      <c r="FZ36" s="209"/>
      <c r="GA36" s="209"/>
      <c r="GB36" s="209"/>
      <c r="GC36" s="209"/>
      <c r="GD36" s="209"/>
      <c r="GE36" s="209"/>
      <c r="GF36" s="209"/>
      <c r="GG36" s="209"/>
      <c r="GH36" s="209"/>
      <c r="GI36" s="209"/>
      <c r="GJ36" s="209"/>
      <c r="GK36" s="209"/>
      <c r="GL36" s="209"/>
      <c r="GM36" s="209"/>
      <c r="GN36" s="209"/>
      <c r="GO36" s="209"/>
      <c r="GP36" s="209"/>
      <c r="GQ36" s="209"/>
      <c r="GR36" s="209"/>
      <c r="GS36" s="209"/>
      <c r="GT36" s="209"/>
      <c r="GU36" s="209"/>
      <c r="GV36" s="209"/>
      <c r="GW36" s="209"/>
      <c r="GX36" s="209"/>
      <c r="GY36" s="209"/>
      <c r="GZ36" s="209"/>
      <c r="HA36" s="209"/>
      <c r="HB36" s="209"/>
      <c r="HC36" s="209"/>
      <c r="HD36" s="209"/>
      <c r="HE36" s="209"/>
      <c r="HF36" s="209"/>
      <c r="HG36" s="209"/>
      <c r="HH36" s="209"/>
      <c r="HI36" s="209"/>
      <c r="HJ36" s="209"/>
      <c r="HK36" s="209"/>
      <c r="HL36" s="209"/>
      <c r="HM36" s="209"/>
      <c r="HN36" s="209"/>
      <c r="HO36" s="209"/>
      <c r="HP36" s="209"/>
      <c r="HQ36" s="209"/>
      <c r="HR36" s="209"/>
      <c r="HS36" s="209"/>
      <c r="HT36" s="209"/>
      <c r="HU36" s="209"/>
      <c r="HV36" s="209"/>
      <c r="HW36" s="209"/>
      <c r="HX36" s="209"/>
      <c r="HY36" s="209"/>
      <c r="HZ36" s="209"/>
      <c r="IA36" s="209"/>
      <c r="IB36" s="209"/>
      <c r="IC36" s="209"/>
      <c r="ID36" s="209"/>
      <c r="IE36" s="209"/>
      <c r="IF36" s="209"/>
      <c r="IG36" s="209"/>
      <c r="IH36" s="209"/>
      <c r="II36" s="209"/>
      <c r="IJ36" s="209"/>
      <c r="IK36" s="209"/>
      <c r="IL36" s="209"/>
      <c r="IM36" s="209"/>
      <c r="IN36" s="209"/>
      <c r="IO36" s="209"/>
      <c r="IP36" s="209"/>
      <c r="IQ36" s="209"/>
      <c r="IR36" s="209"/>
      <c r="IS36" s="209"/>
      <c r="IT36" s="209"/>
      <c r="IU36" s="209"/>
      <c r="IV36" s="209"/>
      <c r="IW36" s="209"/>
      <c r="IX36" s="209"/>
    </row>
    <row r="37" s="332" customFormat="true" ht="17.4" hidden="false" customHeight="false" outlineLevel="0" collapsed="false">
      <c r="A37" s="330" t="s">
        <v>272</v>
      </c>
      <c r="B37" s="76"/>
      <c r="C37" s="188" t="n">
        <f aca="false">SUM(C41:C64)</f>
        <v>1</v>
      </c>
      <c r="D37" s="78" t="s">
        <v>133</v>
      </c>
      <c r="E37" s="79" t="n">
        <f aca="false">IF($F$1="GWP100 without fb",E38+E39*'Common input data'!$C$5+E40*'Common input data'!$D$5,IF($F$1="GWP100 with fb",E38+E39*'Common input data'!$C$6+E40*'Common input data'!$D$6,IF($F$1="GTP100 without fb",E38+E39*'Common input data'!$C$7+E40*'Common input data'!$D$7,IF($F$1="GTP100 with fb",E38+E39*'Common input data'!$C$8+E40*'Common input data'!$D$8,E38+E39*'Common input data'!$C$9+E40*'Common input data'!$D$9))))</f>
        <v>0.0247662954222023</v>
      </c>
      <c r="F37" s="80" t="n">
        <f aca="false">IF($F$1="GWP100 without fb",F38+F39*'Common input data'!$C$5+F40*'Common input data'!$D$5,IF($F$1="GWP100 with fb",F38+F39*'Common input data'!$C$6+F40*'Common input data'!$D$6,IF($F$1="GTP100 without fb",F38+F39*'Common input data'!$C$7+F40*'Common input data'!$D$7,IF($F$1="GTP100 with fb",F38+F39*'Common input data'!$C$8+F40*'Common input data'!$D$8,F38+F39*'Common input data'!$C$9+F40*'Common input data'!$D$9))))</f>
        <v>0.446102425010447</v>
      </c>
      <c r="G37" s="81" t="n">
        <f aca="false">IF($F$1="GWP100 without fb",G38+G39*'Common input data'!$C$5+G40*'Common input data'!$D$5,IF($F$1="GWP100 with fb",G38+G39*'Common input data'!$C$6+G40*'Common input data'!$D$6,IF($F$1="GTP100 without fb",G38+G39*'Common input data'!$C$7+G40*'Common input data'!$D$7,IF($F$1="GTP100 with fb",G38+G39*'Common input data'!$C$8+G40*'Common input data'!$D$8,G38+G39*'Common input data'!$C$9+G40*'Common input data'!$D$9))))</f>
        <v>0.734100041783562</v>
      </c>
      <c r="H37" s="95"/>
      <c r="I37" s="97"/>
      <c r="J37" s="97"/>
      <c r="K37" s="83"/>
      <c r="L37" s="83"/>
      <c r="M37" s="83"/>
      <c r="N37" s="83"/>
      <c r="O37" s="83"/>
      <c r="P37" s="83"/>
      <c r="Q37" s="83"/>
      <c r="R37" s="83"/>
      <c r="S37" s="83"/>
      <c r="T37" s="83"/>
      <c r="U37" s="83"/>
      <c r="V37" s="309"/>
      <c r="W37" s="92"/>
      <c r="X37" s="209"/>
      <c r="Y37" s="209"/>
      <c r="Z37" s="30"/>
      <c r="AA37" s="209"/>
      <c r="AB37" s="209"/>
      <c r="AC37" s="209"/>
      <c r="AD37" s="209"/>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c r="BQ37" s="209"/>
      <c r="BR37" s="209"/>
      <c r="BS37" s="209"/>
      <c r="BT37" s="209"/>
      <c r="BU37" s="209"/>
      <c r="BV37" s="209"/>
      <c r="BW37" s="209"/>
      <c r="BX37" s="209"/>
      <c r="BY37" s="209"/>
      <c r="BZ37" s="209"/>
      <c r="CA37" s="209"/>
      <c r="CB37" s="209"/>
      <c r="CC37" s="209"/>
      <c r="CD37" s="209"/>
      <c r="CE37" s="209"/>
      <c r="CF37" s="209"/>
      <c r="CG37" s="209"/>
      <c r="CH37" s="209"/>
      <c r="CI37" s="209"/>
      <c r="CJ37" s="209"/>
      <c r="CK37" s="209"/>
      <c r="CL37" s="209"/>
      <c r="CM37" s="209"/>
      <c r="CN37" s="209"/>
      <c r="CO37" s="209"/>
      <c r="CP37" s="209"/>
      <c r="CQ37" s="209"/>
      <c r="CR37" s="209"/>
      <c r="CS37" s="209"/>
      <c r="CT37" s="209"/>
      <c r="CU37" s="209"/>
      <c r="CV37" s="209"/>
      <c r="CW37" s="209"/>
      <c r="CX37" s="209"/>
      <c r="CY37" s="209"/>
      <c r="CZ37" s="209"/>
      <c r="DA37" s="209"/>
      <c r="DB37" s="209"/>
      <c r="DC37" s="209"/>
      <c r="DD37" s="209"/>
      <c r="DE37" s="209"/>
      <c r="DF37" s="209"/>
      <c r="DG37" s="209"/>
      <c r="DH37" s="209"/>
      <c r="DI37" s="209"/>
      <c r="DJ37" s="209"/>
      <c r="DK37" s="209"/>
      <c r="DL37" s="209"/>
      <c r="DM37" s="209"/>
      <c r="DN37" s="209"/>
      <c r="DO37" s="209"/>
      <c r="DP37" s="209"/>
      <c r="DQ37" s="209"/>
      <c r="DR37" s="209"/>
      <c r="DS37" s="209"/>
      <c r="DT37" s="209"/>
      <c r="DU37" s="209"/>
      <c r="DV37" s="209"/>
      <c r="DW37" s="209"/>
      <c r="DX37" s="209"/>
      <c r="DY37" s="209"/>
      <c r="DZ37" s="209"/>
      <c r="EA37" s="209"/>
      <c r="EB37" s="209"/>
      <c r="EC37" s="209"/>
      <c r="ED37" s="209"/>
      <c r="EE37" s="209"/>
      <c r="EF37" s="209"/>
      <c r="EG37" s="209"/>
      <c r="EH37" s="209"/>
      <c r="EI37" s="209"/>
      <c r="EJ37" s="209"/>
      <c r="EK37" s="209"/>
      <c r="EL37" s="209"/>
      <c r="EM37" s="209"/>
      <c r="EN37" s="209"/>
      <c r="EO37" s="209"/>
      <c r="EP37" s="209"/>
      <c r="EQ37" s="209"/>
      <c r="ER37" s="209"/>
      <c r="ES37" s="209"/>
      <c r="ET37" s="209"/>
      <c r="EU37" s="209"/>
      <c r="EV37" s="209"/>
      <c r="EW37" s="209"/>
      <c r="EX37" s="209"/>
      <c r="EY37" s="209"/>
      <c r="EZ37" s="209"/>
      <c r="FA37" s="209"/>
      <c r="FB37" s="209"/>
      <c r="FC37" s="209"/>
      <c r="FD37" s="209"/>
      <c r="FE37" s="209"/>
      <c r="FF37" s="209"/>
      <c r="FG37" s="209"/>
      <c r="FH37" s="209"/>
      <c r="FI37" s="209"/>
      <c r="FJ37" s="209"/>
      <c r="FK37" s="209"/>
      <c r="FL37" s="209"/>
      <c r="FM37" s="209"/>
      <c r="FN37" s="209"/>
      <c r="FO37" s="209"/>
      <c r="FP37" s="209"/>
      <c r="FQ37" s="209"/>
      <c r="FR37" s="209"/>
      <c r="FS37" s="209"/>
      <c r="FT37" s="209"/>
      <c r="FU37" s="209"/>
      <c r="FV37" s="209"/>
      <c r="FW37" s="209"/>
      <c r="FX37" s="209"/>
      <c r="FY37" s="209"/>
      <c r="FZ37" s="209"/>
      <c r="GA37" s="209"/>
      <c r="GB37" s="209"/>
      <c r="GC37" s="209"/>
      <c r="GD37" s="209"/>
      <c r="GE37" s="209"/>
      <c r="GF37" s="209"/>
      <c r="GG37" s="209"/>
      <c r="GH37" s="209"/>
      <c r="GI37" s="209"/>
      <c r="GJ37" s="209"/>
      <c r="GK37" s="209"/>
      <c r="GL37" s="209"/>
      <c r="GM37" s="209"/>
      <c r="GN37" s="209"/>
      <c r="GO37" s="209"/>
      <c r="GP37" s="209"/>
      <c r="GQ37" s="209"/>
      <c r="GR37" s="209"/>
      <c r="GS37" s="209"/>
      <c r="GT37" s="209"/>
      <c r="GU37" s="209"/>
      <c r="GV37" s="209"/>
      <c r="GW37" s="209"/>
      <c r="GX37" s="209"/>
      <c r="GY37" s="209"/>
      <c r="GZ37" s="209"/>
      <c r="HA37" s="209"/>
      <c r="HB37" s="209"/>
      <c r="HC37" s="209"/>
      <c r="HD37" s="209"/>
      <c r="HE37" s="209"/>
      <c r="HF37" s="209"/>
      <c r="HG37" s="209"/>
      <c r="HH37" s="209"/>
      <c r="HI37" s="209"/>
      <c r="HJ37" s="209"/>
      <c r="HK37" s="209"/>
      <c r="HL37" s="209"/>
      <c r="HM37" s="209"/>
      <c r="HN37" s="209"/>
      <c r="HO37" s="209"/>
      <c r="HP37" s="209"/>
      <c r="HQ37" s="209"/>
      <c r="HR37" s="209"/>
      <c r="HS37" s="209"/>
      <c r="HT37" s="209"/>
      <c r="HU37" s="209"/>
      <c r="HV37" s="209"/>
      <c r="HW37" s="209"/>
      <c r="HX37" s="209"/>
      <c r="HY37" s="209"/>
      <c r="HZ37" s="209"/>
      <c r="IA37" s="209"/>
      <c r="IB37" s="209"/>
      <c r="IC37" s="209"/>
      <c r="ID37" s="209"/>
      <c r="IE37" s="209"/>
      <c r="IF37" s="209"/>
      <c r="IG37" s="209"/>
      <c r="IH37" s="209"/>
      <c r="II37" s="209"/>
      <c r="IJ37" s="209"/>
      <c r="IK37" s="209"/>
      <c r="IL37" s="209"/>
      <c r="IM37" s="209"/>
      <c r="IN37" s="209"/>
      <c r="IO37" s="209"/>
      <c r="IP37" s="209"/>
      <c r="IQ37" s="209"/>
      <c r="IR37" s="209"/>
      <c r="IS37" s="209"/>
      <c r="IT37" s="209"/>
      <c r="IU37" s="209"/>
      <c r="IV37" s="209"/>
      <c r="IW37" s="209"/>
      <c r="IX37" s="209"/>
    </row>
    <row r="38" s="209" customFormat="true" ht="17.4" hidden="false" customHeight="false" outlineLevel="0" collapsed="false">
      <c r="A38" s="315"/>
      <c r="B38" s="31"/>
      <c r="C38" s="30"/>
      <c r="D38" s="85" t="s">
        <v>134</v>
      </c>
      <c r="E38" s="217" t="n">
        <f aca="false">E42*$C$41+E46*$C$45+$C$49*E50+$C$53*E54+$C$57*E58+$C$61*E62</f>
        <v>0.00879768713185056</v>
      </c>
      <c r="F38" s="89" t="n">
        <f aca="false">F42*$C$41+F46*$C$45+$C$49*F50+$C$53*F54+$C$57*F58+$C$61*F62</f>
        <v>0.375549277093833</v>
      </c>
      <c r="G38" s="88" t="n">
        <f aca="false">G42*$C$41+G46*$C$45+$C$49*G50+$C$53*G54+$C$57*G58+$C$61*G62</f>
        <v>0.649897693154116</v>
      </c>
      <c r="H38" s="89" t="n">
        <f aca="false">H42*$C$41+H46*$C$45+$C$49*H50+$C$53*H54+$C$57*H58+$C$61*H62</f>
        <v>0.00721500375589341</v>
      </c>
      <c r="I38" s="89" t="n">
        <f aca="false">I42*$C$41+I46*$C$45+$C$49*I50+$C$53*I54+$C$57*I58+$C$61*I62</f>
        <v>0.03</v>
      </c>
      <c r="J38" s="89" t="n">
        <f aca="false">J42*$C$41+J46*$C$45+$C$49*J50+$C$53*J54+$C$57*J58+$C$61*J62</f>
        <v>0</v>
      </c>
      <c r="K38" s="89" t="n">
        <f aca="false">K42*$C$41+K46*$C$45+$C$49*K50+$C$53*K54+$C$57*K58+$C$61*K62</f>
        <v>0</v>
      </c>
      <c r="L38" s="89" t="n">
        <f aca="false">L42*$C$41+L46*$C$45+$C$49*L50+$C$53*L54+$C$57*L58+$C$61*L62</f>
        <v>0.00160321379119716</v>
      </c>
      <c r="M38" s="89" t="n">
        <f aca="false">M42*$C$41+M46*$C$45+$C$49*M50+$C$53*M54+$C$57*M58+$C$61*M62</f>
        <v>0.319000039081559</v>
      </c>
      <c r="N38" s="89" t="n">
        <f aca="false">N42*$C$41+N46*$C$45+$C$49*N50+$C$53*N54+$C$57*N58+$C$61*N62</f>
        <v>0.00893333333333333</v>
      </c>
      <c r="O38" s="89" t="n">
        <f aca="false">O42*$C$41+O46*$C$45+$C$49*O50+$C$53*O54+$C$57*O58+$C$61*O62</f>
        <v>0</v>
      </c>
      <c r="P38" s="89" t="n">
        <f aca="false">P42*$C$41+P46*$C$45+$C$49*P50+$C$53*P54+$C$57*P58+$C$61*P62</f>
        <v>0.00879768713185056</v>
      </c>
      <c r="Q38" s="89" t="n">
        <f aca="false">Q42*$C$41+Q46*$C$45+$C$49*Q50+$C$53*Q54+$C$57*Q58+$C$61*Q62</f>
        <v>0</v>
      </c>
      <c r="R38" s="89" t="n">
        <f aca="false">R42*$C$41+R46*$C$45+$C$49*R50+$C$53*R54+$C$57*R58+$C$61*R62</f>
        <v>0</v>
      </c>
      <c r="S38" s="89" t="n">
        <f aca="false">S42*$C$41+S46*$C$45+$C$49*S50+$C$53*S54+$C$57*S58+$C$61*S62</f>
        <v>0.375549277093833</v>
      </c>
      <c r="T38" s="89" t="n">
        <f aca="false">T42*$C$41+T46*$C$45+$C$49*T50+$C$53*T54+$C$57*T58+$C$61*T62</f>
        <v>0.05</v>
      </c>
      <c r="U38" s="89" t="n">
        <f aca="false">U42*$C$41+U46*$C$45+$C$49*U50+$C$53*U54+$C$57*U58+$C$61*U62</f>
        <v>0.119</v>
      </c>
      <c r="V38" s="309"/>
      <c r="W38" s="92"/>
      <c r="Z38" s="30"/>
    </row>
    <row r="39" s="209" customFormat="true" ht="17.4" hidden="false" customHeight="false" outlineLevel="0" collapsed="false">
      <c r="A39" s="315"/>
      <c r="B39" s="31"/>
      <c r="C39" s="93"/>
      <c r="D39" s="85" t="s">
        <v>135</v>
      </c>
      <c r="E39" s="217" t="n">
        <f aca="false">E43*$C$41+E47*$C$45+$C$49*E51+$C$53*E55+$C$57*E59+$C$61*E63</f>
        <v>0</v>
      </c>
      <c r="F39" s="89" t="n">
        <f aca="false">F43*$C$41+F47*$C$45+$C$49*F51+$C$53*F55+$C$57*F59+$C$61*F63</f>
        <v>0.00118475549516986</v>
      </c>
      <c r="G39" s="88" t="n">
        <f aca="false">G43*$C$41+G47*$C$45+$C$49*G51+$C$53*G55+$C$57*G59+$C$61*G63</f>
        <v>0.00141395810379504</v>
      </c>
      <c r="H39" s="89" t="n">
        <f aca="false">H43*$C$41+H47*$C$45+$C$49*H51+$C$53*H55+$C$57*H59+$C$61*H63</f>
        <v>2.55504338645397E-011</v>
      </c>
      <c r="I39" s="89" t="n">
        <f aca="false">I43*$C$41+I47*$C$45+$C$49*I51+$C$53*I55+$C$57*I59+$C$61*I63</f>
        <v>0</v>
      </c>
      <c r="J39" s="89" t="n">
        <f aca="false">J43*$C$41+J47*$C$45+$C$49*J51+$C$53*J55+$C$57*J59+$C$61*J63</f>
        <v>0</v>
      </c>
      <c r="K39" s="89" t="n">
        <f aca="false">K43*$C$41+K47*$C$45+$C$49*K51+$C$53*K55+$C$57*K59+$C$61*K63</f>
        <v>0</v>
      </c>
      <c r="L39" s="89" t="n">
        <f aca="false">L43*$C$41+L47*$C$45+$C$49*L51+$C$53*L55+$C$57*L59+$C$61*L63</f>
        <v>7.10169649604329E-007</v>
      </c>
      <c r="M39" s="89" t="n">
        <f aca="false">M43*$C$41+M47*$C$45+$C$49*M51+$C$53*M55+$C$57*M59+$C$61*M63</f>
        <v>0.00118404529996982</v>
      </c>
      <c r="N39" s="89" t="n">
        <f aca="false">N43*$C$41+N47*$C$45+$C$49*N51+$C$53*N55+$C$57*N59+$C$61*N63</f>
        <v>0</v>
      </c>
      <c r="O39" s="89" t="n">
        <f aca="false">O43*$C$41+O47*$C$45+$C$49*O51+$C$53*O55+$C$57*O59+$C$61*O63</f>
        <v>0</v>
      </c>
      <c r="P39" s="89" t="n">
        <f aca="false">P43*$C$41+P47*$C$45+$C$49*P51+$C$53*P55+$C$57*P59+$C$61*P63</f>
        <v>0</v>
      </c>
      <c r="Q39" s="89" t="n">
        <f aca="false">Q43*$C$41+Q47*$C$45+$C$49*Q51+$C$53*Q55+$C$57*Q59+$C$61*Q63</f>
        <v>0</v>
      </c>
      <c r="R39" s="89" t="n">
        <f aca="false">R43*$C$41+R47*$C$45+$C$49*R51+$C$53*R55+$C$57*R59+$C$61*R63</f>
        <v>0</v>
      </c>
      <c r="S39" s="89" t="n">
        <f aca="false">S43*$C$41+S47*$C$45+$C$49*S51+$C$53*S55+$C$57*S59+$C$61*S63</f>
        <v>0.00118475549516986</v>
      </c>
      <c r="T39" s="89" t="n">
        <f aca="false">T43*$C$41+T47*$C$45+$C$49*T51+$C$53*T55+$C$57*T59+$C$61*T63</f>
        <v>0</v>
      </c>
      <c r="U39" s="89" t="n">
        <f aca="false">U43*$C$41+U47*$C$45+$C$49*U51+$C$53*U55+$C$57*U59+$C$61*U63</f>
        <v>0</v>
      </c>
      <c r="V39" s="309"/>
      <c r="W39" s="92"/>
      <c r="Z39" s="30"/>
    </row>
    <row r="40" s="209" customFormat="true" ht="17.4" hidden="false" customHeight="false" outlineLevel="0" collapsed="false">
      <c r="A40" s="74"/>
      <c r="B40" s="101"/>
      <c r="C40" s="87"/>
      <c r="D40" s="31" t="s">
        <v>136</v>
      </c>
      <c r="E40" s="217" t="n">
        <f aca="false">E44*$C$41+E48*$C$45+$C$49*E52+$C$53*E56+$C$57*E60+$C$61*E64</f>
        <v>5.35859338602407E-005</v>
      </c>
      <c r="F40" s="89" t="n">
        <f aca="false">F44*$C$41+F48*$C$45+$C$49*F52+$C$53*F56+$C$57*F60+$C$61*F64</f>
        <v>0.000101582084163886</v>
      </c>
      <c r="G40" s="88" t="n">
        <f aca="false">G44*$C$41+G48*$C$45+$C$49*G52+$C$53*G56+$C$57*G60+$C$61*G64</f>
        <v>0.000121234137920857</v>
      </c>
      <c r="H40" s="89" t="n">
        <f aca="false">H44*$C$41+H48*$C$45+$C$49*H52+$C$53*H56+$C$57*H60+$C$61*H64</f>
        <v>3.43465739425962E-005</v>
      </c>
      <c r="I40" s="89" t="n">
        <f aca="false">I44*$C$41+I48*$C$45+$C$49*I52+$C$53*I56+$C$57*I60+$C$61*I64</f>
        <v>0</v>
      </c>
      <c r="J40" s="89" t="n">
        <f aca="false">J44*$C$41+J48*$C$45+$C$49*J52+$C$53*J56+$C$57*J60+$C$61*J64</f>
        <v>4.9847366991835E-005</v>
      </c>
      <c r="K40" s="89" t="n">
        <f aca="false">K44*$C$41+K48*$C$45+$C$49*K52+$C$53*K56+$C$57*K60+$C$61*K64</f>
        <v>3.73856686840569E-006</v>
      </c>
      <c r="L40" s="89" t="n">
        <f aca="false">L44*$C$41+L48*$C$45+$C$49*L52+$C$53*L56+$C$57*L60+$C$61*L64</f>
        <v>4.30789796370155E-008</v>
      </c>
      <c r="M40" s="89" t="n">
        <f aca="false">M44*$C$41+M48*$C$45+$C$49*M52+$C$53*M56+$C$57*M60+$C$61*M64</f>
        <v>1.36064973814122E-005</v>
      </c>
      <c r="N40" s="89" t="n">
        <f aca="false">N44*$C$41+N48*$C$45+$C$49*N52+$C$53*N56+$C$57*N60+$C$61*N64</f>
        <v>0</v>
      </c>
      <c r="O40" s="89" t="n">
        <f aca="false">O44*$C$41+O48*$C$45+$C$49*O52+$C$53*O56+$C$57*O60+$C$61*O64</f>
        <v>0</v>
      </c>
      <c r="P40" s="89" t="n">
        <f aca="false">P44*$C$41+P48*$C$45+$C$49*P52+$C$53*P56+$C$57*P60+$C$61*P64</f>
        <v>0</v>
      </c>
      <c r="Q40" s="89" t="n">
        <f aca="false">Q44*$C$41+Q48*$C$45+$C$49*Q52+$C$53*Q56+$C$57*Q60+$C$61*Q64</f>
        <v>0</v>
      </c>
      <c r="R40" s="89" t="n">
        <f aca="false">R44*$C$41+R48*$C$45+$C$49*R52+$C$53*R56+$C$57*R60+$C$61*R64</f>
        <v>0</v>
      </c>
      <c r="S40" s="89" t="n">
        <f aca="false">S44*$C$41+S48*$C$45+$C$49*S52+$C$53*S56+$C$57*S60+$C$61*S64</f>
        <v>0.000101582084163886</v>
      </c>
      <c r="T40" s="89" t="n">
        <f aca="false">T44*$C$41+T48*$C$45+$C$49*T52+$C$53*T56+$C$57*T60+$C$61*T64</f>
        <v>0</v>
      </c>
      <c r="U40" s="89" t="n">
        <f aca="false">U44*$C$41+U48*$C$45+$C$49*U52+$C$53*U56+$C$57*U60+$C$61*U64</f>
        <v>0</v>
      </c>
      <c r="V40" s="309"/>
      <c r="W40" s="92"/>
      <c r="Z40" s="30"/>
    </row>
    <row r="41" s="332" customFormat="true" ht="17.4" hidden="false" customHeight="false" outlineLevel="0" collapsed="false">
      <c r="A41" s="330" t="s">
        <v>137</v>
      </c>
      <c r="B41" s="331" t="s">
        <v>291</v>
      </c>
      <c r="C41" s="331" t="n">
        <f aca="false">'Input data plant-based products'!D29</f>
        <v>0.35</v>
      </c>
      <c r="D41" s="78" t="s">
        <v>133</v>
      </c>
      <c r="E41" s="94" t="n">
        <f aca="false">IF($F$1="GWP100 without fb",E42+E43*'Common input data'!$C$5+E44*'Common input data'!$D$5,IF($F$1="GWP100 with fb",E42+E43*'Common input data'!$C$6+E44*'Common input data'!$D$6,IF($F$1="GTP100 without fb",E42+E43*'Common input data'!$C$7+E44*'Common input data'!$D$7,IF($F$1="GTP100 with fb",E42+E43*'Common input data'!$C$8+E44*'Common input data'!$D$8,E42+E43*'Common input data'!$C$9+E44*'Common input data'!$D$9))))</f>
        <v>0.0162106465714286</v>
      </c>
      <c r="F41" s="95" t="n">
        <f aca="false">IF($F$1="GWP100 without fb",F42+F43*'Common input data'!$C$5+F44*'Common input data'!$D$5,IF($F$1="GWP100 with fb",F42+F43*'Common input data'!$C$6+F44*'Common input data'!$D$6,IF($F$1="GTP100 without fb",F42+F43*'Common input data'!$C$7+F44*'Common input data'!$D$7,IF($F$1="GTP100 with fb",F42+F43*'Common input data'!$C$8+F44*'Common input data'!$D$8,F42+F43*'Common input data'!$C$9+F44*'Common input data'!$D$9))))</f>
        <v>0.582696443236847</v>
      </c>
      <c r="G41" s="96" t="n">
        <f aca="false">IF($F$1="GWP100 without fb",G42+G43*'Common input data'!$C$5+G44*'Common input data'!$D$5,IF($F$1="GWP100 with fb",G42+G43*'Common input data'!$C$6+G44*'Common input data'!$D$6,IF($F$1="GTP100 without fb",G42+G43*'Common input data'!$C$7+G44*'Common input data'!$D$7,IF($F$1="GTP100 with fb",G42+G43*'Common input data'!$C$8+G44*'Common input data'!$D$8,G42+G43*'Common input data'!$C$9+G44*'Common input data'!$D$9))))</f>
        <v>0.790901591164634</v>
      </c>
      <c r="H41" s="83"/>
      <c r="I41" s="83"/>
      <c r="J41" s="83"/>
      <c r="K41" s="83"/>
      <c r="L41" s="83"/>
      <c r="M41" s="83"/>
      <c r="N41" s="83"/>
      <c r="O41" s="83"/>
      <c r="P41" s="83"/>
      <c r="Q41" s="83"/>
      <c r="R41" s="83"/>
      <c r="S41" s="83"/>
      <c r="T41" s="83"/>
      <c r="U41" s="83"/>
      <c r="V41" s="309"/>
      <c r="W41" s="92"/>
      <c r="X41" s="209"/>
      <c r="Y41" s="209"/>
      <c r="Z41" s="30"/>
      <c r="AA41" s="209"/>
      <c r="AB41" s="209"/>
      <c r="AC41" s="209"/>
      <c r="AD41" s="209"/>
      <c r="AE41" s="209"/>
      <c r="AF41" s="209"/>
      <c r="AG41" s="209"/>
      <c r="AH41" s="209"/>
      <c r="AI41" s="209"/>
      <c r="AJ41" s="209"/>
      <c r="AK41" s="209"/>
      <c r="AL41" s="209"/>
      <c r="AM41" s="209"/>
      <c r="AN41" s="209"/>
      <c r="AO41" s="209"/>
      <c r="AP41" s="209"/>
      <c r="AQ41" s="209"/>
      <c r="AR41" s="209"/>
      <c r="AS41" s="209"/>
      <c r="AT41" s="209"/>
      <c r="AU41" s="209"/>
      <c r="AV41" s="209"/>
      <c r="AW41" s="209"/>
      <c r="AX41" s="209"/>
      <c r="AY41" s="209"/>
      <c r="AZ41" s="209"/>
      <c r="BA41" s="209"/>
      <c r="BB41" s="209"/>
      <c r="BC41" s="209"/>
      <c r="BD41" s="209"/>
      <c r="BE41" s="209"/>
      <c r="BF41" s="209"/>
      <c r="BG41" s="209"/>
      <c r="BH41" s="209"/>
      <c r="BI41" s="209"/>
      <c r="BJ41" s="209"/>
      <c r="BK41" s="209"/>
      <c r="BL41" s="209"/>
      <c r="BM41" s="209"/>
      <c r="BN41" s="209"/>
      <c r="BO41" s="209"/>
      <c r="BP41" s="209"/>
      <c r="BQ41" s="209"/>
      <c r="BR41" s="209"/>
      <c r="BS41" s="209"/>
      <c r="BT41" s="209"/>
      <c r="BU41" s="209"/>
      <c r="BV41" s="209"/>
      <c r="BW41" s="209"/>
      <c r="BX41" s="209"/>
      <c r="BY41" s="209"/>
      <c r="BZ41" s="209"/>
      <c r="CA41" s="209"/>
      <c r="CB41" s="209"/>
      <c r="CC41" s="209"/>
      <c r="CD41" s="209"/>
      <c r="CE41" s="209"/>
      <c r="CF41" s="209"/>
      <c r="CG41" s="209"/>
      <c r="CH41" s="209"/>
      <c r="CI41" s="209"/>
      <c r="CJ41" s="209"/>
      <c r="CK41" s="209"/>
      <c r="CL41" s="209"/>
      <c r="CM41" s="209"/>
      <c r="CN41" s="209"/>
      <c r="CO41" s="209"/>
      <c r="CP41" s="209"/>
      <c r="CQ41" s="209"/>
      <c r="CR41" s="209"/>
      <c r="CS41" s="209"/>
      <c r="CT41" s="209"/>
      <c r="CU41" s="209"/>
      <c r="CV41" s="209"/>
      <c r="CW41" s="209"/>
      <c r="CX41" s="209"/>
      <c r="CY41" s="209"/>
      <c r="CZ41" s="209"/>
      <c r="DA41" s="209"/>
      <c r="DB41" s="209"/>
      <c r="DC41" s="209"/>
      <c r="DD41" s="209"/>
      <c r="DE41" s="209"/>
      <c r="DF41" s="209"/>
      <c r="DG41" s="209"/>
      <c r="DH41" s="209"/>
      <c r="DI41" s="209"/>
      <c r="DJ41" s="209"/>
      <c r="DK41" s="209"/>
      <c r="DL41" s="209"/>
      <c r="DM41" s="209"/>
      <c r="DN41" s="209"/>
      <c r="DO41" s="209"/>
      <c r="DP41" s="209"/>
      <c r="DQ41" s="209"/>
      <c r="DR41" s="209"/>
      <c r="DS41" s="209"/>
      <c r="DT41" s="209"/>
      <c r="DU41" s="209"/>
      <c r="DV41" s="209"/>
      <c r="DW41" s="209"/>
      <c r="DX41" s="209"/>
      <c r="DY41" s="209"/>
      <c r="DZ41" s="209"/>
      <c r="EA41" s="209"/>
      <c r="EB41" s="209"/>
      <c r="EC41" s="209"/>
      <c r="ED41" s="209"/>
      <c r="EE41" s="209"/>
      <c r="EF41" s="209"/>
      <c r="EG41" s="209"/>
      <c r="EH41" s="209"/>
      <c r="EI41" s="209"/>
      <c r="EJ41" s="209"/>
      <c r="EK41" s="209"/>
      <c r="EL41" s="209"/>
      <c r="EM41" s="209"/>
      <c r="EN41" s="209"/>
      <c r="EO41" s="209"/>
      <c r="EP41" s="209"/>
      <c r="EQ41" s="209"/>
      <c r="ER41" s="209"/>
      <c r="ES41" s="209"/>
      <c r="ET41" s="209"/>
      <c r="EU41" s="209"/>
      <c r="EV41" s="209"/>
      <c r="EW41" s="209"/>
      <c r="EX41" s="209"/>
      <c r="EY41" s="209"/>
      <c r="EZ41" s="209"/>
      <c r="FA41" s="209"/>
      <c r="FB41" s="209"/>
      <c r="FC41" s="209"/>
      <c r="FD41" s="209"/>
      <c r="FE41" s="209"/>
      <c r="FF41" s="209"/>
      <c r="FG41" s="209"/>
      <c r="FH41" s="209"/>
      <c r="FI41" s="209"/>
      <c r="FJ41" s="209"/>
      <c r="FK41" s="209"/>
      <c r="FL41" s="209"/>
      <c r="FM41" s="209"/>
      <c r="FN41" s="209"/>
      <c r="FO41" s="209"/>
      <c r="FP41" s="209"/>
      <c r="FQ41" s="209"/>
      <c r="FR41" s="209"/>
      <c r="FS41" s="209"/>
      <c r="FT41" s="209"/>
      <c r="FU41" s="209"/>
      <c r="FV41" s="209"/>
      <c r="FW41" s="209"/>
      <c r="FX41" s="209"/>
      <c r="FY41" s="209"/>
      <c r="FZ41" s="209"/>
      <c r="GA41" s="209"/>
      <c r="GB41" s="209"/>
      <c r="GC41" s="209"/>
      <c r="GD41" s="209"/>
      <c r="GE41" s="209"/>
      <c r="GF41" s="209"/>
      <c r="GG41" s="209"/>
      <c r="GH41" s="209"/>
      <c r="GI41" s="209"/>
      <c r="GJ41" s="209"/>
      <c r="GK41" s="209"/>
      <c r="GL41" s="209"/>
      <c r="GM41" s="209"/>
      <c r="GN41" s="209"/>
      <c r="GO41" s="209"/>
      <c r="GP41" s="209"/>
      <c r="GQ41" s="209"/>
      <c r="GR41" s="209"/>
      <c r="GS41" s="209"/>
      <c r="GT41" s="209"/>
      <c r="GU41" s="209"/>
      <c r="GV41" s="209"/>
      <c r="GW41" s="209"/>
      <c r="GX41" s="209"/>
      <c r="GY41" s="209"/>
      <c r="GZ41" s="209"/>
      <c r="HA41" s="209"/>
      <c r="HB41" s="209"/>
      <c r="HC41" s="209"/>
      <c r="HD41" s="209"/>
      <c r="HE41" s="209"/>
      <c r="HF41" s="209"/>
      <c r="HG41" s="209"/>
      <c r="HH41" s="209"/>
      <c r="HI41" s="209"/>
      <c r="HJ41" s="209"/>
      <c r="HK41" s="209"/>
      <c r="HL41" s="209"/>
      <c r="HM41" s="209"/>
      <c r="HN41" s="209"/>
      <c r="HO41" s="209"/>
      <c r="HP41" s="209"/>
      <c r="HQ41" s="209"/>
      <c r="HR41" s="209"/>
      <c r="HS41" s="209"/>
      <c r="HT41" s="209"/>
      <c r="HU41" s="209"/>
      <c r="HV41" s="209"/>
      <c r="HW41" s="209"/>
      <c r="HX41" s="209"/>
      <c r="HY41" s="209"/>
      <c r="HZ41" s="209"/>
      <c r="IA41" s="209"/>
      <c r="IB41" s="209"/>
      <c r="IC41" s="209"/>
      <c r="ID41" s="209"/>
      <c r="IE41" s="209"/>
      <c r="IF41" s="209"/>
      <c r="IG41" s="209"/>
      <c r="IH41" s="209"/>
      <c r="II41" s="209"/>
      <c r="IJ41" s="209"/>
      <c r="IK41" s="209"/>
      <c r="IL41" s="209"/>
      <c r="IM41" s="209"/>
      <c r="IN41" s="209"/>
      <c r="IO41" s="209"/>
      <c r="IP41" s="209"/>
      <c r="IQ41" s="209"/>
      <c r="IR41" s="209"/>
      <c r="IS41" s="209"/>
      <c r="IT41" s="209"/>
      <c r="IU41" s="209"/>
      <c r="IV41" s="209"/>
      <c r="IW41" s="209"/>
      <c r="IX41" s="209"/>
    </row>
    <row r="42" s="209" customFormat="true" ht="17.4" hidden="false" customHeight="false" outlineLevel="0" collapsed="false">
      <c r="A42" s="315"/>
      <c r="B42" s="30"/>
      <c r="C42" s="30"/>
      <c r="D42" s="85" t="s">
        <v>134</v>
      </c>
      <c r="E42" s="217" t="n">
        <f aca="false">IF(AND($F$2="No",$F$3="No"),SUM(J42:K42),IF(AND($F$2="Yes", $F$3="No"), SUM(J42:K42)+Q42, IF(AND($F$2="No", $F$3="Yes"),SUM(J42:K42)+P42, SUM(J42:K42)+Q42+P42)))</f>
        <v>0</v>
      </c>
      <c r="F42" s="89" t="n">
        <f aca="false">IF(AND($F$2="No",$F$3="No"),SUM(H42:O42),IF(AND($F$2="Yes", $F$3="No"), SUM(H42:O42)+Q42, IF(AND($F$2="No", $F$3="Yes"),SUM(H42:O42)+P42, SUM(H42:O42)+Q42+P42)))</f>
        <v>0.503002223127256</v>
      </c>
      <c r="G42" s="88" t="n">
        <f aca="false">SUM(S42:U42)/(1-'Common input data'!$B$121)</f>
        <v>0.69578973997763</v>
      </c>
      <c r="H42" s="89" t="n">
        <f aca="false">('Input data plant-based products'!$F$29*('Common input data'!$B$76*'Common input data'!B69+'Common input data'!$B$77*'Common input data'!C69))/'Input data plant-based products'!$E$29</f>
        <v>0.00828120481546908</v>
      </c>
      <c r="I42" s="89" t="n">
        <f aca="false">'Common input data'!$B$81</f>
        <v>0.03</v>
      </c>
      <c r="J42" s="89" t="n">
        <v>0</v>
      </c>
      <c r="K42" s="89" t="n">
        <v>0</v>
      </c>
      <c r="L42" s="89" t="n">
        <v>0</v>
      </c>
      <c r="M42" s="89" t="n">
        <f aca="false">'Input data plant-based products'!M141/'Input data plant-based products'!E$29</f>
        <v>0.464721018311787</v>
      </c>
      <c r="N42" s="89" t="n">
        <v>0</v>
      </c>
      <c r="O42" s="89" t="n">
        <v>0</v>
      </c>
      <c r="P42" s="89" t="n">
        <v>0</v>
      </c>
      <c r="Q42" s="89" t="n">
        <v>0</v>
      </c>
      <c r="R42" s="89" t="n">
        <v>0</v>
      </c>
      <c r="S42" s="89" t="n">
        <f aca="false">(F42+R42)</f>
        <v>0.503002223127256</v>
      </c>
      <c r="T42" s="89" t="n">
        <f aca="false">'Common input data'!$B$88</f>
        <v>0.05</v>
      </c>
      <c r="U42" s="89" t="n">
        <f aca="false">'Common input data'!C$98</f>
        <v>0.03</v>
      </c>
      <c r="V42" s="309"/>
      <c r="W42" s="92"/>
      <c r="Z42" s="30"/>
    </row>
    <row r="43" s="209" customFormat="true" ht="17.4" hidden="false" customHeight="false" outlineLevel="0" collapsed="false">
      <c r="A43" s="315"/>
      <c r="B43" s="30"/>
      <c r="C43" s="93"/>
      <c r="D43" s="85" t="s">
        <v>135</v>
      </c>
      <c r="E43" s="217" t="n">
        <f aca="false">SUM(J43:K43)</f>
        <v>0</v>
      </c>
      <c r="F43" s="89" t="n">
        <f aca="false">SUM(H43:O43)</f>
        <v>0.00136601936163678</v>
      </c>
      <c r="G43" s="88" t="n">
        <f aca="false">SUM(S43:U43)/(1-'Common input data'!$B$121)</f>
        <v>0.00163028924888027</v>
      </c>
      <c r="H43" s="89" t="n">
        <f aca="false">('Input data plant-based products'!$F$29*('Common input data'!$B$76*'Common input data'!B70+'Common input data'!$B$77*'Common input data'!C70))/'Input data plant-based products'!$E$29</f>
        <v>2.217072E-011</v>
      </c>
      <c r="I43" s="89" t="n">
        <v>0</v>
      </c>
      <c r="J43" s="89" t="n">
        <v>0</v>
      </c>
      <c r="K43" s="89" t="n">
        <v>0</v>
      </c>
      <c r="L43" s="89" t="n">
        <v>0</v>
      </c>
      <c r="M43" s="89" t="n">
        <f aca="false">'Input data plant-based products'!N141/'Input data plant-based products'!E$29</f>
        <v>0.00136601933946606</v>
      </c>
      <c r="N43" s="89" t="n">
        <v>0</v>
      </c>
      <c r="O43" s="89" t="n">
        <v>0</v>
      </c>
      <c r="P43" s="89" t="n">
        <v>0</v>
      </c>
      <c r="Q43" s="89" t="n">
        <v>0</v>
      </c>
      <c r="R43" s="89" t="n">
        <v>0</v>
      </c>
      <c r="S43" s="89" t="n">
        <f aca="false">(F43+R43)</f>
        <v>0.00136601936163678</v>
      </c>
      <c r="T43" s="89" t="n">
        <v>0</v>
      </c>
      <c r="U43" s="89" t="n">
        <v>0</v>
      </c>
      <c r="V43" s="309"/>
      <c r="W43" s="92"/>
      <c r="Z43" s="30"/>
    </row>
    <row r="44" s="209" customFormat="true" ht="17.4" hidden="false" customHeight="false" outlineLevel="0" collapsed="false">
      <c r="A44" s="74"/>
      <c r="B44" s="30"/>
      <c r="C44" s="87"/>
      <c r="D44" s="31" t="s">
        <v>136</v>
      </c>
      <c r="E44" s="217" t="n">
        <f aca="false">SUM(J44:K44)</f>
        <v>5.43981428571429E-005</v>
      </c>
      <c r="F44" s="89" t="n">
        <f aca="false">SUM(H44:O44)</f>
        <v>0.000111575710785034</v>
      </c>
      <c r="G44" s="88" t="n">
        <f aca="false">SUM(S44:U44)/(1-'Common input data'!$B$121)</f>
        <v>0.000133161129949915</v>
      </c>
      <c r="H44" s="89" t="n">
        <f aca="false">('Input data plant-based products'!$F$29*('Common input data'!$B$76*'Common input data'!B71+'Common input data'!$B$77*'Common input data'!C71))/'Input data plant-based products'!$E$29</f>
        <v>3.36357687254788E-005</v>
      </c>
      <c r="I44" s="89" t="n">
        <v>0</v>
      </c>
      <c r="J44" s="89" t="n">
        <f aca="false">(SUM('Input data plant-based products'!F29:H29)*'Input data plant-based products'!$B$114*44/28)/'Input data plant-based products'!E29</f>
        <v>5.18571428571429E-005</v>
      </c>
      <c r="K44" s="89" t="n">
        <f aca="false">J44*'Input data plant-based products'!$B$115*(1-'Input data plant-based products'!L141)</f>
        <v>2.541E-006</v>
      </c>
      <c r="L44" s="89" t="n">
        <v>0</v>
      </c>
      <c r="M44" s="89" t="n">
        <f aca="false">'Input data plant-based products'!O141/'Input data plant-based products'!E$29</f>
        <v>2.35417992024119E-005</v>
      </c>
      <c r="N44" s="89" t="n">
        <v>0</v>
      </c>
      <c r="O44" s="89" t="n">
        <v>0</v>
      </c>
      <c r="P44" s="89" t="n">
        <v>0</v>
      </c>
      <c r="Q44" s="89" t="n">
        <v>0</v>
      </c>
      <c r="R44" s="89" t="n">
        <v>0</v>
      </c>
      <c r="S44" s="89" t="n">
        <f aca="false">(F44+R44)</f>
        <v>0.000111575710785034</v>
      </c>
      <c r="T44" s="89" t="n">
        <v>0</v>
      </c>
      <c r="U44" s="89" t="n">
        <v>0</v>
      </c>
      <c r="V44" s="309"/>
      <c r="W44" s="92"/>
      <c r="Z44" s="30"/>
    </row>
    <row r="45" s="332" customFormat="true" ht="17.4" hidden="false" customHeight="false" outlineLevel="0" collapsed="false">
      <c r="A45" s="330" t="s">
        <v>137</v>
      </c>
      <c r="B45" s="331" t="s">
        <v>254</v>
      </c>
      <c r="C45" s="331" t="n">
        <f aca="false">'Input data plant-based products'!D30</f>
        <v>0.12</v>
      </c>
      <c r="D45" s="78" t="s">
        <v>133</v>
      </c>
      <c r="E45" s="94" t="n">
        <f aca="false">IF($F$1="GWP100 without fb",E46+E47*'Common input data'!$C$5+E48*'Common input data'!$D$5,IF($F$1="GWP100 with fb",E46+E47*'Common input data'!$C$6+E48*'Common input data'!$D$6,IF($F$1="GTP100 without fb",E46+E47*'Common input data'!$C$7+E48*'Common input data'!$D$7,IF($F$1="GTP100 with fb",E46+E47*'Common input data'!$C$8+E48*'Common input data'!$D$8,E46+E47*'Common input data'!$C$9+E48*'Common input data'!$D$9))))</f>
        <v>0.0635866270990115</v>
      </c>
      <c r="F45" s="95" t="n">
        <f aca="false">IF($F$1="GWP100 without fb",F46+F47*'Common input data'!$C$5+F48*'Common input data'!$D$5,IF($F$1="GWP100 with fb",F46+F47*'Common input data'!$C$6+F48*'Common input data'!$D$6,IF($F$1="GTP100 without fb",F46+F47*'Common input data'!$C$7+F48*'Common input data'!$D$7,IF($F$1="GTP100 with fb",F46+F47*'Common input data'!$C$8+F48*'Common input data'!$D$8,F46+F47*'Common input data'!$C$9+F48*'Common input data'!$D$9))))</f>
        <v>0.133303053869478</v>
      </c>
      <c r="G45" s="96" t="n">
        <f aca="false">IF($F$1="GWP100 without fb",G46+G47*'Common input data'!$C$5+G48*'Common input data'!$D$5,IF($F$1="GWP100 with fb",G46+G47*'Common input data'!$C$6+G48*'Common input data'!$D$6,IF($F$1="GTP100 without fb",G46+G47*'Common input data'!$C$7+G48*'Common input data'!$D$7,IF($F$1="GTP100 with fb",G46+G47*'Common input data'!$C$8+G48*'Common input data'!$D$8,G46+G47*'Common input data'!$C$9+G48*'Common input data'!$D$9))))</f>
        <v>0.254568628558871</v>
      </c>
      <c r="H45" s="83"/>
      <c r="I45" s="83"/>
      <c r="J45" s="83"/>
      <c r="K45" s="83"/>
      <c r="L45" s="83"/>
      <c r="M45" s="83"/>
      <c r="N45" s="83"/>
      <c r="O45" s="83"/>
      <c r="P45" s="83"/>
      <c r="Q45" s="83"/>
      <c r="R45" s="83"/>
      <c r="S45" s="83"/>
      <c r="T45" s="83"/>
      <c r="U45" s="83"/>
      <c r="V45" s="309"/>
      <c r="W45" s="92"/>
      <c r="X45" s="209"/>
      <c r="Y45" s="209"/>
      <c r="Z45" s="30"/>
      <c r="AA45" s="209"/>
      <c r="AB45" s="209"/>
      <c r="AC45" s="209"/>
      <c r="AD45" s="209"/>
      <c r="AE45" s="209"/>
      <c r="AF45" s="209"/>
      <c r="AG45" s="209"/>
      <c r="AH45" s="209"/>
      <c r="AI45" s="209"/>
      <c r="AJ45" s="209"/>
      <c r="AK45" s="209"/>
      <c r="AL45" s="209"/>
      <c r="AM45" s="209"/>
      <c r="AN45" s="209"/>
      <c r="AO45" s="209"/>
      <c r="AP45" s="209"/>
      <c r="AQ45" s="209"/>
      <c r="AR45" s="209"/>
      <c r="AS45" s="209"/>
      <c r="AT45" s="209"/>
      <c r="AU45" s="209"/>
      <c r="AV45" s="209"/>
      <c r="AW45" s="209"/>
      <c r="AX45" s="209"/>
      <c r="AY45" s="209"/>
      <c r="AZ45" s="209"/>
      <c r="BA45" s="209"/>
      <c r="BB45" s="209"/>
      <c r="BC45" s="209"/>
      <c r="BD45" s="209"/>
      <c r="BE45" s="209"/>
      <c r="BF45" s="209"/>
      <c r="BG45" s="209"/>
      <c r="BH45" s="209"/>
      <c r="BI45" s="209"/>
      <c r="BJ45" s="209"/>
      <c r="BK45" s="209"/>
      <c r="BL45" s="209"/>
      <c r="BM45" s="209"/>
      <c r="BN45" s="209"/>
      <c r="BO45" s="209"/>
      <c r="BP45" s="209"/>
      <c r="BQ45" s="209"/>
      <c r="BR45" s="209"/>
      <c r="BS45" s="209"/>
      <c r="BT45" s="209"/>
      <c r="BU45" s="209"/>
      <c r="BV45" s="209"/>
      <c r="BW45" s="209"/>
      <c r="BX45" s="209"/>
      <c r="BY45" s="209"/>
      <c r="BZ45" s="209"/>
      <c r="CA45" s="209"/>
      <c r="CB45" s="209"/>
      <c r="CC45" s="209"/>
      <c r="CD45" s="209"/>
      <c r="CE45" s="209"/>
      <c r="CF45" s="209"/>
      <c r="CG45" s="209"/>
      <c r="CH45" s="209"/>
      <c r="CI45" s="209"/>
      <c r="CJ45" s="209"/>
      <c r="CK45" s="209"/>
      <c r="CL45" s="209"/>
      <c r="CM45" s="209"/>
      <c r="CN45" s="209"/>
      <c r="CO45" s="209"/>
      <c r="CP45" s="209"/>
      <c r="CQ45" s="209"/>
      <c r="CR45" s="209"/>
      <c r="CS45" s="209"/>
      <c r="CT45" s="209"/>
      <c r="CU45" s="209"/>
      <c r="CV45" s="209"/>
      <c r="CW45" s="209"/>
      <c r="CX45" s="209"/>
      <c r="CY45" s="209"/>
      <c r="CZ45" s="209"/>
      <c r="DA45" s="209"/>
      <c r="DB45" s="209"/>
      <c r="DC45" s="209"/>
      <c r="DD45" s="209"/>
      <c r="DE45" s="209"/>
      <c r="DF45" s="209"/>
      <c r="DG45" s="209"/>
      <c r="DH45" s="209"/>
      <c r="DI45" s="209"/>
      <c r="DJ45" s="209"/>
      <c r="DK45" s="209"/>
      <c r="DL45" s="209"/>
      <c r="DM45" s="209"/>
      <c r="DN45" s="209"/>
      <c r="DO45" s="209"/>
      <c r="DP45" s="209"/>
      <c r="DQ45" s="209"/>
      <c r="DR45" s="209"/>
      <c r="DS45" s="209"/>
      <c r="DT45" s="209"/>
      <c r="DU45" s="209"/>
      <c r="DV45" s="209"/>
      <c r="DW45" s="209"/>
      <c r="DX45" s="209"/>
      <c r="DY45" s="209"/>
      <c r="DZ45" s="209"/>
      <c r="EA45" s="209"/>
      <c r="EB45" s="209"/>
      <c r="EC45" s="209"/>
      <c r="ED45" s="209"/>
      <c r="EE45" s="209"/>
      <c r="EF45" s="209"/>
      <c r="EG45" s="209"/>
      <c r="EH45" s="209"/>
      <c r="EI45" s="209"/>
      <c r="EJ45" s="209"/>
      <c r="EK45" s="209"/>
      <c r="EL45" s="209"/>
      <c r="EM45" s="209"/>
      <c r="EN45" s="209"/>
      <c r="EO45" s="209"/>
      <c r="EP45" s="209"/>
      <c r="EQ45" s="209"/>
      <c r="ER45" s="209"/>
      <c r="ES45" s="209"/>
      <c r="ET45" s="209"/>
      <c r="EU45" s="209"/>
      <c r="EV45" s="209"/>
      <c r="EW45" s="209"/>
      <c r="EX45" s="209"/>
      <c r="EY45" s="209"/>
      <c r="EZ45" s="209"/>
      <c r="FA45" s="209"/>
      <c r="FB45" s="209"/>
      <c r="FC45" s="209"/>
      <c r="FD45" s="209"/>
      <c r="FE45" s="209"/>
      <c r="FF45" s="209"/>
      <c r="FG45" s="209"/>
      <c r="FH45" s="209"/>
      <c r="FI45" s="209"/>
      <c r="FJ45" s="209"/>
      <c r="FK45" s="209"/>
      <c r="FL45" s="209"/>
      <c r="FM45" s="209"/>
      <c r="FN45" s="209"/>
      <c r="FO45" s="209"/>
      <c r="FP45" s="209"/>
      <c r="FQ45" s="209"/>
      <c r="FR45" s="209"/>
      <c r="FS45" s="209"/>
      <c r="FT45" s="209"/>
      <c r="FU45" s="209"/>
      <c r="FV45" s="209"/>
      <c r="FW45" s="209"/>
      <c r="FX45" s="209"/>
      <c r="FY45" s="209"/>
      <c r="FZ45" s="209"/>
      <c r="GA45" s="209"/>
      <c r="GB45" s="209"/>
      <c r="GC45" s="209"/>
      <c r="GD45" s="209"/>
      <c r="GE45" s="209"/>
      <c r="GF45" s="209"/>
      <c r="GG45" s="209"/>
      <c r="GH45" s="209"/>
      <c r="GI45" s="209"/>
      <c r="GJ45" s="209"/>
      <c r="GK45" s="209"/>
      <c r="GL45" s="209"/>
      <c r="GM45" s="209"/>
      <c r="GN45" s="209"/>
      <c r="GO45" s="209"/>
      <c r="GP45" s="209"/>
      <c r="GQ45" s="209"/>
      <c r="GR45" s="209"/>
      <c r="GS45" s="209"/>
      <c r="GT45" s="209"/>
      <c r="GU45" s="209"/>
      <c r="GV45" s="209"/>
      <c r="GW45" s="209"/>
      <c r="GX45" s="209"/>
      <c r="GY45" s="209"/>
      <c r="GZ45" s="209"/>
      <c r="HA45" s="209"/>
      <c r="HB45" s="209"/>
      <c r="HC45" s="209"/>
      <c r="HD45" s="209"/>
      <c r="HE45" s="209"/>
      <c r="HF45" s="209"/>
      <c r="HG45" s="209"/>
      <c r="HH45" s="209"/>
      <c r="HI45" s="209"/>
      <c r="HJ45" s="209"/>
      <c r="HK45" s="209"/>
      <c r="HL45" s="209"/>
      <c r="HM45" s="209"/>
      <c r="HN45" s="209"/>
      <c r="HO45" s="209"/>
      <c r="HP45" s="209"/>
      <c r="HQ45" s="209"/>
      <c r="HR45" s="209"/>
      <c r="HS45" s="209"/>
      <c r="HT45" s="209"/>
      <c r="HU45" s="209"/>
      <c r="HV45" s="209"/>
      <c r="HW45" s="209"/>
      <c r="HX45" s="209"/>
      <c r="HY45" s="209"/>
      <c r="HZ45" s="209"/>
      <c r="IA45" s="209"/>
      <c r="IB45" s="209"/>
      <c r="IC45" s="209"/>
      <c r="ID45" s="209"/>
      <c r="IE45" s="209"/>
      <c r="IF45" s="209"/>
      <c r="IG45" s="209"/>
      <c r="IH45" s="209"/>
      <c r="II45" s="209"/>
      <c r="IJ45" s="209"/>
      <c r="IK45" s="209"/>
      <c r="IL45" s="209"/>
      <c r="IM45" s="209"/>
      <c r="IN45" s="209"/>
      <c r="IO45" s="209"/>
      <c r="IP45" s="209"/>
      <c r="IQ45" s="209"/>
      <c r="IR45" s="209"/>
      <c r="IS45" s="209"/>
      <c r="IT45" s="209"/>
      <c r="IU45" s="209"/>
      <c r="IV45" s="209"/>
      <c r="IW45" s="209"/>
      <c r="IX45" s="209"/>
    </row>
    <row r="46" s="209" customFormat="true" ht="17.4" hidden="false" customHeight="false" outlineLevel="0" collapsed="false">
      <c r="A46" s="315"/>
      <c r="B46" s="30"/>
      <c r="C46" s="30"/>
      <c r="D46" s="85" t="s">
        <v>134</v>
      </c>
      <c r="E46" s="217" t="n">
        <f aca="false">IF(AND($F$2="No",$F$3="No"),SUM(J46:K46),IF(AND($F$2="Yes", $F$3="No"), SUM(J46:K46)+Q46, IF(AND($F$2="No", $F$3="Yes"),SUM(J46:K46)+P46, SUM(J46:K46)+Q46+P46)))</f>
        <v>0.0399894869629571</v>
      </c>
      <c r="F46" s="89" t="n">
        <f aca="false">IF(AND($F$2="No",$F$3="No"),SUM(H46:O46),IF(AND($F$2="Yes", $F$3="No"), SUM(H46:O46)+Q46, IF(AND($F$2="No", $F$3="Yes"),SUM(H46:O46)+P46, SUM(H46:O46)+Q46+P46)))</f>
        <v>0.102327201259832</v>
      </c>
      <c r="G46" s="88" t="n">
        <f aca="false">SUM(S46:U46)/(1-'Common input data'!$B$121)</f>
        <v>0.217600192457134</v>
      </c>
      <c r="H46" s="89" t="n">
        <f aca="false">('Input data plant-based products'!$F$30*('Common input data'!$B$76*'Common input data'!B69+'Common input data'!$B$77*'Common input data'!C69))/'Input data plant-based products'!$E$30</f>
        <v>0.00597489524925619</v>
      </c>
      <c r="I46" s="89" t="n">
        <f aca="false">'Common input data'!$B$81</f>
        <v>0.03</v>
      </c>
      <c r="J46" s="89" t="n">
        <v>0</v>
      </c>
      <c r="K46" s="89" t="n">
        <v>0</v>
      </c>
      <c r="L46" s="89" t="n">
        <f aca="false">('Input data plant-based products'!$I$30*'Common input data'!$C$59*'Common input data'!H49)/'Input data plant-based products'!$E$30</f>
        <v>0.00636281904761905</v>
      </c>
      <c r="M46" s="89" t="n">
        <v>0</v>
      </c>
      <c r="N46" s="89" t="n">
        <f aca="false">'Input data plant-based products'!G$152</f>
        <v>0.02</v>
      </c>
      <c r="O46" s="89" t="n">
        <v>0</v>
      </c>
      <c r="P46" s="89" t="n">
        <f aca="false">'Common input data'!E$13</f>
        <v>0.0399894869629571</v>
      </c>
      <c r="Q46" s="89" t="n">
        <v>0</v>
      </c>
      <c r="R46" s="89" t="n">
        <v>0</v>
      </c>
      <c r="S46" s="89" t="n">
        <f aca="false">(F46+R46)</f>
        <v>0.102327201259832</v>
      </c>
      <c r="T46" s="89" t="n">
        <f aca="false">'Common input data'!$B$88</f>
        <v>0.05</v>
      </c>
      <c r="U46" s="89" t="n">
        <f aca="false">'Common input data'!C$98</f>
        <v>0.03</v>
      </c>
      <c r="V46" s="309"/>
      <c r="W46" s="92"/>
      <c r="Z46" s="30"/>
    </row>
    <row r="47" s="209" customFormat="true" ht="17.4" hidden="false" customHeight="false" outlineLevel="0" collapsed="false">
      <c r="A47" s="315"/>
      <c r="B47" s="30"/>
      <c r="C47" s="93"/>
      <c r="D47" s="85" t="s">
        <v>135</v>
      </c>
      <c r="E47" s="217" t="n">
        <f aca="false">SUM(J47:K47)</f>
        <v>0</v>
      </c>
      <c r="F47" s="89" t="n">
        <f aca="false">SUM(H47:O47)</f>
        <v>2.81853028190476E-006</v>
      </c>
      <c r="G47" s="88" t="n">
        <f aca="false">SUM(S47:U47)/(1-'Common input data'!$B$121)</f>
        <v>3.3638026994925E-006</v>
      </c>
      <c r="H47" s="89" t="n">
        <f aca="false">('Input data plant-based products'!$F$30*('Common input data'!$B$76*'Common input data'!B70+'Common input data'!$B$77*'Common input data'!C70))/'Input data plant-based products'!$E$30</f>
        <v>1.59961904761905E-011</v>
      </c>
      <c r="I47" s="89" t="n">
        <v>0</v>
      </c>
      <c r="J47" s="89" t="n">
        <v>0</v>
      </c>
      <c r="K47" s="89" t="n">
        <v>0</v>
      </c>
      <c r="L47" s="89" t="n">
        <f aca="false">('Input data plant-based products'!$I$30*'Common input data'!$C$59*'Common input data'!H50)/'Input data plant-based products'!$E$30</f>
        <v>2.81851428571429E-006</v>
      </c>
      <c r="M47" s="89" t="n">
        <v>0</v>
      </c>
      <c r="N47" s="89" t="n">
        <v>0</v>
      </c>
      <c r="O47" s="89" t="n">
        <v>0</v>
      </c>
      <c r="P47" s="89" t="n">
        <v>0</v>
      </c>
      <c r="Q47" s="89" t="n">
        <v>0</v>
      </c>
      <c r="R47" s="89" t="n">
        <v>0</v>
      </c>
      <c r="S47" s="89" t="n">
        <f aca="false">(F47+R47)</f>
        <v>2.81853028190476E-006</v>
      </c>
      <c r="T47" s="89" t="n">
        <v>0</v>
      </c>
      <c r="U47" s="89" t="n">
        <v>0</v>
      </c>
      <c r="V47" s="309"/>
      <c r="W47" s="92"/>
      <c r="Z47" s="30"/>
    </row>
    <row r="48" s="209" customFormat="true" ht="17.4" hidden="false" customHeight="false" outlineLevel="0" collapsed="false">
      <c r="A48" s="74"/>
      <c r="B48" s="30"/>
      <c r="C48" s="87"/>
      <c r="D48" s="31" t="s">
        <v>136</v>
      </c>
      <c r="E48" s="217" t="n">
        <f aca="false">SUM(J48:K48)</f>
        <v>7.91850340136054E-005</v>
      </c>
      <c r="F48" s="89" t="n">
        <f aca="false">SUM(H48:O48)</f>
        <v>0.000103624236845841</v>
      </c>
      <c r="G48" s="88" t="n">
        <f aca="false">SUM(S48:U48)/(1-'Common input data'!$B$121)</f>
        <v>0.000123671365134075</v>
      </c>
      <c r="H48" s="89" t="n">
        <f aca="false">('Input data plant-based products'!$F$30*('Common input data'!$B$76*'Common input data'!B71+'Common input data'!$B$77*'Common input data'!C71))/'Input data plant-based products'!$E$30</f>
        <v>2.42682314036644E-005</v>
      </c>
      <c r="I48" s="89" t="n">
        <v>0</v>
      </c>
      <c r="J48" s="89" t="n">
        <f aca="false">(SUM('Input data plant-based products'!F30:H30)*'Input data plant-based products'!$B$114*44/28)/'Input data plant-based products'!E30</f>
        <v>7.19863945578231E-005</v>
      </c>
      <c r="K48" s="89" t="n">
        <f aca="false">J48*'Input data plant-based products'!$B$115</f>
        <v>7.19863945578231E-006</v>
      </c>
      <c r="L48" s="89" t="n">
        <f aca="false">('Input data plant-based products'!$I$30*'Common input data'!$C$59*'Common input data'!H51)/'Input data plant-based products'!$E$30</f>
        <v>1.70971428571429E-007</v>
      </c>
      <c r="M48" s="89" t="n">
        <v>0</v>
      </c>
      <c r="N48" s="89" t="n">
        <v>0</v>
      </c>
      <c r="O48" s="89" t="n">
        <v>0</v>
      </c>
      <c r="P48" s="89" t="n">
        <v>0</v>
      </c>
      <c r="Q48" s="89" t="n">
        <v>0</v>
      </c>
      <c r="R48" s="89" t="n">
        <v>0</v>
      </c>
      <c r="S48" s="89" t="n">
        <f aca="false">(F48+R48)</f>
        <v>0.000103624236845841</v>
      </c>
      <c r="T48" s="89" t="n">
        <v>0</v>
      </c>
      <c r="U48" s="89" t="n">
        <v>0</v>
      </c>
      <c r="V48" s="309"/>
      <c r="W48" s="92"/>
      <c r="Z48" s="30"/>
    </row>
    <row r="49" s="332" customFormat="true" ht="17.4" hidden="false" customHeight="false" outlineLevel="0" collapsed="false">
      <c r="A49" s="330" t="s">
        <v>187</v>
      </c>
      <c r="B49" s="331" t="s">
        <v>291</v>
      </c>
      <c r="C49" s="331" t="n">
        <f aca="false">'Input data plant-based products'!D31</f>
        <v>0.17</v>
      </c>
      <c r="D49" s="78" t="s">
        <v>133</v>
      </c>
      <c r="E49" s="94" t="n">
        <f aca="false">IF($F$1="GWP100 without fb",E50+E51*'Common input data'!$C$5+E52*'Common input data'!$D$5,IF($F$1="GWP100 with fb",E50+E51*'Common input data'!$C$6+E52*'Common input data'!$D$6,IF($F$1="GTP100 without fb",E50+E51*'Common input data'!$C$7+E52*'Common input data'!$D$7,IF($F$1="GTP100 with fb",E50+E51*'Common input data'!$C$8+E52*'Common input data'!$D$8,E50+E51*'Common input data'!$C$9+E52*'Common input data'!$D$9))))</f>
        <v>0.00561852409245811</v>
      </c>
      <c r="F49" s="95" t="n">
        <f aca="false">IF($F$1="GWP100 without fb",F50+F51*'Common input data'!$C$5+F52*'Common input data'!$D$5,IF($F$1="GWP100 with fb",F50+F51*'Common input data'!$C$6+F52*'Common input data'!$D$6,IF($F$1="GTP100 without fb",F50+F51*'Common input data'!$C$7+F52*'Common input data'!$D$7,IF($F$1="GTP100 with fb",F50+F51*'Common input data'!$C$8+F52*'Common input data'!$D$8,F50+F51*'Common input data'!$C$9+F52*'Common input data'!$D$9))))</f>
        <v>1.11431335422427</v>
      </c>
      <c r="G49" s="96" t="n">
        <f aca="false">IF($F$1="GWP100 without fb",G50+G51*'Common input data'!$C$5+G52*'Common input data'!$D$5,IF($F$1="GWP100 with fb",G50+G51*'Common input data'!$C$6+G52*'Common input data'!$D$6,IF($F$1="GTP100 without fb",G50+G51*'Common input data'!$C$7+G52*'Common input data'!$D$7,IF($F$1="GTP100 with fb",G50+G51*'Common input data'!$C$8+G52*'Common input data'!$D$8,G50+G51*'Common input data'!$C$9+G52*'Common input data'!$D$9))))</f>
        <v>1.54471100874123</v>
      </c>
      <c r="H49" s="83"/>
      <c r="I49" s="83"/>
      <c r="J49" s="83"/>
      <c r="K49" s="83"/>
      <c r="L49" s="83"/>
      <c r="M49" s="83"/>
      <c r="N49" s="83"/>
      <c r="O49" s="83"/>
      <c r="P49" s="83"/>
      <c r="Q49" s="83"/>
      <c r="R49" s="83"/>
      <c r="S49" s="83"/>
      <c r="T49" s="83"/>
      <c r="U49" s="83"/>
      <c r="V49" s="309"/>
      <c r="W49" s="92"/>
      <c r="X49" s="209"/>
      <c r="Y49" s="209"/>
      <c r="Z49" s="30"/>
      <c r="AA49" s="209"/>
      <c r="AB49" s="209"/>
      <c r="AC49" s="209"/>
      <c r="AD49" s="209"/>
      <c r="AE49" s="209"/>
      <c r="AF49" s="209"/>
      <c r="AG49" s="209"/>
      <c r="AH49" s="209"/>
      <c r="AI49" s="209"/>
      <c r="AJ49" s="209"/>
      <c r="AK49" s="209"/>
      <c r="AL49" s="209"/>
      <c r="AM49" s="209"/>
      <c r="AN49" s="209"/>
      <c r="AO49" s="209"/>
      <c r="AP49" s="209"/>
      <c r="AQ49" s="209"/>
      <c r="AR49" s="209"/>
      <c r="AS49" s="209"/>
      <c r="AT49" s="209"/>
      <c r="AU49" s="209"/>
      <c r="AV49" s="209"/>
      <c r="AW49" s="209"/>
      <c r="AX49" s="209"/>
      <c r="AY49" s="209"/>
      <c r="AZ49" s="209"/>
      <c r="BA49" s="209"/>
      <c r="BB49" s="209"/>
      <c r="BC49" s="209"/>
      <c r="BD49" s="209"/>
      <c r="BE49" s="209"/>
      <c r="BF49" s="209"/>
      <c r="BG49" s="209"/>
      <c r="BH49" s="209"/>
      <c r="BI49" s="209"/>
      <c r="BJ49" s="209"/>
      <c r="BK49" s="209"/>
      <c r="BL49" s="209"/>
      <c r="BM49" s="209"/>
      <c r="BN49" s="209"/>
      <c r="BO49" s="209"/>
      <c r="BP49" s="209"/>
      <c r="BQ49" s="209"/>
      <c r="BR49" s="209"/>
      <c r="BS49" s="209"/>
      <c r="BT49" s="209"/>
      <c r="BU49" s="209"/>
      <c r="BV49" s="209"/>
      <c r="BW49" s="209"/>
      <c r="BX49" s="209"/>
      <c r="BY49" s="209"/>
      <c r="BZ49" s="209"/>
      <c r="CA49" s="209"/>
      <c r="CB49" s="209"/>
      <c r="CC49" s="209"/>
      <c r="CD49" s="209"/>
      <c r="CE49" s="209"/>
      <c r="CF49" s="209"/>
      <c r="CG49" s="209"/>
      <c r="CH49" s="209"/>
      <c r="CI49" s="209"/>
      <c r="CJ49" s="209"/>
      <c r="CK49" s="209"/>
      <c r="CL49" s="209"/>
      <c r="CM49" s="209"/>
      <c r="CN49" s="209"/>
      <c r="CO49" s="209"/>
      <c r="CP49" s="209"/>
      <c r="CQ49" s="209"/>
      <c r="CR49" s="209"/>
      <c r="CS49" s="209"/>
      <c r="CT49" s="209"/>
      <c r="CU49" s="209"/>
      <c r="CV49" s="209"/>
      <c r="CW49" s="209"/>
      <c r="CX49" s="209"/>
      <c r="CY49" s="209"/>
      <c r="CZ49" s="209"/>
      <c r="DA49" s="209"/>
      <c r="DB49" s="209"/>
      <c r="DC49" s="209"/>
      <c r="DD49" s="209"/>
      <c r="DE49" s="209"/>
      <c r="DF49" s="209"/>
      <c r="DG49" s="209"/>
      <c r="DH49" s="209"/>
      <c r="DI49" s="209"/>
      <c r="DJ49" s="209"/>
      <c r="DK49" s="209"/>
      <c r="DL49" s="209"/>
      <c r="DM49" s="209"/>
      <c r="DN49" s="209"/>
      <c r="DO49" s="209"/>
      <c r="DP49" s="209"/>
      <c r="DQ49" s="209"/>
      <c r="DR49" s="209"/>
      <c r="DS49" s="209"/>
      <c r="DT49" s="209"/>
      <c r="DU49" s="209"/>
      <c r="DV49" s="209"/>
      <c r="DW49" s="209"/>
      <c r="DX49" s="209"/>
      <c r="DY49" s="209"/>
      <c r="DZ49" s="209"/>
      <c r="EA49" s="209"/>
      <c r="EB49" s="209"/>
      <c r="EC49" s="209"/>
      <c r="ED49" s="209"/>
      <c r="EE49" s="209"/>
      <c r="EF49" s="209"/>
      <c r="EG49" s="209"/>
      <c r="EH49" s="209"/>
      <c r="EI49" s="209"/>
      <c r="EJ49" s="209"/>
      <c r="EK49" s="209"/>
      <c r="EL49" s="209"/>
      <c r="EM49" s="209"/>
      <c r="EN49" s="209"/>
      <c r="EO49" s="209"/>
      <c r="EP49" s="209"/>
      <c r="EQ49" s="209"/>
      <c r="ER49" s="209"/>
      <c r="ES49" s="209"/>
      <c r="ET49" s="209"/>
      <c r="EU49" s="209"/>
      <c r="EV49" s="209"/>
      <c r="EW49" s="209"/>
      <c r="EX49" s="209"/>
      <c r="EY49" s="209"/>
      <c r="EZ49" s="209"/>
      <c r="FA49" s="209"/>
      <c r="FB49" s="209"/>
      <c r="FC49" s="209"/>
      <c r="FD49" s="209"/>
      <c r="FE49" s="209"/>
      <c r="FF49" s="209"/>
      <c r="FG49" s="209"/>
      <c r="FH49" s="209"/>
      <c r="FI49" s="209"/>
      <c r="FJ49" s="209"/>
      <c r="FK49" s="209"/>
      <c r="FL49" s="209"/>
      <c r="FM49" s="209"/>
      <c r="FN49" s="209"/>
      <c r="FO49" s="209"/>
      <c r="FP49" s="209"/>
      <c r="FQ49" s="209"/>
      <c r="FR49" s="209"/>
      <c r="FS49" s="209"/>
      <c r="FT49" s="209"/>
      <c r="FU49" s="209"/>
      <c r="FV49" s="209"/>
      <c r="FW49" s="209"/>
      <c r="FX49" s="209"/>
      <c r="FY49" s="209"/>
      <c r="FZ49" s="209"/>
      <c r="GA49" s="209"/>
      <c r="GB49" s="209"/>
      <c r="GC49" s="209"/>
      <c r="GD49" s="209"/>
      <c r="GE49" s="209"/>
      <c r="GF49" s="209"/>
      <c r="GG49" s="209"/>
      <c r="GH49" s="209"/>
      <c r="GI49" s="209"/>
      <c r="GJ49" s="209"/>
      <c r="GK49" s="209"/>
      <c r="GL49" s="209"/>
      <c r="GM49" s="209"/>
      <c r="GN49" s="209"/>
      <c r="GO49" s="209"/>
      <c r="GP49" s="209"/>
      <c r="GQ49" s="209"/>
      <c r="GR49" s="209"/>
      <c r="GS49" s="209"/>
      <c r="GT49" s="209"/>
      <c r="GU49" s="209"/>
      <c r="GV49" s="209"/>
      <c r="GW49" s="209"/>
      <c r="GX49" s="209"/>
      <c r="GY49" s="209"/>
      <c r="GZ49" s="209"/>
      <c r="HA49" s="209"/>
      <c r="HB49" s="209"/>
      <c r="HC49" s="209"/>
      <c r="HD49" s="209"/>
      <c r="HE49" s="209"/>
      <c r="HF49" s="209"/>
      <c r="HG49" s="209"/>
      <c r="HH49" s="209"/>
      <c r="HI49" s="209"/>
      <c r="HJ49" s="209"/>
      <c r="HK49" s="209"/>
      <c r="HL49" s="209"/>
      <c r="HM49" s="209"/>
      <c r="HN49" s="209"/>
      <c r="HO49" s="209"/>
      <c r="HP49" s="209"/>
      <c r="HQ49" s="209"/>
      <c r="HR49" s="209"/>
      <c r="HS49" s="209"/>
      <c r="HT49" s="209"/>
      <c r="HU49" s="209"/>
      <c r="HV49" s="209"/>
      <c r="HW49" s="209"/>
      <c r="HX49" s="209"/>
      <c r="HY49" s="209"/>
      <c r="HZ49" s="209"/>
      <c r="IA49" s="209"/>
      <c r="IB49" s="209"/>
      <c r="IC49" s="209"/>
      <c r="ID49" s="209"/>
      <c r="IE49" s="209"/>
      <c r="IF49" s="209"/>
      <c r="IG49" s="209"/>
      <c r="IH49" s="209"/>
      <c r="II49" s="209"/>
      <c r="IJ49" s="209"/>
      <c r="IK49" s="209"/>
      <c r="IL49" s="209"/>
      <c r="IM49" s="209"/>
      <c r="IN49" s="209"/>
      <c r="IO49" s="209"/>
      <c r="IP49" s="209"/>
      <c r="IQ49" s="209"/>
      <c r="IR49" s="209"/>
      <c r="IS49" s="209"/>
      <c r="IT49" s="209"/>
      <c r="IU49" s="209"/>
      <c r="IV49" s="209"/>
      <c r="IW49" s="209"/>
      <c r="IX49" s="209"/>
    </row>
    <row r="50" s="209" customFormat="true" ht="17.4" hidden="false" customHeight="false" outlineLevel="0" collapsed="false">
      <c r="A50" s="74"/>
      <c r="B50" s="30"/>
      <c r="C50" s="30"/>
      <c r="D50" s="85" t="s">
        <v>134</v>
      </c>
      <c r="E50" s="217" t="n">
        <f aca="false">IF(AND($F$2="No",$F$3="No"),SUM(J50:K50),IF(AND($F$2="Yes", $F$3="No"), SUM(J50:K50)+Q50, IF(AND($F$2="No", $F$3="Yes"),SUM(J50:K50)+P50, SUM(J50:K50)+Q50+P50)))</f>
        <v>0</v>
      </c>
      <c r="F50" s="89" t="n">
        <f aca="false">IF(AND($F$2="No",$F$3="No"),SUM(H50:O50),IF(AND($F$2="Yes", $F$3="No"), SUM(H50:O50)+Q50, IF(AND($F$2="No", $F$3="Yes"),SUM(H50:O50)+P50, SUM(H50:O50)+Q50+P50)))</f>
        <v>0.952891593588888</v>
      </c>
      <c r="G50" s="88" t="n">
        <f aca="false">SUM(S50:U50)/(1-'Common input data'!$B$121)</f>
        <v>1.35206062010847</v>
      </c>
      <c r="H50" s="87" t="n">
        <f aca="false">('Input data plant-based products'!$F$31*('Common input data'!$C$76*'Common input data'!B69+'Common input data'!$C$77*'Common input data'!C69))/'Input data plant-based products'!$E$31</f>
        <v>0.00319934257457306</v>
      </c>
      <c r="I50" s="89" t="n">
        <f aca="false">'Common input data'!$B$81</f>
        <v>0.03</v>
      </c>
      <c r="J50" s="87" t="n">
        <v>0</v>
      </c>
      <c r="K50" s="89" t="n">
        <v>0</v>
      </c>
      <c r="L50" s="87" t="n">
        <v>0</v>
      </c>
      <c r="M50" s="89" t="n">
        <f aca="false">'Input data plant-based products'!M142/'Input data plant-based products'!E$31*'Common input data'!D$34</f>
        <v>0.919692251014315</v>
      </c>
      <c r="N50" s="89" t="n">
        <v>0</v>
      </c>
      <c r="O50" s="89" t="n">
        <v>0</v>
      </c>
      <c r="P50" s="89" t="n">
        <v>0</v>
      </c>
      <c r="Q50" s="89" t="n">
        <v>0</v>
      </c>
      <c r="R50" s="89" t="n">
        <v>0</v>
      </c>
      <c r="S50" s="89" t="n">
        <f aca="false">(F50+R50)</f>
        <v>0.952891593588888</v>
      </c>
      <c r="T50" s="89" t="n">
        <f aca="false">'Common input data'!$B$88</f>
        <v>0.05</v>
      </c>
      <c r="U50" s="89" t="n">
        <f aca="false">'Common input data'!B99+'Common input data'!C99</f>
        <v>0.13</v>
      </c>
      <c r="V50" s="309"/>
      <c r="W50" s="92"/>
      <c r="Z50" s="30"/>
    </row>
    <row r="51" s="209" customFormat="true" ht="17.4" hidden="false" customHeight="false" outlineLevel="0" collapsed="false">
      <c r="A51" s="74"/>
      <c r="B51" s="333"/>
      <c r="C51" s="93"/>
      <c r="D51" s="85" t="s">
        <v>135</v>
      </c>
      <c r="E51" s="217" t="n">
        <f aca="false">SUM(J51:K51)</f>
        <v>0</v>
      </c>
      <c r="F51" s="89" t="n">
        <f aca="false">SUM(H51:O51)</f>
        <v>0.00415257960914579</v>
      </c>
      <c r="G51" s="88" t="n">
        <f aca="false">SUM(S51:U51)/(1-'Common input data'!$B$121)</f>
        <v>0.00495593699623558</v>
      </c>
      <c r="H51" s="87" t="n">
        <f aca="false">('Input data plant-based products'!$F$31*('Common input data'!$C$76*'Common input data'!B70+'Common input data'!$C$77*'Common input data'!C70))/'Input data plant-based products'!$E$31</f>
        <v>1.41063691341958E-011</v>
      </c>
      <c r="I51" s="89" t="n">
        <v>0</v>
      </c>
      <c r="J51" s="87" t="n">
        <v>0</v>
      </c>
      <c r="K51" s="89" t="n">
        <v>0</v>
      </c>
      <c r="L51" s="87" t="n">
        <v>0</v>
      </c>
      <c r="M51" s="89" t="n">
        <f aca="false">'Input data plant-based products'!N142/'Input data plant-based products'!E$31*'Common input data'!D$34</f>
        <v>0.00415257959503943</v>
      </c>
      <c r="N51" s="89" t="n">
        <v>0</v>
      </c>
      <c r="O51" s="89" t="n">
        <v>0</v>
      </c>
      <c r="P51" s="89" t="n">
        <v>0</v>
      </c>
      <c r="Q51" s="89" t="n">
        <v>0</v>
      </c>
      <c r="R51" s="89" t="n">
        <v>0</v>
      </c>
      <c r="S51" s="89" t="n">
        <f aca="false">(F51+R51)</f>
        <v>0.00415257960914579</v>
      </c>
      <c r="T51" s="89" t="n">
        <v>0</v>
      </c>
      <c r="U51" s="89" t="n">
        <v>0</v>
      </c>
      <c r="V51" s="309"/>
      <c r="W51" s="92"/>
      <c r="Z51" s="30"/>
    </row>
    <row r="52" s="209" customFormat="true" ht="17.4" hidden="false" customHeight="false" outlineLevel="0" collapsed="false">
      <c r="A52" s="74"/>
      <c r="B52" s="30"/>
      <c r="C52" s="87"/>
      <c r="D52" s="31" t="s">
        <v>136</v>
      </c>
      <c r="E52" s="217" t="n">
        <f aca="false">SUM(J52:K52)</f>
        <v>1.88541076928124E-005</v>
      </c>
      <c r="F52" s="89" t="n">
        <f aca="false">SUM(H52:O52)</f>
        <v>6.78995098135152E-005</v>
      </c>
      <c r="G52" s="88" t="n">
        <f aca="false">SUM(S52:U52)/(1-'Common input data'!$B$121)</f>
        <v>8.10353381233025E-005</v>
      </c>
      <c r="H52" s="87" t="n">
        <f aca="false">('Input data plant-based products'!$F$31*('Common input data'!$C$76*'Common input data'!B71+'Common input data'!$C$77*'Common input data'!C71))/'Input data plant-based products'!$E$31</f>
        <v>1.74755923526556E-005</v>
      </c>
      <c r="I52" s="87" t="n">
        <v>0</v>
      </c>
      <c r="J52" s="87" t="n">
        <f aca="false">(SUM('Input data plant-based products'!F31:H31)*'Input data plant-based products'!$B$114*44/28)/'Input data plant-based products'!E31</f>
        <v>1.88541076928124E-005</v>
      </c>
      <c r="K52" s="89" t="n">
        <f aca="false">J52*'Input data plant-based products'!$B$115*(1-'Input data plant-based products'!L142)</f>
        <v>0</v>
      </c>
      <c r="L52" s="87" t="n">
        <v>0</v>
      </c>
      <c r="M52" s="89" t="n">
        <f aca="false">'Input data plant-based products'!O142/'Input data plant-based products'!E$31*'Common input data'!D$34</f>
        <v>3.15698097680471E-005</v>
      </c>
      <c r="N52" s="89" t="n">
        <v>0</v>
      </c>
      <c r="O52" s="89" t="n">
        <v>0</v>
      </c>
      <c r="P52" s="89" t="n">
        <v>0</v>
      </c>
      <c r="Q52" s="89" t="n">
        <v>0</v>
      </c>
      <c r="R52" s="89" t="n">
        <v>0</v>
      </c>
      <c r="S52" s="89" t="n">
        <f aca="false">(F52+R52)</f>
        <v>6.78995098135152E-005</v>
      </c>
      <c r="T52" s="89" t="n">
        <v>0</v>
      </c>
      <c r="U52" s="89" t="n">
        <v>0</v>
      </c>
      <c r="V52" s="309"/>
      <c r="W52" s="92"/>
      <c r="Z52" s="30"/>
    </row>
    <row r="53" s="332" customFormat="true" ht="17.4" hidden="false" customHeight="false" outlineLevel="0" collapsed="false">
      <c r="A53" s="330" t="s">
        <v>285</v>
      </c>
      <c r="B53" s="331" t="s">
        <v>291</v>
      </c>
      <c r="C53" s="331" t="n">
        <f aca="false">'Input data plant-based products'!D32</f>
        <v>0.26</v>
      </c>
      <c r="D53" s="78" t="s">
        <v>133</v>
      </c>
      <c r="E53" s="94" t="n">
        <f aca="false">IF($F$1="GWP100 without fb",E54+E55*'Common input data'!$C$5+E56*'Common input data'!$D$5,IF($F$1="GWP100 with fb",E54+E55*'Common input data'!$C$6+E56*'Common input data'!$D$6,IF($F$1="GTP100 without fb",E54+E55*'Common input data'!$C$7+E56*'Common input data'!$D$7,IF($F$1="GTP100 with fb",E54+E55*'Common input data'!$C$8+E56*'Common input data'!$D$8,E54+E55*'Common input data'!$C$9+E56*'Common input data'!$D$9))))</f>
        <v>0.0160801027870381</v>
      </c>
      <c r="F53" s="95" t="n">
        <f aca="false">IF($F$1="GWP100 without fb",F54+F55*'Common input data'!$C$5+F56*'Common input data'!$D$5,IF($F$1="GWP100 with fb",F54+F55*'Common input data'!$C$6+F56*'Common input data'!$D$6,IF($F$1="GTP100 without fb",F54+F55*'Common input data'!$C$7+F56*'Common input data'!$D$7,IF($F$1="GTP100 with fb",F54+F55*'Common input data'!$C$8+F56*'Common input data'!$D$8,F54+F55*'Common input data'!$C$9+F56*'Common input data'!$D$9))))</f>
        <v>0.0879536153264487</v>
      </c>
      <c r="G53" s="96" t="n">
        <f aca="false">IF($F$1="GWP100 without fb",G54+G55*'Common input data'!$C$5+G56*'Common input data'!$D$5,IF($F$1="GWP100 with fb",G54+G55*'Common input data'!$C$6+G56*'Common input data'!$D$6,IF($F$1="GTP100 without fb",G54+G55*'Common input data'!$C$7+G56*'Common input data'!$D$7,IF($F$1="GTP100 with fb",G54+G55*'Common input data'!$C$8+G56*'Common input data'!$D$8,G54+G55*'Common input data'!$C$9+G56*'Common input data'!$D$9))))</f>
        <v>0.43913786290303</v>
      </c>
      <c r="H53" s="83"/>
      <c r="I53" s="83"/>
      <c r="J53" s="83"/>
      <c r="K53" s="83"/>
      <c r="L53" s="83"/>
      <c r="M53" s="83"/>
      <c r="N53" s="83"/>
      <c r="O53" s="83"/>
      <c r="P53" s="83"/>
      <c r="Q53" s="83"/>
      <c r="R53" s="83"/>
      <c r="S53" s="83"/>
      <c r="T53" s="83"/>
      <c r="U53" s="83"/>
      <c r="V53" s="309"/>
      <c r="W53" s="92"/>
      <c r="X53" s="209"/>
      <c r="Y53" s="209"/>
      <c r="Z53" s="30"/>
      <c r="AA53" s="209"/>
      <c r="AB53" s="209"/>
      <c r="AC53" s="209"/>
      <c r="AD53" s="209"/>
      <c r="AE53" s="209"/>
      <c r="AF53" s="209"/>
      <c r="AG53" s="209"/>
      <c r="AH53" s="209"/>
      <c r="AI53" s="209"/>
      <c r="AJ53" s="209"/>
      <c r="AK53" s="209"/>
      <c r="AL53" s="209"/>
      <c r="AM53" s="209"/>
      <c r="AN53" s="209"/>
      <c r="AO53" s="209"/>
      <c r="AP53" s="209"/>
      <c r="AQ53" s="209"/>
      <c r="AR53" s="209"/>
      <c r="AS53" s="209"/>
      <c r="AT53" s="209"/>
      <c r="AU53" s="209"/>
      <c r="AV53" s="209"/>
      <c r="AW53" s="209"/>
      <c r="AX53" s="209"/>
      <c r="AY53" s="209"/>
      <c r="AZ53" s="209"/>
      <c r="BA53" s="209"/>
      <c r="BB53" s="209"/>
      <c r="BC53" s="209"/>
      <c r="BD53" s="209"/>
      <c r="BE53" s="209"/>
      <c r="BF53" s="209"/>
      <c r="BG53" s="209"/>
      <c r="BH53" s="209"/>
      <c r="BI53" s="209"/>
      <c r="BJ53" s="209"/>
      <c r="BK53" s="209"/>
      <c r="BL53" s="209"/>
      <c r="BM53" s="209"/>
      <c r="BN53" s="209"/>
      <c r="BO53" s="209"/>
      <c r="BP53" s="209"/>
      <c r="BQ53" s="209"/>
      <c r="BR53" s="209"/>
      <c r="BS53" s="209"/>
      <c r="BT53" s="209"/>
      <c r="BU53" s="209"/>
      <c r="BV53" s="209"/>
      <c r="BW53" s="209"/>
      <c r="BX53" s="209"/>
      <c r="BY53" s="209"/>
      <c r="BZ53" s="209"/>
      <c r="CA53" s="209"/>
      <c r="CB53" s="209"/>
      <c r="CC53" s="209"/>
      <c r="CD53" s="209"/>
      <c r="CE53" s="209"/>
      <c r="CF53" s="209"/>
      <c r="CG53" s="209"/>
      <c r="CH53" s="209"/>
      <c r="CI53" s="209"/>
      <c r="CJ53" s="209"/>
      <c r="CK53" s="209"/>
      <c r="CL53" s="209"/>
      <c r="CM53" s="209"/>
      <c r="CN53" s="209"/>
      <c r="CO53" s="209"/>
      <c r="CP53" s="209"/>
      <c r="CQ53" s="209"/>
      <c r="CR53" s="209"/>
      <c r="CS53" s="209"/>
      <c r="CT53" s="209"/>
      <c r="CU53" s="209"/>
      <c r="CV53" s="209"/>
      <c r="CW53" s="209"/>
      <c r="CX53" s="209"/>
      <c r="CY53" s="209"/>
      <c r="CZ53" s="209"/>
      <c r="DA53" s="209"/>
      <c r="DB53" s="209"/>
      <c r="DC53" s="209"/>
      <c r="DD53" s="209"/>
      <c r="DE53" s="209"/>
      <c r="DF53" s="209"/>
      <c r="DG53" s="209"/>
      <c r="DH53" s="209"/>
      <c r="DI53" s="209"/>
      <c r="DJ53" s="209"/>
      <c r="DK53" s="209"/>
      <c r="DL53" s="209"/>
      <c r="DM53" s="209"/>
      <c r="DN53" s="209"/>
      <c r="DO53" s="209"/>
      <c r="DP53" s="209"/>
      <c r="DQ53" s="209"/>
      <c r="DR53" s="209"/>
      <c r="DS53" s="209"/>
      <c r="DT53" s="209"/>
      <c r="DU53" s="209"/>
      <c r="DV53" s="209"/>
      <c r="DW53" s="209"/>
      <c r="DX53" s="209"/>
      <c r="DY53" s="209"/>
      <c r="DZ53" s="209"/>
      <c r="EA53" s="209"/>
      <c r="EB53" s="209"/>
      <c r="EC53" s="209"/>
      <c r="ED53" s="209"/>
      <c r="EE53" s="209"/>
      <c r="EF53" s="209"/>
      <c r="EG53" s="209"/>
      <c r="EH53" s="209"/>
      <c r="EI53" s="209"/>
      <c r="EJ53" s="209"/>
      <c r="EK53" s="209"/>
      <c r="EL53" s="209"/>
      <c r="EM53" s="209"/>
      <c r="EN53" s="209"/>
      <c r="EO53" s="209"/>
      <c r="EP53" s="209"/>
      <c r="EQ53" s="209"/>
      <c r="ER53" s="209"/>
      <c r="ES53" s="209"/>
      <c r="ET53" s="209"/>
      <c r="EU53" s="209"/>
      <c r="EV53" s="209"/>
      <c r="EW53" s="209"/>
      <c r="EX53" s="209"/>
      <c r="EY53" s="209"/>
      <c r="EZ53" s="209"/>
      <c r="FA53" s="209"/>
      <c r="FB53" s="209"/>
      <c r="FC53" s="209"/>
      <c r="FD53" s="209"/>
      <c r="FE53" s="209"/>
      <c r="FF53" s="209"/>
      <c r="FG53" s="209"/>
      <c r="FH53" s="209"/>
      <c r="FI53" s="209"/>
      <c r="FJ53" s="209"/>
      <c r="FK53" s="209"/>
      <c r="FL53" s="209"/>
      <c r="FM53" s="209"/>
      <c r="FN53" s="209"/>
      <c r="FO53" s="209"/>
      <c r="FP53" s="209"/>
      <c r="FQ53" s="209"/>
      <c r="FR53" s="209"/>
      <c r="FS53" s="209"/>
      <c r="FT53" s="209"/>
      <c r="FU53" s="209"/>
      <c r="FV53" s="209"/>
      <c r="FW53" s="209"/>
      <c r="FX53" s="209"/>
      <c r="FY53" s="209"/>
      <c r="FZ53" s="209"/>
      <c r="GA53" s="209"/>
      <c r="GB53" s="209"/>
      <c r="GC53" s="209"/>
      <c r="GD53" s="209"/>
      <c r="GE53" s="209"/>
      <c r="GF53" s="209"/>
      <c r="GG53" s="209"/>
      <c r="GH53" s="209"/>
      <c r="GI53" s="209"/>
      <c r="GJ53" s="209"/>
      <c r="GK53" s="209"/>
      <c r="GL53" s="209"/>
      <c r="GM53" s="209"/>
      <c r="GN53" s="209"/>
      <c r="GO53" s="209"/>
      <c r="GP53" s="209"/>
      <c r="GQ53" s="209"/>
      <c r="GR53" s="209"/>
      <c r="GS53" s="209"/>
      <c r="GT53" s="209"/>
      <c r="GU53" s="209"/>
      <c r="GV53" s="209"/>
      <c r="GW53" s="209"/>
      <c r="GX53" s="209"/>
      <c r="GY53" s="209"/>
      <c r="GZ53" s="209"/>
      <c r="HA53" s="209"/>
      <c r="HB53" s="209"/>
      <c r="HC53" s="209"/>
      <c r="HD53" s="209"/>
      <c r="HE53" s="209"/>
      <c r="HF53" s="209"/>
      <c r="HG53" s="209"/>
      <c r="HH53" s="209"/>
      <c r="HI53" s="209"/>
      <c r="HJ53" s="209"/>
      <c r="HK53" s="209"/>
      <c r="HL53" s="209"/>
      <c r="HM53" s="209"/>
      <c r="HN53" s="209"/>
      <c r="HO53" s="209"/>
      <c r="HP53" s="209"/>
      <c r="HQ53" s="209"/>
      <c r="HR53" s="209"/>
      <c r="HS53" s="209"/>
      <c r="HT53" s="209"/>
      <c r="HU53" s="209"/>
      <c r="HV53" s="209"/>
      <c r="HW53" s="209"/>
      <c r="HX53" s="209"/>
      <c r="HY53" s="209"/>
      <c r="HZ53" s="209"/>
      <c r="IA53" s="209"/>
      <c r="IB53" s="209"/>
      <c r="IC53" s="209"/>
      <c r="ID53" s="209"/>
      <c r="IE53" s="209"/>
      <c r="IF53" s="209"/>
      <c r="IG53" s="209"/>
      <c r="IH53" s="209"/>
      <c r="II53" s="209"/>
      <c r="IJ53" s="209"/>
      <c r="IK53" s="209"/>
      <c r="IL53" s="209"/>
      <c r="IM53" s="209"/>
      <c r="IN53" s="209"/>
      <c r="IO53" s="209"/>
      <c r="IP53" s="209"/>
      <c r="IQ53" s="209"/>
      <c r="IR53" s="209"/>
      <c r="IS53" s="209"/>
      <c r="IT53" s="209"/>
      <c r="IU53" s="209"/>
      <c r="IV53" s="209"/>
      <c r="IW53" s="209"/>
      <c r="IX53" s="209"/>
    </row>
    <row r="54" s="209" customFormat="true" ht="17.4" hidden="false" customHeight="false" outlineLevel="0" collapsed="false">
      <c r="A54" s="99"/>
      <c r="B54" s="30"/>
      <c r="C54" s="30"/>
      <c r="D54" s="85" t="s">
        <v>134</v>
      </c>
      <c r="E54" s="217" t="n">
        <f aca="false">IF(AND($F$2="No",$F$3="No"),SUM(J54:K54),IF(AND($F$2="Yes", $F$3="No"), SUM(J54:K54)+Q54, IF(AND($F$2="No", $F$3="Yes"),SUM(J54:K54)+P54, SUM(J54:K54)+Q54+P54)))</f>
        <v>0</v>
      </c>
      <c r="F54" s="89" t="n">
        <f aca="false">IF(AND($F$2="No",$F$3="No"),SUM(H54:O54),IF(AND($F$2="Yes", $F$3="No"), SUM(H54:O54)+Q54, IF(AND($F$2="No", $F$3="Yes"),SUM(H54:O54)+P54, SUM(H54:O54)+Q54+P54)))</f>
        <v>0.0583240490989341</v>
      </c>
      <c r="G54" s="88" t="n">
        <f aca="false">SUM(S54:U54)/(1-'Common input data'!$B$121)</f>
        <v>0.403776165531608</v>
      </c>
      <c r="H54" s="87" t="n">
        <f aca="false">('Input data plant-based products'!$F$32*('Common input data'!$C$76*'Common input data'!B69+'Common input data'!$C$77*'Common input data'!C69))/'Input data plant-based products'!$E$32</f>
        <v>0.00832404909893409</v>
      </c>
      <c r="I54" s="89" t="n">
        <f aca="false">'Common input data'!$B$81</f>
        <v>0.03</v>
      </c>
      <c r="J54" s="87" t="n">
        <v>0</v>
      </c>
      <c r="K54" s="87" t="n">
        <v>0</v>
      </c>
      <c r="L54" s="87" t="n">
        <v>0</v>
      </c>
      <c r="M54" s="89" t="n">
        <v>0</v>
      </c>
      <c r="N54" s="89" t="n">
        <f aca="false">'Input data plant-based products'!G$152</f>
        <v>0.02</v>
      </c>
      <c r="O54" s="89" t="n">
        <v>0</v>
      </c>
      <c r="P54" s="89" t="n">
        <v>0</v>
      </c>
      <c r="Q54" s="89" t="n">
        <v>0</v>
      </c>
      <c r="R54" s="89" t="n">
        <v>0</v>
      </c>
      <c r="S54" s="89" t="n">
        <f aca="false">(F54+R54)</f>
        <v>0.0583240490989341</v>
      </c>
      <c r="T54" s="89" t="n">
        <f aca="false">'Common input data'!$B$88</f>
        <v>0.05</v>
      </c>
      <c r="U54" s="89" t="n">
        <f aca="false">'Common input data'!B100+'Common input data'!C100</f>
        <v>0.23</v>
      </c>
      <c r="V54" s="309"/>
      <c r="W54" s="92"/>
      <c r="Z54" s="30"/>
    </row>
    <row r="55" s="209" customFormat="true" ht="17.4" hidden="false" customHeight="false" outlineLevel="0" collapsed="false">
      <c r="A55" s="74"/>
      <c r="B55" s="30"/>
      <c r="C55" s="93"/>
      <c r="D55" s="85" t="s">
        <v>135</v>
      </c>
      <c r="E55" s="217" t="n">
        <f aca="false">SUM(J55:K55)</f>
        <v>0</v>
      </c>
      <c r="F55" s="89" t="n">
        <f aca="false">SUM(H55:O55)</f>
        <v>3.67019493985898E-011</v>
      </c>
      <c r="G55" s="88" t="n">
        <f aca="false">SUM(S55:U55)/(1-'Common input data'!$B$121)</f>
        <v>4.38023026597324E-011</v>
      </c>
      <c r="H55" s="87" t="n">
        <f aca="false">('Input data plant-based products'!$F$32*('Common input data'!$C$76*'Common input data'!B70+'Common input data'!$C$77*'Common input data'!C70))/'Input data plant-based products'!$E$32</f>
        <v>3.67019493985898E-011</v>
      </c>
      <c r="I55" s="89" t="n">
        <v>0</v>
      </c>
      <c r="J55" s="87" t="n">
        <v>0</v>
      </c>
      <c r="K55" s="87" t="n">
        <v>0</v>
      </c>
      <c r="L55" s="87" t="n">
        <v>0</v>
      </c>
      <c r="M55" s="89" t="n">
        <v>0</v>
      </c>
      <c r="N55" s="89" t="n">
        <v>0</v>
      </c>
      <c r="O55" s="87" t="n">
        <v>0</v>
      </c>
      <c r="P55" s="87" t="n">
        <v>0</v>
      </c>
      <c r="Q55" s="89" t="n">
        <v>0</v>
      </c>
      <c r="R55" s="89" t="n">
        <v>0</v>
      </c>
      <c r="S55" s="89" t="n">
        <f aca="false">(F55+R55)</f>
        <v>3.67019493985898E-011</v>
      </c>
      <c r="T55" s="89" t="n">
        <v>0</v>
      </c>
      <c r="U55" s="89" t="n">
        <v>0</v>
      </c>
      <c r="V55" s="309"/>
      <c r="W55" s="92"/>
      <c r="Z55" s="30"/>
    </row>
    <row r="56" s="209" customFormat="true" ht="17.4" hidden="false" customHeight="false" outlineLevel="0" collapsed="false">
      <c r="A56" s="100"/>
      <c r="B56" s="30"/>
      <c r="C56" s="87"/>
      <c r="D56" s="31" t="s">
        <v>136</v>
      </c>
      <c r="E56" s="217" t="n">
        <f aca="false">SUM(J56:K56)</f>
        <v>5.39600764665708E-005</v>
      </c>
      <c r="F56" s="89" t="n">
        <f aca="false">SUM(H56:O56)</f>
        <v>9.94280704015042E-005</v>
      </c>
      <c r="G56" s="88" t="n">
        <f aca="false">SUM(S56:U56)/(1-'Common input data'!$B$121)</f>
        <v>0.000118663409000482</v>
      </c>
      <c r="H56" s="87" t="n">
        <f aca="false">('Input data plant-based products'!$F$32*('Common input data'!$C$76*'Common input data'!B71+'Common input data'!$C$77*'Common input data'!C71))/'Input data plant-based products'!$E$32</f>
        <v>4.54679939349334E-005</v>
      </c>
      <c r="I56" s="87" t="n">
        <v>0</v>
      </c>
      <c r="J56" s="87" t="n">
        <f aca="false">(SUM('Input data plant-based products'!F32:H32)*'Input data plant-based products'!$B$114*44/28)/'Input data plant-based products'!E32</f>
        <v>4.90546149696098E-005</v>
      </c>
      <c r="K56" s="89" t="n">
        <f aca="false">J56*'Input data plant-based products'!$B$115</f>
        <v>4.90546149696098E-006</v>
      </c>
      <c r="L56" s="87" t="n">
        <v>0</v>
      </c>
      <c r="M56" s="89" t="n">
        <v>0</v>
      </c>
      <c r="N56" s="89" t="n">
        <v>0</v>
      </c>
      <c r="O56" s="87" t="n">
        <v>0</v>
      </c>
      <c r="P56" s="87" t="n">
        <v>0</v>
      </c>
      <c r="Q56" s="89" t="n">
        <v>0</v>
      </c>
      <c r="R56" s="89" t="n">
        <v>0</v>
      </c>
      <c r="S56" s="89" t="n">
        <f aca="false">(F56+R56)</f>
        <v>9.94280704015042E-005</v>
      </c>
      <c r="T56" s="89" t="n">
        <v>0</v>
      </c>
      <c r="U56" s="89" t="n">
        <v>0</v>
      </c>
      <c r="V56" s="309"/>
      <c r="W56" s="92"/>
      <c r="Z56" s="30"/>
    </row>
    <row r="57" s="332" customFormat="true" ht="17.4" hidden="false" customHeight="false" outlineLevel="0" collapsed="false">
      <c r="A57" s="330" t="s">
        <v>285</v>
      </c>
      <c r="B57" s="331" t="s">
        <v>254</v>
      </c>
      <c r="C57" s="331" t="n">
        <f aca="false">'Input data plant-based products'!D33</f>
        <v>0.05</v>
      </c>
      <c r="D57" s="78" t="s">
        <v>133</v>
      </c>
      <c r="E57" s="94" t="n">
        <f aca="false">IF($F$1="GWP100 without fb",E58+E59*'Common input data'!$C$5+E60*'Common input data'!$D$5,IF($F$1="GWP100 with fb",E58+E59*'Common input data'!$C$6+E60*'Common input data'!$D$6,IF($F$1="GTP100 without fb",E58+E59*'Common input data'!$C$7+E60*'Common input data'!$D$7,IF($F$1="GTP100 with fb",E58+E59*'Common input data'!$C$8+E60*'Common input data'!$D$8,E58+E59*'Common input data'!$C$9+E60*'Common input data'!$D$9))))</f>
        <v>0.0631532272199943</v>
      </c>
      <c r="F57" s="95" t="n">
        <f aca="false">IF($F$1="GWP100 without fb",F58+F59*'Common input data'!$C$5+F60*'Common input data'!$D$5,IF($F$1="GWP100 with fb",F58+F59*'Common input data'!$C$6+F60*'Common input data'!$D$6,IF($F$1="GTP100 without fb",F58+F59*'Common input data'!$C$7+F60*'Common input data'!$D$7,IF($F$1="GTP100 with fb",F58+F59*'Common input data'!$C$8+F60*'Common input data'!$D$8,F58+F59*'Common input data'!$C$9+F60*'Common input data'!$D$9))))</f>
        <v>0.143291826464594</v>
      </c>
      <c r="G57" s="96" t="n">
        <f aca="false">IF($F$1="GWP100 without fb",G58+G59*'Common input data'!$C$5+G60*'Common input data'!$D$5,IF($F$1="GWP100 with fb",G58+G59*'Common input data'!$C$6+G60*'Common input data'!$D$6,IF($F$1="GTP100 without fb",G58+G59*'Common input data'!$C$7+G60*'Common input data'!$D$7,IF($F$1="GTP100 with fb",G58+G59*'Common input data'!$C$8+G60*'Common input data'!$D$8,G58+G59*'Common input data'!$C$9+G60*'Common input data'!$D$9))))</f>
        <v>0.505181795518074</v>
      </c>
      <c r="H57" s="83"/>
      <c r="I57" s="83"/>
      <c r="J57" s="83"/>
      <c r="K57" s="83"/>
      <c r="L57" s="83"/>
      <c r="M57" s="83"/>
      <c r="N57" s="83"/>
      <c r="O57" s="83"/>
      <c r="P57" s="83"/>
      <c r="Q57" s="83"/>
      <c r="R57" s="83"/>
      <c r="S57" s="83"/>
      <c r="T57" s="83"/>
      <c r="U57" s="83"/>
      <c r="V57" s="309"/>
      <c r="W57" s="92"/>
      <c r="X57" s="209"/>
      <c r="Y57" s="209"/>
      <c r="Z57" s="30"/>
      <c r="AA57" s="209"/>
      <c r="AB57" s="209"/>
      <c r="AC57" s="209"/>
      <c r="AD57" s="209"/>
      <c r="AE57" s="209"/>
      <c r="AF57" s="209"/>
      <c r="AG57" s="209"/>
      <c r="AH57" s="209"/>
      <c r="AI57" s="209"/>
      <c r="AJ57" s="209"/>
      <c r="AK57" s="209"/>
      <c r="AL57" s="209"/>
      <c r="AM57" s="209"/>
      <c r="AN57" s="209"/>
      <c r="AO57" s="209"/>
      <c r="AP57" s="209"/>
      <c r="AQ57" s="209"/>
      <c r="AR57" s="209"/>
      <c r="AS57" s="209"/>
      <c r="AT57" s="209"/>
      <c r="AU57" s="209"/>
      <c r="AV57" s="209"/>
      <c r="AW57" s="209"/>
      <c r="AX57" s="209"/>
      <c r="AY57" s="209"/>
      <c r="AZ57" s="209"/>
      <c r="BA57" s="209"/>
      <c r="BB57" s="209"/>
      <c r="BC57" s="209"/>
      <c r="BD57" s="209"/>
      <c r="BE57" s="209"/>
      <c r="BF57" s="209"/>
      <c r="BG57" s="209"/>
      <c r="BH57" s="209"/>
      <c r="BI57" s="209"/>
      <c r="BJ57" s="209"/>
      <c r="BK57" s="209"/>
      <c r="BL57" s="209"/>
      <c r="BM57" s="209"/>
      <c r="BN57" s="209"/>
      <c r="BO57" s="209"/>
      <c r="BP57" s="209"/>
      <c r="BQ57" s="209"/>
      <c r="BR57" s="209"/>
      <c r="BS57" s="209"/>
      <c r="BT57" s="209"/>
      <c r="BU57" s="209"/>
      <c r="BV57" s="209"/>
      <c r="BW57" s="209"/>
      <c r="BX57" s="209"/>
      <c r="BY57" s="209"/>
      <c r="BZ57" s="209"/>
      <c r="CA57" s="209"/>
      <c r="CB57" s="209"/>
      <c r="CC57" s="209"/>
      <c r="CD57" s="209"/>
      <c r="CE57" s="209"/>
      <c r="CF57" s="209"/>
      <c r="CG57" s="209"/>
      <c r="CH57" s="209"/>
      <c r="CI57" s="209"/>
      <c r="CJ57" s="209"/>
      <c r="CK57" s="209"/>
      <c r="CL57" s="209"/>
      <c r="CM57" s="209"/>
      <c r="CN57" s="209"/>
      <c r="CO57" s="209"/>
      <c r="CP57" s="209"/>
      <c r="CQ57" s="209"/>
      <c r="CR57" s="209"/>
      <c r="CS57" s="209"/>
      <c r="CT57" s="209"/>
      <c r="CU57" s="209"/>
      <c r="CV57" s="209"/>
      <c r="CW57" s="209"/>
      <c r="CX57" s="209"/>
      <c r="CY57" s="209"/>
      <c r="CZ57" s="209"/>
      <c r="DA57" s="209"/>
      <c r="DB57" s="209"/>
      <c r="DC57" s="209"/>
      <c r="DD57" s="209"/>
      <c r="DE57" s="209"/>
      <c r="DF57" s="209"/>
      <c r="DG57" s="209"/>
      <c r="DH57" s="209"/>
      <c r="DI57" s="209"/>
      <c r="DJ57" s="209"/>
      <c r="DK57" s="209"/>
      <c r="DL57" s="209"/>
      <c r="DM57" s="209"/>
      <c r="DN57" s="209"/>
      <c r="DO57" s="209"/>
      <c r="DP57" s="209"/>
      <c r="DQ57" s="209"/>
      <c r="DR57" s="209"/>
      <c r="DS57" s="209"/>
      <c r="DT57" s="209"/>
      <c r="DU57" s="209"/>
      <c r="DV57" s="209"/>
      <c r="DW57" s="209"/>
      <c r="DX57" s="209"/>
      <c r="DY57" s="209"/>
      <c r="DZ57" s="209"/>
      <c r="EA57" s="209"/>
      <c r="EB57" s="209"/>
      <c r="EC57" s="209"/>
      <c r="ED57" s="209"/>
      <c r="EE57" s="209"/>
      <c r="EF57" s="209"/>
      <c r="EG57" s="209"/>
      <c r="EH57" s="209"/>
      <c r="EI57" s="209"/>
      <c r="EJ57" s="209"/>
      <c r="EK57" s="209"/>
      <c r="EL57" s="209"/>
      <c r="EM57" s="209"/>
      <c r="EN57" s="209"/>
      <c r="EO57" s="209"/>
      <c r="EP57" s="209"/>
      <c r="EQ57" s="209"/>
      <c r="ER57" s="209"/>
      <c r="ES57" s="209"/>
      <c r="ET57" s="209"/>
      <c r="EU57" s="209"/>
      <c r="EV57" s="209"/>
      <c r="EW57" s="209"/>
      <c r="EX57" s="209"/>
      <c r="EY57" s="209"/>
      <c r="EZ57" s="209"/>
      <c r="FA57" s="209"/>
      <c r="FB57" s="209"/>
      <c r="FC57" s="209"/>
      <c r="FD57" s="209"/>
      <c r="FE57" s="209"/>
      <c r="FF57" s="209"/>
      <c r="FG57" s="209"/>
      <c r="FH57" s="209"/>
      <c r="FI57" s="209"/>
      <c r="FJ57" s="209"/>
      <c r="FK57" s="209"/>
      <c r="FL57" s="209"/>
      <c r="FM57" s="209"/>
      <c r="FN57" s="209"/>
      <c r="FO57" s="209"/>
      <c r="FP57" s="209"/>
      <c r="FQ57" s="209"/>
      <c r="FR57" s="209"/>
      <c r="FS57" s="209"/>
      <c r="FT57" s="209"/>
      <c r="FU57" s="209"/>
      <c r="FV57" s="209"/>
      <c r="FW57" s="209"/>
      <c r="FX57" s="209"/>
      <c r="FY57" s="209"/>
      <c r="FZ57" s="209"/>
      <c r="GA57" s="209"/>
      <c r="GB57" s="209"/>
      <c r="GC57" s="209"/>
      <c r="GD57" s="209"/>
      <c r="GE57" s="209"/>
      <c r="GF57" s="209"/>
      <c r="GG57" s="209"/>
      <c r="GH57" s="209"/>
      <c r="GI57" s="209"/>
      <c r="GJ57" s="209"/>
      <c r="GK57" s="209"/>
      <c r="GL57" s="209"/>
      <c r="GM57" s="209"/>
      <c r="GN57" s="209"/>
      <c r="GO57" s="209"/>
      <c r="GP57" s="209"/>
      <c r="GQ57" s="209"/>
      <c r="GR57" s="209"/>
      <c r="GS57" s="209"/>
      <c r="GT57" s="209"/>
      <c r="GU57" s="209"/>
      <c r="GV57" s="209"/>
      <c r="GW57" s="209"/>
      <c r="GX57" s="209"/>
      <c r="GY57" s="209"/>
      <c r="GZ57" s="209"/>
      <c r="HA57" s="209"/>
      <c r="HB57" s="209"/>
      <c r="HC57" s="209"/>
      <c r="HD57" s="209"/>
      <c r="HE57" s="209"/>
      <c r="HF57" s="209"/>
      <c r="HG57" s="209"/>
      <c r="HH57" s="209"/>
      <c r="HI57" s="209"/>
      <c r="HJ57" s="209"/>
      <c r="HK57" s="209"/>
      <c r="HL57" s="209"/>
      <c r="HM57" s="209"/>
      <c r="HN57" s="209"/>
      <c r="HO57" s="209"/>
      <c r="HP57" s="209"/>
      <c r="HQ57" s="209"/>
      <c r="HR57" s="209"/>
      <c r="HS57" s="209"/>
      <c r="HT57" s="209"/>
      <c r="HU57" s="209"/>
      <c r="HV57" s="209"/>
      <c r="HW57" s="209"/>
      <c r="HX57" s="209"/>
      <c r="HY57" s="209"/>
      <c r="HZ57" s="209"/>
      <c r="IA57" s="209"/>
      <c r="IB57" s="209"/>
      <c r="IC57" s="209"/>
      <c r="ID57" s="209"/>
      <c r="IE57" s="209"/>
      <c r="IF57" s="209"/>
      <c r="IG57" s="209"/>
      <c r="IH57" s="209"/>
      <c r="II57" s="209"/>
      <c r="IJ57" s="209"/>
      <c r="IK57" s="209"/>
      <c r="IL57" s="209"/>
      <c r="IM57" s="209"/>
      <c r="IN57" s="209"/>
      <c r="IO57" s="209"/>
      <c r="IP57" s="209"/>
      <c r="IQ57" s="209"/>
      <c r="IR57" s="209"/>
      <c r="IS57" s="209"/>
      <c r="IT57" s="209"/>
      <c r="IU57" s="209"/>
      <c r="IV57" s="209"/>
      <c r="IW57" s="209"/>
      <c r="IX57" s="209"/>
    </row>
    <row r="58" s="209" customFormat="true" ht="17.4" hidden="false" customHeight="false" outlineLevel="0" collapsed="false">
      <c r="A58" s="99"/>
      <c r="B58" s="31"/>
      <c r="C58" s="30"/>
      <c r="D58" s="85" t="s">
        <v>134</v>
      </c>
      <c r="E58" s="217" t="n">
        <f aca="false">IF(AND($F$2="No",$F$3="No"),SUM(J58:K58),IF(AND($F$2="Yes", $F$3="No"), SUM(J58:K58)+Q58, IF(AND($F$2="No", $F$3="Yes"),SUM(J58:K58)+P58, SUM(J58:K58)+Q58+P58)))</f>
        <v>0.0399894869629571</v>
      </c>
      <c r="F58" s="89" t="n">
        <f aca="false">IF(AND($F$2="No",$F$3="No"),SUM(H58:O58),IF(AND($F$2="Yes", $F$3="No"), SUM(H58:O58)+Q58, IF(AND($F$2="No", $F$3="Yes"),SUM(H58:O58)+P58, SUM(H58:O58)+Q58+P58)))</f>
        <v>0.104124696168887</v>
      </c>
      <c r="G58" s="88" t="n">
        <f aca="false">SUM(S58:U58)/(1-'Common input data'!$B$121)</f>
        <v>0.458437398459109</v>
      </c>
      <c r="H58" s="87" t="n">
        <f aca="false">('Input data plant-based products'!$F$33*('Common input data'!$C$76*'Common input data'!B69+'Common input data'!$C$77*'Common input data'!C69))/'Input data plant-based products'!$E$33</f>
        <v>0.00976974055255751</v>
      </c>
      <c r="I58" s="89" t="n">
        <f aca="false">'Common input data'!$B$81</f>
        <v>0.03</v>
      </c>
      <c r="J58" s="87" t="n">
        <v>0</v>
      </c>
      <c r="K58" s="87" t="n">
        <v>0</v>
      </c>
      <c r="L58" s="87" t="n">
        <f aca="false">('Input data plant-based products'!$I$33*'Common input data'!$C$59*'Common input data'!H49)/'Input data plant-based products'!$E$33</f>
        <v>0.00436546865337269</v>
      </c>
      <c r="M58" s="89" t="n">
        <v>0</v>
      </c>
      <c r="N58" s="89" t="n">
        <f aca="false">'Input data plant-based products'!G$152</f>
        <v>0.02</v>
      </c>
      <c r="O58" s="87" t="n">
        <v>0</v>
      </c>
      <c r="P58" s="89" t="n">
        <f aca="false">'Common input data'!E$13</f>
        <v>0.0399894869629571</v>
      </c>
      <c r="Q58" s="89" t="n">
        <v>0</v>
      </c>
      <c r="R58" s="89" t="n">
        <v>0</v>
      </c>
      <c r="S58" s="89" t="n">
        <f aca="false">(F58+R58)</f>
        <v>0.104124696168887</v>
      </c>
      <c r="T58" s="89" t="n">
        <f aca="false">'Common input data'!$B$88</f>
        <v>0.05</v>
      </c>
      <c r="U58" s="89" t="n">
        <f aca="false">'Common input data'!B100+'Common input data'!C100</f>
        <v>0.23</v>
      </c>
      <c r="V58" s="309"/>
      <c r="W58" s="92"/>
      <c r="Z58" s="30"/>
    </row>
    <row r="59" s="209" customFormat="true" ht="17.4" hidden="false" customHeight="false" outlineLevel="0" collapsed="false">
      <c r="A59" s="74"/>
      <c r="B59" s="31"/>
      <c r="C59" s="93"/>
      <c r="D59" s="85" t="s">
        <v>135</v>
      </c>
      <c r="E59" s="217" t="n">
        <f aca="false">SUM(J59:K59)</f>
        <v>0</v>
      </c>
      <c r="F59" s="89" t="n">
        <f aca="false">SUM(H59:O59)</f>
        <v>1.9337984873435E-006</v>
      </c>
      <c r="G59" s="88" t="n">
        <f aca="false">SUM(S59:U59)/(1-'Common input data'!$B$121)</f>
        <v>2.30791083344492E-006</v>
      </c>
      <c r="H59" s="87" t="n">
        <f aca="false">('Input data plant-based products'!$F$33*('Common input data'!$C$76*'Common input data'!B70+'Common input data'!$C$77*'Common input data'!C70))/'Input data plant-based products'!$E$33</f>
        <v>4.30762143682252E-011</v>
      </c>
      <c r="I59" s="89" t="n">
        <v>0</v>
      </c>
      <c r="J59" s="87" t="n">
        <v>0</v>
      </c>
      <c r="K59" s="87" t="n">
        <v>0</v>
      </c>
      <c r="L59" s="87" t="n">
        <f aca="false">('Input data plant-based products'!$I$33*'Common input data'!$C$59*'Common input data'!H50)/'Input data plant-based products'!$E$33</f>
        <v>1.93375541112913E-006</v>
      </c>
      <c r="M59" s="89" t="n">
        <v>0</v>
      </c>
      <c r="N59" s="89" t="n">
        <v>0</v>
      </c>
      <c r="O59" s="87" t="n">
        <v>0</v>
      </c>
      <c r="P59" s="87" t="n">
        <v>0</v>
      </c>
      <c r="Q59" s="89" t="n">
        <v>0</v>
      </c>
      <c r="R59" s="89" t="n">
        <v>0</v>
      </c>
      <c r="S59" s="89" t="n">
        <f aca="false">(F59+R59)</f>
        <v>1.9337984873435E-006</v>
      </c>
      <c r="T59" s="89" t="n">
        <v>0</v>
      </c>
      <c r="U59" s="89" t="n">
        <v>0</v>
      </c>
      <c r="V59" s="309"/>
      <c r="W59" s="92"/>
      <c r="Z59" s="30"/>
    </row>
    <row r="60" s="209" customFormat="true" ht="17.4" hidden="false" customHeight="false" outlineLevel="0" collapsed="false">
      <c r="A60" s="100"/>
      <c r="B60" s="101"/>
      <c r="C60" s="87"/>
      <c r="D60" s="31" t="s">
        <v>136</v>
      </c>
      <c r="E60" s="217" t="n">
        <f aca="false">SUM(J60:K60)</f>
        <v>7.77306720034805E-005</v>
      </c>
      <c r="F60" s="89" t="n">
        <f aca="false">SUM(H60:O60)</f>
        <v>0.000131212688413211</v>
      </c>
      <c r="G60" s="88" t="n">
        <f aca="false">SUM(S60:U60)/(1-'Common input data'!$B$121)</f>
        <v>0.000156597074129623</v>
      </c>
      <c r="H60" s="87" t="n">
        <f aca="false">('Input data plant-based products'!$F$33*('Common input data'!$C$76*'Common input data'!B71+'Common input data'!$C$77*'Common input data'!C71))/'Input data plant-based products'!$E$33</f>
        <v>5.33647145649873E-005</v>
      </c>
      <c r="I60" s="87" t="n">
        <v>0</v>
      </c>
      <c r="J60" s="87" t="n">
        <f aca="false">(SUM('Input data plant-based products'!F33:H33)*'Input data plant-based products'!$B$114*44/28)/'Input data plant-based products'!E33</f>
        <v>7.06642472758913E-005</v>
      </c>
      <c r="K60" s="89" t="n">
        <f aca="false">J60*'Input data plant-based products'!$B$115</f>
        <v>7.06642472758913E-006</v>
      </c>
      <c r="L60" s="87" t="n">
        <f aca="false">('Input data plant-based products'!$I$33*'Common input data'!$C$59*'Common input data'!H51)/'Input data plant-based products'!$E$33</f>
        <v>1.17301844742891E-007</v>
      </c>
      <c r="M60" s="89" t="n">
        <v>0</v>
      </c>
      <c r="N60" s="89" t="n">
        <v>0</v>
      </c>
      <c r="O60" s="87" t="n">
        <v>0</v>
      </c>
      <c r="P60" s="87" t="n">
        <v>0</v>
      </c>
      <c r="Q60" s="89" t="n">
        <v>0</v>
      </c>
      <c r="R60" s="89" t="n">
        <v>0</v>
      </c>
      <c r="S60" s="89" t="n">
        <f aca="false">(F60+R60)</f>
        <v>0.000131212688413211</v>
      </c>
      <c r="T60" s="89" t="n">
        <v>0</v>
      </c>
      <c r="U60" s="89" t="n">
        <v>0</v>
      </c>
      <c r="V60" s="309"/>
      <c r="W60" s="92"/>
      <c r="Z60" s="30"/>
    </row>
    <row r="61" s="332" customFormat="true" ht="17.4" hidden="false" customHeight="false" outlineLevel="0" collapsed="false">
      <c r="A61" s="330" t="s">
        <v>141</v>
      </c>
      <c r="B61" s="331" t="s">
        <v>254</v>
      </c>
      <c r="C61" s="331" t="n">
        <f aca="false">'Input data plant-based products'!D34</f>
        <v>0.05</v>
      </c>
      <c r="D61" s="78" t="s">
        <v>133</v>
      </c>
      <c r="E61" s="94" t="n">
        <f aca="false">IF($F$1="GWP100 without fb",E62+E63*'Common input data'!$C$5+E64*'Common input data'!$D$5,IF($F$1="GWP100 with fb",E62+E63*'Common input data'!$C$6+E64*'Common input data'!$D$6,IF($F$1="GTP100 without fb",E62+E63*'Common input data'!$C$7+E64*'Common input data'!$D$7,IF($F$1="GTP100 with fb",E62+E63*'Common input data'!$C$8+E64*'Common input data'!$D$8,E62+E63*'Common input data'!$C$9+E64*'Common input data'!$D$9))))</f>
        <v>0.063370733779468</v>
      </c>
      <c r="F61" s="95" t="n">
        <f aca="false">IF($F$1="GWP100 without fb",F62+F63*'Common input data'!$C$5+F64*'Common input data'!$D$5,IF($F$1="GWP100 with fb",F62+F63*'Common input data'!$C$6+F64*'Common input data'!$D$6,IF($F$1="GTP100 without fb",F62+F63*'Common input data'!$C$7+F64*'Common input data'!$D$7,IF($F$1="GTP100 with fb",F62+F63*'Common input data'!$C$8+F64*'Common input data'!$D$8,F62+F63*'Common input data'!$C$9+F64*'Common input data'!$D$9))))</f>
        <v>0.13393003773961</v>
      </c>
      <c r="G61" s="96" t="n">
        <f aca="false">IF($F$1="GWP100 without fb",G62+G63*'Common input data'!$C$5+G64*'Common input data'!$D$5,IF($F$1="GWP100 with fb",G62+G63*'Common input data'!$C$6+G64*'Common input data'!$D$6,IF($F$1="GTP100 without fb",G62+G63*'Common input data'!$C$7+G64*'Common input data'!$D$7,IF($F$1="GTP100 with fb",G62+G63*'Common input data'!$C$8+G64*'Common input data'!$D$8,G62+G63*'Common input data'!$C$9+G64*'Common input data'!$D$9))))</f>
        <v>0.494008876643525</v>
      </c>
      <c r="H61" s="83"/>
      <c r="I61" s="83"/>
      <c r="J61" s="83"/>
      <c r="K61" s="83"/>
      <c r="L61" s="83"/>
      <c r="M61" s="83"/>
      <c r="N61" s="83"/>
      <c r="O61" s="83"/>
      <c r="P61" s="83"/>
      <c r="Q61" s="83"/>
      <c r="R61" s="83"/>
      <c r="S61" s="83"/>
      <c r="T61" s="83"/>
      <c r="U61" s="83"/>
      <c r="V61" s="309"/>
      <c r="W61" s="92"/>
      <c r="X61" s="209"/>
      <c r="Y61" s="209"/>
      <c r="Z61" s="30"/>
      <c r="AA61" s="209"/>
      <c r="AB61" s="209"/>
      <c r="AC61" s="209"/>
      <c r="AD61" s="209"/>
      <c r="AE61" s="209"/>
      <c r="AF61" s="209"/>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c r="BK61" s="209"/>
      <c r="BL61" s="209"/>
      <c r="BM61" s="209"/>
      <c r="BN61" s="209"/>
      <c r="BO61" s="209"/>
      <c r="BP61" s="209"/>
      <c r="BQ61" s="209"/>
      <c r="BR61" s="209"/>
      <c r="BS61" s="209"/>
      <c r="BT61" s="209"/>
      <c r="BU61" s="209"/>
      <c r="BV61" s="209"/>
      <c r="BW61" s="209"/>
      <c r="BX61" s="209"/>
      <c r="BY61" s="209"/>
      <c r="BZ61" s="209"/>
      <c r="CA61" s="209"/>
      <c r="CB61" s="209"/>
      <c r="CC61" s="209"/>
      <c r="CD61" s="209"/>
      <c r="CE61" s="209"/>
      <c r="CF61" s="209"/>
      <c r="CG61" s="209"/>
      <c r="CH61" s="209"/>
      <c r="CI61" s="209"/>
      <c r="CJ61" s="209"/>
      <c r="CK61" s="209"/>
      <c r="CL61" s="209"/>
      <c r="CM61" s="209"/>
      <c r="CN61" s="209"/>
      <c r="CO61" s="209"/>
      <c r="CP61" s="209"/>
      <c r="CQ61" s="209"/>
      <c r="CR61" s="209"/>
      <c r="CS61" s="209"/>
      <c r="CT61" s="209"/>
      <c r="CU61" s="209"/>
      <c r="CV61" s="209"/>
      <c r="CW61" s="209"/>
      <c r="CX61" s="209"/>
      <c r="CY61" s="209"/>
      <c r="CZ61" s="209"/>
      <c r="DA61" s="209"/>
      <c r="DB61" s="209"/>
      <c r="DC61" s="209"/>
      <c r="DD61" s="209"/>
      <c r="DE61" s="209"/>
      <c r="DF61" s="209"/>
      <c r="DG61" s="209"/>
      <c r="DH61" s="209"/>
      <c r="DI61" s="209"/>
      <c r="DJ61" s="209"/>
      <c r="DK61" s="209"/>
      <c r="DL61" s="209"/>
      <c r="DM61" s="209"/>
      <c r="DN61" s="209"/>
      <c r="DO61" s="209"/>
      <c r="DP61" s="209"/>
      <c r="DQ61" s="209"/>
      <c r="DR61" s="209"/>
      <c r="DS61" s="209"/>
      <c r="DT61" s="209"/>
      <c r="DU61" s="209"/>
      <c r="DV61" s="209"/>
      <c r="DW61" s="209"/>
      <c r="DX61" s="209"/>
      <c r="DY61" s="209"/>
      <c r="DZ61" s="209"/>
      <c r="EA61" s="209"/>
      <c r="EB61" s="209"/>
      <c r="EC61" s="209"/>
      <c r="ED61" s="209"/>
      <c r="EE61" s="209"/>
      <c r="EF61" s="209"/>
      <c r="EG61" s="209"/>
      <c r="EH61" s="209"/>
      <c r="EI61" s="209"/>
      <c r="EJ61" s="209"/>
      <c r="EK61" s="209"/>
      <c r="EL61" s="209"/>
      <c r="EM61" s="209"/>
      <c r="EN61" s="209"/>
      <c r="EO61" s="209"/>
      <c r="EP61" s="209"/>
      <c r="EQ61" s="209"/>
      <c r="ER61" s="209"/>
      <c r="ES61" s="209"/>
      <c r="ET61" s="209"/>
      <c r="EU61" s="209"/>
      <c r="EV61" s="209"/>
      <c r="EW61" s="209"/>
      <c r="EX61" s="209"/>
      <c r="EY61" s="209"/>
      <c r="EZ61" s="209"/>
      <c r="FA61" s="209"/>
      <c r="FB61" s="209"/>
      <c r="FC61" s="209"/>
      <c r="FD61" s="209"/>
      <c r="FE61" s="209"/>
      <c r="FF61" s="209"/>
      <c r="FG61" s="209"/>
      <c r="FH61" s="209"/>
      <c r="FI61" s="209"/>
      <c r="FJ61" s="209"/>
      <c r="FK61" s="209"/>
      <c r="FL61" s="209"/>
      <c r="FM61" s="209"/>
      <c r="FN61" s="209"/>
      <c r="FO61" s="209"/>
      <c r="FP61" s="209"/>
      <c r="FQ61" s="209"/>
      <c r="FR61" s="209"/>
      <c r="FS61" s="209"/>
      <c r="FT61" s="209"/>
      <c r="FU61" s="209"/>
      <c r="FV61" s="209"/>
      <c r="FW61" s="209"/>
      <c r="FX61" s="209"/>
      <c r="FY61" s="209"/>
      <c r="FZ61" s="209"/>
      <c r="GA61" s="209"/>
      <c r="GB61" s="209"/>
      <c r="GC61" s="209"/>
      <c r="GD61" s="209"/>
      <c r="GE61" s="209"/>
      <c r="GF61" s="209"/>
      <c r="GG61" s="209"/>
      <c r="GH61" s="209"/>
      <c r="GI61" s="209"/>
      <c r="GJ61" s="209"/>
      <c r="GK61" s="209"/>
      <c r="GL61" s="209"/>
      <c r="GM61" s="209"/>
      <c r="GN61" s="209"/>
      <c r="GO61" s="209"/>
      <c r="GP61" s="209"/>
      <c r="GQ61" s="209"/>
      <c r="GR61" s="209"/>
      <c r="GS61" s="209"/>
      <c r="GT61" s="209"/>
      <c r="GU61" s="209"/>
      <c r="GV61" s="209"/>
      <c r="GW61" s="209"/>
      <c r="GX61" s="209"/>
      <c r="GY61" s="209"/>
      <c r="GZ61" s="209"/>
      <c r="HA61" s="209"/>
      <c r="HB61" s="209"/>
      <c r="HC61" s="209"/>
      <c r="HD61" s="209"/>
      <c r="HE61" s="209"/>
      <c r="HF61" s="209"/>
      <c r="HG61" s="209"/>
      <c r="HH61" s="209"/>
      <c r="HI61" s="209"/>
      <c r="HJ61" s="209"/>
      <c r="HK61" s="209"/>
      <c r="HL61" s="209"/>
      <c r="HM61" s="209"/>
      <c r="HN61" s="209"/>
      <c r="HO61" s="209"/>
      <c r="HP61" s="209"/>
      <c r="HQ61" s="209"/>
      <c r="HR61" s="209"/>
      <c r="HS61" s="209"/>
      <c r="HT61" s="209"/>
      <c r="HU61" s="209"/>
      <c r="HV61" s="209"/>
      <c r="HW61" s="209"/>
      <c r="HX61" s="209"/>
      <c r="HY61" s="209"/>
      <c r="HZ61" s="209"/>
      <c r="IA61" s="209"/>
      <c r="IB61" s="209"/>
      <c r="IC61" s="209"/>
      <c r="ID61" s="209"/>
      <c r="IE61" s="209"/>
      <c r="IF61" s="209"/>
      <c r="IG61" s="209"/>
      <c r="IH61" s="209"/>
      <c r="II61" s="209"/>
      <c r="IJ61" s="209"/>
      <c r="IK61" s="209"/>
      <c r="IL61" s="209"/>
      <c r="IM61" s="209"/>
      <c r="IN61" s="209"/>
      <c r="IO61" s="209"/>
      <c r="IP61" s="209"/>
      <c r="IQ61" s="209"/>
      <c r="IR61" s="209"/>
      <c r="IS61" s="209"/>
      <c r="IT61" s="209"/>
      <c r="IU61" s="209"/>
      <c r="IV61" s="209"/>
      <c r="IW61" s="209"/>
      <c r="IX61" s="209"/>
    </row>
    <row r="62" s="209" customFormat="true" ht="17.4" hidden="false" customHeight="false" outlineLevel="0" collapsed="false">
      <c r="A62" s="99"/>
      <c r="B62" s="31"/>
      <c r="C62" s="30"/>
      <c r="D62" s="85" t="s">
        <v>134</v>
      </c>
      <c r="E62" s="217" t="n">
        <f aca="false">IF(AND($F$2="No",$F$3="No"),SUM(J62:K62),IF(AND($F$2="Yes", $F$3="No"), SUM(J62:K62)+Q62, IF(AND($F$2="No", $F$3="Yes"),SUM(J62:K62)+P62, SUM(J62:K62)+Q62+P62)))</f>
        <v>0.0399894869629571</v>
      </c>
      <c r="F62" s="89" t="n">
        <f aca="false">IF(AND($F$2="No",$F$3="No"),SUM(H62:O62),IF(AND($F$2="Yes", $F$3="No"), SUM(H62:O62)+Q62, IF(AND($F$2="No", $F$3="Yes"),SUM(H62:O62)+P62, SUM(H62:O62)+Q62+P62)))</f>
        <v>0.0971435272767151</v>
      </c>
      <c r="G62" s="88" t="n">
        <f aca="false">SUM(S62:U62)/(1-'Common input data'!$B$121)</f>
        <v>0.450105653749511</v>
      </c>
      <c r="H62" s="87" t="n">
        <f aca="false">('Input data plant-based products'!$F$34*('Common input data'!$C$76*'Common input data'!B69+'Common input data'!$C$77*'Common input data'!C69))/'Input data plant-based products'!$E$34</f>
        <v>0.00805933219080649</v>
      </c>
      <c r="I62" s="89" t="n">
        <f aca="false">'Common input data'!$B$81</f>
        <v>0.03</v>
      </c>
      <c r="J62" s="87" t="n">
        <v>0</v>
      </c>
      <c r="K62" s="87" t="n">
        <v>0</v>
      </c>
      <c r="L62" s="87" t="n">
        <f aca="false">('Input data plant-based products'!$I$34*'Common input data'!$C$59*'Common input data'!H49)/'Input data plant-based products'!$E$34</f>
        <v>0.0124280414562849</v>
      </c>
      <c r="M62" s="89" t="n">
        <v>0</v>
      </c>
      <c r="N62" s="89" t="n">
        <f aca="false">AVERAGE(N42,N50,N54)</f>
        <v>0.00666666666666667</v>
      </c>
      <c r="O62" s="87" t="n">
        <v>0</v>
      </c>
      <c r="P62" s="89" t="n">
        <f aca="false">'Common input data'!E$13</f>
        <v>0.0399894869629571</v>
      </c>
      <c r="Q62" s="89" t="n">
        <v>0</v>
      </c>
      <c r="R62" s="89" t="n">
        <v>0</v>
      </c>
      <c r="S62" s="89" t="n">
        <f aca="false">(F62+R62)</f>
        <v>0.0971435272767151</v>
      </c>
      <c r="T62" s="89" t="n">
        <f aca="false">'Common input data'!$B$88</f>
        <v>0.05</v>
      </c>
      <c r="U62" s="89" t="n">
        <f aca="false">'Common input data'!B102+'Common input data'!C102</f>
        <v>0.23</v>
      </c>
      <c r="V62" s="309"/>
      <c r="W62" s="92"/>
      <c r="Z62" s="30"/>
    </row>
    <row r="63" s="209" customFormat="true" ht="17.4" hidden="false" customHeight="false" outlineLevel="0" collapsed="false">
      <c r="A63" s="74"/>
      <c r="B63" s="31"/>
      <c r="C63" s="93"/>
      <c r="D63" s="85" t="s">
        <v>135</v>
      </c>
      <c r="E63" s="217" t="n">
        <f aca="false">SUM(J63:K63)</f>
        <v>0</v>
      </c>
      <c r="F63" s="89" t="n">
        <f aca="false">SUM(H63:O63)</f>
        <v>5.50523883001701E-006</v>
      </c>
      <c r="G63" s="88" t="n">
        <f aca="false">SUM(S63:U63)/(1-'Common input data'!$B$121)</f>
        <v>6.57028145365438E-006</v>
      </c>
      <c r="H63" s="87" t="n">
        <f aca="false">('Input data plant-based products'!$F$34*('Common input data'!$C$76*'Common input data'!B70+'Common input data'!$C$77*'Common input data'!C70))/'Input data plant-based products'!$E$34</f>
        <v>3.55347738507792E-011</v>
      </c>
      <c r="I63" s="89" t="n">
        <v>0</v>
      </c>
      <c r="J63" s="87" t="n">
        <v>0</v>
      </c>
      <c r="K63" s="87" t="n">
        <v>0</v>
      </c>
      <c r="L63" s="87" t="n">
        <f aca="false">('Input data plant-based products'!$I$34*'Common input data'!$C$59*'Common input data'!H50)/'Input data plant-based products'!$E$34</f>
        <v>5.50520329524316E-006</v>
      </c>
      <c r="M63" s="89" t="n">
        <v>0</v>
      </c>
      <c r="N63" s="89" t="n">
        <v>0</v>
      </c>
      <c r="O63" s="87" t="n">
        <v>0</v>
      </c>
      <c r="P63" s="87" t="n">
        <v>0</v>
      </c>
      <c r="Q63" s="89" t="n">
        <v>0</v>
      </c>
      <c r="R63" s="89" t="n">
        <v>0</v>
      </c>
      <c r="S63" s="89" t="n">
        <f aca="false">(F63+R63)</f>
        <v>5.50523883001701E-006</v>
      </c>
      <c r="T63" s="89" t="n">
        <v>0</v>
      </c>
      <c r="U63" s="89" t="n">
        <v>0</v>
      </c>
      <c r="V63" s="309"/>
      <c r="W63" s="92"/>
      <c r="Z63" s="30"/>
    </row>
    <row r="64" s="209" customFormat="true" ht="17.4" hidden="false" customHeight="false" outlineLevel="0" collapsed="false">
      <c r="A64" s="100"/>
      <c r="B64" s="101"/>
      <c r="C64" s="87"/>
      <c r="D64" s="31" t="s">
        <v>136</v>
      </c>
      <c r="E64" s="219" t="n">
        <f aca="false">SUM(J64:K64)</f>
        <v>7.84605597869492E-005</v>
      </c>
      <c r="F64" s="126" t="n">
        <f aca="false">SUM(H64:O64)</f>
        <v>0.000122816551485484</v>
      </c>
      <c r="G64" s="106" t="n">
        <f aca="false">SUM(S64:U64)/(1-'Common input data'!$B$121)</f>
        <v>0.000146576621894598</v>
      </c>
      <c r="H64" s="87" t="n">
        <f aca="false">('Input data plant-based products'!$F$34*('Common input data'!$C$76*'Common input data'!B71+'Common input data'!$C$77*'Common input data'!C71))/'Input data plant-based products'!$E$34</f>
        <v>4.40220453791084E-005</v>
      </c>
      <c r="I64" s="87" t="n">
        <v>0</v>
      </c>
      <c r="J64" s="87" t="n">
        <f aca="false">(SUM('Input data plant-based products'!F34:H34)*'Input data plant-based products'!$B$114*44/28)/'Input data plant-based products'!E34</f>
        <v>7.13277816244993E-005</v>
      </c>
      <c r="K64" s="89" t="n">
        <f aca="false">J64*'Input data plant-based products'!$B$115</f>
        <v>7.13277816244993E-006</v>
      </c>
      <c r="L64" s="87" t="n">
        <f aca="false">('Input data plant-based products'!$I$34*'Common input data'!$C$59*'Common input data'!H51)/'Input data plant-based products'!$E$34</f>
        <v>3.3394631942599E-007</v>
      </c>
      <c r="M64" s="89" t="n">
        <v>0</v>
      </c>
      <c r="N64" s="89" t="n">
        <v>0</v>
      </c>
      <c r="O64" s="87" t="n">
        <v>0</v>
      </c>
      <c r="P64" s="87" t="n">
        <v>0</v>
      </c>
      <c r="Q64" s="89" t="n">
        <v>0</v>
      </c>
      <c r="R64" s="89" t="n">
        <v>0</v>
      </c>
      <c r="S64" s="89" t="n">
        <f aca="false">(F64+R64)</f>
        <v>0.000122816551485484</v>
      </c>
      <c r="T64" s="89" t="n">
        <v>0</v>
      </c>
      <c r="U64" s="89" t="n">
        <v>0</v>
      </c>
      <c r="V64" s="309"/>
      <c r="W64" s="92"/>
      <c r="Z64" s="30"/>
    </row>
    <row r="65" s="209" customFormat="true" ht="17.4" hidden="false" customHeight="false" outlineLevel="0" collapsed="false">
      <c r="A65" s="107" t="s">
        <v>294</v>
      </c>
      <c r="B65" s="108"/>
      <c r="C65" s="69"/>
      <c r="D65" s="109"/>
      <c r="E65" s="110" t="s">
        <v>295</v>
      </c>
      <c r="F65" s="111" t="s">
        <v>295</v>
      </c>
      <c r="G65" s="112" t="s">
        <v>295</v>
      </c>
      <c r="H65" s="69"/>
      <c r="I65" s="69"/>
      <c r="J65" s="69"/>
      <c r="K65" s="113"/>
      <c r="L65" s="113"/>
      <c r="M65" s="114"/>
      <c r="N65" s="113"/>
      <c r="O65" s="113"/>
      <c r="P65" s="113"/>
      <c r="Q65" s="113"/>
      <c r="R65" s="113"/>
      <c r="S65" s="113"/>
      <c r="T65" s="113"/>
      <c r="U65" s="113"/>
      <c r="V65" s="309"/>
      <c r="W65" s="92"/>
      <c r="Z65" s="30"/>
    </row>
    <row r="66" s="209" customFormat="true" ht="17.4" hidden="false" customHeight="false" outlineLevel="0" collapsed="false">
      <c r="A66" s="330" t="s">
        <v>272</v>
      </c>
      <c r="B66" s="76"/>
      <c r="C66" s="188" t="n">
        <f aca="false">SUM(C70:C89)</f>
        <v>1</v>
      </c>
      <c r="D66" s="78" t="s">
        <v>133</v>
      </c>
      <c r="E66" s="79" t="n">
        <f aca="false">IF($F$1="GWP100 without fb",E67+E68*'Common input data'!$C$5+E69*'Common input data'!$D$5,IF($F$1="GWP100 with fb",E67+E68*'Common input data'!$C$6+E69*'Common input data'!$D$6,IF($F$1="GTP100 without fb",E67+E68*'Common input data'!$C$7+E69*'Common input data'!$D$7,IF($F$1="GTP100 with fb",E67+E68*'Common input data'!$C$8+E69*'Common input data'!$D$8,E67+E68*'Common input data'!$C$9+E69*'Common input data'!$D$9))))</f>
        <v>0.0258459357775535</v>
      </c>
      <c r="F66" s="80" t="n">
        <f aca="false">IF($F$1="GWP100 without fb",F67+F68*'Common input data'!$C$5+F69*'Common input data'!$D$5,IF($F$1="GWP100 with fb",F67+F68*'Common input data'!$C$6+F69*'Common input data'!$D$6,IF($F$1="GTP100 without fb",F67+F68*'Common input data'!$C$7+F69*'Common input data'!$D$7,IF($F$1="GTP100 with fb",F67+F68*'Common input data'!$C$8+F69*'Common input data'!$D$8,F67+F68*'Common input data'!$C$9+F69*'Common input data'!$D$9))))</f>
        <v>1.73552231069284</v>
      </c>
      <c r="G66" s="81" t="n">
        <f aca="false">IF($F$1="GWP100 without fb",G67+G68*'Common input data'!$C$5+G69*'Common input data'!$D$5,IF($F$1="GWP100 with fb",G67+G68*'Common input data'!$C$6+G69*'Common input data'!$D$6,IF($F$1="GTP100 without fb",G67+G68*'Common input data'!$C$7+G69*'Common input data'!$D$7,IF($F$1="GTP100 with fb",G67+G68*'Common input data'!$C$8+G69*'Common input data'!$D$8,G67+G68*'Common input data'!$C$9+G69*'Common input data'!$D$9))))</f>
        <v>2.33372822906783</v>
      </c>
      <c r="H66" s="95"/>
      <c r="I66" s="97"/>
      <c r="J66" s="97"/>
      <c r="K66" s="83"/>
      <c r="L66" s="83"/>
      <c r="M66" s="83"/>
      <c r="N66" s="83"/>
      <c r="O66" s="83"/>
      <c r="P66" s="83"/>
      <c r="Q66" s="83"/>
      <c r="R66" s="83"/>
      <c r="S66" s="83"/>
      <c r="T66" s="83"/>
      <c r="U66" s="83"/>
      <c r="V66" s="309"/>
      <c r="W66" s="92"/>
      <c r="Z66" s="30"/>
    </row>
    <row r="67" s="209" customFormat="true" ht="17.4" hidden="false" customHeight="false" outlineLevel="0" collapsed="false">
      <c r="A67" s="315"/>
      <c r="B67" s="31"/>
      <c r="C67" s="30"/>
      <c r="D67" s="85" t="s">
        <v>134</v>
      </c>
      <c r="E67" s="217" t="n">
        <f aca="false">E71*$C$70+E75*$C$74+$C$78*E79+$C$82*E83+$C$86*E87</f>
        <v>0.00958192157867543</v>
      </c>
      <c r="F67" s="89" t="n">
        <f aca="false">F71*$C$70+F75*$C$74+$C$78*F79+$C$82*F83+$C$86*F87</f>
        <v>1.4744425317806</v>
      </c>
      <c r="G67" s="88" t="n">
        <f aca="false">G71*$C$70+G75*$C$74+$C$78*G79+$C$82*G83+$C$86*G87</f>
        <v>2.02213999788006</v>
      </c>
      <c r="H67" s="89" t="n">
        <f aca="false">H71*$C$70+H75*$C$74+$C$78*H79+$C$82*H83+$C$86*H87</f>
        <v>0.00730326451083923</v>
      </c>
      <c r="I67" s="89" t="n">
        <f aca="false">I71*$C$70+I75*$C$74+$C$78*I79+$C$82*I83+$C$86*I87</f>
        <v>0.03</v>
      </c>
      <c r="J67" s="89" t="n">
        <f aca="false">J71*$C$70+J75*$C$74+$C$78*J79+$C$82*J83+$C$86*J87</f>
        <v>0</v>
      </c>
      <c r="K67" s="89" t="n">
        <f aca="false">K71*$C$70+K75*$C$74+$C$78*K79+$C$82*K83+$C$86*K87</f>
        <v>0</v>
      </c>
      <c r="L67" s="89" t="n">
        <f aca="false">L71*$C$70+L75*$C$74+$C$78*L79+$C$82*L83+$C$86*L87</f>
        <v>0.00189671422874934</v>
      </c>
      <c r="M67" s="89" t="n">
        <f aca="false">M71*$C$70+M75*$C$74+$C$78*M79+$C$82*M83+$C$86*M87</f>
        <v>1.42223183902138</v>
      </c>
      <c r="N67" s="89" t="n">
        <f aca="false">N71*$C$70+N75*$C$74+$C$78*N79+$C$82*N83+$C$86*N87</f>
        <v>0.0075729159757408</v>
      </c>
      <c r="O67" s="89" t="n">
        <f aca="false">O71*$C$70+O75*$C$74+$C$78*O79+$C$82*O83+$C$86*O87</f>
        <v>0</v>
      </c>
      <c r="P67" s="89" t="n">
        <f aca="false">P71*$C$70+P75*$C$74+$C$78*P79+$C$82*P83+$C$86*P87</f>
        <v>0.00958192157867543</v>
      </c>
      <c r="Q67" s="89" t="n">
        <f aca="false">Q71*$C$70+Q75*$C$74+$C$78*Q79+$C$82*Q83+$C$86*Q87</f>
        <v>0</v>
      </c>
      <c r="R67" s="89" t="n">
        <f aca="false">R71*$C$70+R75*$C$74+$C$78*R79+$C$82*R83+$C$86*R87</f>
        <v>0</v>
      </c>
      <c r="S67" s="89" t="n">
        <f aca="false">S71*$C$70+S75*$C$74+$C$78*S79+$C$82*S83+$C$86*S87</f>
        <v>1.4744425317806</v>
      </c>
      <c r="T67" s="89" t="n">
        <f aca="false">T71*$C$70+T75*$C$74+$C$78*T79+$C$82*T83+$C$86*T87</f>
        <v>0.05</v>
      </c>
      <c r="U67" s="89" t="n">
        <f aca="false">U71*$C$70+U75*$C$74+$C$78*U79+$C$82*U83+$C$86*U87</f>
        <v>0.169908572443096</v>
      </c>
      <c r="V67" s="309"/>
      <c r="W67" s="92"/>
      <c r="Z67" s="30"/>
    </row>
    <row r="68" s="209" customFormat="true" ht="17.4" hidden="false" customHeight="false" outlineLevel="0" collapsed="false">
      <c r="A68" s="315"/>
      <c r="B68" s="31"/>
      <c r="C68" s="93"/>
      <c r="D68" s="85" t="s">
        <v>135</v>
      </c>
      <c r="E68" s="217" t="n">
        <f aca="false">E72*$C$70+E76*$C$74+$C$78*E80+$C$82*E84+$C$86*E88</f>
        <v>0</v>
      </c>
      <c r="F68" s="89" t="n">
        <f aca="false">F72*$C$70+F76*$C$74+$C$78*F80+$C$82*F84+$C$86*F88</f>
        <v>0.00642247843741488</v>
      </c>
      <c r="G68" s="88" t="n">
        <f aca="false">G72*$C$70+G76*$C$74+$C$78*G80+$C$82*G84+$C$86*G88</f>
        <v>0.00766497008881117</v>
      </c>
      <c r="H68" s="89" t="n">
        <f aca="false">H72*$C$70+H76*$C$74+$C$78*H80+$C$82*H84+$C$86*H88</f>
        <v>3.22011609176671E-011</v>
      </c>
      <c r="I68" s="89" t="n">
        <f aca="false">I72*$C$70+I76*$C$74+$C$78*I80+$C$82*I84+$C$86*I88</f>
        <v>0</v>
      </c>
      <c r="J68" s="89" t="n">
        <f aca="false">J72*$C$70+J76*$C$74+$C$78*J80+$C$82*J84+$C$86*J88</f>
        <v>0</v>
      </c>
      <c r="K68" s="89" t="n">
        <f aca="false">K72*$C$70+K76*$C$74+$C$78*K80+$C$82*K84+$C$86*K88</f>
        <v>0</v>
      </c>
      <c r="L68" s="89" t="n">
        <f aca="false">L72*$C$70+L76*$C$74+$C$78*L80+$C$82*L84+$C$86*L88</f>
        <v>8.40180446691785E-007</v>
      </c>
      <c r="M68" s="89" t="n">
        <f aca="false">M72*$C$70+M76*$C$74+$C$78*M80+$C$82*M84+$C$86*M88</f>
        <v>0.00642163822476703</v>
      </c>
      <c r="N68" s="89" t="n">
        <f aca="false">N72*$C$70+N76*$C$74+$C$78*N80+$C$82*N84+$C$86*N88</f>
        <v>0</v>
      </c>
      <c r="O68" s="89" t="n">
        <f aca="false">O72*$C$70+O76*$C$74+$C$78*O80+$C$82*O84+$C$86*O88</f>
        <v>0</v>
      </c>
      <c r="P68" s="89" t="n">
        <f aca="false">P72*$C$70+P76*$C$74+$C$78*P80+$C$82*P84+$C$86*P88</f>
        <v>0</v>
      </c>
      <c r="Q68" s="89" t="n">
        <f aca="false">Q72*$C$70+Q76*$C$74+$C$78*Q80+$C$82*Q84+$C$86*Q88</f>
        <v>0</v>
      </c>
      <c r="R68" s="89" t="n">
        <f aca="false">R72*$C$70+R76*$C$74+$C$78*R80+$C$82*R84+$C$86*R88</f>
        <v>0</v>
      </c>
      <c r="S68" s="89" t="n">
        <f aca="false">S72*$C$70+S76*$C$74+$C$78*S80+$C$82*S84+$C$86*S88</f>
        <v>0.00642247843741488</v>
      </c>
      <c r="T68" s="89" t="n">
        <f aca="false">T72*$C$70+T76*$C$74+$C$78*T80+$C$82*T84+$C$86*T88</f>
        <v>0</v>
      </c>
      <c r="U68" s="89" t="n">
        <f aca="false">U72*$C$70+U76*$C$74+$C$78*U80+$C$82*U84+$C$86*U88</f>
        <v>0</v>
      </c>
      <c r="V68" s="309"/>
      <c r="W68" s="92"/>
      <c r="Z68" s="30"/>
    </row>
    <row r="69" s="209" customFormat="true" ht="17.4" hidden="false" customHeight="false" outlineLevel="0" collapsed="false">
      <c r="A69" s="74"/>
      <c r="B69" s="101"/>
      <c r="C69" s="87"/>
      <c r="D69" s="31" t="s">
        <v>136</v>
      </c>
      <c r="E69" s="217" t="n">
        <f aca="false">E73*$C$70+E77*$C$74+$C$78*E81+$C$82*E85+$C$86*E89</f>
        <v>5.45772288552956E-005</v>
      </c>
      <c r="F69" s="89" t="n">
        <f aca="false">F73*$C$70+F77*$C$74+$C$78*F81+$C$82*F85+$C$86*F89</f>
        <v>0.000143340644429965</v>
      </c>
      <c r="G69" s="88" t="n">
        <f aca="false">G73*$C$70+G77*$C$74+$C$78*G81+$C$82*G85+$C$86*G89</f>
        <v>0.000171071302577832</v>
      </c>
      <c r="H69" s="89" t="n">
        <f aca="false">H73*$C$70+H77*$C$74+$C$78*H81+$C$82*H85+$C$86*H89</f>
        <v>3.98922186230946E-005</v>
      </c>
      <c r="I69" s="89" t="n">
        <f aca="false">I73*$C$70+I77*$C$74+$C$78*I81+$C$82*I85+$C$86*I89</f>
        <v>0</v>
      </c>
      <c r="J69" s="89" t="n">
        <f aca="false">J73*$C$70+J77*$C$74+$C$78*J81+$C$82*J85+$C$86*J89</f>
        <v>5.15109704459498E-005</v>
      </c>
      <c r="K69" s="89" t="n">
        <f aca="false">K73*$C$70+K77*$C$74+$C$78*K81+$C$82*K85+$C$86*K89</f>
        <v>3.06625840934586E-006</v>
      </c>
      <c r="L69" s="89" t="n">
        <f aca="false">L73*$C$70+L77*$C$74+$C$78*L81+$C$82*L85+$C$86*L89</f>
        <v>5.09654508251931E-008</v>
      </c>
      <c r="M69" s="89" t="n">
        <f aca="false">M73*$C$70+M77*$C$74+$C$78*M81+$C$82*M85+$C$86*M89</f>
        <v>4.88202315007499E-005</v>
      </c>
      <c r="N69" s="89" t="n">
        <f aca="false">N73*$C$70+N77*$C$74+$C$78*N81+$C$82*N85+$C$86*N89</f>
        <v>0</v>
      </c>
      <c r="O69" s="89" t="n">
        <f aca="false">O73*$C$70+O77*$C$74+$C$78*O81+$C$82*O85+$C$86*O89</f>
        <v>0</v>
      </c>
      <c r="P69" s="89" t="n">
        <f aca="false">P73*$C$70+P77*$C$74+$C$78*P81+$C$82*P85+$C$86*P89</f>
        <v>0</v>
      </c>
      <c r="Q69" s="89" t="n">
        <f aca="false">Q73*$C$70+Q77*$C$74+$C$78*Q81+$C$82*Q85+$C$86*Q89</f>
        <v>0</v>
      </c>
      <c r="R69" s="89" t="n">
        <f aca="false">R73*$C$70+R77*$C$74+$C$78*R81+$C$82*R85+$C$86*R89</f>
        <v>0</v>
      </c>
      <c r="S69" s="89" t="n">
        <f aca="false">S73*$C$70+S77*$C$74+$C$78*S81+$C$82*S85+$C$86*S89</f>
        <v>0.000143340644429965</v>
      </c>
      <c r="T69" s="89" t="n">
        <f aca="false">T73*$C$70+T77*$C$74+$C$78*T81+$C$82*T85+$C$86*T89</f>
        <v>0</v>
      </c>
      <c r="U69" s="89" t="n">
        <f aca="false">U73*$C$70+U77*$C$74+$C$78*U81+$C$82*U85+$C$86*U89</f>
        <v>0</v>
      </c>
      <c r="V69" s="309"/>
      <c r="W69" s="92"/>
      <c r="Z69" s="30"/>
    </row>
    <row r="70" s="209" customFormat="true" ht="17.4" hidden="false" customHeight="false" outlineLevel="0" collapsed="false">
      <c r="A70" s="330" t="s">
        <v>187</v>
      </c>
      <c r="B70" s="331" t="s">
        <v>291</v>
      </c>
      <c r="C70" s="185" t="n">
        <f aca="false">'Input data plant-based products'!D61</f>
        <v>0.600914275569035</v>
      </c>
      <c r="D70" s="78" t="s">
        <v>133</v>
      </c>
      <c r="E70" s="94" t="n">
        <f aca="false">IF($F$1="GWP100 without fb",E71+E72*'Common input data'!$C$5+E73*'Common input data'!$D$5,IF($F$1="GWP100 with fb",E71+E72*'Common input data'!$C$6+E73*'Common input data'!$D$6,IF($F$1="GTP100 without fb",E71+E72*'Common input data'!$C$7+E73*'Common input data'!$D$7,IF($F$1="GTP100 with fb",E71+E72*'Common input data'!$C$8+E73*'Common input data'!$D$8,E71+E72*'Common input data'!$C$9+E73*'Common input data'!$D$9))))</f>
        <v>0.00983123078420843</v>
      </c>
      <c r="F70" s="95" t="n">
        <f aca="false">IF($F$1="GWP100 without fb",F71+F72*'Common input data'!$C$5+F73*'Common input data'!$D$5,IF($F$1="GWP100 with fb",F71+F72*'Common input data'!$C$6+F73*'Common input data'!$D$6,IF($F$1="GTP100 without fb",F71+F72*'Common input data'!$C$7+F73*'Common input data'!$D$7,IF($F$1="GTP100 with fb",F71+F72*'Common input data'!$C$8+F73*'Common input data'!$D$8,F71+F72*'Common input data'!$C$9+F73*'Common input data'!$D$9))))</f>
        <v>2.71826561712891</v>
      </c>
      <c r="G70" s="96" t="n">
        <f aca="false">IF($F$1="GWP100 without fb",G71+G72*'Common input data'!$C$5+G73*'Common input data'!$D$5,IF($F$1="GWP100 with fb",G71+G72*'Common input data'!$C$6+G73*'Common input data'!$D$6,IF($F$1="GTP100 without fb",G71+G72*'Common input data'!$C$7+G73*'Common input data'!$D$7,IF($F$1="GTP100 with fb",G71+G72*'Common input data'!$C$8+G73*'Common input data'!$D$8,G71+G72*'Common input data'!$C$9+G73*'Common input data'!$D$9))))</f>
        <v>3.45896361991754</v>
      </c>
      <c r="H70" s="83"/>
      <c r="I70" s="83"/>
      <c r="J70" s="83"/>
      <c r="K70" s="83"/>
      <c r="L70" s="83"/>
      <c r="M70" s="83"/>
      <c r="N70" s="83"/>
      <c r="O70" s="83"/>
      <c r="P70" s="83"/>
      <c r="Q70" s="83"/>
      <c r="R70" s="83"/>
      <c r="S70" s="83"/>
      <c r="T70" s="83"/>
      <c r="U70" s="83"/>
      <c r="V70" s="309"/>
      <c r="W70" s="92"/>
      <c r="Z70" s="30"/>
    </row>
    <row r="71" s="209" customFormat="true" ht="17.4" hidden="false" customHeight="false" outlineLevel="0" collapsed="false">
      <c r="A71" s="315"/>
      <c r="B71" s="30"/>
      <c r="C71" s="30"/>
      <c r="D71" s="85" t="s">
        <v>134</v>
      </c>
      <c r="E71" s="217" t="n">
        <f aca="false">IF(AND($F$2="No",$F$3="No"),SUM(J71:K71),IF(AND($F$2="Yes", $F$3="No"), SUM(J71:K71)+Q71, IF(AND($F$2="No", $F$3="Yes"),SUM(J71:K71)+P71, SUM(J71:K71)+Q71+P71)))</f>
        <v>0</v>
      </c>
      <c r="F71" s="89" t="n">
        <f aca="false">IF(AND($F$2="No",$F$3="No"),SUM(H71:O71),IF(AND($F$2="Yes", $F$3="No"), SUM(H71:O71)+Q71, IF(AND($F$2="No", $F$3="Yes"),SUM(H71:O71)+P71, SUM(H71:O71)+Q71+P71)))</f>
        <v>2.32452103991698</v>
      </c>
      <c r="G71" s="88" t="n">
        <f aca="false">SUM(S71:U71)/(1-'Common input data'!$B$121)</f>
        <v>2.98904527976725</v>
      </c>
      <c r="H71" s="89" t="n">
        <f aca="false">('Input data plant-based products'!$F$61*('Common input data'!$C$76*'Common input data'!B69+'Common input data'!$C$77*'Common input data'!C69))/'Input data plant-based products'!$E$61</f>
        <v>0.0055981739493815</v>
      </c>
      <c r="I71" s="89" t="n">
        <f aca="false">'Common input data'!$B$81</f>
        <v>0.03</v>
      </c>
      <c r="J71" s="89" t="n">
        <v>0</v>
      </c>
      <c r="K71" s="89" t="n">
        <v>0</v>
      </c>
      <c r="L71" s="89" t="n">
        <v>0</v>
      </c>
      <c r="M71" s="89" t="n">
        <f aca="false">'Input data plant-based products'!M143/'Input data plant-based products'!E$61*'Common input data'!D$35</f>
        <v>2.2889228659676</v>
      </c>
      <c r="N71" s="89" t="n">
        <v>0</v>
      </c>
      <c r="O71" s="89" t="n">
        <v>0</v>
      </c>
      <c r="P71" s="89" t="n">
        <v>0</v>
      </c>
      <c r="Q71" s="89" t="n">
        <v>0</v>
      </c>
      <c r="R71" s="89" t="n">
        <v>0</v>
      </c>
      <c r="S71" s="89" t="n">
        <f aca="false">(F71+R71)</f>
        <v>2.32452103991698</v>
      </c>
      <c r="T71" s="89" t="n">
        <f aca="false">'Common input data'!$B$88</f>
        <v>0.05</v>
      </c>
      <c r="U71" s="89" t="n">
        <f aca="false">'Common input data'!B99+'Common input data'!C99</f>
        <v>0.13</v>
      </c>
      <c r="V71" s="309"/>
      <c r="W71" s="92"/>
      <c r="Z71" s="30"/>
    </row>
    <row r="72" s="209" customFormat="true" ht="17.4" hidden="false" customHeight="false" outlineLevel="0" collapsed="false">
      <c r="A72" s="315"/>
      <c r="B72" s="30"/>
      <c r="C72" s="93"/>
      <c r="D72" s="85" t="s">
        <v>135</v>
      </c>
      <c r="E72" s="217" t="n">
        <f aca="false">SUM(J72:K72)</f>
        <v>0</v>
      </c>
      <c r="F72" s="89" t="n">
        <f aca="false">SUM(H72:O72)</f>
        <v>0.010334907573761</v>
      </c>
      <c r="G72" s="88" t="n">
        <f aca="false">SUM(S72:U72)/(1-'Common input data'!$B$121)</f>
        <v>0.0123342971401849</v>
      </c>
      <c r="H72" s="89" t="n">
        <f aca="false">('Input data plant-based products'!$F$61*('Common input data'!$C$76*'Common input data'!B70+'Common input data'!$C$77*'Common input data'!C70))/'Input data plant-based products'!$E$61</f>
        <v>2.46831673591418E-011</v>
      </c>
      <c r="I72" s="89" t="n">
        <v>0</v>
      </c>
      <c r="J72" s="89" t="n">
        <v>0</v>
      </c>
      <c r="K72" s="89" t="n">
        <v>0</v>
      </c>
      <c r="L72" s="89" t="n">
        <v>0</v>
      </c>
      <c r="M72" s="89" t="n">
        <f aca="false">'Input data plant-based products'!N143/'Input data plant-based products'!E$61*'Common input data'!D$35</f>
        <v>0.0103349075490778</v>
      </c>
      <c r="N72" s="89" t="n">
        <v>0</v>
      </c>
      <c r="O72" s="89" t="n">
        <v>0</v>
      </c>
      <c r="P72" s="89" t="n">
        <v>0</v>
      </c>
      <c r="Q72" s="89" t="n">
        <v>0</v>
      </c>
      <c r="R72" s="89" t="n">
        <v>0</v>
      </c>
      <c r="S72" s="89" t="n">
        <f aca="false">(F72+R72)</f>
        <v>0.010334907573761</v>
      </c>
      <c r="T72" s="89" t="n">
        <v>0</v>
      </c>
      <c r="U72" s="89" t="n">
        <v>0</v>
      </c>
      <c r="V72" s="309"/>
      <c r="W72" s="92"/>
      <c r="Z72" s="30"/>
    </row>
    <row r="73" s="209" customFormat="true" ht="17.4" hidden="false" customHeight="false" outlineLevel="0" collapsed="false">
      <c r="A73" s="74"/>
      <c r="B73" s="30"/>
      <c r="C73" s="87"/>
      <c r="D73" s="31" t="s">
        <v>136</v>
      </c>
      <c r="E73" s="217" t="n">
        <f aca="false">SUM(J73:K73)</f>
        <v>3.29907073295585E-005</v>
      </c>
      <c r="F73" s="89" t="n">
        <f aca="false">SUM(H73:O73)</f>
        <v>0.000142139999006897</v>
      </c>
      <c r="G73" s="88" t="n">
        <f aca="false">SUM(S73:U73)/(1-'Common input data'!$B$121)</f>
        <v>0.000169638380483228</v>
      </c>
      <c r="H73" s="89" t="n">
        <f aca="false">('Input data plant-based products'!$F$61*('Common input data'!$C$76*'Common input data'!B71+'Common input data'!$C$77*'Common input data'!C71))/'Input data plant-based products'!$E$61</f>
        <v>3.05785965642339E-005</v>
      </c>
      <c r="I73" s="89" t="n">
        <v>0</v>
      </c>
      <c r="J73" s="89" t="n">
        <f aca="false">(SUM('Input data plant-based products'!F61:H61)*'Input data plant-based products'!$B$114*44/28)/'Input data plant-based products'!E61</f>
        <v>3.29907073295585E-005</v>
      </c>
      <c r="K73" s="89" t="n">
        <f aca="false">J73*'Input data plant-based products'!$B$115*(1-'Input data plant-based products'!L143)</f>
        <v>0</v>
      </c>
      <c r="L73" s="89" t="n">
        <v>0</v>
      </c>
      <c r="M73" s="89" t="n">
        <f aca="false">'Input data plant-based products'!O143/'Input data plant-based products'!E$61*'Common input data'!D$35</f>
        <v>7.85706951131043E-005</v>
      </c>
      <c r="N73" s="89" t="n">
        <v>0</v>
      </c>
      <c r="O73" s="89" t="n">
        <v>0</v>
      </c>
      <c r="P73" s="89" t="n">
        <v>0</v>
      </c>
      <c r="Q73" s="89" t="n">
        <v>0</v>
      </c>
      <c r="R73" s="89" t="n">
        <v>0</v>
      </c>
      <c r="S73" s="89" t="n">
        <f aca="false">(F73+R73)</f>
        <v>0.000142139999006897</v>
      </c>
      <c r="T73" s="89" t="n">
        <v>0</v>
      </c>
      <c r="U73" s="89" t="n">
        <v>0</v>
      </c>
      <c r="V73" s="309"/>
      <c r="W73" s="92"/>
      <c r="Z73" s="30"/>
    </row>
    <row r="74" s="209" customFormat="true" ht="17.4" hidden="false" customHeight="false" outlineLevel="0" collapsed="false">
      <c r="A74" s="330" t="s">
        <v>285</v>
      </c>
      <c r="B74" s="331" t="s">
        <v>291</v>
      </c>
      <c r="C74" s="185" t="n">
        <f aca="false">'Input data plant-based products'!D62</f>
        <v>0.118594857689195</v>
      </c>
      <c r="D74" s="78" t="s">
        <v>133</v>
      </c>
      <c r="E74" s="94" t="n">
        <f aca="false">IF($F$1="GWP100 without fb",E75+E76*'Common input data'!$C$5+E77*'Common input data'!$D$5,IF($F$1="GWP100 with fb",E75+E76*'Common input data'!$C$6+E77*'Common input data'!$D$6,IF($F$1="GTP100 without fb",E75+E76*'Common input data'!$C$7+E77*'Common input data'!$D$7,IF($F$1="GTP100 with fb",E75+E76*'Common input data'!$C$8+E77*'Common input data'!$D$8,E75+E76*'Common input data'!$C$9+E77*'Common input data'!$D$9))))</f>
        <v>0.0240727578701198</v>
      </c>
      <c r="F74" s="95" t="n">
        <f aca="false">IF($F$1="GWP100 without fb",F75+F76*'Common input data'!$C$5+F77*'Common input data'!$D$5,IF($F$1="GWP100 with fb",F75+F76*'Common input data'!$C$6+F77*'Common input data'!$D$6,IF($F$1="GTP100 without fb",F75+F76*'Common input data'!$C$7+F77*'Common input data'!$D$7,IF($F$1="GTP100 with fb",F75+F76*'Common input data'!$C$8+F77*'Common input data'!$D$8,F75+F76*'Common input data'!$C$9+F77*'Common input data'!$D$9))))</f>
        <v>0.106818554218804</v>
      </c>
      <c r="G74" s="96" t="n">
        <f aca="false">IF($F$1="GWP100 without fb",G75+G76*'Common input data'!$C$5+G77*'Common input data'!$D$5,IF($F$1="GWP100 with fb",G75+G76*'Common input data'!$C$6+G77*'Common input data'!$D$6,IF($F$1="GTP100 without fb",G75+G76*'Common input data'!$C$7+G77*'Common input data'!$D$7,IF($F$1="GTP100 with fb",G75+G76*'Common input data'!$C$8+G77*'Common input data'!$D$8,G75+G76*'Common input data'!$C$9+G77*'Common input data'!$D$9))))</f>
        <v>0.461652409856551</v>
      </c>
      <c r="H74" s="83"/>
      <c r="I74" s="83"/>
      <c r="J74" s="83"/>
      <c r="K74" s="83"/>
      <c r="L74" s="83"/>
      <c r="M74" s="83"/>
      <c r="N74" s="83"/>
      <c r="O74" s="83"/>
      <c r="P74" s="83"/>
      <c r="Q74" s="83"/>
      <c r="R74" s="83"/>
      <c r="S74" s="83"/>
      <c r="T74" s="83"/>
      <c r="U74" s="83"/>
      <c r="V74" s="309"/>
      <c r="W74" s="92"/>
      <c r="Z74" s="30"/>
    </row>
    <row r="75" s="209" customFormat="true" ht="17.4" hidden="false" customHeight="false" outlineLevel="0" collapsed="false">
      <c r="A75" s="315"/>
      <c r="B75" s="30"/>
      <c r="C75" s="30"/>
      <c r="D75" s="85" t="s">
        <v>134</v>
      </c>
      <c r="E75" s="217" t="n">
        <f aca="false">IF(AND($F$2="No",$F$3="No"),SUM(J75:K75),IF(AND($F$2="Yes", $F$3="No"), SUM(J75:K75)+Q75, IF(AND($F$2="No", $F$3="Yes"),SUM(J75:K75)+P75, SUM(J75:K75)+Q75+P75)))</f>
        <v>0</v>
      </c>
      <c r="F75" s="89" t="n">
        <f aca="false">IF(AND($F$2="No",$F$3="No"),SUM(H75:O75),IF(AND($F$2="Yes", $F$3="No"), SUM(H75:O75)+Q75, IF(AND($F$2="No", $F$3="Yes"),SUM(H75:O75)+P75, SUM(H75:O75)+Q75+P75)))</f>
        <v>0.0624615384062815</v>
      </c>
      <c r="G75" s="88" t="n">
        <f aca="false">SUM(S75:U75)/(1-'Common input data'!$B$121)</f>
        <v>0.408714092858672</v>
      </c>
      <c r="H75" s="89" t="n">
        <f aca="false">('Input data plant-based products'!$F$62*('Common input data'!$C$76*'Common input data'!B69+'Common input data'!$C$77*'Common input data'!C69))/'Input data plant-based products'!$E$62</f>
        <v>0.0124615384062815</v>
      </c>
      <c r="I75" s="89" t="n">
        <f aca="false">'Common input data'!$B$81</f>
        <v>0.03</v>
      </c>
      <c r="J75" s="89" t="n">
        <v>0</v>
      </c>
      <c r="K75" s="89" t="n">
        <v>0</v>
      </c>
      <c r="L75" s="89" t="n">
        <v>0</v>
      </c>
      <c r="M75" s="89" t="n">
        <v>0</v>
      </c>
      <c r="N75" s="89" t="n">
        <f aca="false">'Input data plant-based products'!G$152</f>
        <v>0.02</v>
      </c>
      <c r="O75" s="89" t="n">
        <v>0</v>
      </c>
      <c r="P75" s="89" t="n">
        <v>0</v>
      </c>
      <c r="Q75" s="89" t="n">
        <v>0</v>
      </c>
      <c r="R75" s="89" t="n">
        <v>0</v>
      </c>
      <c r="S75" s="89" t="n">
        <f aca="false">(F75+R75)</f>
        <v>0.0624615384062815</v>
      </c>
      <c r="T75" s="89" t="n">
        <f aca="false">'Common input data'!$B$88</f>
        <v>0.05</v>
      </c>
      <c r="U75" s="89" t="n">
        <f aca="false">'Common input data'!B100+'Common input data'!C100</f>
        <v>0.23</v>
      </c>
      <c r="V75" s="309"/>
      <c r="W75" s="92"/>
      <c r="Z75" s="30"/>
    </row>
    <row r="76" s="209" customFormat="true" ht="17.4" hidden="false" customHeight="false" outlineLevel="0" collapsed="false">
      <c r="A76" s="315"/>
      <c r="B76" s="30"/>
      <c r="C76" s="93"/>
      <c r="D76" s="85" t="s">
        <v>135</v>
      </c>
      <c r="E76" s="217" t="n">
        <f aca="false">SUM(J76:K76)</f>
        <v>0</v>
      </c>
      <c r="F76" s="89" t="n">
        <f aca="false">SUM(H76:O76)</f>
        <v>5.49447446284877E-011</v>
      </c>
      <c r="G76" s="88" t="n">
        <f aca="false">SUM(S76:U76)/(1-'Common input data'!$B$121)</f>
        <v>6.55743461373525E-011</v>
      </c>
      <c r="H76" s="89" t="n">
        <f aca="false">('Input data plant-based products'!$F$62*('Common input data'!$C$76*'Common input data'!B70+'Common input data'!$C$77*'Common input data'!C70))/'Input data plant-based products'!$E$62</f>
        <v>5.49447446284877E-011</v>
      </c>
      <c r="I76" s="89" t="n">
        <v>0</v>
      </c>
      <c r="J76" s="89" t="n">
        <v>0</v>
      </c>
      <c r="K76" s="89" t="n">
        <v>0</v>
      </c>
      <c r="L76" s="89" t="n">
        <v>0</v>
      </c>
      <c r="M76" s="89" t="n">
        <v>0</v>
      </c>
      <c r="N76" s="89" t="n">
        <v>0</v>
      </c>
      <c r="O76" s="89" t="n">
        <v>0</v>
      </c>
      <c r="P76" s="89" t="n">
        <v>0</v>
      </c>
      <c r="Q76" s="89" t="n">
        <v>0</v>
      </c>
      <c r="R76" s="89" t="n">
        <v>0</v>
      </c>
      <c r="S76" s="89" t="n">
        <f aca="false">(F76+R76)</f>
        <v>5.49447446284877E-011</v>
      </c>
      <c r="T76" s="89" t="n">
        <v>0</v>
      </c>
      <c r="U76" s="89" t="n">
        <v>0</v>
      </c>
      <c r="V76" s="309"/>
      <c r="W76" s="92"/>
      <c r="Z76" s="30"/>
    </row>
    <row r="77" s="209" customFormat="true" ht="17.4" hidden="false" customHeight="false" outlineLevel="0" collapsed="false">
      <c r="A77" s="74"/>
      <c r="B77" s="30"/>
      <c r="C77" s="87"/>
      <c r="D77" s="31" t="s">
        <v>136</v>
      </c>
      <c r="E77" s="217" t="n">
        <f aca="false">SUM(J77:K77)</f>
        <v>8.07810666782544E-005</v>
      </c>
      <c r="F77" s="89" t="n">
        <f aca="false">SUM(H77:O77)</f>
        <v>0.000148849040081883</v>
      </c>
      <c r="G77" s="88" t="n">
        <f aca="false">SUM(S77:U77)/(1-'Common input data'!$B$121)</f>
        <v>0.000177645351571647</v>
      </c>
      <c r="H77" s="89" t="n">
        <f aca="false">('Input data plant-based products'!$F$62*('Common input data'!$C$76*'Common input data'!B71+'Common input data'!$C$77*'Common input data'!C71))/'Input data plant-based products'!$E$62</f>
        <v>6.80679734036289E-005</v>
      </c>
      <c r="I77" s="89" t="n">
        <v>0</v>
      </c>
      <c r="J77" s="89" t="n">
        <f aca="false">(SUM('Input data plant-based products'!F62:H62)*'Input data plant-based products'!$B$114*44/28)/'Input data plant-based products'!E62</f>
        <v>7.34373333438676E-005</v>
      </c>
      <c r="K77" s="89" t="n">
        <f aca="false">J77*'Input data plant-based products'!$B$115</f>
        <v>7.34373333438676E-006</v>
      </c>
      <c r="L77" s="89" t="n">
        <v>0</v>
      </c>
      <c r="M77" s="89" t="n">
        <v>0</v>
      </c>
      <c r="N77" s="89" t="n">
        <v>0</v>
      </c>
      <c r="O77" s="89" t="n">
        <v>0</v>
      </c>
      <c r="P77" s="89" t="n">
        <v>0</v>
      </c>
      <c r="Q77" s="89" t="n">
        <v>0</v>
      </c>
      <c r="R77" s="89" t="n">
        <v>0</v>
      </c>
      <c r="S77" s="89" t="n">
        <f aca="false">(F77+R77)</f>
        <v>0.000148849040081883</v>
      </c>
      <c r="T77" s="89" t="n">
        <v>0</v>
      </c>
      <c r="U77" s="89" t="n">
        <v>0</v>
      </c>
      <c r="V77" s="309"/>
      <c r="W77" s="92"/>
      <c r="Z77" s="30"/>
    </row>
    <row r="78" s="209" customFormat="true" ht="17.4" hidden="false" customHeight="false" outlineLevel="0" collapsed="false">
      <c r="A78" s="330" t="s">
        <v>285</v>
      </c>
      <c r="B78" s="76" t="s">
        <v>254</v>
      </c>
      <c r="C78" s="185" t="n">
        <f aca="false">'Input data plant-based products'!D63</f>
        <v>0.135980690348331</v>
      </c>
      <c r="D78" s="78" t="s">
        <v>133</v>
      </c>
      <c r="E78" s="94" t="n">
        <f aca="false">IF($F$1="GWP100 without fb",E79+E80*'Common input data'!$C$5+E81*'Common input data'!$D$5,IF($F$1="GWP100 with fb",E79+E80*'Common input data'!$C$6+E81*'Common input data'!$D$6,IF($F$1="GTP100 without fb",E79+E80*'Common input data'!$C$7+E81*'Common input data'!$D$7,IF($F$1="GTP100 with fb",E79+E80*'Common input data'!$C$8+E81*'Common input data'!$D$8,E79+E80*'Common input data'!$C$9+E81*'Common input data'!$D$9))))</f>
        <v>0.0750262267421726</v>
      </c>
      <c r="F78" s="95" t="n">
        <f aca="false">IF($F$1="GWP100 without fb",F79+F80*'Common input data'!$C$5+F81*'Common input data'!$D$5,IF($F$1="GWP100 with fb",F79+F80*'Common input data'!$C$6+F81*'Common input data'!$D$6,IF($F$1="GTP100 without fb",F79+F80*'Common input data'!$C$7+F81*'Common input data'!$D$7,IF($F$1="GTP100 with fb",F79+F80*'Common input data'!$C$8+F81*'Common input data'!$D$8,F79+F80*'Common input data'!$C$9+F81*'Common input data'!$D$9))))</f>
        <v>0.163621302772286</v>
      </c>
      <c r="G78" s="96" t="n">
        <f aca="false">IF($F$1="GWP100 without fb",G79+G80*'Common input data'!$C$5+G81*'Common input data'!$D$5,IF($F$1="GWP100 with fb",G79+G80*'Common input data'!$C$6+G81*'Common input data'!$D$6,IF($F$1="GTP100 without fb",G79+G80*'Common input data'!$C$7+G81*'Common input data'!$D$7,IF($F$1="GTP100 with fb",G79+G80*'Common input data'!$C$8+G81*'Common input data'!$D$8,G79+G80*'Common input data'!$C$9+G81*'Common input data'!$D$9))))</f>
        <v>0.529444209061088</v>
      </c>
      <c r="H78" s="83"/>
      <c r="I78" s="83"/>
      <c r="J78" s="83"/>
      <c r="K78" s="83"/>
      <c r="L78" s="83"/>
      <c r="M78" s="83"/>
      <c r="N78" s="83"/>
      <c r="O78" s="83"/>
      <c r="P78" s="83"/>
      <c r="Q78" s="83"/>
      <c r="R78" s="83"/>
      <c r="S78" s="83"/>
      <c r="T78" s="83"/>
      <c r="U78" s="83"/>
      <c r="V78" s="309"/>
      <c r="W78" s="92"/>
      <c r="Z78" s="30"/>
    </row>
    <row r="79" s="209" customFormat="true" ht="17.4" hidden="false" customHeight="false" outlineLevel="0" collapsed="false">
      <c r="A79" s="74"/>
      <c r="B79" s="30"/>
      <c r="C79" s="30"/>
      <c r="D79" s="85" t="s">
        <v>134</v>
      </c>
      <c r="E79" s="217" t="n">
        <f aca="false">IF(AND($F$2="No",$F$3="No"),SUM(J79:K79),IF(AND($F$2="Yes", $F$3="No"), SUM(J79:K79)+Q79, IF(AND($F$2="No", $F$3="Yes"),SUM(J79:K79)+P79, SUM(J79:K79)+Q79+P79)))</f>
        <v>0.0399894869629571</v>
      </c>
      <c r="F79" s="89" t="n">
        <f aca="false">IF(AND($F$2="No",$F$3="No"),SUM(H79:O79),IF(AND($F$2="Yes", $F$3="No"), SUM(H79:O79)+Q79, IF(AND($F$2="No", $F$3="Yes"),SUM(H79:O79)+P79, SUM(H79:O79)+Q79+P79)))</f>
        <v>0.108676769085694</v>
      </c>
      <c r="G79" s="88" t="n">
        <f aca="false">SUM(S79:U79)/(1-'Common input data'!$B$121)</f>
        <v>0.463870114674417</v>
      </c>
      <c r="H79" s="87" t="n">
        <f aca="false">('Input data plant-based products'!$F$63*('Common input data'!$C$76*'Common input data'!B69+'Common input data'!$C$77*'Common input data'!C69))/'Input data plant-based products'!$E$63</f>
        <v>0.0121374360065975</v>
      </c>
      <c r="I79" s="89" t="n">
        <f aca="false">'Common input data'!$B$81</f>
        <v>0.03</v>
      </c>
      <c r="J79" s="87" t="n">
        <v>0</v>
      </c>
      <c r="K79" s="89" t="n">
        <v>0</v>
      </c>
      <c r="L79" s="87" t="n">
        <f aca="false">('Input data plant-based products'!$I$63*'Common input data'!$C$59*'Common input data'!H49)/'Input data plant-based products'!$E$63</f>
        <v>0.00654984611613942</v>
      </c>
      <c r="M79" s="89" t="n">
        <v>0</v>
      </c>
      <c r="N79" s="89" t="n">
        <f aca="false">'Input data plant-based products'!G$152</f>
        <v>0.02</v>
      </c>
      <c r="O79" s="89" t="n">
        <v>0</v>
      </c>
      <c r="P79" s="89" t="n">
        <f aca="false">'Common input data'!E$13</f>
        <v>0.0399894869629571</v>
      </c>
      <c r="Q79" s="89" t="n">
        <v>0</v>
      </c>
      <c r="R79" s="89" t="n">
        <v>0</v>
      </c>
      <c r="S79" s="89" t="n">
        <f aca="false">(F79+R79)</f>
        <v>0.108676769085694</v>
      </c>
      <c r="T79" s="89" t="n">
        <f aca="false">'Common input data'!$B$88</f>
        <v>0.05</v>
      </c>
      <c r="U79" s="89" t="n">
        <f aca="false">'Common input data'!B100+'Common input data'!C100</f>
        <v>0.23</v>
      </c>
      <c r="V79" s="309"/>
      <c r="W79" s="92"/>
      <c r="Z79" s="30"/>
    </row>
    <row r="80" s="209" customFormat="true" ht="17.4" hidden="false" customHeight="false" outlineLevel="0" collapsed="false">
      <c r="A80" s="74"/>
      <c r="B80" s="333"/>
      <c r="C80" s="93"/>
      <c r="D80" s="85" t="s">
        <v>135</v>
      </c>
      <c r="E80" s="217" t="n">
        <f aca="false">SUM(J80:K80)</f>
        <v>0</v>
      </c>
      <c r="F80" s="89" t="n">
        <f aca="false">SUM(H80:O80)</f>
        <v>2.90141448630101E-006</v>
      </c>
      <c r="G80" s="88" t="n">
        <f aca="false">SUM(S80:U80)/(1-'Common input data'!$B$121)</f>
        <v>3.4627216688161E-006</v>
      </c>
      <c r="H80" s="87" t="n">
        <f aca="false">('Input data plant-based products'!$F$63*('Common input data'!$C$76*'Common input data'!B70+'Common input data'!$C$77*'Common input data'!C70))/'Input data plant-based products'!$E$63</f>
        <v>5.35157297666357E-011</v>
      </c>
      <c r="I80" s="89" t="n">
        <v>0</v>
      </c>
      <c r="J80" s="87" t="n">
        <v>0</v>
      </c>
      <c r="K80" s="89" t="n">
        <v>0</v>
      </c>
      <c r="L80" s="87" t="n">
        <f aca="false">('Input data plant-based products'!$I$63*'Common input data'!$C$59*'Common input data'!H50)/'Input data plant-based products'!$E$63</f>
        <v>2.90136097057124E-006</v>
      </c>
      <c r="M80" s="89" t="n">
        <v>0</v>
      </c>
      <c r="N80" s="89" t="n">
        <v>0</v>
      </c>
      <c r="O80" s="89" t="n">
        <v>0</v>
      </c>
      <c r="P80" s="89" t="n">
        <v>0</v>
      </c>
      <c r="Q80" s="89" t="n">
        <v>0</v>
      </c>
      <c r="R80" s="89" t="n">
        <v>0</v>
      </c>
      <c r="S80" s="89" t="n">
        <f aca="false">(F80+R80)</f>
        <v>2.90141448630101E-006</v>
      </c>
      <c r="T80" s="89" t="n">
        <v>0</v>
      </c>
      <c r="U80" s="89" t="n">
        <v>0</v>
      </c>
      <c r="V80" s="309"/>
      <c r="W80" s="92"/>
      <c r="Z80" s="30"/>
    </row>
    <row r="81" s="209" customFormat="true" ht="17.4" hidden="false" customHeight="false" outlineLevel="0" collapsed="false">
      <c r="A81" s="74"/>
      <c r="B81" s="30"/>
      <c r="C81" s="87"/>
      <c r="D81" s="31" t="s">
        <v>136</v>
      </c>
      <c r="E81" s="217" t="n">
        <f aca="false">SUM(J81:K81)</f>
        <v>0.000117572952279247</v>
      </c>
      <c r="F81" s="89" t="n">
        <f aca="false">SUM(H81:O81)</f>
        <v>0.000184046595953214</v>
      </c>
      <c r="G81" s="88" t="n">
        <f aca="false">SUM(S81:U81)/(1-'Common input data'!$B$121)</f>
        <v>0.000219652220972925</v>
      </c>
      <c r="H81" s="87" t="n">
        <f aca="false">('Input data plant-based products'!$F$63*('Common input data'!$C$76*'Common input data'!B71+'Common input data'!$C$77*'Common input data'!C71))/'Input data plant-based products'!$E$63</f>
        <v>6.62976467551455E-005</v>
      </c>
      <c r="I81" s="87" t="n">
        <v>0</v>
      </c>
      <c r="J81" s="87" t="n">
        <f aca="false">(SUM('Input data plant-based products'!F63:H63)*'Input data plant-based products'!$B$114*44/28)/'Input data plant-based products'!E63</f>
        <v>0.000106884502072043</v>
      </c>
      <c r="K81" s="89" t="n">
        <f aca="false">J81*'Input data plant-based products'!$B$115</f>
        <v>1.06884502072043E-005</v>
      </c>
      <c r="L81" s="87" t="n">
        <f aca="false">('Input data plant-based products'!$I$63*'Common input data'!$C$59*'Common input data'!H51)/'Input data plant-based products'!$E$63</f>
        <v>1.75996918821449E-007</v>
      </c>
      <c r="M81" s="89" t="n">
        <v>0</v>
      </c>
      <c r="N81" s="89" t="n">
        <v>0</v>
      </c>
      <c r="O81" s="89" t="n">
        <v>0</v>
      </c>
      <c r="P81" s="89" t="n">
        <v>0</v>
      </c>
      <c r="Q81" s="89" t="n">
        <v>0</v>
      </c>
      <c r="R81" s="89" t="n">
        <v>0</v>
      </c>
      <c r="S81" s="89" t="n">
        <f aca="false">(F81+R81)</f>
        <v>0.000184046595953214</v>
      </c>
      <c r="T81" s="89" t="n">
        <v>0</v>
      </c>
      <c r="U81" s="89" t="n">
        <v>0</v>
      </c>
      <c r="V81" s="309"/>
      <c r="W81" s="92"/>
      <c r="Z81" s="30"/>
    </row>
    <row r="82" s="209" customFormat="true" ht="17.4" hidden="false" customHeight="false" outlineLevel="0" collapsed="false">
      <c r="A82" s="330" t="s">
        <v>141</v>
      </c>
      <c r="B82" s="331" t="s">
        <v>291</v>
      </c>
      <c r="C82" s="185" t="n">
        <f aca="false">'Input data plant-based products'!D64</f>
        <v>0.0408798512878502</v>
      </c>
      <c r="D82" s="78" t="s">
        <v>133</v>
      </c>
      <c r="E82" s="94" t="n">
        <f aca="false">IF($F$1="GWP100 without fb",E83+E84*'Common input data'!$C$5+E85*'Common input data'!$D$5,IF($F$1="GWP100 with fb",E83+E84*'Common input data'!$C$6+E85*'Common input data'!$D$6,IF($F$1="GTP100 without fb",E83+E84*'Common input data'!$C$7+E85*'Common input data'!$D$7,IF($F$1="GTP100 with fb",E83+E84*'Common input data'!$C$8+E85*'Common input data'!$D$8,E83+E84*'Common input data'!$C$9+E85*'Common input data'!$D$9))))</f>
        <v>0.0101271401535502</v>
      </c>
      <c r="F82" s="95" t="n">
        <f aca="false">IF($F$1="GWP100 without fb",F83+F84*'Common input data'!$C$5+F85*'Common input data'!$D$5,IF($F$1="GWP100 with fb",F83+F84*'Common input data'!$C$6+F85*'Common input data'!$D$6,IF($F$1="GTP100 without fb",F83+F84*'Common input data'!$C$7+F85*'Common input data'!$D$7,IF($F$1="GTP100 with fb",F83+F84*'Common input data'!$C$8+F85*'Common input data'!$D$8,F83+F84*'Common input data'!$C$9+F85*'Common input data'!$D$9))))</f>
        <v>1.39678002532642</v>
      </c>
      <c r="G82" s="96" t="n">
        <f aca="false">IF($F$1="GWP100 without fb",G83+G84*'Common input data'!$C$5+G85*'Common input data'!$D$5,IF($F$1="GWP100 with fb",G83+G84*'Common input data'!$C$6+G85*'Common input data'!$D$6,IF($F$1="GTP100 without fb",G83+G84*'Common input data'!$C$7+G85*'Common input data'!$D$7,IF($F$1="GTP100 with fb",G83+G84*'Common input data'!$C$8+G85*'Common input data'!$D$8,G83+G84*'Common input data'!$C$9+G85*'Common input data'!$D$9))))</f>
        <v>2.00116962086934</v>
      </c>
      <c r="H82" s="83"/>
      <c r="I82" s="83"/>
      <c r="J82" s="83"/>
      <c r="K82" s="83"/>
      <c r="L82" s="83"/>
      <c r="M82" s="83"/>
      <c r="N82" s="83"/>
      <c r="O82" s="83"/>
      <c r="P82" s="83"/>
      <c r="Q82" s="83"/>
      <c r="R82" s="83"/>
      <c r="S82" s="83"/>
      <c r="T82" s="83"/>
      <c r="U82" s="83"/>
      <c r="V82" s="309"/>
      <c r="W82" s="92"/>
      <c r="Z82" s="30"/>
    </row>
    <row r="83" s="209" customFormat="true" ht="17.4" hidden="false" customHeight="false" outlineLevel="0" collapsed="false">
      <c r="A83" s="99"/>
      <c r="B83" s="30"/>
      <c r="C83" s="30"/>
      <c r="D83" s="85" t="s">
        <v>134</v>
      </c>
      <c r="E83" s="217" t="n">
        <f aca="false">IF(AND($F$2="No",$F$3="No"),SUM(J83:K83),IF(AND($F$2="Yes", $F$3="No"), SUM(J83:K83)+Q83, IF(AND($F$2="No", $F$3="Yes"),SUM(J83:K83)+P83, SUM(J83:K83)+Q83+P83)))</f>
        <v>0</v>
      </c>
      <c r="F83" s="89" t="n">
        <f aca="false">IF(AND($F$2="No",$F$3="No"),SUM(H83:O83),IF(AND($F$2="Yes", $F$3="No"), SUM(H83:O83)+Q83, IF(AND($F$2="No", $F$3="Yes"),SUM(H83:O83)+P83, SUM(H83:O83)+Q83+P83)))</f>
        <v>1.19009020107099</v>
      </c>
      <c r="G83" s="88" t="n">
        <f aca="false">SUM(S83:U83)/(1-'Common input data'!$B$121)</f>
        <v>1.75449361626804</v>
      </c>
      <c r="H83" s="87" t="n">
        <f aca="false">('Input data plant-based products'!$F$64*('Common input data'!$C$76*'Common input data'!B69+'Common input data'!$C$77*'Common input data'!C69))/'Input data plant-based products'!$E$64</f>
        <v>0.00562876808719367</v>
      </c>
      <c r="I83" s="89" t="n">
        <f aca="false">'Common input data'!$B$81</f>
        <v>0.03</v>
      </c>
      <c r="J83" s="87" t="n">
        <v>0</v>
      </c>
      <c r="K83" s="87" t="n">
        <v>0</v>
      </c>
      <c r="L83" s="87" t="n">
        <v>0</v>
      </c>
      <c r="M83" s="89" t="n">
        <f aca="false">AVERAGE(M71,M75)</f>
        <v>1.1444614329838</v>
      </c>
      <c r="N83" s="89" t="n">
        <f aca="false">AVERAGE(N71,N75)</f>
        <v>0.01</v>
      </c>
      <c r="O83" s="89" t="n">
        <v>0</v>
      </c>
      <c r="P83" s="89" t="n">
        <v>0</v>
      </c>
      <c r="Q83" s="89" t="n">
        <v>0</v>
      </c>
      <c r="R83" s="89" t="n">
        <v>0</v>
      </c>
      <c r="S83" s="89" t="n">
        <f aca="false">(F83+R83)</f>
        <v>1.19009020107099</v>
      </c>
      <c r="T83" s="89" t="n">
        <f aca="false">'Common input data'!$B$88</f>
        <v>0.05</v>
      </c>
      <c r="U83" s="89" t="n">
        <f aca="false">'Common input data'!B102+'Common input data'!C102</f>
        <v>0.23</v>
      </c>
      <c r="V83" s="309"/>
      <c r="W83" s="92"/>
      <c r="Z83" s="30"/>
    </row>
    <row r="84" s="209" customFormat="true" ht="17.4" hidden="false" customHeight="false" outlineLevel="0" collapsed="false">
      <c r="A84" s="74"/>
      <c r="B84" s="30"/>
      <c r="C84" s="93"/>
      <c r="D84" s="85" t="s">
        <v>135</v>
      </c>
      <c r="E84" s="217" t="n">
        <f aca="false">SUM(J84:K84)</f>
        <v>0</v>
      </c>
      <c r="F84" s="89" t="n">
        <f aca="false">SUM(H84:O84)</f>
        <v>0.00516745379935696</v>
      </c>
      <c r="G84" s="88" t="n">
        <f aca="false">SUM(S84:U84)/(1-'Common input data'!$B$121)</f>
        <v>0.00616714858498265</v>
      </c>
      <c r="H84" s="87" t="n">
        <f aca="false">('Input data plant-based products'!$F$64*('Common input data'!$C$76*'Common input data'!B70+'Common input data'!$C$77*'Common input data'!C70))/'Input data plant-based products'!$E$64</f>
        <v>2.48180613854179E-011</v>
      </c>
      <c r="I84" s="89" t="n">
        <v>0</v>
      </c>
      <c r="J84" s="87" t="n">
        <v>0</v>
      </c>
      <c r="K84" s="87" t="n">
        <v>0</v>
      </c>
      <c r="L84" s="87" t="n">
        <v>0</v>
      </c>
      <c r="M84" s="89" t="n">
        <f aca="false">AVERAGE(M72,M76)</f>
        <v>0.0051674537745389</v>
      </c>
      <c r="N84" s="89" t="n">
        <v>0</v>
      </c>
      <c r="O84" s="87" t="n">
        <v>0</v>
      </c>
      <c r="P84" s="87" t="n">
        <v>0</v>
      </c>
      <c r="Q84" s="89" t="n">
        <v>0</v>
      </c>
      <c r="R84" s="89" t="n">
        <v>0</v>
      </c>
      <c r="S84" s="89" t="n">
        <f aca="false">(F84+R84)</f>
        <v>0.00516745379935696</v>
      </c>
      <c r="T84" s="89" t="n">
        <v>0</v>
      </c>
      <c r="U84" s="89" t="n">
        <v>0</v>
      </c>
      <c r="V84" s="309"/>
      <c r="W84" s="92"/>
      <c r="Z84" s="30"/>
    </row>
    <row r="85" s="209" customFormat="true" ht="17.4" hidden="false" customHeight="false" outlineLevel="0" collapsed="false">
      <c r="A85" s="100"/>
      <c r="B85" s="30"/>
      <c r="C85" s="87"/>
      <c r="D85" s="31" t="s">
        <v>136</v>
      </c>
      <c r="E85" s="217" t="n">
        <f aca="false">SUM(J85:K85)</f>
        <v>3.39836917904369E-005</v>
      </c>
      <c r="F85" s="89" t="n">
        <f aca="false">SUM(H85:O85)</f>
        <v>0.000104014748581506</v>
      </c>
      <c r="G85" s="88" t="n">
        <f aca="false">SUM(S85:U85)/(1-'Common input data'!$B$121)</f>
        <v>0.000124137425207669</v>
      </c>
      <c r="H85" s="87" t="n">
        <f aca="false">('Input data plant-based products'!$F$64*('Common input data'!$C$76*'Common input data'!B71+'Common input data'!$C$77*'Common input data'!C71))/'Input data plant-based products'!$E$64</f>
        <v>3.07457092345167E-005</v>
      </c>
      <c r="I85" s="87" t="n">
        <v>0</v>
      </c>
      <c r="J85" s="87" t="n">
        <f aca="false">(SUM('Input data plant-based products'!F64:H64)*'Input data plant-based products'!$B$114*44/28)/'Input data plant-based products'!E64</f>
        <v>3.31710022356632E-005</v>
      </c>
      <c r="K85" s="89" t="n">
        <f aca="false">J85*'Input data plant-based products'!$B$115*(1-AVERAGE('Input data plant-based products'!L139:L144))</f>
        <v>8.12689554773748E-007</v>
      </c>
      <c r="L85" s="87" t="n">
        <v>0</v>
      </c>
      <c r="M85" s="89" t="n">
        <f aca="false">AVERAGE(M73,M77)</f>
        <v>3.92853475565521E-005</v>
      </c>
      <c r="N85" s="89" t="n">
        <v>0</v>
      </c>
      <c r="O85" s="87" t="n">
        <v>0</v>
      </c>
      <c r="P85" s="87" t="n">
        <v>0</v>
      </c>
      <c r="Q85" s="89" t="n">
        <v>0</v>
      </c>
      <c r="R85" s="89" t="n">
        <v>0</v>
      </c>
      <c r="S85" s="89" t="n">
        <f aca="false">(F85+R85)</f>
        <v>0.000104014748581506</v>
      </c>
      <c r="T85" s="89" t="n">
        <v>0</v>
      </c>
      <c r="U85" s="89" t="n">
        <v>0</v>
      </c>
      <c r="V85" s="309"/>
      <c r="W85" s="92"/>
      <c r="Z85" s="30"/>
    </row>
    <row r="86" s="209" customFormat="true" ht="17.4" hidden="false" customHeight="false" outlineLevel="0" collapsed="false">
      <c r="A86" s="330" t="s">
        <v>141</v>
      </c>
      <c r="B86" s="76" t="s">
        <v>254</v>
      </c>
      <c r="C86" s="185" t="n">
        <f aca="false">'Input data plant-based products'!D65</f>
        <v>0.103630325105589</v>
      </c>
      <c r="D86" s="78" t="s">
        <v>133</v>
      </c>
      <c r="E86" s="94" t="n">
        <f aca="false">IF($F$1="GWP100 without fb",E87+E88*'Common input data'!$C$5+E89*'Common input data'!$D$5,IF($F$1="GWP100 with fb",E87+E88*'Common input data'!$C$6+E89*'Common input data'!$D$6,IF($F$1="GTP100 without fb",E87+E88*'Common input data'!$C$7+E89*'Common input data'!$D$7,IF($F$1="GTP100 with fb",E87+E88*'Common input data'!$C$8+E89*'Common input data'!$D$8,E87+E88*'Common input data'!$C$9+E89*'Common input data'!$D$9))))</f>
        <v>0.0624063416036457</v>
      </c>
      <c r="F86" s="95" t="n">
        <f aca="false">IF($F$1="GWP100 without fb",F87+F88*'Common input data'!$C$5+F89*'Common input data'!$D$5,IF($F$1="GWP100 with fb",F87+F88*'Common input data'!$C$6+F89*'Common input data'!$D$6,IF($F$1="GTP100 without fb",F87+F88*'Common input data'!$C$7+F89*'Common input data'!$D$7,IF($F$1="GTP100 with fb",F87+F88*'Common input data'!$C$8+F89*'Common input data'!$D$8,F87+F88*'Common input data'!$C$9+F89*'Common input data'!$D$9))))</f>
        <v>0.0970764870356159</v>
      </c>
      <c r="G86" s="96" t="n">
        <f aca="false">IF($F$1="GWP100 without fb",G87+G88*'Common input data'!$C$5+G89*'Common input data'!$D$5,IF($F$1="GWP100 with fb",G87+G88*'Common input data'!$C$6+G89*'Common input data'!$D$6,IF($F$1="GTP100 without fb",G87+G88*'Common input data'!$C$7+G89*'Common input data'!$D$7,IF($F$1="GTP100 with fb",G87+G88*'Common input data'!$C$8+G89*'Common input data'!$D$8,G87+G88*'Common input data'!$C$9+G89*'Common input data'!$D$9))))</f>
        <v>0.45002564391409</v>
      </c>
      <c r="H86" s="83"/>
      <c r="I86" s="83"/>
      <c r="J86" s="83"/>
      <c r="K86" s="83"/>
      <c r="L86" s="83"/>
      <c r="M86" s="83"/>
      <c r="N86" s="83"/>
      <c r="O86" s="83"/>
      <c r="P86" s="83"/>
      <c r="Q86" s="83"/>
      <c r="R86" s="83"/>
      <c r="S86" s="83"/>
      <c r="T86" s="83"/>
      <c r="U86" s="83"/>
      <c r="V86" s="309"/>
      <c r="W86" s="92"/>
      <c r="Z86" s="30"/>
    </row>
    <row r="87" s="209" customFormat="true" ht="17.4" hidden="false" customHeight="false" outlineLevel="0" collapsed="false">
      <c r="A87" s="99"/>
      <c r="B87" s="31"/>
      <c r="C87" s="30"/>
      <c r="D87" s="85" t="s">
        <v>134</v>
      </c>
      <c r="E87" s="217" t="n">
        <f aca="false">IF(AND($F$2="No",$F$3="No"),SUM(J87:K87),IF(AND($F$2="Yes", $F$3="No"), SUM(J87:K87)+Q87, IF(AND($F$2="No", $F$3="Yes"),SUM(J87:K87)+P87, SUM(J87:K87)+Q87+P87)))</f>
        <v>0.0399894869629571</v>
      </c>
      <c r="F87" s="89" t="n">
        <f aca="false">SUM(H87:O87)</f>
        <v>0.0653127860466155</v>
      </c>
      <c r="G87" s="88" t="n">
        <f aca="false">SUM(S87:U87)/(1-'Common input data'!$B$121)</f>
        <v>0.412116942411523</v>
      </c>
      <c r="H87" s="87" t="n">
        <f aca="false">('Input data plant-based products'!$F$65*('Common input data'!$C$76*'Common input data'!B69+'Common input data'!$C$77*'Common input data'!C69))/'Input data plant-based products'!$E$65</f>
        <v>0.00560460814428531</v>
      </c>
      <c r="I87" s="89" t="n">
        <f aca="false">'Common input data'!$B$81</f>
        <v>0.03</v>
      </c>
      <c r="J87" s="87" t="n">
        <v>0</v>
      </c>
      <c r="K87" s="87" t="n">
        <v>0</v>
      </c>
      <c r="L87" s="87" t="n">
        <f aca="false">('Input data plant-based products'!$I$65*'Common input data'!$C$59*'Common input data'!H49)/'Input data plant-based products'!$E$65</f>
        <v>0.00970817790233017</v>
      </c>
      <c r="M87" s="89" t="n">
        <v>0</v>
      </c>
      <c r="N87" s="89" t="n">
        <f aca="false">'Input data plant-based products'!G$152</f>
        <v>0.02</v>
      </c>
      <c r="O87" s="87" t="n">
        <v>0</v>
      </c>
      <c r="P87" s="89" t="n">
        <f aca="false">'Common input data'!E$13</f>
        <v>0.0399894869629571</v>
      </c>
      <c r="Q87" s="89" t="n">
        <v>0</v>
      </c>
      <c r="R87" s="89" t="n">
        <v>0</v>
      </c>
      <c r="S87" s="89" t="n">
        <f aca="false">(F87+R87)</f>
        <v>0.0653127860466155</v>
      </c>
      <c r="T87" s="89" t="n">
        <f aca="false">'Common input data'!$B$88</f>
        <v>0.05</v>
      </c>
      <c r="U87" s="89" t="n">
        <f aca="false">'Common input data'!B102+'Common input data'!C102</f>
        <v>0.23</v>
      </c>
      <c r="V87" s="309"/>
      <c r="W87" s="92"/>
      <c r="Z87" s="30"/>
    </row>
    <row r="88" s="209" customFormat="true" ht="17.4" hidden="false" customHeight="false" outlineLevel="0" collapsed="false">
      <c r="A88" s="74"/>
      <c r="B88" s="31"/>
      <c r="C88" s="93"/>
      <c r="D88" s="85" t="s">
        <v>135</v>
      </c>
      <c r="E88" s="217" t="n">
        <f aca="false">SUM(J88:K88)</f>
        <v>0</v>
      </c>
      <c r="F88" s="89" t="n">
        <f aca="false">SUM(H88:O88)</f>
        <v>4.30042016537444E-006</v>
      </c>
      <c r="G88" s="88" t="n">
        <f aca="false">SUM(S88:U88)/(1-'Common input data'!$B$121)</f>
        <v>5.13237876282902E-006</v>
      </c>
      <c r="H88" s="87" t="n">
        <f aca="false">('Input data plant-based products'!$F$65*('Common input data'!$C$76*'Common input data'!B70+'Common input data'!$C$77*'Common input data'!C70))/'Input data plant-based products'!$E$65</f>
        <v>2.47115366651098E-011</v>
      </c>
      <c r="I88" s="89" t="n">
        <v>0</v>
      </c>
      <c r="J88" s="87" t="n">
        <v>0</v>
      </c>
      <c r="K88" s="87" t="n">
        <v>0</v>
      </c>
      <c r="L88" s="87" t="n">
        <f aca="false">('Input data plant-based products'!$I$65*'Common input data'!$C$59*'Common input data'!H50)/'Input data plant-based products'!$E$65</f>
        <v>4.30039545383777E-006</v>
      </c>
      <c r="M88" s="89" t="n">
        <v>0</v>
      </c>
      <c r="N88" s="89" t="n">
        <v>0</v>
      </c>
      <c r="O88" s="87" t="n">
        <v>0</v>
      </c>
      <c r="P88" s="87" t="n">
        <v>0</v>
      </c>
      <c r="Q88" s="89" t="n">
        <v>0</v>
      </c>
      <c r="R88" s="89" t="n">
        <v>0</v>
      </c>
      <c r="S88" s="89" t="n">
        <f aca="false">(F88+R88)</f>
        <v>4.30042016537444E-006</v>
      </c>
      <c r="T88" s="89" t="n">
        <v>0</v>
      </c>
      <c r="U88" s="89" t="n">
        <v>0</v>
      </c>
      <c r="V88" s="309"/>
      <c r="W88" s="92"/>
      <c r="Z88" s="30"/>
    </row>
    <row r="89" s="209" customFormat="true" ht="17.4" hidden="false" customHeight="false" outlineLevel="0" collapsed="false">
      <c r="A89" s="100"/>
      <c r="B89" s="101"/>
      <c r="C89" s="87"/>
      <c r="D89" s="31" t="s">
        <v>136</v>
      </c>
      <c r="E89" s="219" t="n">
        <f aca="false">SUM(J89:K89)</f>
        <v>7.52243444318409E-005</v>
      </c>
      <c r="F89" s="126" t="n">
        <f aca="false">SUM(H89:O89)</f>
        <v>0.000106098948669053</v>
      </c>
      <c r="G89" s="106" t="n">
        <f aca="false">SUM(S89:U89)/(1-'Common input data'!$B$121)</f>
        <v>0.00012662483431084</v>
      </c>
      <c r="H89" s="87" t="n">
        <f aca="false">('Input data plant-based products'!$F$65*('Common input data'!$C$76*'Common input data'!B71+'Common input data'!$C$77*'Common input data'!C71))/'Input data plant-based products'!$E$65</f>
        <v>3.06137417119121E-005</v>
      </c>
      <c r="I89" s="87" t="n">
        <v>0</v>
      </c>
      <c r="J89" s="87" t="n">
        <f aca="false">(SUM('Input data plant-based products'!F65:H65)*'Input data plant-based products'!$B$114*44/28)/'Input data plant-based products'!E65</f>
        <v>6.83857676653099E-005</v>
      </c>
      <c r="K89" s="89" t="n">
        <f aca="false">J89*'Input data plant-based products'!$B$115</f>
        <v>6.83857676653099E-006</v>
      </c>
      <c r="L89" s="87" t="n">
        <f aca="false">('Input data plant-based products'!$I$65*'Common input data'!$C$59*'Common input data'!H51)/'Input data plant-based products'!$E$65</f>
        <v>2.60862525299704E-007</v>
      </c>
      <c r="M89" s="89" t="n">
        <v>0</v>
      </c>
      <c r="N89" s="89" t="n">
        <v>0</v>
      </c>
      <c r="O89" s="87" t="n">
        <v>0</v>
      </c>
      <c r="P89" s="87" t="n">
        <v>0</v>
      </c>
      <c r="Q89" s="89" t="n">
        <v>0</v>
      </c>
      <c r="R89" s="89" t="n">
        <v>0</v>
      </c>
      <c r="S89" s="89" t="n">
        <f aca="false">(F89+R89)</f>
        <v>0.000106098948669053</v>
      </c>
      <c r="T89" s="89" t="n">
        <v>0</v>
      </c>
      <c r="U89" s="89" t="n">
        <v>0</v>
      </c>
      <c r="V89" s="309"/>
      <c r="W89" s="92"/>
      <c r="Z89" s="30"/>
    </row>
    <row r="90" s="334" customFormat="true" ht="17.4" hidden="false" customHeight="false" outlineLevel="0" collapsed="false">
      <c r="A90" s="107" t="s">
        <v>296</v>
      </c>
      <c r="B90" s="108"/>
      <c r="C90" s="69"/>
      <c r="D90" s="109"/>
      <c r="E90" s="110" t="s">
        <v>297</v>
      </c>
      <c r="F90" s="111" t="s">
        <v>297</v>
      </c>
      <c r="G90" s="112" t="s">
        <v>297</v>
      </c>
      <c r="H90" s="69"/>
      <c r="I90" s="69"/>
      <c r="J90" s="69"/>
      <c r="K90" s="113"/>
      <c r="L90" s="113"/>
      <c r="M90" s="114"/>
      <c r="N90" s="113"/>
      <c r="O90" s="113"/>
      <c r="P90" s="113"/>
      <c r="Q90" s="113"/>
      <c r="R90" s="113"/>
      <c r="S90" s="113"/>
      <c r="T90" s="113"/>
      <c r="U90" s="113"/>
      <c r="V90" s="74"/>
      <c r="W90" s="92"/>
      <c r="X90" s="209"/>
      <c r="Y90" s="209"/>
      <c r="Z90" s="30"/>
      <c r="AA90" s="209"/>
      <c r="AB90" s="209"/>
      <c r="AC90" s="209"/>
      <c r="AD90" s="209"/>
      <c r="AE90" s="209"/>
      <c r="AF90" s="209"/>
      <c r="AG90" s="209"/>
      <c r="AH90" s="209"/>
      <c r="AI90" s="209"/>
      <c r="AJ90" s="209"/>
      <c r="AK90" s="209"/>
      <c r="AL90" s="209"/>
      <c r="AM90" s="209"/>
      <c r="AN90" s="209"/>
      <c r="AO90" s="209"/>
      <c r="AP90" s="209"/>
      <c r="AQ90" s="209"/>
      <c r="AR90" s="209"/>
      <c r="AS90" s="209"/>
      <c r="AT90" s="209"/>
      <c r="AU90" s="209"/>
      <c r="AV90" s="209"/>
      <c r="AW90" s="209"/>
      <c r="AX90" s="209"/>
      <c r="AY90" s="209"/>
      <c r="AZ90" s="209"/>
      <c r="BA90" s="209"/>
      <c r="BB90" s="209"/>
      <c r="BC90" s="209"/>
      <c r="BD90" s="209"/>
      <c r="BE90" s="209"/>
      <c r="BF90" s="209"/>
      <c r="BG90" s="209"/>
      <c r="BH90" s="209"/>
      <c r="BI90" s="209"/>
      <c r="BJ90" s="209"/>
      <c r="BK90" s="209"/>
      <c r="BL90" s="209"/>
      <c r="BM90" s="209"/>
      <c r="BN90" s="209"/>
      <c r="BO90" s="209"/>
      <c r="BP90" s="209"/>
      <c r="BQ90" s="209"/>
      <c r="BR90" s="209"/>
      <c r="BS90" s="209"/>
      <c r="BT90" s="209"/>
      <c r="BU90" s="209"/>
      <c r="BV90" s="209"/>
      <c r="BW90" s="209"/>
      <c r="BX90" s="209"/>
      <c r="BY90" s="209"/>
      <c r="BZ90" s="209"/>
      <c r="CA90" s="209"/>
      <c r="CB90" s="209"/>
      <c r="CC90" s="209"/>
      <c r="CD90" s="209"/>
      <c r="CE90" s="209"/>
      <c r="CF90" s="209"/>
      <c r="CG90" s="209"/>
      <c r="CH90" s="209"/>
      <c r="CI90" s="209"/>
      <c r="CJ90" s="209"/>
      <c r="CK90" s="209"/>
      <c r="CL90" s="209"/>
      <c r="CM90" s="209"/>
      <c r="CN90" s="209"/>
      <c r="CO90" s="209"/>
      <c r="CP90" s="209"/>
      <c r="CQ90" s="209"/>
      <c r="CR90" s="209"/>
      <c r="CS90" s="209"/>
      <c r="CT90" s="209"/>
      <c r="CU90" s="209"/>
      <c r="CV90" s="209"/>
      <c r="CW90" s="209"/>
      <c r="CX90" s="209"/>
      <c r="CY90" s="209"/>
      <c r="CZ90" s="209"/>
      <c r="DA90" s="209"/>
      <c r="DB90" s="209"/>
      <c r="DC90" s="209"/>
      <c r="DD90" s="209"/>
      <c r="DE90" s="209"/>
      <c r="DF90" s="209"/>
      <c r="DG90" s="209"/>
      <c r="DH90" s="209"/>
      <c r="DI90" s="209"/>
      <c r="DJ90" s="209"/>
      <c r="DK90" s="209"/>
      <c r="DL90" s="209"/>
      <c r="DM90" s="209"/>
      <c r="DN90" s="209"/>
      <c r="DO90" s="209"/>
      <c r="DP90" s="209"/>
      <c r="DQ90" s="209"/>
      <c r="DR90" s="209"/>
      <c r="DS90" s="209"/>
      <c r="DT90" s="209"/>
      <c r="DU90" s="209"/>
      <c r="DV90" s="209"/>
      <c r="DW90" s="209"/>
      <c r="DX90" s="209"/>
      <c r="DY90" s="209"/>
      <c r="DZ90" s="209"/>
      <c r="EA90" s="209"/>
      <c r="EB90" s="209"/>
      <c r="EC90" s="209"/>
      <c r="ED90" s="209"/>
      <c r="EE90" s="209"/>
      <c r="EF90" s="209"/>
      <c r="EG90" s="209"/>
      <c r="EH90" s="209"/>
      <c r="EI90" s="209"/>
      <c r="EJ90" s="209"/>
      <c r="EK90" s="209"/>
      <c r="EL90" s="209"/>
      <c r="EM90" s="209"/>
      <c r="EN90" s="209"/>
      <c r="EO90" s="209"/>
      <c r="EP90" s="209"/>
      <c r="EQ90" s="209"/>
      <c r="ER90" s="209"/>
      <c r="ES90" s="209"/>
      <c r="ET90" s="209"/>
      <c r="EU90" s="209"/>
      <c r="EV90" s="209"/>
      <c r="EW90" s="209"/>
      <c r="EX90" s="209"/>
      <c r="EY90" s="209"/>
      <c r="EZ90" s="209"/>
      <c r="FA90" s="209"/>
      <c r="FB90" s="209"/>
      <c r="FC90" s="209"/>
      <c r="FD90" s="209"/>
      <c r="FE90" s="209"/>
      <c r="FF90" s="209"/>
      <c r="FG90" s="209"/>
      <c r="FH90" s="209"/>
      <c r="FI90" s="209"/>
      <c r="FJ90" s="209"/>
      <c r="FK90" s="209"/>
      <c r="FL90" s="209"/>
      <c r="FM90" s="209"/>
      <c r="FN90" s="209"/>
      <c r="FO90" s="209"/>
      <c r="FP90" s="209"/>
      <c r="FQ90" s="209"/>
      <c r="FR90" s="209"/>
      <c r="FS90" s="209"/>
      <c r="FT90" s="209"/>
      <c r="FU90" s="209"/>
      <c r="FV90" s="209"/>
      <c r="FW90" s="209"/>
      <c r="FX90" s="209"/>
      <c r="FY90" s="209"/>
      <c r="FZ90" s="209"/>
      <c r="GA90" s="209"/>
      <c r="GB90" s="209"/>
      <c r="GC90" s="209"/>
      <c r="GD90" s="209"/>
      <c r="GE90" s="209"/>
      <c r="GF90" s="209"/>
      <c r="GG90" s="209"/>
      <c r="GH90" s="209"/>
      <c r="GI90" s="209"/>
      <c r="GJ90" s="209"/>
      <c r="GK90" s="209"/>
      <c r="GL90" s="209"/>
      <c r="GM90" s="209"/>
      <c r="GN90" s="209"/>
      <c r="GO90" s="209"/>
      <c r="GP90" s="209"/>
      <c r="GQ90" s="209"/>
      <c r="GR90" s="209"/>
      <c r="GS90" s="209"/>
      <c r="GT90" s="209"/>
      <c r="GU90" s="209"/>
      <c r="GV90" s="209"/>
      <c r="GW90" s="209"/>
      <c r="GX90" s="209"/>
      <c r="GY90" s="209"/>
      <c r="GZ90" s="209"/>
      <c r="HA90" s="209"/>
      <c r="HB90" s="209"/>
      <c r="HC90" s="209"/>
      <c r="HD90" s="209"/>
      <c r="HE90" s="209"/>
      <c r="HF90" s="209"/>
      <c r="HG90" s="209"/>
      <c r="HH90" s="209"/>
      <c r="HI90" s="209"/>
      <c r="HJ90" s="209"/>
      <c r="HK90" s="209"/>
      <c r="HL90" s="209"/>
      <c r="HM90" s="209"/>
      <c r="HN90" s="209"/>
      <c r="HO90" s="209"/>
      <c r="HP90" s="209"/>
      <c r="HQ90" s="209"/>
      <c r="HR90" s="209"/>
      <c r="HS90" s="209"/>
      <c r="HT90" s="209"/>
      <c r="HU90" s="209"/>
      <c r="HV90" s="209"/>
      <c r="HW90" s="209"/>
      <c r="HX90" s="209"/>
      <c r="HY90" s="209"/>
      <c r="HZ90" s="209"/>
      <c r="IA90" s="209"/>
      <c r="IB90" s="209"/>
      <c r="IC90" s="209"/>
      <c r="ID90" s="209"/>
      <c r="IE90" s="209"/>
      <c r="IF90" s="209"/>
      <c r="IG90" s="209"/>
      <c r="IH90" s="209"/>
      <c r="II90" s="209"/>
      <c r="IJ90" s="209"/>
      <c r="IK90" s="209"/>
      <c r="IL90" s="209"/>
      <c r="IM90" s="209"/>
      <c r="IN90" s="209"/>
      <c r="IO90" s="209"/>
      <c r="IP90" s="209"/>
      <c r="IQ90" s="209"/>
      <c r="IR90" s="209"/>
      <c r="IS90" s="209"/>
      <c r="IT90" s="209"/>
      <c r="IU90" s="209"/>
      <c r="IV90" s="209"/>
      <c r="IW90" s="209"/>
      <c r="IX90" s="209"/>
    </row>
    <row r="91" s="332" customFormat="true" ht="17.4" hidden="false" customHeight="false" outlineLevel="0" collapsed="false">
      <c r="A91" s="330" t="s">
        <v>272</v>
      </c>
      <c r="B91" s="76"/>
      <c r="C91" s="188" t="n">
        <f aca="false">SUM(C95:C106)</f>
        <v>1</v>
      </c>
      <c r="D91" s="78" t="s">
        <v>133</v>
      </c>
      <c r="E91" s="79" t="n">
        <f aca="false">IF($F$1="GWP100 without fb",E92+E93*'Common input data'!$C$5+E94*'Common input data'!$D$5,IF($F$1="GWP100 with fb",E92+E93*'Common input data'!$C$6+E94*'Common input data'!$D$6,IF($F$1="GTP100 without fb",E92+E93*'Common input data'!$C$7+E94*'Common input data'!$D$7,IF($F$1="GTP100 with fb",E92+E93*'Common input data'!$C$8+E94*'Common input data'!$D$8,E92+E93*'Common input data'!$C$9+E94*'Common input data'!$D$9))))</f>
        <v>0.0654490050345889</v>
      </c>
      <c r="F91" s="80" t="n">
        <f aca="false">IF($F$1="GWP100 without fb",F92+F93*'Common input data'!$C$5+F94*'Common input data'!$D$5,IF($F$1="GWP100 with fb",F92+F93*'Common input data'!$C$6+F94*'Common input data'!$D$6,IF($F$1="GTP100 without fb",F92+F93*'Common input data'!$C$7+F94*'Common input data'!$D$7,IF($F$1="GTP100 with fb",F92+F93*'Common input data'!$C$8+F94*'Common input data'!$D$8,F92+F93*'Common input data'!$C$9+F94*'Common input data'!$D$9))))</f>
        <v>0.15434647258497</v>
      </c>
      <c r="G91" s="81" t="n">
        <f aca="false">IF($F$1="GWP100 without fb",G92+G93*'Common input data'!$C$5+G94*'Common input data'!$D$5,IF($F$1="GWP100 with fb",G92+G93*'Common input data'!$C$6+G94*'Common input data'!$D$6,IF($F$1="GTP100 without fb",G92+G93*'Common input data'!$C$7+G94*'Common input data'!$D$7,IF($F$1="GTP100 with fb",G92+G93*'Common input data'!$C$8+G94*'Common input data'!$D$8,G92+G93*'Common input data'!$C$9+G94*'Common input data'!$D$9))))</f>
        <v>0.322647657936472</v>
      </c>
      <c r="H91" s="95"/>
      <c r="I91" s="97"/>
      <c r="J91" s="97"/>
      <c r="K91" s="83"/>
      <c r="L91" s="83"/>
      <c r="M91" s="83"/>
      <c r="N91" s="83"/>
      <c r="O91" s="83"/>
      <c r="P91" s="83"/>
      <c r="Q91" s="83"/>
      <c r="R91" s="83"/>
      <c r="S91" s="83"/>
      <c r="T91" s="83"/>
      <c r="U91" s="83"/>
      <c r="V91" s="74"/>
      <c r="W91" s="92"/>
      <c r="X91" s="209"/>
      <c r="Y91" s="209"/>
      <c r="Z91" s="30"/>
      <c r="AA91" s="209"/>
      <c r="AB91" s="209"/>
      <c r="AC91" s="209"/>
      <c r="AD91" s="209"/>
      <c r="AE91" s="209"/>
      <c r="AF91" s="209"/>
      <c r="AG91" s="209"/>
      <c r="AH91" s="209"/>
      <c r="AI91" s="209"/>
      <c r="AJ91" s="209"/>
      <c r="AK91" s="209"/>
      <c r="AL91" s="209"/>
      <c r="AM91" s="209"/>
      <c r="AN91" s="209"/>
      <c r="AO91" s="209"/>
      <c r="AP91" s="209"/>
      <c r="AQ91" s="209"/>
      <c r="AR91" s="209"/>
      <c r="AS91" s="209"/>
      <c r="AT91" s="209"/>
      <c r="AU91" s="209"/>
      <c r="AV91" s="209"/>
      <c r="AW91" s="209"/>
      <c r="AX91" s="209"/>
      <c r="AY91" s="209"/>
      <c r="AZ91" s="209"/>
      <c r="BA91" s="209"/>
      <c r="BB91" s="209"/>
      <c r="BC91" s="209"/>
      <c r="BD91" s="209"/>
      <c r="BE91" s="209"/>
      <c r="BF91" s="209"/>
      <c r="BG91" s="209"/>
      <c r="BH91" s="209"/>
      <c r="BI91" s="209"/>
      <c r="BJ91" s="209"/>
      <c r="BK91" s="209"/>
      <c r="BL91" s="209"/>
      <c r="BM91" s="209"/>
      <c r="BN91" s="209"/>
      <c r="BO91" s="209"/>
      <c r="BP91" s="209"/>
      <c r="BQ91" s="209"/>
      <c r="BR91" s="209"/>
      <c r="BS91" s="209"/>
      <c r="BT91" s="209"/>
      <c r="BU91" s="209"/>
      <c r="BV91" s="209"/>
      <c r="BW91" s="209"/>
      <c r="BX91" s="209"/>
      <c r="BY91" s="209"/>
      <c r="BZ91" s="209"/>
      <c r="CA91" s="209"/>
      <c r="CB91" s="209"/>
      <c r="CC91" s="209"/>
      <c r="CD91" s="209"/>
      <c r="CE91" s="209"/>
      <c r="CF91" s="209"/>
      <c r="CG91" s="209"/>
      <c r="CH91" s="209"/>
      <c r="CI91" s="209"/>
      <c r="CJ91" s="209"/>
      <c r="CK91" s="209"/>
      <c r="CL91" s="209"/>
      <c r="CM91" s="209"/>
      <c r="CN91" s="209"/>
      <c r="CO91" s="209"/>
      <c r="CP91" s="209"/>
      <c r="CQ91" s="209"/>
      <c r="CR91" s="209"/>
      <c r="CS91" s="209"/>
      <c r="CT91" s="209"/>
      <c r="CU91" s="209"/>
      <c r="CV91" s="209"/>
      <c r="CW91" s="209"/>
      <c r="CX91" s="209"/>
      <c r="CY91" s="209"/>
      <c r="CZ91" s="209"/>
      <c r="DA91" s="209"/>
      <c r="DB91" s="209"/>
      <c r="DC91" s="209"/>
      <c r="DD91" s="209"/>
      <c r="DE91" s="209"/>
      <c r="DF91" s="209"/>
      <c r="DG91" s="209"/>
      <c r="DH91" s="209"/>
      <c r="DI91" s="209"/>
      <c r="DJ91" s="209"/>
      <c r="DK91" s="209"/>
      <c r="DL91" s="209"/>
      <c r="DM91" s="209"/>
      <c r="DN91" s="209"/>
      <c r="DO91" s="209"/>
      <c r="DP91" s="209"/>
      <c r="DQ91" s="209"/>
      <c r="DR91" s="209"/>
      <c r="DS91" s="209"/>
      <c r="DT91" s="209"/>
      <c r="DU91" s="209"/>
      <c r="DV91" s="209"/>
      <c r="DW91" s="209"/>
      <c r="DX91" s="209"/>
      <c r="DY91" s="209"/>
      <c r="DZ91" s="209"/>
      <c r="EA91" s="209"/>
      <c r="EB91" s="209"/>
      <c r="EC91" s="209"/>
      <c r="ED91" s="209"/>
      <c r="EE91" s="209"/>
      <c r="EF91" s="209"/>
      <c r="EG91" s="209"/>
      <c r="EH91" s="209"/>
      <c r="EI91" s="209"/>
      <c r="EJ91" s="209"/>
      <c r="EK91" s="209"/>
      <c r="EL91" s="209"/>
      <c r="EM91" s="209"/>
      <c r="EN91" s="209"/>
      <c r="EO91" s="209"/>
      <c r="EP91" s="209"/>
      <c r="EQ91" s="209"/>
      <c r="ER91" s="209"/>
      <c r="ES91" s="209"/>
      <c r="ET91" s="209"/>
      <c r="EU91" s="209"/>
      <c r="EV91" s="209"/>
      <c r="EW91" s="209"/>
      <c r="EX91" s="209"/>
      <c r="EY91" s="209"/>
      <c r="EZ91" s="209"/>
      <c r="FA91" s="209"/>
      <c r="FB91" s="209"/>
      <c r="FC91" s="209"/>
      <c r="FD91" s="209"/>
      <c r="FE91" s="209"/>
      <c r="FF91" s="209"/>
      <c r="FG91" s="209"/>
      <c r="FH91" s="209"/>
      <c r="FI91" s="209"/>
      <c r="FJ91" s="209"/>
      <c r="FK91" s="209"/>
      <c r="FL91" s="209"/>
      <c r="FM91" s="209"/>
      <c r="FN91" s="209"/>
      <c r="FO91" s="209"/>
      <c r="FP91" s="209"/>
      <c r="FQ91" s="209"/>
      <c r="FR91" s="209"/>
      <c r="FS91" s="209"/>
      <c r="FT91" s="209"/>
      <c r="FU91" s="209"/>
      <c r="FV91" s="209"/>
      <c r="FW91" s="209"/>
      <c r="FX91" s="209"/>
      <c r="FY91" s="209"/>
      <c r="FZ91" s="209"/>
      <c r="GA91" s="209"/>
      <c r="GB91" s="209"/>
      <c r="GC91" s="209"/>
      <c r="GD91" s="209"/>
      <c r="GE91" s="209"/>
      <c r="GF91" s="209"/>
      <c r="GG91" s="209"/>
      <c r="GH91" s="209"/>
      <c r="GI91" s="209"/>
      <c r="GJ91" s="209"/>
      <c r="GK91" s="209"/>
      <c r="GL91" s="209"/>
      <c r="GM91" s="209"/>
      <c r="GN91" s="209"/>
      <c r="GO91" s="209"/>
      <c r="GP91" s="209"/>
      <c r="GQ91" s="209"/>
      <c r="GR91" s="209"/>
      <c r="GS91" s="209"/>
      <c r="GT91" s="209"/>
      <c r="GU91" s="209"/>
      <c r="GV91" s="209"/>
      <c r="GW91" s="209"/>
      <c r="GX91" s="209"/>
      <c r="GY91" s="209"/>
      <c r="GZ91" s="209"/>
      <c r="HA91" s="209"/>
      <c r="HB91" s="209"/>
      <c r="HC91" s="209"/>
      <c r="HD91" s="209"/>
      <c r="HE91" s="209"/>
      <c r="HF91" s="209"/>
      <c r="HG91" s="209"/>
      <c r="HH91" s="209"/>
      <c r="HI91" s="209"/>
      <c r="HJ91" s="209"/>
      <c r="HK91" s="209"/>
      <c r="HL91" s="209"/>
      <c r="HM91" s="209"/>
      <c r="HN91" s="209"/>
      <c r="HO91" s="209"/>
      <c r="HP91" s="209"/>
      <c r="HQ91" s="209"/>
      <c r="HR91" s="209"/>
      <c r="HS91" s="209"/>
      <c r="HT91" s="209"/>
      <c r="HU91" s="209"/>
      <c r="HV91" s="209"/>
      <c r="HW91" s="209"/>
      <c r="HX91" s="209"/>
      <c r="HY91" s="209"/>
      <c r="HZ91" s="209"/>
      <c r="IA91" s="209"/>
      <c r="IB91" s="209"/>
      <c r="IC91" s="209"/>
      <c r="ID91" s="209"/>
      <c r="IE91" s="209"/>
      <c r="IF91" s="209"/>
      <c r="IG91" s="209"/>
      <c r="IH91" s="209"/>
      <c r="II91" s="209"/>
      <c r="IJ91" s="209"/>
      <c r="IK91" s="209"/>
      <c r="IL91" s="209"/>
      <c r="IM91" s="209"/>
      <c r="IN91" s="209"/>
      <c r="IO91" s="209"/>
      <c r="IP91" s="209"/>
      <c r="IQ91" s="209"/>
      <c r="IR91" s="209"/>
      <c r="IS91" s="209"/>
      <c r="IT91" s="209"/>
      <c r="IU91" s="209"/>
      <c r="IV91" s="209"/>
      <c r="IW91" s="209"/>
      <c r="IX91" s="209"/>
    </row>
    <row r="92" s="209" customFormat="true" ht="17.4" hidden="false" customHeight="false" outlineLevel="0" collapsed="false">
      <c r="A92" s="315"/>
      <c r="B92" s="31"/>
      <c r="C92" s="30"/>
      <c r="D92" s="85" t="s">
        <v>134</v>
      </c>
      <c r="E92" s="217" t="n">
        <f aca="false">E96*$C$95+E100*$C$99+$C$103*E104</f>
        <v>0.0399894869629571</v>
      </c>
      <c r="F92" s="89" t="n">
        <f aca="false">F96*$C$95+F100*$C$99+$C$103*F104</f>
        <v>0.11528829375183</v>
      </c>
      <c r="G92" s="88" t="n">
        <f aca="false">G96*$C$95+G100*$C$99+$C$103*G104</f>
        <v>0.276033290072598</v>
      </c>
      <c r="H92" s="89" t="n">
        <f aca="false">H96*$C$95+H100*$C$99+$C$103*H104</f>
        <v>0.0103446340585391</v>
      </c>
      <c r="I92" s="89" t="n">
        <f aca="false">I96*$C$95+I100*$C$99+$C$103*I104</f>
        <v>0.03</v>
      </c>
      <c r="J92" s="89" t="n">
        <f aca="false">J96*$C$95+J100*$C$99+$C$103*J104</f>
        <v>0</v>
      </c>
      <c r="K92" s="89" t="n">
        <f aca="false">K96*$C$95+K100*$C$99+$C$103*K104</f>
        <v>0</v>
      </c>
      <c r="L92" s="89" t="n">
        <f aca="false">L96*$C$95+L100*$C$99+$C$103*L104</f>
        <v>0.0149541727303334</v>
      </c>
      <c r="M92" s="89" t="n">
        <f aca="false">M96*$C$95+M100*$C$99+$C$103*M104</f>
        <v>0</v>
      </c>
      <c r="N92" s="89" t="n">
        <f aca="false">N96*$C$95+N100*$C$99+$C$103*N104</f>
        <v>0.02</v>
      </c>
      <c r="O92" s="89" t="n">
        <f aca="false">O96*$C$95+O100*$C$99+$C$103*O104</f>
        <v>0</v>
      </c>
      <c r="P92" s="89" t="n">
        <f aca="false">P96*$C$95+P100*$C$99+$C$103*P104</f>
        <v>0.0399894869629571</v>
      </c>
      <c r="Q92" s="89" t="n">
        <f aca="false">Q96*$C$95+Q100*$C$99+$C$103*Q104</f>
        <v>0</v>
      </c>
      <c r="R92" s="89" t="n">
        <f aca="false">R96*$C$95+R100*$C$99+$C$103*R104</f>
        <v>0</v>
      </c>
      <c r="S92" s="89" t="n">
        <f aca="false">S96*$C$95+S100*$C$99+$C$103*S104</f>
        <v>0.11528829375183</v>
      </c>
      <c r="T92" s="89" t="n">
        <f aca="false">T96*$C$95+T100*$C$99+$C$103*T104</f>
        <v>0.05</v>
      </c>
      <c r="U92" s="89" t="n">
        <f aca="false">U96*$C$95+U100*$C$99+$C$103*U104</f>
        <v>0.066</v>
      </c>
      <c r="V92" s="74"/>
      <c r="W92" s="92"/>
      <c r="Z92" s="30"/>
    </row>
    <row r="93" s="209" customFormat="true" ht="17.4" hidden="false" customHeight="false" outlineLevel="0" collapsed="false">
      <c r="A93" s="315"/>
      <c r="B93" s="31"/>
      <c r="C93" s="93"/>
      <c r="D93" s="85" t="s">
        <v>135</v>
      </c>
      <c r="E93" s="217" t="n">
        <f aca="false">E97*$C$95+E101*$C$99+$C$103*E105</f>
        <v>0</v>
      </c>
      <c r="F93" s="89" t="n">
        <f aca="false">F97*$C$95+F101*$C$99+$C$103*F105</f>
        <v>6.6242250046518E-006</v>
      </c>
      <c r="G93" s="88" t="n">
        <f aca="false">G97*$C$95+G101*$C$99+$C$103*G105</f>
        <v>7.90574651468171E-006</v>
      </c>
      <c r="H93" s="89" t="n">
        <f aca="false">H97*$C$95+H101*$C$99+$C$103*H105</f>
        <v>3.07354063718425E-011</v>
      </c>
      <c r="I93" s="89" t="n">
        <f aca="false">I97*$C$95+I101*$C$99+$C$103*I105</f>
        <v>0</v>
      </c>
      <c r="J93" s="89" t="n">
        <f aca="false">J97*$C$95+J101*$C$99+$C$103*J105</f>
        <v>0</v>
      </c>
      <c r="K93" s="89" t="n">
        <f aca="false">K97*$C$95+K101*$C$99+$C$103*K105</f>
        <v>0</v>
      </c>
      <c r="L93" s="89" t="n">
        <f aca="false">L97*$C$95+L101*$C$99+$C$103*L105</f>
        <v>6.62419426924543E-006</v>
      </c>
      <c r="M93" s="89" t="n">
        <f aca="false">M97*$C$95+M101*$C$99+$C$103*M105</f>
        <v>0</v>
      </c>
      <c r="N93" s="89" t="n">
        <f aca="false">N97*$C$95+N101*$C$99+$C$103*N105</f>
        <v>0</v>
      </c>
      <c r="O93" s="89" t="n">
        <f aca="false">O97*$C$95+O101*$C$99+$C$103*O105</f>
        <v>0</v>
      </c>
      <c r="P93" s="89" t="n">
        <f aca="false">P97*$C$95+P101*$C$99+$C$103*P105</f>
        <v>0</v>
      </c>
      <c r="Q93" s="89" t="n">
        <f aca="false">Q97*$C$95+Q101*$C$99+$C$103*Q105</f>
        <v>0</v>
      </c>
      <c r="R93" s="89" t="n">
        <f aca="false">R97*$C$95+R101*$C$99+$C$103*R105</f>
        <v>0</v>
      </c>
      <c r="S93" s="89" t="n">
        <f aca="false">S97*$C$95+S101*$C$99+$C$103*S105</f>
        <v>6.6242250046518E-006</v>
      </c>
      <c r="T93" s="89" t="n">
        <f aca="false">T97*$C$95+T101*$C$99+$C$103*T105</f>
        <v>0</v>
      </c>
      <c r="U93" s="89" t="n">
        <f aca="false">U97*$C$95+U101*$C$99+$C$103*U105</f>
        <v>0</v>
      </c>
      <c r="V93" s="74"/>
      <c r="W93" s="92"/>
      <c r="Z93" s="30"/>
    </row>
    <row r="94" s="209" customFormat="true" ht="17.4" hidden="false" customHeight="false" outlineLevel="0" collapsed="false">
      <c r="A94" s="74"/>
      <c r="B94" s="101"/>
      <c r="C94" s="87"/>
      <c r="D94" s="31" t="s">
        <v>136</v>
      </c>
      <c r="E94" s="217" t="n">
        <f aca="false">E98*$C$95+E102*$C$99+$C$103*E106</f>
        <v>8.5434624401449E-005</v>
      </c>
      <c r="F94" s="89" t="n">
        <f aca="false">F98*$C$95+F102*$C$99+$C$103*F106</f>
        <v>0.000130311930144235</v>
      </c>
      <c r="G94" s="88" t="n">
        <f aca="false">G98*$C$95+G102*$C$99+$C$103*G106</f>
        <v>0.000155522055309983</v>
      </c>
      <c r="H94" s="89" t="n">
        <f aca="false">H98*$C$95+H102*$C$99+$C$103*H106</f>
        <v>4.44754812911281E-005</v>
      </c>
      <c r="I94" s="89" t="n">
        <f aca="false">I98*$C$95+I102*$C$99+$C$103*I106</f>
        <v>0</v>
      </c>
      <c r="J94" s="89" t="n">
        <f aca="false">J98*$C$95+J102*$C$99+$C$103*J106</f>
        <v>7.76678403649536E-005</v>
      </c>
      <c r="K94" s="89" t="n">
        <f aca="false">K98*$C$95+K102*$C$99+$C$103*K106</f>
        <v>7.76678403649536E-006</v>
      </c>
      <c r="L94" s="89" t="n">
        <f aca="false">L98*$C$95+L102*$C$99+$C$103*L106</f>
        <v>4.01824451658064E-007</v>
      </c>
      <c r="M94" s="89" t="n">
        <f aca="false">M98*$C$95+M102*$C$99+$C$103*M106</f>
        <v>0</v>
      </c>
      <c r="N94" s="89" t="n">
        <f aca="false">N98*$C$95+N102*$C$99+$C$103*N106</f>
        <v>0</v>
      </c>
      <c r="O94" s="89" t="n">
        <f aca="false">O98*$C$95+O102*$C$99+$C$103*O106</f>
        <v>0</v>
      </c>
      <c r="P94" s="89" t="n">
        <f aca="false">P98*$C$95+P102*$C$99+$C$103*P106</f>
        <v>0</v>
      </c>
      <c r="Q94" s="89" t="n">
        <f aca="false">Q98*$C$95+Q102*$C$99+$C$103*Q106</f>
        <v>0</v>
      </c>
      <c r="R94" s="89" t="n">
        <f aca="false">R98*$C$95+R102*$C$99+$C$103*R106</f>
        <v>0</v>
      </c>
      <c r="S94" s="89" t="n">
        <f aca="false">S98*$C$95+S102*$C$99+$C$103*S106</f>
        <v>0.000130311930144235</v>
      </c>
      <c r="T94" s="89" t="n">
        <f aca="false">T98*$C$95+T102*$C$99+$C$103*T106</f>
        <v>0</v>
      </c>
      <c r="U94" s="89" t="n">
        <f aca="false">U98*$C$95+U102*$C$99+$C$103*U106</f>
        <v>0</v>
      </c>
      <c r="V94" s="74"/>
      <c r="W94" s="92"/>
      <c r="Z94" s="30"/>
    </row>
    <row r="95" s="332" customFormat="true" ht="17.4" hidden="false" customHeight="false" outlineLevel="0" collapsed="false">
      <c r="A95" s="330" t="s">
        <v>137</v>
      </c>
      <c r="B95" s="76" t="s">
        <v>254</v>
      </c>
      <c r="C95" s="84" t="n">
        <f aca="false">'Input data plant-based products'!D35</f>
        <v>0.82</v>
      </c>
      <c r="D95" s="78" t="s">
        <v>133</v>
      </c>
      <c r="E95" s="94" t="n">
        <f aca="false">IF($F$1="GWP100 without fb",E96+E97*'Common input data'!$C$5+E98*'Common input data'!$D$5,IF($F$1="GWP100 with fb",E96+E97*'Common input data'!$C$6+E98*'Common input data'!$D$6,IF($F$1="GTP100 without fb",E96+E97*'Common input data'!$C$7+E98*'Common input data'!$D$7,IF($F$1="GTP100 with fb",E96+E97*'Common input data'!$C$8+E98*'Common input data'!$D$8,E96+E97*'Common input data'!$C$9+E98*'Common input data'!$D$9))))</f>
        <v>0.0661265131721629</v>
      </c>
      <c r="F95" s="95" t="n">
        <f aca="false">IF($F$1="GWP100 without fb",F96+F97*'Common input data'!$C$5+F98*'Common input data'!$D$5,IF($F$1="GWP100 with fb",F96+F97*'Common input data'!$C$6+F98*'Common input data'!$D$6,IF($F$1="GTP100 without fb",F96+F97*'Common input data'!$C$7+F98*'Common input data'!$D$7,IF($F$1="GTP100 with fb",F96+F97*'Common input data'!$C$8+F98*'Common input data'!$D$8,F96+F97*'Common input data'!$C$9+F98*'Common input data'!$D$9))))</f>
        <v>0.154641469159559</v>
      </c>
      <c r="G95" s="96" t="n">
        <f aca="false">IF($F$1="GWP100 without fb",G96+G97*'Common input data'!$C$5+G98*'Common input data'!$D$5,IF($F$1="GWP100 with fb",G96+G97*'Common input data'!$C$6+G98*'Common input data'!$D$6,IF($F$1="GTP100 without fb",G96+G97*'Common input data'!$C$7+G98*'Common input data'!$D$7,IF($F$1="GTP100 with fb",G96+G97*'Common input data'!$C$8+G98*'Common input data'!$D$8,G96+G97*'Common input data'!$C$9+G98*'Common input data'!$D$9))))</f>
        <v>0.280035170258455</v>
      </c>
      <c r="H95" s="83"/>
      <c r="I95" s="83"/>
      <c r="J95" s="83"/>
      <c r="K95" s="83"/>
      <c r="L95" s="83"/>
      <c r="M95" s="83"/>
      <c r="N95" s="83"/>
      <c r="O95" s="83"/>
      <c r="P95" s="83"/>
      <c r="Q95" s="83"/>
      <c r="R95" s="83"/>
      <c r="S95" s="83"/>
      <c r="T95" s="83"/>
      <c r="U95" s="83"/>
      <c r="V95" s="74"/>
      <c r="W95" s="92"/>
      <c r="X95" s="209"/>
      <c r="Y95" s="209"/>
      <c r="Z95" s="30"/>
      <c r="AA95" s="209"/>
      <c r="AB95" s="209"/>
      <c r="AC95" s="209"/>
      <c r="AD95" s="209"/>
      <c r="AE95" s="209"/>
      <c r="AF95" s="209"/>
      <c r="AG95" s="209"/>
      <c r="AH95" s="209"/>
      <c r="AI95" s="209"/>
      <c r="AJ95" s="209"/>
      <c r="AK95" s="209"/>
      <c r="AL95" s="209"/>
      <c r="AM95" s="209"/>
      <c r="AN95" s="209"/>
      <c r="AO95" s="209"/>
      <c r="AP95" s="209"/>
      <c r="AQ95" s="209"/>
      <c r="AR95" s="209"/>
      <c r="AS95" s="209"/>
      <c r="AT95" s="209"/>
      <c r="AU95" s="209"/>
      <c r="AV95" s="209"/>
      <c r="AW95" s="209"/>
      <c r="AX95" s="209"/>
      <c r="AY95" s="209"/>
      <c r="AZ95" s="209"/>
      <c r="BA95" s="209"/>
      <c r="BB95" s="209"/>
      <c r="BC95" s="209"/>
      <c r="BD95" s="209"/>
      <c r="BE95" s="209"/>
      <c r="BF95" s="209"/>
      <c r="BG95" s="209"/>
      <c r="BH95" s="209"/>
      <c r="BI95" s="209"/>
      <c r="BJ95" s="209"/>
      <c r="BK95" s="209"/>
      <c r="BL95" s="209"/>
      <c r="BM95" s="209"/>
      <c r="BN95" s="209"/>
      <c r="BO95" s="209"/>
      <c r="BP95" s="209"/>
      <c r="BQ95" s="209"/>
      <c r="BR95" s="209"/>
      <c r="BS95" s="209"/>
      <c r="BT95" s="209"/>
      <c r="BU95" s="209"/>
      <c r="BV95" s="209"/>
      <c r="BW95" s="209"/>
      <c r="BX95" s="209"/>
      <c r="BY95" s="209"/>
      <c r="BZ95" s="209"/>
      <c r="CA95" s="209"/>
      <c r="CB95" s="209"/>
      <c r="CC95" s="209"/>
      <c r="CD95" s="209"/>
      <c r="CE95" s="209"/>
      <c r="CF95" s="209"/>
      <c r="CG95" s="209"/>
      <c r="CH95" s="209"/>
      <c r="CI95" s="209"/>
      <c r="CJ95" s="209"/>
      <c r="CK95" s="209"/>
      <c r="CL95" s="209"/>
      <c r="CM95" s="209"/>
      <c r="CN95" s="209"/>
      <c r="CO95" s="209"/>
      <c r="CP95" s="209"/>
      <c r="CQ95" s="209"/>
      <c r="CR95" s="209"/>
      <c r="CS95" s="209"/>
      <c r="CT95" s="209"/>
      <c r="CU95" s="209"/>
      <c r="CV95" s="209"/>
      <c r="CW95" s="209"/>
      <c r="CX95" s="209"/>
      <c r="CY95" s="209"/>
      <c r="CZ95" s="209"/>
      <c r="DA95" s="209"/>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09"/>
      <c r="EC95" s="209"/>
      <c r="ED95" s="209"/>
      <c r="EE95" s="209"/>
      <c r="EF95" s="209"/>
      <c r="EG95" s="209"/>
      <c r="EH95" s="209"/>
      <c r="EI95" s="209"/>
      <c r="EJ95" s="209"/>
      <c r="EK95" s="209"/>
      <c r="EL95" s="209"/>
      <c r="EM95" s="209"/>
      <c r="EN95" s="209"/>
      <c r="EO95" s="209"/>
      <c r="EP95" s="209"/>
      <c r="EQ95" s="209"/>
      <c r="ER95" s="209"/>
      <c r="ES95" s="209"/>
      <c r="ET95" s="209"/>
      <c r="EU95" s="209"/>
      <c r="EV95" s="209"/>
      <c r="EW95" s="209"/>
      <c r="EX95" s="209"/>
      <c r="EY95" s="209"/>
      <c r="EZ95" s="209"/>
      <c r="FA95" s="209"/>
      <c r="FB95" s="209"/>
      <c r="FC95" s="209"/>
      <c r="FD95" s="209"/>
      <c r="FE95" s="209"/>
      <c r="FF95" s="209"/>
      <c r="FG95" s="209"/>
      <c r="FH95" s="209"/>
      <c r="FI95" s="209"/>
      <c r="FJ95" s="209"/>
      <c r="FK95" s="209"/>
      <c r="FL95" s="209"/>
      <c r="FM95" s="209"/>
      <c r="FN95" s="209"/>
      <c r="FO95" s="209"/>
      <c r="FP95" s="209"/>
      <c r="FQ95" s="209"/>
      <c r="FR95" s="209"/>
      <c r="FS95" s="209"/>
      <c r="FT95" s="209"/>
      <c r="FU95" s="209"/>
      <c r="FV95" s="209"/>
      <c r="FW95" s="209"/>
      <c r="FX95" s="209"/>
      <c r="FY95" s="209"/>
      <c r="FZ95" s="209"/>
      <c r="GA95" s="209"/>
      <c r="GB95" s="209"/>
      <c r="GC95" s="209"/>
      <c r="GD95" s="209"/>
      <c r="GE95" s="209"/>
      <c r="GF95" s="209"/>
      <c r="GG95" s="209"/>
      <c r="GH95" s="209"/>
      <c r="GI95" s="209"/>
      <c r="GJ95" s="209"/>
      <c r="GK95" s="209"/>
      <c r="GL95" s="209"/>
      <c r="GM95" s="209"/>
      <c r="GN95" s="209"/>
      <c r="GO95" s="209"/>
      <c r="GP95" s="209"/>
      <c r="GQ95" s="209"/>
      <c r="GR95" s="209"/>
      <c r="GS95" s="209"/>
      <c r="GT95" s="209"/>
      <c r="GU95" s="209"/>
      <c r="GV95" s="209"/>
      <c r="GW95" s="209"/>
      <c r="GX95" s="209"/>
      <c r="GY95" s="209"/>
      <c r="GZ95" s="209"/>
      <c r="HA95" s="209"/>
      <c r="HB95" s="209"/>
      <c r="HC95" s="209"/>
      <c r="HD95" s="209"/>
      <c r="HE95" s="209"/>
      <c r="HF95" s="209"/>
      <c r="HG95" s="209"/>
      <c r="HH95" s="209"/>
      <c r="HI95" s="209"/>
      <c r="HJ95" s="209"/>
      <c r="HK95" s="209"/>
      <c r="HL95" s="209"/>
      <c r="HM95" s="209"/>
      <c r="HN95" s="209"/>
      <c r="HO95" s="209"/>
      <c r="HP95" s="209"/>
      <c r="HQ95" s="209"/>
      <c r="HR95" s="209"/>
      <c r="HS95" s="209"/>
      <c r="HT95" s="209"/>
      <c r="HU95" s="209"/>
      <c r="HV95" s="209"/>
      <c r="HW95" s="209"/>
      <c r="HX95" s="209"/>
      <c r="HY95" s="209"/>
      <c r="HZ95" s="209"/>
      <c r="IA95" s="209"/>
      <c r="IB95" s="209"/>
      <c r="IC95" s="209"/>
      <c r="ID95" s="209"/>
      <c r="IE95" s="209"/>
      <c r="IF95" s="209"/>
      <c r="IG95" s="209"/>
      <c r="IH95" s="209"/>
      <c r="II95" s="209"/>
      <c r="IJ95" s="209"/>
      <c r="IK95" s="209"/>
      <c r="IL95" s="209"/>
      <c r="IM95" s="209"/>
      <c r="IN95" s="209"/>
      <c r="IO95" s="209"/>
      <c r="IP95" s="209"/>
      <c r="IQ95" s="209"/>
      <c r="IR95" s="209"/>
      <c r="IS95" s="209"/>
      <c r="IT95" s="209"/>
      <c r="IU95" s="209"/>
      <c r="IV95" s="209"/>
      <c r="IW95" s="209"/>
      <c r="IX95" s="209"/>
    </row>
    <row r="96" s="209" customFormat="true" ht="17.4" hidden="false" customHeight="false" outlineLevel="0" collapsed="false">
      <c r="A96" s="315"/>
      <c r="B96" s="31"/>
      <c r="C96" s="30"/>
      <c r="D96" s="85" t="s">
        <v>134</v>
      </c>
      <c r="E96" s="217" t="n">
        <f aca="false">IF(AND($F$2="No",$F$3="No"),SUM(J96:K96),IF(AND($F$2="Yes", $F$3="No"), SUM(J96:K96)+Q96, IF(AND($F$2="No", $F$3="Yes"),SUM(J96:K96)+P96, SUM(J96:K96)+Q96+P96)))</f>
        <v>0.0399894869629571</v>
      </c>
      <c r="F96" s="89" t="n">
        <f aca="false">IF(AND($F$2="No",$F$3="No"),SUM(H96:O96),IF(AND($F$2="Yes", $F$3="No"), SUM(H96:O96)+Q96, IF(AND($F$2="No", $F$3="Yes"),SUM(H96:O96)+P96, SUM(H96:O96)+Q96+P96)))</f>
        <v>0.115479821867738</v>
      </c>
      <c r="G96" s="88" t="n">
        <f aca="false">SUM(S96:U96)/(1-'Common input data'!$B$121)</f>
        <v>0.23329731694443</v>
      </c>
      <c r="H96" s="89" t="n">
        <f aca="false">('Input data plant-based products'!$F$35*('Common input data'!$B$76*'Common input data'!B69+'Common input data'!$B$77*'Common input data'!C69))/'Input data plant-based products'!$E$35</f>
        <v>0.0104745314050213</v>
      </c>
      <c r="I96" s="89" t="n">
        <f aca="false">'Common input data'!$B$81</f>
        <v>0.03</v>
      </c>
      <c r="J96" s="89" t="n">
        <v>0</v>
      </c>
      <c r="K96" s="89" t="n">
        <v>0</v>
      </c>
      <c r="L96" s="89" t="n">
        <f aca="false">('Input data plant-based products'!$I$35*'Common input data'!$C$59*'Common input data'!H49)/'Input data plant-based products'!$E$35</f>
        <v>0.0150158034997592</v>
      </c>
      <c r="M96" s="89" t="n">
        <v>0</v>
      </c>
      <c r="N96" s="89" t="n">
        <f aca="false">'Input data plant-based products'!$G$152</f>
        <v>0.02</v>
      </c>
      <c r="O96" s="89" t="n">
        <v>0</v>
      </c>
      <c r="P96" s="89" t="n">
        <f aca="false">'Common input data'!$E$13</f>
        <v>0.0399894869629571</v>
      </c>
      <c r="Q96" s="89" t="n">
        <v>0</v>
      </c>
      <c r="R96" s="89" t="n">
        <v>0</v>
      </c>
      <c r="S96" s="89" t="n">
        <f aca="false">(F96+R96)</f>
        <v>0.115479821867738</v>
      </c>
      <c r="T96" s="89" t="n">
        <f aca="false">'Common input data'!$B$88</f>
        <v>0.05</v>
      </c>
      <c r="U96" s="89" t="n">
        <f aca="false">'Common input data'!C98</f>
        <v>0.03</v>
      </c>
      <c r="V96" s="74"/>
      <c r="W96" s="92"/>
      <c r="Z96" s="30"/>
    </row>
    <row r="97" s="209" customFormat="true" ht="17.4" hidden="false" customHeight="false" outlineLevel="0" collapsed="false">
      <c r="A97" s="74"/>
      <c r="B97" s="31"/>
      <c r="C97" s="93"/>
      <c r="D97" s="85" t="s">
        <v>135</v>
      </c>
      <c r="E97" s="217" t="n">
        <f aca="false">SUM(J97:K97)</f>
        <v>0</v>
      </c>
      <c r="F97" s="89" t="n">
        <f aca="false">SUM(H97:O97)</f>
        <v>6.65152266469738E-006</v>
      </c>
      <c r="G97" s="88" t="n">
        <f aca="false">SUM(S97:U97)/(1-'Common input data'!$B$121)</f>
        <v>7.93832517567417E-006</v>
      </c>
      <c r="H97" s="89" t="n">
        <f aca="false">('Input data plant-based products'!$F$35*('Common input data'!$B$76*'Common input data'!B70+'Common input data'!$B$77*'Common input data'!C70))/'Input data plant-based products'!$E$35</f>
        <v>2.80427676994702E-011</v>
      </c>
      <c r="I97" s="89" t="n">
        <v>0</v>
      </c>
      <c r="J97" s="89" t="n">
        <v>0</v>
      </c>
      <c r="K97" s="89" t="n">
        <v>0</v>
      </c>
      <c r="L97" s="89" t="n">
        <f aca="false">('Input data plant-based products'!$I$35*'Common input data'!$C$59*'Common input data'!H50)/'Input data plant-based products'!$E$35</f>
        <v>6.65149462192968E-006</v>
      </c>
      <c r="M97" s="89" t="n">
        <v>0</v>
      </c>
      <c r="N97" s="89" t="n">
        <v>0</v>
      </c>
      <c r="O97" s="89" t="n">
        <v>0</v>
      </c>
      <c r="P97" s="89" t="n">
        <v>0</v>
      </c>
      <c r="Q97" s="89" t="n">
        <v>0</v>
      </c>
      <c r="R97" s="89" t="n">
        <v>0</v>
      </c>
      <c r="S97" s="89" t="n">
        <f aca="false">(F97+R97)</f>
        <v>6.65152266469738E-006</v>
      </c>
      <c r="T97" s="89" t="n">
        <v>0</v>
      </c>
      <c r="U97" s="89" t="n">
        <v>0</v>
      </c>
      <c r="V97" s="74"/>
      <c r="W97" s="92"/>
      <c r="Z97" s="30"/>
    </row>
    <row r="98" s="209" customFormat="true" ht="17.4" hidden="false" customHeight="false" outlineLevel="0" collapsed="false">
      <c r="A98" s="100"/>
      <c r="B98" s="101"/>
      <c r="C98" s="87"/>
      <c r="D98" s="31" t="s">
        <v>136</v>
      </c>
      <c r="E98" s="217" t="n">
        <f aca="false">SUM(J98:K98)</f>
        <v>8.77081416416302E-005</v>
      </c>
      <c r="F98" s="89" t="n">
        <f aca="false">SUM(H98:O98)</f>
        <v>0.000130656025239</v>
      </c>
      <c r="G98" s="88" t="n">
        <f aca="false">SUM(S98:U98)/(1-'Common input data'!$B$121)</f>
        <v>0.000155932718986752</v>
      </c>
      <c r="H98" s="89" t="n">
        <f aca="false">('Input data plant-based products'!$F$35*('Common input data'!$B$76*'Common input data'!B71+'Common input data'!$B$77*'Common input data'!C71))/'Input data plant-based products'!$E$35</f>
        <v>4.25444031029082E-005</v>
      </c>
      <c r="I98" s="89" t="n">
        <v>0</v>
      </c>
      <c r="J98" s="89" t="n">
        <f aca="false">(SUM('Input data plant-based products'!F35:H35)*'Input data plant-based products'!$B$114*44/28)/'Input data plant-based products'!E35</f>
        <v>7.97346742196638E-005</v>
      </c>
      <c r="K98" s="89" t="n">
        <f aca="false">J98*'Input data plant-based products'!$B$115</f>
        <v>7.97346742196638E-006</v>
      </c>
      <c r="L98" s="89" t="n">
        <f aca="false">('Input data plant-based products'!$I$35*'Common input data'!$C$59*'Common input data'!H51)/'Input data plant-based products'!$E$35</f>
        <v>4.0348049446139E-007</v>
      </c>
      <c r="M98" s="89" t="n">
        <v>0</v>
      </c>
      <c r="N98" s="89" t="n">
        <v>0</v>
      </c>
      <c r="O98" s="89" t="n">
        <v>0</v>
      </c>
      <c r="P98" s="89" t="n">
        <v>0</v>
      </c>
      <c r="Q98" s="89" t="n">
        <v>0</v>
      </c>
      <c r="R98" s="89" t="n">
        <v>0</v>
      </c>
      <c r="S98" s="89" t="n">
        <f aca="false">(F98+R98)</f>
        <v>0.000130656025239</v>
      </c>
      <c r="T98" s="89" t="n">
        <v>0</v>
      </c>
      <c r="U98" s="89" t="n">
        <v>0</v>
      </c>
      <c r="V98" s="74"/>
      <c r="W98" s="92"/>
      <c r="Z98" s="30"/>
    </row>
    <row r="99" s="332" customFormat="true" ht="17.4" hidden="false" customHeight="false" outlineLevel="0" collapsed="false">
      <c r="A99" s="330" t="s">
        <v>285</v>
      </c>
      <c r="B99" s="76" t="s">
        <v>254</v>
      </c>
      <c r="C99" s="84" t="n">
        <f aca="false">'Input data plant-based products'!D36</f>
        <v>0.12</v>
      </c>
      <c r="D99" s="78" t="s">
        <v>133</v>
      </c>
      <c r="E99" s="94" t="n">
        <f aca="false">IF($F$1="GWP100 without fb",E100+E101*'Common input data'!$C$5+E102*'Common input data'!$D$5,IF($F$1="GWP100 with fb",E100+E101*'Common input data'!$C$6+E102*'Common input data'!$D$6,IF($F$1="GTP100 without fb",E100+E101*'Common input data'!$C$7+E102*'Common input data'!$D$7,IF($F$1="GTP100 with fb",E100+E101*'Common input data'!$C$8+E102*'Common input data'!$D$8,E100+E101*'Common input data'!$C$9+E102*'Common input data'!$D$9))))</f>
        <v>0.0624444324378606</v>
      </c>
      <c r="F99" s="95" t="n">
        <f aca="false">IF($F$1="GWP100 without fb",F100+F101*'Common input data'!$C$5+F102*'Common input data'!$D$5,IF($F$1="GWP100 with fb",F100+F101*'Common input data'!$C$6+F102*'Common input data'!$D$6,IF($F$1="GTP100 without fb",F100+F101*'Common input data'!$C$7+F102*'Common input data'!$D$7,IF($F$1="GTP100 with fb",F100+F101*'Common input data'!$C$8+F102*'Common input data'!$D$8,F100+F101*'Common input data'!$C$9+F102*'Common input data'!$D$9))))</f>
        <v>0.152852062228288</v>
      </c>
      <c r="G99" s="96" t="n">
        <f aca="false">IF($F$1="GWP100 without fb",G100+G101*'Common input data'!$C$5+G102*'Common input data'!$D$5,IF($F$1="GWP100 with fb",G100+G101*'Common input data'!$C$6+G102*'Common input data'!$D$6,IF($F$1="GTP100 without fb",G100+G101*'Common input data'!$C$7+G102*'Common input data'!$D$7,IF($F$1="GTP100 with fb",G100+G101*'Common input data'!$C$8+G102*'Common input data'!$D$8,G100+G101*'Common input data'!$C$9+G102*'Common input data'!$D$9))))</f>
        <v>0.516591552963704</v>
      </c>
      <c r="H99" s="83"/>
      <c r="I99" s="83"/>
      <c r="J99" s="83"/>
      <c r="K99" s="83"/>
      <c r="L99" s="83"/>
      <c r="M99" s="83"/>
      <c r="N99" s="83"/>
      <c r="O99" s="83"/>
      <c r="P99" s="83"/>
      <c r="Q99" s="83"/>
      <c r="R99" s="83"/>
      <c r="S99" s="83"/>
      <c r="T99" s="83"/>
      <c r="U99" s="83"/>
      <c r="V99" s="74"/>
      <c r="W99" s="92"/>
      <c r="X99" s="209"/>
      <c r="Y99" s="209"/>
      <c r="Z99" s="30"/>
      <c r="AA99" s="209"/>
      <c r="AB99" s="209"/>
      <c r="AC99" s="209"/>
      <c r="AD99" s="209"/>
      <c r="AE99" s="209"/>
      <c r="AF99" s="209"/>
      <c r="AG99" s="209"/>
      <c r="AH99" s="209"/>
      <c r="AI99" s="209"/>
      <c r="AJ99" s="209"/>
      <c r="AK99" s="209"/>
      <c r="AL99" s="209"/>
      <c r="AM99" s="209"/>
      <c r="AN99" s="209"/>
      <c r="AO99" s="209"/>
      <c r="AP99" s="209"/>
      <c r="AQ99" s="209"/>
      <c r="AR99" s="209"/>
      <c r="AS99" s="209"/>
      <c r="AT99" s="209"/>
      <c r="AU99" s="209"/>
      <c r="AV99" s="209"/>
      <c r="AW99" s="209"/>
      <c r="AX99" s="209"/>
      <c r="AY99" s="209"/>
      <c r="AZ99" s="209"/>
      <c r="BA99" s="209"/>
      <c r="BB99" s="209"/>
      <c r="BC99" s="209"/>
      <c r="BD99" s="209"/>
      <c r="BE99" s="209"/>
      <c r="BF99" s="209"/>
      <c r="BG99" s="209"/>
      <c r="BH99" s="209"/>
      <c r="BI99" s="209"/>
      <c r="BJ99" s="209"/>
      <c r="BK99" s="209"/>
      <c r="BL99" s="209"/>
      <c r="BM99" s="209"/>
      <c r="BN99" s="209"/>
      <c r="BO99" s="209"/>
      <c r="BP99" s="209"/>
      <c r="BQ99" s="209"/>
      <c r="BR99" s="209"/>
      <c r="BS99" s="209"/>
      <c r="BT99" s="209"/>
      <c r="BU99" s="209"/>
      <c r="BV99" s="209"/>
      <c r="BW99" s="209"/>
      <c r="BX99" s="209"/>
      <c r="BY99" s="209"/>
      <c r="BZ99" s="209"/>
      <c r="CA99" s="209"/>
      <c r="CB99" s="209"/>
      <c r="CC99" s="209"/>
      <c r="CD99" s="209"/>
      <c r="CE99" s="209"/>
      <c r="CF99" s="209"/>
      <c r="CG99" s="209"/>
      <c r="CH99" s="209"/>
      <c r="CI99" s="209"/>
      <c r="CJ99" s="209"/>
      <c r="CK99" s="209"/>
      <c r="CL99" s="209"/>
      <c r="CM99" s="209"/>
      <c r="CN99" s="209"/>
      <c r="CO99" s="209"/>
      <c r="CP99" s="209"/>
      <c r="CQ99" s="209"/>
      <c r="CR99" s="209"/>
      <c r="CS99" s="209"/>
      <c r="CT99" s="209"/>
      <c r="CU99" s="209"/>
      <c r="CV99" s="209"/>
      <c r="CW99" s="209"/>
      <c r="CX99" s="209"/>
      <c r="CY99" s="209"/>
      <c r="CZ99" s="209"/>
      <c r="DA99" s="209"/>
      <c r="DB99" s="209"/>
      <c r="DC99" s="209"/>
      <c r="DD99" s="209"/>
      <c r="DE99" s="209"/>
      <c r="DF99" s="209"/>
      <c r="DG99" s="209"/>
      <c r="DH99" s="209"/>
      <c r="DI99" s="209"/>
      <c r="DJ99" s="209"/>
      <c r="DK99" s="209"/>
      <c r="DL99" s="209"/>
      <c r="DM99" s="209"/>
      <c r="DN99" s="209"/>
      <c r="DO99" s="209"/>
      <c r="DP99" s="209"/>
      <c r="DQ99" s="209"/>
      <c r="DR99" s="209"/>
      <c r="DS99" s="209"/>
      <c r="DT99" s="209"/>
      <c r="DU99" s="209"/>
      <c r="DV99" s="209"/>
      <c r="DW99" s="209"/>
      <c r="DX99" s="209"/>
      <c r="DY99" s="209"/>
      <c r="DZ99" s="209"/>
      <c r="EA99" s="209"/>
      <c r="EB99" s="209"/>
      <c r="EC99" s="209"/>
      <c r="ED99" s="209"/>
      <c r="EE99" s="209"/>
      <c r="EF99" s="209"/>
      <c r="EG99" s="209"/>
      <c r="EH99" s="209"/>
      <c r="EI99" s="209"/>
      <c r="EJ99" s="209"/>
      <c r="EK99" s="209"/>
      <c r="EL99" s="209"/>
      <c r="EM99" s="209"/>
      <c r="EN99" s="209"/>
      <c r="EO99" s="209"/>
      <c r="EP99" s="209"/>
      <c r="EQ99" s="209"/>
      <c r="ER99" s="209"/>
      <c r="ES99" s="209"/>
      <c r="ET99" s="209"/>
      <c r="EU99" s="209"/>
      <c r="EV99" s="209"/>
      <c r="EW99" s="209"/>
      <c r="EX99" s="209"/>
      <c r="EY99" s="209"/>
      <c r="EZ99" s="209"/>
      <c r="FA99" s="209"/>
      <c r="FB99" s="209"/>
      <c r="FC99" s="209"/>
      <c r="FD99" s="209"/>
      <c r="FE99" s="209"/>
      <c r="FF99" s="209"/>
      <c r="FG99" s="209"/>
      <c r="FH99" s="209"/>
      <c r="FI99" s="209"/>
      <c r="FJ99" s="209"/>
      <c r="FK99" s="209"/>
      <c r="FL99" s="209"/>
      <c r="FM99" s="209"/>
      <c r="FN99" s="209"/>
      <c r="FO99" s="209"/>
      <c r="FP99" s="209"/>
      <c r="FQ99" s="209"/>
      <c r="FR99" s="209"/>
      <c r="FS99" s="209"/>
      <c r="FT99" s="209"/>
      <c r="FU99" s="209"/>
      <c r="FV99" s="209"/>
      <c r="FW99" s="209"/>
      <c r="FX99" s="209"/>
      <c r="FY99" s="209"/>
      <c r="FZ99" s="209"/>
      <c r="GA99" s="209"/>
      <c r="GB99" s="209"/>
      <c r="GC99" s="209"/>
      <c r="GD99" s="209"/>
      <c r="GE99" s="209"/>
      <c r="GF99" s="209"/>
      <c r="GG99" s="209"/>
      <c r="GH99" s="209"/>
      <c r="GI99" s="209"/>
      <c r="GJ99" s="209"/>
      <c r="GK99" s="209"/>
      <c r="GL99" s="209"/>
      <c r="GM99" s="209"/>
      <c r="GN99" s="209"/>
      <c r="GO99" s="209"/>
      <c r="GP99" s="209"/>
      <c r="GQ99" s="209"/>
      <c r="GR99" s="209"/>
      <c r="GS99" s="209"/>
      <c r="GT99" s="209"/>
      <c r="GU99" s="209"/>
      <c r="GV99" s="209"/>
      <c r="GW99" s="209"/>
      <c r="GX99" s="209"/>
      <c r="GY99" s="209"/>
      <c r="GZ99" s="209"/>
      <c r="HA99" s="209"/>
      <c r="HB99" s="209"/>
      <c r="HC99" s="209"/>
      <c r="HD99" s="209"/>
      <c r="HE99" s="209"/>
      <c r="HF99" s="209"/>
      <c r="HG99" s="209"/>
      <c r="HH99" s="209"/>
      <c r="HI99" s="209"/>
      <c r="HJ99" s="209"/>
      <c r="HK99" s="209"/>
      <c r="HL99" s="209"/>
      <c r="HM99" s="209"/>
      <c r="HN99" s="209"/>
      <c r="HO99" s="209"/>
      <c r="HP99" s="209"/>
      <c r="HQ99" s="209"/>
      <c r="HR99" s="209"/>
      <c r="HS99" s="209"/>
      <c r="HT99" s="209"/>
      <c r="HU99" s="209"/>
      <c r="HV99" s="209"/>
      <c r="HW99" s="209"/>
      <c r="HX99" s="209"/>
      <c r="HY99" s="209"/>
      <c r="HZ99" s="209"/>
      <c r="IA99" s="209"/>
      <c r="IB99" s="209"/>
      <c r="IC99" s="209"/>
      <c r="ID99" s="209"/>
      <c r="IE99" s="209"/>
      <c r="IF99" s="209"/>
      <c r="IG99" s="209"/>
      <c r="IH99" s="209"/>
      <c r="II99" s="209"/>
      <c r="IJ99" s="209"/>
      <c r="IK99" s="209"/>
      <c r="IL99" s="209"/>
      <c r="IM99" s="209"/>
      <c r="IN99" s="209"/>
      <c r="IO99" s="209"/>
      <c r="IP99" s="209"/>
      <c r="IQ99" s="209"/>
      <c r="IR99" s="209"/>
      <c r="IS99" s="209"/>
      <c r="IT99" s="209"/>
      <c r="IU99" s="209"/>
      <c r="IV99" s="209"/>
      <c r="IW99" s="209"/>
      <c r="IX99" s="209"/>
    </row>
    <row r="100" s="209" customFormat="true" ht="17.4" hidden="false" customHeight="false" outlineLevel="0" collapsed="false">
      <c r="A100" s="99"/>
      <c r="B100" s="31"/>
      <c r="C100" s="30"/>
      <c r="D100" s="85" t="s">
        <v>134</v>
      </c>
      <c r="E100" s="217" t="n">
        <f aca="false">IF(AND($F$2="No",$F$3="No"),SUM(J100:K100),IF(AND($F$2="Yes", $F$3="No"), SUM(J100:K100)+Q100, IF(AND($F$2="No", $F$3="Yes"),SUM(J100:K100)+P100, SUM(J100:K100)+Q100+P100)))</f>
        <v>0.0399894869629571</v>
      </c>
      <c r="F100" s="89" t="n">
        <f aca="false">IF(AND($F$2="No",$F$3="No"),SUM(H100:O100),IF(AND($F$2="Yes", $F$3="No"), SUM(H100:O100)+Q100, IF(AND($F$2="No", $F$3="Yes"),SUM(H100:O100)+P100, SUM(H100:O100)+Q100+P100)))</f>
        <v>0.113943015972421</v>
      </c>
      <c r="G100" s="88" t="n">
        <f aca="false">SUM(S100:U100)/(1-'Common input data'!$B$121)</f>
        <v>0.470155168841653</v>
      </c>
      <c r="H100" s="89" t="n">
        <f aca="false">('Input data plant-based products'!$F$36*('Common input data'!$C$76*'Common input data'!B69+'Common input data'!$C$77*'Common input data'!C69))/'Input data plant-based products'!$E$36</f>
        <v>0.00990946894940416</v>
      </c>
      <c r="I100" s="89" t="n">
        <f aca="false">'Common input data'!$B$81</f>
        <v>0.03</v>
      </c>
      <c r="J100" s="89" t="n">
        <v>0</v>
      </c>
      <c r="K100" s="89" t="n">
        <v>0</v>
      </c>
      <c r="L100" s="89" t="n">
        <f aca="false">('Input data plant-based products'!$I$36*'Common input data'!$C$59*'Common input data'!H49)/'Input data plant-based products'!$E$36</f>
        <v>0.0140440600600601</v>
      </c>
      <c r="M100" s="89" t="n">
        <v>0</v>
      </c>
      <c r="N100" s="89" t="n">
        <f aca="false">'Input data plant-based products'!$G$152</f>
        <v>0.02</v>
      </c>
      <c r="O100" s="89" t="n">
        <v>0</v>
      </c>
      <c r="P100" s="89" t="n">
        <f aca="false">'Common input data'!$E$13</f>
        <v>0.0399894869629571</v>
      </c>
      <c r="Q100" s="89" t="n">
        <v>0</v>
      </c>
      <c r="R100" s="89" t="n">
        <v>0</v>
      </c>
      <c r="S100" s="89" t="n">
        <f aca="false">(F100+R100)</f>
        <v>0.113943015972421</v>
      </c>
      <c r="T100" s="89" t="n">
        <f aca="false">'Common input data'!$B$88</f>
        <v>0.05</v>
      </c>
      <c r="U100" s="89" t="n">
        <f aca="false">'Common input data'!B100+'Common input data'!C100</f>
        <v>0.23</v>
      </c>
      <c r="V100" s="74"/>
      <c r="W100" s="92"/>
      <c r="Z100" s="30"/>
    </row>
    <row r="101" s="209" customFormat="true" ht="17.4" hidden="false" customHeight="false" outlineLevel="0" collapsed="false">
      <c r="A101" s="74"/>
      <c r="B101" s="31"/>
      <c r="C101" s="93"/>
      <c r="D101" s="85" t="s">
        <v>135</v>
      </c>
      <c r="E101" s="217" t="n">
        <f aca="false">SUM(J101:K101)</f>
        <v>0</v>
      </c>
      <c r="F101" s="89" t="n">
        <f aca="false">SUM(H101:O101)</f>
        <v>6.22108873734234E-006</v>
      </c>
      <c r="G101" s="88" t="n">
        <f aca="false">SUM(S101:U101)/(1-'Common input data'!$B$121)</f>
        <v>7.42461956956957E-006</v>
      </c>
      <c r="H101" s="89" t="n">
        <f aca="false">('Input data plant-based products'!$F$36*('Common input data'!$C$76*'Common input data'!B70+'Common input data'!$C$77*'Common input data'!C70))/'Input data plant-based products'!$E$36</f>
        <v>4.36922972972973E-011</v>
      </c>
      <c r="I101" s="89" t="n">
        <v>0</v>
      </c>
      <c r="J101" s="89" t="n">
        <v>0</v>
      </c>
      <c r="K101" s="89" t="n">
        <v>0</v>
      </c>
      <c r="L101" s="89" t="n">
        <f aca="false">('Input data plant-based products'!$I$36*'Common input data'!$C$59*'Common input data'!H50)/'Input data plant-based products'!$E$36</f>
        <v>6.22104504504505E-006</v>
      </c>
      <c r="M101" s="89" t="n">
        <v>0</v>
      </c>
      <c r="N101" s="89" t="n">
        <v>0</v>
      </c>
      <c r="O101" s="89" t="n">
        <v>0</v>
      </c>
      <c r="P101" s="89" t="n">
        <v>0</v>
      </c>
      <c r="Q101" s="89" t="n">
        <v>0</v>
      </c>
      <c r="R101" s="89" t="n">
        <v>0</v>
      </c>
      <c r="S101" s="89" t="n">
        <f aca="false">(F101+R101)</f>
        <v>6.22108873734234E-006</v>
      </c>
      <c r="T101" s="89" t="n">
        <v>0</v>
      </c>
      <c r="U101" s="89" t="n">
        <v>0</v>
      </c>
      <c r="V101" s="74"/>
      <c r="W101" s="92"/>
      <c r="Z101" s="30"/>
    </row>
    <row r="102" s="209" customFormat="true" ht="17.4" hidden="false" customHeight="false" outlineLevel="0" collapsed="false">
      <c r="A102" s="100"/>
      <c r="B102" s="101"/>
      <c r="C102" s="87"/>
      <c r="D102" s="31" t="s">
        <v>136</v>
      </c>
      <c r="E102" s="217" t="n">
        <f aca="false">SUM(J102:K102)</f>
        <v>7.5352166023166E-005</v>
      </c>
      <c r="F102" s="89" t="n">
        <f aca="false">SUM(H102:O102)</f>
        <v>0.000129857480667103</v>
      </c>
      <c r="G102" s="88" t="n">
        <f aca="false">SUM(S102:U102)/(1-'Common input data'!$B$121)</f>
        <v>0.000154979688109683</v>
      </c>
      <c r="H102" s="89" t="n">
        <f aca="false">('Input data plant-based products'!$F$36*('Common input data'!$C$76*'Common input data'!B71+'Common input data'!$C$77*'Common input data'!C71))/'Input data plant-based products'!$E$36</f>
        <v>5.41279452745677E-005</v>
      </c>
      <c r="I102" s="89" t="n">
        <v>0</v>
      </c>
      <c r="J102" s="89" t="n">
        <f aca="false">(SUM('Input data plant-based products'!F36:H36)*'Input data plant-based products'!$B$114*44/28)/'Input data plant-based products'!E36</f>
        <v>6.85019691119691E-005</v>
      </c>
      <c r="K102" s="89" t="n">
        <f aca="false">J102*'Input data plant-based products'!$B$115</f>
        <v>6.85019691119691E-006</v>
      </c>
      <c r="L102" s="89" t="n">
        <f aca="false">('Input data plant-based products'!$I$36*'Common input data'!$C$59*'Common input data'!H51)/'Input data plant-based products'!$E$36</f>
        <v>3.77369369369369E-007</v>
      </c>
      <c r="M102" s="89" t="n">
        <v>0</v>
      </c>
      <c r="N102" s="89" t="n">
        <v>0</v>
      </c>
      <c r="O102" s="89" t="n">
        <v>0</v>
      </c>
      <c r="P102" s="89" t="n">
        <v>0</v>
      </c>
      <c r="Q102" s="89" t="n">
        <v>0</v>
      </c>
      <c r="R102" s="89" t="n">
        <v>0</v>
      </c>
      <c r="S102" s="89" t="n">
        <f aca="false">(F102+R102)</f>
        <v>0.000129857480667103</v>
      </c>
      <c r="T102" s="89" t="n">
        <v>0</v>
      </c>
      <c r="U102" s="89" t="n">
        <v>0</v>
      </c>
      <c r="V102" s="74"/>
      <c r="W102" s="92"/>
      <c r="Z102" s="30"/>
    </row>
    <row r="103" s="332" customFormat="true" ht="17.4" hidden="false" customHeight="false" outlineLevel="0" collapsed="false">
      <c r="A103" s="330" t="s">
        <v>141</v>
      </c>
      <c r="B103" s="76" t="s">
        <v>254</v>
      </c>
      <c r="C103" s="84" t="n">
        <f aca="false">'Input data plant-based products'!D37</f>
        <v>0.06</v>
      </c>
      <c r="D103" s="78" t="s">
        <v>133</v>
      </c>
      <c r="E103" s="94" t="n">
        <f aca="false">IF($F$1="GWP100 without fb",E104+E105*'Common input data'!$C$5+E106*'Common input data'!$D$5,IF($F$1="GWP100 with fb",E104+E105*'Common input data'!$C$6+E106*'Common input data'!$D$6,IF($F$1="GTP100 without fb",E104+E105*'Common input data'!$C$7+E106*'Common input data'!$D$7,IF($F$1="GTP100 with fb",E104+E105*'Common input data'!$C$8+E106*'Common input data'!$D$8,E104+E105*'Common input data'!$C$9+E106*'Common input data'!$D$9))))</f>
        <v>0.0621988723478678</v>
      </c>
      <c r="F103" s="95" t="n">
        <f aca="false">IF($F$1="GWP100 without fb",F104+F105*'Common input data'!$C$5+F106*'Common input data'!$D$5,IF($F$1="GWP100 with fb",F104+F105*'Common input data'!$C$6+F106*'Common input data'!$D$6,IF($F$1="GTP100 without fb",F104+F105*'Common input data'!$C$7+F106*'Common input data'!$D$7,IF($F$1="GTP100 with fb",F104+F105*'Common input data'!$C$8+F106*'Common input data'!$D$8,F104+F105*'Common input data'!$C$9+F106*'Common input data'!$D$9))))</f>
        <v>0.153303673445614</v>
      </c>
      <c r="G103" s="96" t="n">
        <f aca="false">IF($F$1="GWP100 without fb",G104+G105*'Common input data'!$C$5+G106*'Common input data'!$D$5,IF($F$1="GWP100 with fb",G104+G105*'Common input data'!$C$6+G106*'Common input data'!$D$6,IF($F$1="GTP100 without fb",G104+G105*'Common input data'!$C$7+G106*'Common input data'!$D$7,IF($F$1="GTP100 with fb",G104+G105*'Common input data'!$C$8+G106*'Common input data'!$D$8,G104+G105*'Common input data'!$C$9+G106*'Common input data'!$D$9))))</f>
        <v>0.517130532814911</v>
      </c>
      <c r="H103" s="83"/>
      <c r="I103" s="83"/>
      <c r="J103" s="83"/>
      <c r="K103" s="83"/>
      <c r="L103" s="83"/>
      <c r="M103" s="83"/>
      <c r="N103" s="83"/>
      <c r="O103" s="83"/>
      <c r="P103" s="83"/>
      <c r="Q103" s="83"/>
      <c r="R103" s="83"/>
      <c r="S103" s="83"/>
      <c r="T103" s="83"/>
      <c r="U103" s="83"/>
      <c r="V103" s="74"/>
      <c r="W103" s="92"/>
      <c r="X103" s="209"/>
      <c r="Y103" s="209"/>
      <c r="Z103" s="30"/>
      <c r="AA103" s="209"/>
      <c r="AB103" s="209"/>
      <c r="AC103" s="209"/>
      <c r="AD103" s="209"/>
      <c r="AE103" s="209"/>
      <c r="AF103" s="209"/>
      <c r="AG103" s="209"/>
      <c r="AH103" s="209"/>
      <c r="AI103" s="209"/>
      <c r="AJ103" s="209"/>
      <c r="AK103" s="209"/>
      <c r="AL103" s="209"/>
      <c r="AM103" s="209"/>
      <c r="AN103" s="209"/>
      <c r="AO103" s="209"/>
      <c r="AP103" s="209"/>
      <c r="AQ103" s="209"/>
      <c r="AR103" s="209"/>
      <c r="AS103" s="209"/>
      <c r="AT103" s="209"/>
      <c r="AU103" s="209"/>
      <c r="AV103" s="209"/>
      <c r="AW103" s="209"/>
      <c r="AX103" s="209"/>
      <c r="AY103" s="209"/>
      <c r="AZ103" s="209"/>
      <c r="BA103" s="209"/>
      <c r="BB103" s="209"/>
      <c r="BC103" s="209"/>
      <c r="BD103" s="209"/>
      <c r="BE103" s="209"/>
      <c r="BF103" s="209"/>
      <c r="BG103" s="209"/>
      <c r="BH103" s="209"/>
      <c r="BI103" s="209"/>
      <c r="BJ103" s="209"/>
      <c r="BK103" s="209"/>
      <c r="BL103" s="209"/>
      <c r="BM103" s="209"/>
      <c r="BN103" s="209"/>
      <c r="BO103" s="209"/>
      <c r="BP103" s="209"/>
      <c r="BQ103" s="209"/>
      <c r="BR103" s="209"/>
      <c r="BS103" s="209"/>
      <c r="BT103" s="209"/>
      <c r="BU103" s="209"/>
      <c r="BV103" s="209"/>
      <c r="BW103" s="209"/>
      <c r="BX103" s="209"/>
      <c r="BY103" s="209"/>
      <c r="BZ103" s="209"/>
      <c r="CA103" s="209"/>
      <c r="CB103" s="209"/>
      <c r="CC103" s="209"/>
      <c r="CD103" s="209"/>
      <c r="CE103" s="209"/>
      <c r="CF103" s="209"/>
      <c r="CG103" s="209"/>
      <c r="CH103" s="209"/>
      <c r="CI103" s="209"/>
      <c r="CJ103" s="209"/>
      <c r="CK103" s="209"/>
      <c r="CL103" s="209"/>
      <c r="CM103" s="209"/>
      <c r="CN103" s="209"/>
      <c r="CO103" s="209"/>
      <c r="CP103" s="209"/>
      <c r="CQ103" s="209"/>
      <c r="CR103" s="209"/>
      <c r="CS103" s="209"/>
      <c r="CT103" s="209"/>
      <c r="CU103" s="209"/>
      <c r="CV103" s="209"/>
      <c r="CW103" s="209"/>
      <c r="CX103" s="209"/>
      <c r="CY103" s="209"/>
      <c r="CZ103" s="209"/>
      <c r="DA103" s="209"/>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09"/>
      <c r="EC103" s="209"/>
      <c r="ED103" s="209"/>
      <c r="EE103" s="209"/>
      <c r="EF103" s="209"/>
      <c r="EG103" s="209"/>
      <c r="EH103" s="209"/>
      <c r="EI103" s="209"/>
      <c r="EJ103" s="209"/>
      <c r="EK103" s="209"/>
      <c r="EL103" s="209"/>
      <c r="EM103" s="209"/>
      <c r="EN103" s="209"/>
      <c r="EO103" s="209"/>
      <c r="EP103" s="209"/>
      <c r="EQ103" s="209"/>
      <c r="ER103" s="209"/>
      <c r="ES103" s="209"/>
      <c r="ET103" s="209"/>
      <c r="EU103" s="209"/>
      <c r="EV103" s="209"/>
      <c r="EW103" s="209"/>
      <c r="EX103" s="209"/>
      <c r="EY103" s="209"/>
      <c r="EZ103" s="209"/>
      <c r="FA103" s="209"/>
      <c r="FB103" s="209"/>
      <c r="FC103" s="209"/>
      <c r="FD103" s="209"/>
      <c r="FE103" s="209"/>
      <c r="FF103" s="209"/>
      <c r="FG103" s="209"/>
      <c r="FH103" s="209"/>
      <c r="FI103" s="209"/>
      <c r="FJ103" s="209"/>
      <c r="FK103" s="209"/>
      <c r="FL103" s="209"/>
      <c r="FM103" s="209"/>
      <c r="FN103" s="209"/>
      <c r="FO103" s="209"/>
      <c r="FP103" s="209"/>
      <c r="FQ103" s="209"/>
      <c r="FR103" s="209"/>
      <c r="FS103" s="209"/>
      <c r="FT103" s="209"/>
      <c r="FU103" s="209"/>
      <c r="FV103" s="209"/>
      <c r="FW103" s="209"/>
      <c r="FX103" s="209"/>
      <c r="FY103" s="209"/>
      <c r="FZ103" s="209"/>
      <c r="GA103" s="209"/>
      <c r="GB103" s="209"/>
      <c r="GC103" s="209"/>
      <c r="GD103" s="209"/>
      <c r="GE103" s="209"/>
      <c r="GF103" s="209"/>
      <c r="GG103" s="209"/>
      <c r="GH103" s="209"/>
      <c r="GI103" s="209"/>
      <c r="GJ103" s="209"/>
      <c r="GK103" s="209"/>
      <c r="GL103" s="209"/>
      <c r="GM103" s="209"/>
      <c r="GN103" s="209"/>
      <c r="GO103" s="209"/>
      <c r="GP103" s="209"/>
      <c r="GQ103" s="209"/>
      <c r="GR103" s="209"/>
      <c r="GS103" s="209"/>
      <c r="GT103" s="209"/>
      <c r="GU103" s="209"/>
      <c r="GV103" s="209"/>
      <c r="GW103" s="209"/>
      <c r="GX103" s="209"/>
      <c r="GY103" s="209"/>
      <c r="GZ103" s="209"/>
      <c r="HA103" s="209"/>
      <c r="HB103" s="209"/>
      <c r="HC103" s="209"/>
      <c r="HD103" s="209"/>
      <c r="HE103" s="209"/>
      <c r="HF103" s="209"/>
      <c r="HG103" s="209"/>
      <c r="HH103" s="209"/>
      <c r="HI103" s="209"/>
      <c r="HJ103" s="209"/>
      <c r="HK103" s="209"/>
      <c r="HL103" s="209"/>
      <c r="HM103" s="209"/>
      <c r="HN103" s="209"/>
      <c r="HO103" s="209"/>
      <c r="HP103" s="209"/>
      <c r="HQ103" s="209"/>
      <c r="HR103" s="209"/>
      <c r="HS103" s="209"/>
      <c r="HT103" s="209"/>
      <c r="HU103" s="209"/>
      <c r="HV103" s="209"/>
      <c r="HW103" s="209"/>
      <c r="HX103" s="209"/>
      <c r="HY103" s="209"/>
      <c r="HZ103" s="209"/>
      <c r="IA103" s="209"/>
      <c r="IB103" s="209"/>
      <c r="IC103" s="209"/>
      <c r="ID103" s="209"/>
      <c r="IE103" s="209"/>
      <c r="IF103" s="209"/>
      <c r="IG103" s="209"/>
      <c r="IH103" s="209"/>
      <c r="II103" s="209"/>
      <c r="IJ103" s="209"/>
      <c r="IK103" s="209"/>
      <c r="IL103" s="209"/>
      <c r="IM103" s="209"/>
      <c r="IN103" s="209"/>
      <c r="IO103" s="209"/>
      <c r="IP103" s="209"/>
      <c r="IQ103" s="209"/>
      <c r="IR103" s="209"/>
      <c r="IS103" s="209"/>
      <c r="IT103" s="209"/>
      <c r="IU103" s="209"/>
      <c r="IV103" s="209"/>
      <c r="IW103" s="209"/>
      <c r="IX103" s="209"/>
    </row>
    <row r="104" s="209" customFormat="true" ht="17.4" hidden="false" customHeight="false" outlineLevel="0" collapsed="false">
      <c r="A104" s="99"/>
      <c r="B104" s="31"/>
      <c r="C104" s="30"/>
      <c r="D104" s="85" t="s">
        <v>134</v>
      </c>
      <c r="E104" s="217" t="n">
        <f aca="false">IF(AND($F$2="No",$F$3="No"),SUM(J104:K104),IF(AND($F$2="Yes", $F$3="No"), SUM(J104:K104)+Q104, IF(AND($F$2="No", $F$3="Yes"),SUM(J104:K104)+P104, SUM(J104:K104)+Q104+P104)))</f>
        <v>0.0399894869629571</v>
      </c>
      <c r="F104" s="89" t="n">
        <f aca="false">IF(AND($F$2="No",$F$3="No"),SUM(H104:O104),IF(AND($F$2="Yes", $F$3="No"), SUM(H104:O104)+Q104, IF(AND($F$2="No", $F$3="Yes"),SUM(H104:O104)+P104, SUM(H104:O104)+Q104+P104)))</f>
        <v>0.115361298393238</v>
      </c>
      <c r="G104" s="88" t="n">
        <f aca="false">SUM(S104:U104)/(1-'Common input data'!$B$121)</f>
        <v>0.471847831952784</v>
      </c>
      <c r="H104" s="87" t="n">
        <f aca="false">('Input data plant-based products'!$F$37*('Common input data'!$C$76*'Common input data'!B69+'Common input data'!$C$77*'Common input data'!C69))/'Input data plant-based products'!$E$37</f>
        <v>0.00943970054155276</v>
      </c>
      <c r="I104" s="89" t="n">
        <f aca="false">'Common input data'!$B$81</f>
        <v>0.03</v>
      </c>
      <c r="J104" s="87" t="n">
        <v>0</v>
      </c>
      <c r="K104" s="89" t="n">
        <v>0</v>
      </c>
      <c r="L104" s="87" t="n">
        <f aca="false">('Input data plant-based products'!$I$37*'Common input data'!$C$59*'Common input data'!H49)/'Input data plant-based products'!$E$37</f>
        <v>0.015932110888728</v>
      </c>
      <c r="M104" s="89" t="n">
        <v>0</v>
      </c>
      <c r="N104" s="89" t="n">
        <f aca="false">'Input data plant-based products'!$G$152</f>
        <v>0.02</v>
      </c>
      <c r="O104" s="89" t="n">
        <v>0</v>
      </c>
      <c r="P104" s="89" t="n">
        <f aca="false">'Common input data'!$E$13</f>
        <v>0.0399894869629571</v>
      </c>
      <c r="Q104" s="89" t="n">
        <v>0</v>
      </c>
      <c r="R104" s="89" t="n">
        <v>0</v>
      </c>
      <c r="S104" s="89" t="n">
        <f aca="false">(F104+R104)</f>
        <v>0.115361298393238</v>
      </c>
      <c r="T104" s="89" t="n">
        <f aca="false">'Common input data'!$B$88</f>
        <v>0.05</v>
      </c>
      <c r="U104" s="89" t="n">
        <f aca="false">'Common input data'!B102+'Common input data'!C102</f>
        <v>0.23</v>
      </c>
      <c r="V104" s="74"/>
      <c r="W104" s="92"/>
      <c r="Z104" s="30"/>
    </row>
    <row r="105" s="209" customFormat="true" ht="17.4" hidden="false" customHeight="false" outlineLevel="0" collapsed="false">
      <c r="A105" s="74"/>
      <c r="B105" s="31"/>
      <c r="C105" s="93"/>
      <c r="D105" s="85" t="s">
        <v>135</v>
      </c>
      <c r="E105" s="217" t="n">
        <f aca="false">SUM(J105:K105)</f>
        <v>0</v>
      </c>
      <c r="F105" s="89" t="n">
        <f aca="false">SUM(H105:O105)</f>
        <v>7.05742951864778E-006</v>
      </c>
      <c r="G105" s="88" t="n">
        <f aca="false">SUM(S105:U105)/(1-'Common input data'!$B$121)</f>
        <v>8.42275870467572E-006</v>
      </c>
      <c r="H105" s="87" t="n">
        <f aca="false">('Input data plant-based products'!$F$37*('Common input data'!$C$76*'Common input data'!B70+'Common input data'!$C$77*'Common input data'!C70))/'Input data plant-based products'!$E$37</f>
        <v>4.162101971002E-011</v>
      </c>
      <c r="I105" s="89" t="n">
        <v>0</v>
      </c>
      <c r="J105" s="87" t="n">
        <v>0</v>
      </c>
      <c r="K105" s="89" t="n">
        <v>0</v>
      </c>
      <c r="L105" s="87" t="n">
        <f aca="false">('Input data plant-based products'!$I$37*'Common input data'!$C$59*'Common input data'!H50)/'Input data plant-based products'!$E$37</f>
        <v>7.05738789762807E-006</v>
      </c>
      <c r="M105" s="89" t="n">
        <v>0</v>
      </c>
      <c r="N105" s="89" t="n">
        <v>0</v>
      </c>
      <c r="O105" s="89" t="n">
        <v>0</v>
      </c>
      <c r="P105" s="89" t="n">
        <v>0</v>
      </c>
      <c r="Q105" s="89" t="n">
        <v>0</v>
      </c>
      <c r="R105" s="89" t="n">
        <v>0</v>
      </c>
      <c r="S105" s="89" t="n">
        <f aca="false">(F105+R105)</f>
        <v>7.05742951864778E-006</v>
      </c>
      <c r="T105" s="89" t="n">
        <v>0</v>
      </c>
      <c r="U105" s="89" t="n">
        <v>0</v>
      </c>
      <c r="V105" s="74"/>
      <c r="W105" s="92"/>
      <c r="Z105" s="30"/>
    </row>
    <row r="106" s="209" customFormat="true" ht="17.4" hidden="false" customHeight="false" outlineLevel="0" collapsed="false">
      <c r="A106" s="100"/>
      <c r="B106" s="101"/>
      <c r="C106" s="87"/>
      <c r="D106" s="31" t="s">
        <v>136</v>
      </c>
      <c r="E106" s="219" t="n">
        <f aca="false">SUM(J106:K106)</f>
        <v>7.45281388755392E-005</v>
      </c>
      <c r="F106" s="126" t="n">
        <f aca="false">SUM(H106:O106)</f>
        <v>0.000126518196136717</v>
      </c>
      <c r="G106" s="106" t="n">
        <f aca="false">SUM(S106:U106)/(1-'Common input data'!$B$121)</f>
        <v>0.000150994386128079</v>
      </c>
      <c r="H106" s="87" t="n">
        <f aca="false">('Input data plant-based products'!$F$37*('Common input data'!$C$76*'Common input data'!B71+'Common input data'!$C$77*'Common input data'!C71))/'Input data plant-based products'!$E$37</f>
        <v>5.15619552299216E-005</v>
      </c>
      <c r="I106" s="87" t="n">
        <v>0</v>
      </c>
      <c r="J106" s="87" t="n">
        <f aca="false">(SUM('Input data plant-based products'!F37:H37)*'Input data plant-based products'!$B$114*44/28)/'Input data plant-based products'!E37</f>
        <v>6.77528535232174E-005</v>
      </c>
      <c r="K106" s="89" t="n">
        <f aca="false">J106*'Input data plant-based products'!$B$115</f>
        <v>6.77528535232174E-006</v>
      </c>
      <c r="L106" s="87" t="n">
        <f aca="false">('Input data plant-based products'!$I$37*'Common input data'!$C$59*'Common input data'!H51)/'Input data plant-based products'!$E$37</f>
        <v>4.28102031256654E-007</v>
      </c>
      <c r="M106" s="89" t="n">
        <v>0</v>
      </c>
      <c r="N106" s="89" t="n">
        <v>0</v>
      </c>
      <c r="O106" s="89" t="n">
        <v>0</v>
      </c>
      <c r="P106" s="89" t="n">
        <v>0</v>
      </c>
      <c r="Q106" s="89" t="n">
        <v>0</v>
      </c>
      <c r="R106" s="89" t="n">
        <v>0</v>
      </c>
      <c r="S106" s="89" t="n">
        <f aca="false">(F106+R106)</f>
        <v>0.000126518196136717</v>
      </c>
      <c r="T106" s="89" t="n">
        <v>0</v>
      </c>
      <c r="U106" s="89" t="n">
        <v>0</v>
      </c>
      <c r="V106" s="74"/>
      <c r="W106" s="92"/>
      <c r="Z106" s="30"/>
    </row>
    <row r="107" s="209" customFormat="true" ht="17.4" hidden="false" customHeight="false" outlineLevel="0" collapsed="false">
      <c r="A107" s="107" t="s">
        <v>298</v>
      </c>
      <c r="B107" s="108"/>
      <c r="C107" s="69"/>
      <c r="D107" s="109"/>
      <c r="E107" s="110" t="s">
        <v>299</v>
      </c>
      <c r="F107" s="111" t="s">
        <v>299</v>
      </c>
      <c r="G107" s="112" t="s">
        <v>299</v>
      </c>
      <c r="H107" s="69"/>
      <c r="I107" s="69"/>
      <c r="J107" s="69"/>
      <c r="K107" s="113"/>
      <c r="L107" s="113"/>
      <c r="M107" s="114"/>
      <c r="N107" s="113"/>
      <c r="O107" s="113"/>
      <c r="P107" s="113"/>
      <c r="Q107" s="113"/>
      <c r="R107" s="113"/>
      <c r="S107" s="113"/>
      <c r="T107" s="113"/>
      <c r="U107" s="113"/>
      <c r="V107" s="74"/>
      <c r="W107" s="92"/>
      <c r="Z107" s="30"/>
    </row>
    <row r="108" s="209" customFormat="true" ht="17.4" hidden="false" customHeight="false" outlineLevel="0" collapsed="false">
      <c r="A108" s="330" t="s">
        <v>272</v>
      </c>
      <c r="B108" s="76"/>
      <c r="C108" s="77" t="n">
        <f aca="false">SUM(C112:C123)</f>
        <v>1</v>
      </c>
      <c r="D108" s="78" t="s">
        <v>133</v>
      </c>
      <c r="E108" s="79" t="n">
        <f aca="false">IF($F$1="GWP100 without fb",E109+E110*'Common input data'!$C$5+E111*'Common input data'!$D$5,IF($F$1="GWP100 with fb",E109+E110*'Common input data'!$C$6+E111*'Common input data'!$D$6,IF($F$1="GTP100 without fb",E109+E110*'Common input data'!$C$7+E111*'Common input data'!$D$7,IF($F$1="GTP100 with fb",E109+E110*'Common input data'!$C$8+E111*'Common input data'!$D$8,E109+E110*'Common input data'!$C$9+E111*'Common input data'!$D$9))))</f>
        <v>0.0800343435704719</v>
      </c>
      <c r="F108" s="80" t="n">
        <f aca="false">IF($F$1="GWP100 without fb",F109+F110*'Common input data'!$C$5+F111*'Common input data'!$D$5,IF($F$1="GWP100 with fb",F109+F110*'Common input data'!$C$6+F111*'Common input data'!$D$6,IF($F$1="GTP100 without fb",F109+F110*'Common input data'!$C$7+F111*'Common input data'!$D$7,IF($F$1="GTP100 with fb",F109+F110*'Common input data'!$C$8+F111*'Common input data'!$D$8,F109+F110*'Common input data'!$C$9+F111*'Common input data'!$D$9))))</f>
        <v>0.164717442752668</v>
      </c>
      <c r="G108" s="81" t="n">
        <f aca="false">IF($F$1="GWP100 without fb",G109+G110*'Common input data'!$C$5+G111*'Common input data'!$D$5,IF($F$1="GWP100 with fb",G109+G110*'Common input data'!$C$6+G111*'Common input data'!$D$6,IF($F$1="GTP100 without fb",G109+G110*'Common input data'!$C$7+G111*'Common input data'!$D$7,IF($F$1="GTP100 with fb",G109+G110*'Common input data'!$C$8+G111*'Common input data'!$D$8,G109+G110*'Common input data'!$C$9+G111*'Common input data'!$D$9))))</f>
        <v>0.37563851332467</v>
      </c>
      <c r="H108" s="95"/>
      <c r="I108" s="97"/>
      <c r="J108" s="97"/>
      <c r="K108" s="83"/>
      <c r="L108" s="83"/>
      <c r="M108" s="83"/>
      <c r="N108" s="83"/>
      <c r="O108" s="83"/>
      <c r="P108" s="83"/>
      <c r="Q108" s="83"/>
      <c r="R108" s="83"/>
      <c r="S108" s="83"/>
      <c r="T108" s="83"/>
      <c r="U108" s="83"/>
      <c r="V108" s="74"/>
      <c r="W108" s="92"/>
      <c r="Z108" s="30"/>
    </row>
    <row r="109" s="209" customFormat="true" ht="17.4" hidden="false" customHeight="false" outlineLevel="0" collapsed="false">
      <c r="A109" s="315"/>
      <c r="B109" s="31"/>
      <c r="C109" s="30"/>
      <c r="D109" s="85" t="s">
        <v>134</v>
      </c>
      <c r="E109" s="217" t="n">
        <f aca="false">E113*$C$112+E117*$C$116+E121*$C$120</f>
        <v>0.0399894869629571</v>
      </c>
      <c r="F109" s="89" t="n">
        <f aca="false">F113*$C$112+F117*$C$116+F121*$C$120</f>
        <v>0.112021753971867</v>
      </c>
      <c r="G109" s="88" t="n">
        <f aca="false">G113*$C$112+G117*$C$116+G121*$C$120</f>
        <v>0.302384433237925</v>
      </c>
      <c r="H109" s="89" t="n">
        <f aca="false">H113*$C$112+H117*$C$116+H121*$C$120</f>
        <v>0.00971848489314379</v>
      </c>
      <c r="I109" s="89" t="n">
        <f aca="false">I113*$C$112+I117*$C$116+I121*$C$120</f>
        <v>0.03</v>
      </c>
      <c r="J109" s="89" t="n">
        <f aca="false">J113*$C$112+J117*$C$116+J121*$C$120</f>
        <v>0</v>
      </c>
      <c r="K109" s="89" t="n">
        <f aca="false">K113*$C$112+K117*$C$116+K121*$C$120</f>
        <v>0</v>
      </c>
      <c r="L109" s="89" t="n">
        <f aca="false">L113*$C$112+L117*$C$116+L121*$C$120</f>
        <v>0.0123137821157666</v>
      </c>
      <c r="M109" s="89" t="n">
        <f aca="false">M113*$C$112+M117*$C$116+M121*$C$120</f>
        <v>0</v>
      </c>
      <c r="N109" s="89" t="n">
        <f aca="false">N113*$C$112+N117*$C$116+N121*$C$120</f>
        <v>0.02</v>
      </c>
      <c r="O109" s="89" t="n">
        <v>0</v>
      </c>
      <c r="P109" s="89" t="n">
        <f aca="false">P113*$C$112+P117*$C$116+P121*$C$120</f>
        <v>0.0399894869629571</v>
      </c>
      <c r="Q109" s="89" t="n">
        <f aca="false">Q113*$C$112+Q117*$C$116+Q121*$C$120</f>
        <v>0</v>
      </c>
      <c r="R109" s="89" t="n">
        <f aca="false">R113*$C$112+R117*$C$116+R121*$C$120</f>
        <v>0</v>
      </c>
      <c r="S109" s="89" t="n">
        <f aca="false">S113*$C$112+S117*$C$116+S121*$C$120</f>
        <v>0.112021753971867</v>
      </c>
      <c r="T109" s="89" t="n">
        <f aca="false">T113*$C$112+T117*$C$116+T121*$C$120</f>
        <v>0.05</v>
      </c>
      <c r="U109" s="89" t="n">
        <f aca="false">U113*$C$112+U117*$C$116+U121*$C$120</f>
        <v>0.0555</v>
      </c>
      <c r="V109" s="74"/>
      <c r="W109" s="92"/>
      <c r="Z109" s="30"/>
    </row>
    <row r="110" s="209" customFormat="true" ht="17.4" hidden="false" customHeight="false" outlineLevel="0" collapsed="false">
      <c r="A110" s="315"/>
      <c r="B110" s="31"/>
      <c r="C110" s="93"/>
      <c r="D110" s="85" t="s">
        <v>135</v>
      </c>
      <c r="E110" s="217" t="n">
        <f aca="false">E114*$C$112+E118*$C$116+E122*$C$120</f>
        <v>0</v>
      </c>
      <c r="F110" s="89" t="n">
        <f aca="false">F114*$C$112+F118*$C$116+F122*$C$120</f>
        <v>5.45461878378439E-006</v>
      </c>
      <c r="G110" s="88" t="n">
        <f aca="false">G114*$C$112+G118*$C$116+G122*$C$120</f>
        <v>7.58265221453162E-006</v>
      </c>
      <c r="H110" s="89" t="n">
        <f aca="false">H114*$C$112+H118*$C$116+H122*$C$120</f>
        <v>2.85235995941756E-011</v>
      </c>
      <c r="I110" s="89" t="n">
        <f aca="false">I114*$C$112+I118*$C$116+I122*$C$120</f>
        <v>0</v>
      </c>
      <c r="J110" s="89" t="n">
        <f aca="false">J114*$C$112+J118*$C$116+J122*$C$120</f>
        <v>0</v>
      </c>
      <c r="K110" s="89" t="n">
        <f aca="false">K114*$C$112+K118*$C$116+K122*$C$120</f>
        <v>0</v>
      </c>
      <c r="L110" s="89" t="n">
        <f aca="false">L114*$C$112+L118*$C$116+L122*$C$120</f>
        <v>5.4545902601848E-006</v>
      </c>
      <c r="M110" s="89" t="n">
        <f aca="false">M114*$C$112+M118*$C$116+M122*$C$120</f>
        <v>0</v>
      </c>
      <c r="N110" s="89" t="n">
        <f aca="false">N114*$C$112+N118*$C$116+N122*$C$120</f>
        <v>0</v>
      </c>
      <c r="O110" s="89" t="n">
        <v>0</v>
      </c>
      <c r="P110" s="89" t="n">
        <f aca="false">P114*$C$112+P118*$C$116+P122*$C$120</f>
        <v>0</v>
      </c>
      <c r="Q110" s="89" t="n">
        <f aca="false">Q114*$C$112+Q118*$C$116+Q122*$C$120</f>
        <v>0</v>
      </c>
      <c r="R110" s="89" t="n">
        <f aca="false">R114*$C$112+R118*$C$116+R122*$C$120</f>
        <v>0</v>
      </c>
      <c r="S110" s="89" t="n">
        <f aca="false">S114*$C$112+S118*$C$116+S122*$C$120</f>
        <v>5.45461878378439E-006</v>
      </c>
      <c r="T110" s="89" t="n">
        <f aca="false">T114*$C$112+T118*$C$116+T122*$C$120</f>
        <v>0</v>
      </c>
      <c r="U110" s="89" t="n">
        <f aca="false">U114*$C$112+U118*$C$116+U122*$C$120</f>
        <v>0</v>
      </c>
      <c r="V110" s="74"/>
      <c r="W110" s="92"/>
      <c r="Z110" s="30"/>
    </row>
    <row r="111" s="209" customFormat="true" ht="17.4" hidden="false" customHeight="false" outlineLevel="0" collapsed="false">
      <c r="A111" s="74"/>
      <c r="B111" s="101"/>
      <c r="C111" s="87"/>
      <c r="D111" s="31" t="s">
        <v>136</v>
      </c>
      <c r="E111" s="217" t="n">
        <f aca="false">E115*$C$112+E119*$C$116+E123*$C$120</f>
        <v>0.000134378713448036</v>
      </c>
      <c r="F111" s="89" t="n">
        <f aca="false">F115*$C$112+F119*$C$116+F123*$C$120</f>
        <v>0.000176208831349502</v>
      </c>
      <c r="G111" s="88" t="n">
        <f aca="false">G115*$C$112+G119*$C$116+G123*$C$120</f>
        <v>0.000244953925877352</v>
      </c>
      <c r="H111" s="89" t="n">
        <f aca="false">H115*$C$112+H119*$C$116+H123*$C$120</f>
        <v>4.14992417750678E-005</v>
      </c>
      <c r="I111" s="89" t="n">
        <f aca="false">I115*$C$112+I119*$C$116+I123*$C$120</f>
        <v>0</v>
      </c>
      <c r="J111" s="89" t="n">
        <f aca="false">J115*$C$112+J119*$C$116+J123*$C$120</f>
        <v>0.000122162466770942</v>
      </c>
      <c r="K111" s="89" t="n">
        <f aca="false">K115*$C$112+K119*$C$116+K123*$C$120</f>
        <v>1.22162466770942E-005</v>
      </c>
      <c r="L111" s="89" t="n">
        <f aca="false">L115*$C$112+L119*$C$116+L123*$C$120</f>
        <v>3.30876126398364E-007</v>
      </c>
      <c r="M111" s="89" t="n">
        <f aca="false">M115*$C$112+M119*$C$116+M123*$C$120</f>
        <v>0</v>
      </c>
      <c r="N111" s="89" t="n">
        <f aca="false">N115*$C$112+N119*$C$116+N123*$C$120</f>
        <v>0</v>
      </c>
      <c r="O111" s="89" t="n">
        <v>0</v>
      </c>
      <c r="P111" s="89" t="n">
        <f aca="false">P115*$C$112+P119*$C$116+P123*$C$120</f>
        <v>0</v>
      </c>
      <c r="Q111" s="89" t="n">
        <f aca="false">Q115*$C$112+Q119*$C$116+Q123*$C$120</f>
        <v>0</v>
      </c>
      <c r="R111" s="89" t="n">
        <f aca="false">R115*$C$112+R119*$C$116+R123*$C$120</f>
        <v>0</v>
      </c>
      <c r="S111" s="89" t="n">
        <f aca="false">S115*$C$112+S119*$C$116+S123*$C$120</f>
        <v>0.000176208831349502</v>
      </c>
      <c r="T111" s="89" t="n">
        <f aca="false">T115*$C$112+T119*$C$116+T123*$C$120</f>
        <v>0</v>
      </c>
      <c r="U111" s="89" t="n">
        <f aca="false">U115*$C$112+U119*$C$116+U123*$C$120</f>
        <v>0</v>
      </c>
      <c r="V111" s="74"/>
      <c r="W111" s="92"/>
      <c r="Z111" s="30"/>
    </row>
    <row r="112" s="209" customFormat="true" ht="17.4" hidden="false" customHeight="false" outlineLevel="0" collapsed="false">
      <c r="A112" s="330" t="s">
        <v>137</v>
      </c>
      <c r="B112" s="76" t="s">
        <v>254</v>
      </c>
      <c r="C112" s="84" t="n">
        <f aca="false">'Input data plant-based products'!D14</f>
        <v>0.76</v>
      </c>
      <c r="D112" s="78" t="s">
        <v>133</v>
      </c>
      <c r="E112" s="94" t="n">
        <f aca="false">IF($F$1="GWP100 without fb",E113+E114*'Common input data'!$C$5+E115*'Common input data'!$D$5,IF($F$1="GWP100 with fb",E113+E114*'Common input data'!$C$6+E115*'Common input data'!$D$6,IF($F$1="GTP100 without fb",E113+E114*'Common input data'!$C$7+E115*'Common input data'!$D$7,IF($F$1="GTP100 with fb",E113+E114*'Common input data'!$C$8+E115*'Common input data'!$D$8,E113+E114*'Common input data'!$C$9+E115*'Common input data'!$D$9))))</f>
        <v>0.0830703838355452</v>
      </c>
      <c r="F112" s="95" t="n">
        <f aca="false">IF($F$1="GWP100 without fb",F113+F114*'Common input data'!$C$5+F115*'Common input data'!$D$5,IF($F$1="GWP100 with fb",F113+F114*'Common input data'!$C$6+F115*'Common input data'!$D$6,IF($F$1="GTP100 without fb",F113+F114*'Common input data'!$C$7+F115*'Common input data'!$D$7,IF($F$1="GTP100 with fb",F113+F114*'Common input data'!$C$8+F115*'Common input data'!$D$8,F113+F114*'Common input data'!$C$9+F115*'Common input data'!$D$9))))</f>
        <v>0.165490037885977</v>
      </c>
      <c r="G112" s="96" t="n">
        <f aca="false">IF($F$1="GWP100 without fb",G113+G114*'Common input data'!$C$5+G115*'Common input data'!$D$5,IF($F$1="GWP100 with fb",G113+G114*'Common input data'!$C$6+G115*'Common input data'!$D$6,IF($F$1="GTP100 without fb",G113+G114*'Common input data'!$C$7+G115*'Common input data'!$D$7,IF($F$1="GTP100 with fb",G113+G114*'Common input data'!$C$8+G115*'Common input data'!$D$8,G113+G114*'Common input data'!$C$9+G115*'Common input data'!$D$9))))</f>
        <v>0.341264101710528</v>
      </c>
      <c r="H112" s="83"/>
      <c r="I112" s="83"/>
      <c r="J112" s="83"/>
      <c r="K112" s="83"/>
      <c r="L112" s="83"/>
      <c r="M112" s="83"/>
      <c r="N112" s="83"/>
      <c r="O112" s="83"/>
      <c r="P112" s="83"/>
      <c r="Q112" s="83"/>
      <c r="R112" s="83"/>
      <c r="S112" s="83"/>
      <c r="T112" s="83"/>
      <c r="U112" s="83"/>
      <c r="V112" s="74"/>
      <c r="W112" s="92"/>
      <c r="Z112" s="30"/>
    </row>
    <row r="113" s="209" customFormat="true" ht="17.4" hidden="false" customHeight="false" outlineLevel="0" collapsed="false">
      <c r="A113" s="315"/>
      <c r="B113" s="31"/>
      <c r="C113" s="30"/>
      <c r="D113" s="85" t="s">
        <v>134</v>
      </c>
      <c r="E113" s="217" t="n">
        <f aca="false">IF(AND($F$2="No",$F$3="No"),SUM(J113:K113),IF(AND($F$2="Yes", $F$3="No"), SUM(J113:K113)+Q113, IF(AND($F$2="No", $F$3="Yes"),SUM(J113:K113)+P113, SUM(J113:K113)+Q113+P113)))</f>
        <v>0.0399894869629571</v>
      </c>
      <c r="F113" s="89" t="n">
        <f aca="false">IF(AND($F$2="No",$F$3="No"),SUM(H113:O113),IF(AND($F$2="Yes", $F$3="No"), SUM(H113:O113)+Q113, IF(AND($F$2="No", $F$3="Yes"),SUM(H113:O113)+P113, SUM(H113:O113)+Q113+P113)))</f>
        <v>0.111255065650603</v>
      </c>
      <c r="G113" s="88" t="n">
        <f aca="false">SUM(S113:U113)/(1-'Common input data'!$B$123)</f>
        <v>0.265870211023213</v>
      </c>
      <c r="H113" s="89" t="n">
        <f aca="false">('Input data plant-based products'!$F$14*('Common input data'!$B$76*'Common input data'!B69+'Common input data'!$B$77*'Common input data'!C69))/'Input data plant-based products'!$E$14</f>
        <v>0.00898117627104506</v>
      </c>
      <c r="I113" s="89" t="n">
        <f aca="false">'Common input data'!$B$81</f>
        <v>0.03</v>
      </c>
      <c r="J113" s="89" t="n">
        <v>0</v>
      </c>
      <c r="K113" s="89" t="n">
        <v>0</v>
      </c>
      <c r="L113" s="89" t="n">
        <f aca="false">('Input data plant-based products'!$I$14*'Common input data'!$C$59*'Common input data'!H49)/'Input data plant-based products'!$E$14</f>
        <v>0.012284402416601</v>
      </c>
      <c r="M113" s="89" t="n">
        <v>0</v>
      </c>
      <c r="N113" s="89" t="n">
        <f aca="false">'Input data plant-based products'!$G$152</f>
        <v>0.02</v>
      </c>
      <c r="O113" s="89" t="n">
        <v>0</v>
      </c>
      <c r="P113" s="89" t="n">
        <f aca="false">'Common input data'!$E$13</f>
        <v>0.0399894869629571</v>
      </c>
      <c r="Q113" s="89" t="n">
        <v>0</v>
      </c>
      <c r="R113" s="89" t="n">
        <v>0</v>
      </c>
      <c r="S113" s="89" t="n">
        <f aca="false">(F113+R113)</f>
        <v>0.111255065650603</v>
      </c>
      <c r="T113" s="89" t="n">
        <f aca="false">'Common input data'!$B$88</f>
        <v>0.05</v>
      </c>
      <c r="U113" s="89" t="n">
        <f aca="false">'Common input data'!C98</f>
        <v>0.03</v>
      </c>
      <c r="V113" s="74"/>
      <c r="W113" s="92"/>
      <c r="Z113" s="30"/>
    </row>
    <row r="114" s="209" customFormat="true" ht="17.4" hidden="false" customHeight="false" outlineLevel="0" collapsed="false">
      <c r="A114" s="74"/>
      <c r="B114" s="31"/>
      <c r="C114" s="93"/>
      <c r="D114" s="85" t="s">
        <v>135</v>
      </c>
      <c r="E114" s="217" t="n">
        <f aca="false">SUM(J114:K114)</f>
        <v>0</v>
      </c>
      <c r="F114" s="89" t="n">
        <f aca="false">SUM(H114:O114)</f>
        <v>5.44160008883635E-006</v>
      </c>
      <c r="G114" s="88" t="n">
        <f aca="false">SUM(S114:U114)/(1-'Common input data'!$B$123)</f>
        <v>7.56455448121769E-006</v>
      </c>
      <c r="H114" s="89" t="n">
        <f aca="false">('Input data plant-based products'!$F$14*('Common input data'!$B$76*'Common input data'!B70+'Common input data'!$B$77*'Common input data'!C70))/'Input data plant-based products'!$E$14</f>
        <v>2.4044707118466E-011</v>
      </c>
      <c r="I114" s="89" t="n">
        <v>0</v>
      </c>
      <c r="J114" s="89" t="n">
        <v>0</v>
      </c>
      <c r="K114" s="89" t="n">
        <v>0</v>
      </c>
      <c r="L114" s="89" t="n">
        <f aca="false">('Input data plant-based products'!$I$14*'Common input data'!$C$59*'Common input data'!H50)/'Input data plant-based products'!$E$14</f>
        <v>5.44157604412924E-006</v>
      </c>
      <c r="M114" s="89" t="n">
        <v>0</v>
      </c>
      <c r="N114" s="89" t="n">
        <v>0</v>
      </c>
      <c r="O114" s="89" t="n">
        <v>0</v>
      </c>
      <c r="P114" s="89" t="n">
        <v>0</v>
      </c>
      <c r="Q114" s="89" t="n">
        <v>0</v>
      </c>
      <c r="R114" s="89" t="n">
        <v>0</v>
      </c>
      <c r="S114" s="89" t="n">
        <f aca="false">(F114+R114)</f>
        <v>5.44160008883635E-006</v>
      </c>
      <c r="T114" s="89" t="n">
        <v>0</v>
      </c>
      <c r="U114" s="89" t="n">
        <v>0</v>
      </c>
      <c r="V114" s="74"/>
      <c r="W114" s="92"/>
      <c r="Z114" s="30"/>
    </row>
    <row r="115" s="209" customFormat="true" ht="17.4" hidden="false" customHeight="false" outlineLevel="0" collapsed="false">
      <c r="A115" s="100"/>
      <c r="B115" s="101"/>
      <c r="C115" s="87"/>
      <c r="D115" s="31" t="s">
        <v>136</v>
      </c>
      <c r="E115" s="217" t="n">
        <f aca="false">SUM(J115:K115)</f>
        <v>0.000144566768028819</v>
      </c>
      <c r="F115" s="89" t="n">
        <f aca="false">SUM(H115:O115)</f>
        <v>0.000181375697424004</v>
      </c>
      <c r="G115" s="88" t="n">
        <f aca="false">SUM(S115:U115)/(1-'Common input data'!$B$123)</f>
        <v>0.000252136563204543</v>
      </c>
      <c r="H115" s="89" t="n">
        <f aca="false">('Input data plant-based products'!$F$14*('Common input data'!$B$76*'Common input data'!B71+'Common input data'!$B$77*'Common input data'!C71))/'Input data plant-based products'!$E$14</f>
        <v>3.64788427127579E-005</v>
      </c>
      <c r="I115" s="89" t="n">
        <v>0</v>
      </c>
      <c r="J115" s="89" t="n">
        <f aca="false">(SUM('Input data plant-based products'!F14:H14)*'Input data plant-based products'!$B$114*44/28)/'Input data plant-based products'!E14</f>
        <v>0.000131424334571654</v>
      </c>
      <c r="K115" s="89" t="n">
        <f aca="false">J115*'Input data plant-based products'!$B$115</f>
        <v>1.31424334571654E-005</v>
      </c>
      <c r="L115" s="89" t="n">
        <f aca="false">('Input data plant-based products'!$I$14*'Common input data'!$C$59*'Common input data'!H51)/'Input data plant-based products'!$E$14</f>
        <v>3.30086682427108E-007</v>
      </c>
      <c r="M115" s="89" t="n">
        <v>0</v>
      </c>
      <c r="N115" s="89" t="n">
        <v>0</v>
      </c>
      <c r="O115" s="89" t="n">
        <v>0</v>
      </c>
      <c r="P115" s="89" t="n">
        <v>0</v>
      </c>
      <c r="Q115" s="89" t="n">
        <v>0</v>
      </c>
      <c r="R115" s="89" t="n">
        <v>0</v>
      </c>
      <c r="S115" s="89" t="n">
        <f aca="false">(F115+R115)</f>
        <v>0.000181375697424004</v>
      </c>
      <c r="T115" s="89" t="n">
        <v>0</v>
      </c>
      <c r="U115" s="89" t="n">
        <v>0</v>
      </c>
      <c r="V115" s="74"/>
      <c r="W115" s="92"/>
      <c r="Z115" s="30"/>
    </row>
    <row r="116" s="209" customFormat="true" ht="17.4" hidden="false" customHeight="false" outlineLevel="0" collapsed="false">
      <c r="A116" s="330" t="s">
        <v>139</v>
      </c>
      <c r="B116" s="76" t="s">
        <v>254</v>
      </c>
      <c r="C116" s="84" t="n">
        <f aca="false">'Input data plant-based products'!D15</f>
        <v>0.15</v>
      </c>
      <c r="D116" s="78" t="s">
        <v>133</v>
      </c>
      <c r="E116" s="94" t="n">
        <f aca="false">IF($F$1="GWP100 without fb",E117+E118*'Common input data'!$C$5+E119*'Common input data'!$D$5,IF($F$1="GWP100 with fb",E117+E118*'Common input data'!$C$6+E119*'Common input data'!$D$6,IF($F$1="GTP100 without fb",E117+E118*'Common input data'!$C$7+E119*'Common input data'!$D$7,IF($F$1="GTP100 with fb",E117+E118*'Common input data'!$C$8+E119*'Common input data'!$D$8,E117+E118*'Common input data'!$C$9+E119*'Common input data'!$D$9))))</f>
        <v>0.0651262926864318</v>
      </c>
      <c r="F116" s="95" t="n">
        <f aca="false">IF($F$1="GWP100 without fb",F117+F118*'Common input data'!$C$5+F119*'Common input data'!$D$5,IF($F$1="GWP100 with fb",F117+F118*'Common input data'!$C$6+F119*'Common input data'!$D$6,IF($F$1="GTP100 without fb",F117+F118*'Common input data'!$C$7+F119*'Common input data'!$D$7,IF($F$1="GTP100 with fb",F117+F118*'Common input data'!$C$8+F119*'Common input data'!$D$8,F117+F118*'Common input data'!$C$9+F119*'Common input data'!$D$9))))</f>
        <v>0.145677120592907</v>
      </c>
      <c r="G116" s="96" t="n">
        <f aca="false">IF($F$1="GWP100 without fb",G117+G118*'Common input data'!$C$5+G119*'Common input data'!$D$5,IF($F$1="GWP100 with fb",G117+G118*'Common input data'!$C$6+G119*'Common input data'!$D$6,IF($F$1="GTP100 without fb",G117+G118*'Common input data'!$C$7+G119*'Common input data'!$D$7,IF($F$1="GTP100 with fb",G117+G118*'Common input data'!$C$8+G119*'Common input data'!$D$8,G117+G118*'Common input data'!$C$9+G119*'Common input data'!$D$9))))</f>
        <v>0.383228198306688</v>
      </c>
      <c r="H116" s="83"/>
      <c r="I116" s="83"/>
      <c r="J116" s="83"/>
      <c r="K116" s="83"/>
      <c r="L116" s="83"/>
      <c r="M116" s="83"/>
      <c r="N116" s="83"/>
      <c r="O116" s="83"/>
      <c r="P116" s="83"/>
      <c r="Q116" s="83"/>
      <c r="R116" s="83"/>
      <c r="S116" s="83"/>
      <c r="T116" s="83"/>
      <c r="U116" s="83"/>
      <c r="V116" s="74"/>
      <c r="W116" s="92"/>
      <c r="Z116" s="30"/>
    </row>
    <row r="117" s="209" customFormat="true" ht="17.4" hidden="false" customHeight="false" outlineLevel="0" collapsed="false">
      <c r="A117" s="99"/>
      <c r="B117" s="31"/>
      <c r="C117" s="30"/>
      <c r="D117" s="85" t="s">
        <v>134</v>
      </c>
      <c r="E117" s="217" t="n">
        <f aca="false">IF(AND($F$2="No",$F$3="No"),SUM(J117:K117),IF(AND($F$2="Yes", $F$3="No"), SUM(J117:K117)+Q117, IF(AND($F$2="No", $F$3="Yes"),SUM(J117:K117)+P117, SUM(J117:K117)+Q117+P117)))</f>
        <v>0.0399894869629571</v>
      </c>
      <c r="F117" s="89" t="n">
        <f aca="false">IF(AND($F$2="No",$F$3="No"),SUM(H117:O117),IF(AND($F$2="Yes", $F$3="No"), SUM(H117:O117)+Q117, IF(AND($F$2="No", $F$3="Yes"),SUM(H117:O117)+P117, SUM(H117:O117)+Q117+P117)))</f>
        <v>0.108660340889501</v>
      </c>
      <c r="G117" s="88" t="n">
        <f aca="false">SUM(S117:U117)/(1-'Common input data'!$B$123)</f>
        <v>0.331769906220852</v>
      </c>
      <c r="H117" s="89" t="n">
        <f aca="false">('Input data plant-based products'!$F$15*('Common input data'!$B$76*'Common input data'!B69+'Common input data'!$B$77*'Common input data'!C69))/'Input data plant-based products'!$E$15</f>
        <v>0.00964296531112985</v>
      </c>
      <c r="I117" s="89" t="n">
        <f aca="false">'Common input data'!$B$81</f>
        <v>0.03</v>
      </c>
      <c r="J117" s="89" t="n">
        <v>0</v>
      </c>
      <c r="K117" s="89" t="n">
        <v>0</v>
      </c>
      <c r="L117" s="89" t="n">
        <f aca="false">('Input data plant-based products'!$I$15*'Common input data'!$C$59*'Common input data'!H49)/'Input data plant-based products'!$E$15</f>
        <v>0.00902788861541431</v>
      </c>
      <c r="M117" s="89" t="n">
        <v>0</v>
      </c>
      <c r="N117" s="89" t="n">
        <f aca="false">'Input data plant-based products'!$G$152</f>
        <v>0.02</v>
      </c>
      <c r="O117" s="89" t="n">
        <v>0</v>
      </c>
      <c r="P117" s="89" t="n">
        <f aca="false">'Common input data'!$E$13</f>
        <v>0.0399894869629571</v>
      </c>
      <c r="Q117" s="89" t="n">
        <v>0</v>
      </c>
      <c r="R117" s="89" t="n">
        <v>0</v>
      </c>
      <c r="S117" s="89" t="n">
        <f aca="false">(F117+R117)</f>
        <v>0.108660340889501</v>
      </c>
      <c r="T117" s="89" t="n">
        <f aca="false">'Common input data'!$B$88</f>
        <v>0.05</v>
      </c>
      <c r="U117" s="89" t="n">
        <f aca="false">'Common input data'!B98+'Common input data'!C98</f>
        <v>0.08</v>
      </c>
      <c r="V117" s="74"/>
      <c r="W117" s="92"/>
      <c r="Z117" s="30"/>
    </row>
    <row r="118" s="209" customFormat="true" ht="17.4" hidden="false" customHeight="false" outlineLevel="0" collapsed="false">
      <c r="A118" s="74"/>
      <c r="B118" s="31"/>
      <c r="C118" s="93"/>
      <c r="D118" s="85" t="s">
        <v>135</v>
      </c>
      <c r="E118" s="217" t="n">
        <f aca="false">SUM(J118:K118)</f>
        <v>0</v>
      </c>
      <c r="F118" s="89" t="n">
        <f aca="false">SUM(H118:O118)</f>
        <v>3.99907605535908E-006</v>
      </c>
      <c r="G118" s="88" t="n">
        <f aca="false">SUM(S118:U118)/(1-'Common input data'!$B$123)</f>
        <v>5.5592524627744E-006</v>
      </c>
      <c r="H118" s="89" t="n">
        <f aca="false">('Input data plant-based products'!$F$15*('Common input data'!$B$76*'Common input data'!B70+'Common input data'!$B$77*'Common input data'!C70))/'Input data plant-based products'!$E$15</f>
        <v>2.58164709902375E-011</v>
      </c>
      <c r="I118" s="89" t="n">
        <v>0</v>
      </c>
      <c r="J118" s="89" t="n">
        <v>0</v>
      </c>
      <c r="K118" s="89" t="n">
        <v>0</v>
      </c>
      <c r="L118" s="89" t="n">
        <f aca="false">('Input data plant-based products'!$I$15*'Common input data'!$C$59*'Common input data'!H50)/'Input data plant-based products'!$E$15</f>
        <v>3.99905023888809E-006</v>
      </c>
      <c r="M118" s="89" t="n">
        <v>0</v>
      </c>
      <c r="N118" s="89" t="n">
        <v>0</v>
      </c>
      <c r="O118" s="89" t="n">
        <v>0</v>
      </c>
      <c r="P118" s="89" t="n">
        <v>0</v>
      </c>
      <c r="Q118" s="89" t="n">
        <v>0</v>
      </c>
      <c r="R118" s="89" t="n">
        <v>0</v>
      </c>
      <c r="S118" s="89" t="n">
        <f aca="false">(F118+R118)</f>
        <v>3.99907605535908E-006</v>
      </c>
      <c r="T118" s="89" t="n">
        <v>0</v>
      </c>
      <c r="U118" s="89" t="n">
        <v>0</v>
      </c>
      <c r="V118" s="74"/>
      <c r="W118" s="92"/>
      <c r="Z118" s="30"/>
    </row>
    <row r="119" s="209" customFormat="true" ht="17.4" hidden="false" customHeight="false" outlineLevel="0" collapsed="false">
      <c r="A119" s="100"/>
      <c r="B119" s="101"/>
      <c r="C119" s="87"/>
      <c r="D119" s="31" t="s">
        <v>136</v>
      </c>
      <c r="E119" s="217" t="n">
        <f aca="false">SUM(J119:K119)</f>
        <v>8.43516970586398E-005</v>
      </c>
      <c r="F119" s="89" t="n">
        <f aca="false">SUM(H119:O119)</f>
        <v>0.00012376111113263</v>
      </c>
      <c r="G119" s="88" t="n">
        <f aca="false">SUM(S119:U119)/(1-'Common input data'!$B$123)</f>
        <v>0.000172044555376177</v>
      </c>
      <c r="H119" s="89" t="n">
        <f aca="false">('Input data plant-based products'!$F$15*('Common input data'!$B$76*'Common input data'!B71+'Common input data'!$B$77*'Common input data'!C71))/'Input data plant-based products'!$E$15</f>
        <v>3.9166831187064E-005</v>
      </c>
      <c r="I119" s="89" t="n">
        <v>0</v>
      </c>
      <c r="J119" s="89" t="n">
        <f aca="false">(SUM('Input data plant-based products'!F15:H15)*'Input data plant-based products'!$B$114*44/28)/'Input data plant-based products'!E15</f>
        <v>7.66833609623998E-005</v>
      </c>
      <c r="K119" s="89" t="n">
        <f aca="false">J119*'Input data plant-based products'!$B$115</f>
        <v>7.66833609623998E-006</v>
      </c>
      <c r="L119" s="89" t="n">
        <f aca="false">('Input data plant-based products'!$I$15*'Common input data'!$C$59*'Common input data'!H51)/'Input data plant-based products'!$E$15</f>
        <v>2.42582886926307E-007</v>
      </c>
      <c r="M119" s="89" t="n">
        <v>0</v>
      </c>
      <c r="N119" s="89" t="n">
        <v>0</v>
      </c>
      <c r="O119" s="89" t="n">
        <v>0</v>
      </c>
      <c r="P119" s="89" t="n">
        <v>0</v>
      </c>
      <c r="Q119" s="89" t="n">
        <v>0</v>
      </c>
      <c r="R119" s="89" t="n">
        <v>0</v>
      </c>
      <c r="S119" s="89" t="n">
        <f aca="false">(F119+R119)</f>
        <v>0.00012376111113263</v>
      </c>
      <c r="T119" s="89" t="n">
        <v>0</v>
      </c>
      <c r="U119" s="89" t="n">
        <v>0</v>
      </c>
      <c r="V119" s="74"/>
      <c r="W119" s="92"/>
      <c r="Z119" s="30"/>
    </row>
    <row r="120" s="209" customFormat="true" ht="17.4" hidden="false" customHeight="false" outlineLevel="0" collapsed="false">
      <c r="A120" s="330" t="s">
        <v>141</v>
      </c>
      <c r="B120" s="76" t="s">
        <v>254</v>
      </c>
      <c r="C120" s="84" t="n">
        <f aca="false">'Input data plant-based products'!D16</f>
        <v>0.09</v>
      </c>
      <c r="D120" s="78" t="s">
        <v>133</v>
      </c>
      <c r="E120" s="94" t="n">
        <f aca="false">IF($F$1="GWP100 without fb",E121+E122*'Common input data'!$C$5+E123*'Common input data'!$D$5,IF($F$1="GWP100 with fb",E121+E122*'Common input data'!$C$6+E123*'Common input data'!$D$6,IF($F$1="GTP100 without fb",E121+E122*'Common input data'!$C$7+E123*'Common input data'!$D$7,IF($F$1="GTP100 with fb",E121+E122*'Common input data'!$C$8+E123*'Common input data'!$D$8,E121+E122*'Common input data'!$C$9+E123*'Common input data'!$D$9))))</f>
        <v>0.0792434216943642</v>
      </c>
      <c r="F120" s="95" t="n">
        <f aca="false">IF($F$1="GWP100 without fb",F121+F122*'Common input data'!$C$5+F123*'Common input data'!$D$5,IF($F$1="GWP100 with fb",F121+F122*'Common input data'!$C$6+F123*'Common input data'!$D$6,IF($F$1="GTP100 without fb",F121+F122*'Common input data'!$C$7+F123*'Common input data'!$D$7,IF($F$1="GTP100 with fb",F121+F122*'Common input data'!$C$8+F123*'Common input data'!$D$8,F121+F122*'Common input data'!$C$9+F123*'Common input data'!$D$9))))</f>
        <v>0.18992717633766</v>
      </c>
      <c r="G120" s="96" t="n">
        <f aca="false">IF($F$1="GWP100 without fb",G121+G122*'Common input data'!$C$5+G123*'Common input data'!$D$5,IF($F$1="GWP100 with fb",G121+G122*'Common input data'!$C$6+G123*'Common input data'!$D$6,IF($F$1="GTP100 without fb",G121+G122*'Common input data'!$C$7+G123*'Common input data'!$D$7,IF($F$1="GTP100 with fb",G121+G122*'Common input data'!$C$8+G123*'Common input data'!$D$8,G121+G122*'Common input data'!$C$9+G123*'Common input data'!$D$9))))</f>
        <v>0.653261847540727</v>
      </c>
      <c r="H120" s="83"/>
      <c r="I120" s="83"/>
      <c r="J120" s="83"/>
      <c r="K120" s="83"/>
      <c r="L120" s="83"/>
      <c r="M120" s="83"/>
      <c r="N120" s="83"/>
      <c r="O120" s="83"/>
      <c r="P120" s="83"/>
      <c r="Q120" s="83"/>
      <c r="R120" s="83"/>
      <c r="S120" s="83"/>
      <c r="T120" s="83"/>
      <c r="U120" s="83"/>
      <c r="V120" s="74"/>
      <c r="W120" s="92"/>
      <c r="Z120" s="30"/>
    </row>
    <row r="121" s="209" customFormat="true" ht="17.4" hidden="false" customHeight="false" outlineLevel="0" collapsed="false">
      <c r="A121" s="99"/>
      <c r="B121" s="31"/>
      <c r="C121" s="30"/>
      <c r="D121" s="85" t="s">
        <v>134</v>
      </c>
      <c r="E121" s="217" t="n">
        <f aca="false">IF(AND($F$2="No",$F$3="No"),SUM(J121:K121),IF(AND($F$2="Yes", $F$3="No"), SUM(J121:K121)+Q121, IF(AND($F$2="No", $F$3="Yes"),SUM(J121:K121)+P121, SUM(J121:K121)+Q121+P121)))</f>
        <v>0.0399894869629571</v>
      </c>
      <c r="F121" s="89" t="n">
        <f aca="false">IF(AND($F$2="No",$F$3="No"),SUM(H121:O121),IF(AND($F$2="Yes", $F$3="No"), SUM(H121:O121)+Q121, IF(AND($F$2="No", $F$3="Yes"),SUM(H121:O121)+P121, SUM(H121:O121)+Q121+P121)))</f>
        <v>0.124098366044265</v>
      </c>
      <c r="G121" s="88" t="n">
        <f aca="false">SUM(S121:U121)/(1-'Common input data'!$B$123)</f>
        <v>0.561750965857282</v>
      </c>
      <c r="H121" s="89" t="n">
        <f aca="false">('Input data plant-based products'!$F$16*('Common input data'!$C$76*'Common input data'!B69+'Common input data'!$C$77*'Common input data'!C69))/'Input data plant-based products'!$E$16</f>
        <v>0.0160705125608897</v>
      </c>
      <c r="I121" s="89" t="n">
        <f aca="false">'Common input data'!$B$81</f>
        <v>0.03</v>
      </c>
      <c r="J121" s="89" t="n">
        <v>0</v>
      </c>
      <c r="K121" s="89" t="n">
        <v>0</v>
      </c>
      <c r="L121" s="89" t="n">
        <f aca="false">('Input data plant-based products'!$I$16*'Common input data'!$C$59*'Common input data'!H49)/'Input data plant-based products'!$E$16</f>
        <v>0.0180383665204185</v>
      </c>
      <c r="M121" s="89" t="n">
        <v>0</v>
      </c>
      <c r="N121" s="89" t="n">
        <f aca="false">'Input data plant-based products'!$G$152</f>
        <v>0.02</v>
      </c>
      <c r="O121" s="89" t="n">
        <v>0</v>
      </c>
      <c r="P121" s="89" t="n">
        <f aca="false">'Common input data'!$E$13</f>
        <v>0.0399894869629571</v>
      </c>
      <c r="Q121" s="89" t="n">
        <v>0</v>
      </c>
      <c r="R121" s="89" t="n">
        <v>0</v>
      </c>
      <c r="S121" s="89" t="n">
        <f aca="false">(F121+R121)</f>
        <v>0.124098366044265</v>
      </c>
      <c r="T121" s="89" t="n">
        <f aca="false">'Common input data'!$B$88</f>
        <v>0.05</v>
      </c>
      <c r="U121" s="89" t="n">
        <f aca="false">'Common input data'!B102+'Common input data'!C102</f>
        <v>0.23</v>
      </c>
      <c r="V121" s="74"/>
      <c r="W121" s="92"/>
      <c r="Z121" s="30"/>
    </row>
    <row r="122" s="209" customFormat="true" ht="17.4" hidden="false" customHeight="false" outlineLevel="0" collapsed="false">
      <c r="A122" s="74"/>
      <c r="B122" s="31"/>
      <c r="C122" s="93"/>
      <c r="D122" s="85" t="s">
        <v>135</v>
      </c>
      <c r="E122" s="217" t="n">
        <f aca="false">SUM(J122:K122)</f>
        <v>0</v>
      </c>
      <c r="F122" s="89" t="n">
        <f aca="false">SUM(H122:O122)</f>
        <v>7.99045897738778E-006</v>
      </c>
      <c r="G122" s="88" t="n">
        <f aca="false">SUM(S122:U122)/(1-'Common input data'!$B$123)</f>
        <v>1.11078104376668E-005</v>
      </c>
      <c r="H122" s="89" t="n">
        <f aca="false">('Input data plant-based products'!$F$16*('Common input data'!$C$76*'Common input data'!B70+'Common input data'!$C$77*'Common input data'!C70))/'Input data plant-based products'!$E$16</f>
        <v>7.08572392845089E-011</v>
      </c>
      <c r="I122" s="89" t="n">
        <v>0</v>
      </c>
      <c r="J122" s="89" t="n">
        <v>0</v>
      </c>
      <c r="K122" s="89" t="n">
        <v>0</v>
      </c>
      <c r="L122" s="89" t="n">
        <f aca="false">('Input data plant-based products'!$I$16*'Common input data'!$C$59*'Common input data'!H50)/'Input data plant-based products'!$E$16</f>
        <v>7.9903881201485E-006</v>
      </c>
      <c r="M122" s="89" t="n">
        <v>0</v>
      </c>
      <c r="N122" s="89" t="n">
        <v>0</v>
      </c>
      <c r="O122" s="89" t="n">
        <v>0</v>
      </c>
      <c r="P122" s="89" t="n">
        <v>0</v>
      </c>
      <c r="Q122" s="89" t="n">
        <v>0</v>
      </c>
      <c r="R122" s="89" t="n">
        <v>0</v>
      </c>
      <c r="S122" s="89" t="n">
        <f aca="false">(F122+R122)</f>
        <v>7.99045897738778E-006</v>
      </c>
      <c r="T122" s="89" t="n">
        <v>0</v>
      </c>
      <c r="U122" s="89" t="n">
        <v>0</v>
      </c>
      <c r="V122" s="74"/>
      <c r="W122" s="92"/>
      <c r="Z122" s="30"/>
    </row>
    <row r="123" s="209" customFormat="true" ht="17.4" hidden="false" customHeight="false" outlineLevel="0" collapsed="false">
      <c r="A123" s="100"/>
      <c r="B123" s="101"/>
      <c r="C123" s="87"/>
      <c r="D123" s="31" t="s">
        <v>136</v>
      </c>
      <c r="E123" s="219" t="n">
        <f aca="false">SUM(J123:K123)</f>
        <v>0.000131724613192641</v>
      </c>
      <c r="F123" s="126" t="n">
        <f aca="false">SUM(H123:O123)</f>
        <v>0.000219990384859608</v>
      </c>
      <c r="G123" s="106" t="n">
        <f aca="false">SUM(S123:U123)/(1-'Common input data'!$B$123)</f>
        <v>0.000305816161505248</v>
      </c>
      <c r="H123" s="89" t="n">
        <f aca="false">('Input data plant-based products'!$F$16*('Common input data'!$C$76*'Common input data'!B71+'Common input data'!$C$77*'Common input data'!C71))/'Input data plant-based products'!$E$16</f>
        <v>8.77810737256907E-005</v>
      </c>
      <c r="I123" s="89" t="n">
        <v>0</v>
      </c>
      <c r="J123" s="89" t="n">
        <f aca="false">(SUM('Input data plant-based products'!F16:H16)*'Input data plant-based products'!$B$114*44/28)/'Input data plant-based products'!E16</f>
        <v>0.000119749648356947</v>
      </c>
      <c r="K123" s="89" t="n">
        <f aca="false">J123*'Input data plant-based products'!$B$115</f>
        <v>1.19749648356947E-005</v>
      </c>
      <c r="L123" s="89" t="n">
        <f aca="false">('Input data plant-based products'!$I$16*'Common input data'!$C$59*'Common input data'!H51)/'Input data plant-based products'!$E$16</f>
        <v>4.84697941275734E-007</v>
      </c>
      <c r="M123" s="89" t="n">
        <v>0</v>
      </c>
      <c r="N123" s="89" t="n">
        <v>0</v>
      </c>
      <c r="O123" s="89" t="n">
        <v>0</v>
      </c>
      <c r="P123" s="89" t="n">
        <v>0</v>
      </c>
      <c r="Q123" s="89" t="n">
        <v>0</v>
      </c>
      <c r="R123" s="89" t="n">
        <v>0</v>
      </c>
      <c r="S123" s="89" t="n">
        <f aca="false">(F123+R123)</f>
        <v>0.000219990384859608</v>
      </c>
      <c r="T123" s="89" t="n">
        <v>0</v>
      </c>
      <c r="U123" s="89" t="n">
        <v>0</v>
      </c>
      <c r="V123" s="74"/>
      <c r="W123" s="92"/>
      <c r="Z123" s="30"/>
    </row>
    <row r="124" s="334" customFormat="true" ht="17.4" hidden="false" customHeight="false" outlineLevel="0" collapsed="false">
      <c r="A124" s="107" t="s">
        <v>300</v>
      </c>
      <c r="B124" s="108"/>
      <c r="C124" s="69"/>
      <c r="D124" s="109"/>
      <c r="E124" s="110" t="s">
        <v>301</v>
      </c>
      <c r="F124" s="111" t="s">
        <v>301</v>
      </c>
      <c r="G124" s="112" t="s">
        <v>301</v>
      </c>
      <c r="H124" s="69"/>
      <c r="I124" s="69"/>
      <c r="J124" s="69"/>
      <c r="K124" s="113"/>
      <c r="L124" s="113"/>
      <c r="M124" s="114"/>
      <c r="N124" s="113"/>
      <c r="O124" s="113"/>
      <c r="P124" s="113"/>
      <c r="Q124" s="113"/>
      <c r="R124" s="113"/>
      <c r="S124" s="113"/>
      <c r="T124" s="113"/>
      <c r="U124" s="113"/>
      <c r="V124" s="309"/>
      <c r="W124" s="92"/>
      <c r="X124" s="209"/>
      <c r="Y124" s="209"/>
      <c r="Z124" s="30"/>
      <c r="AA124" s="209"/>
      <c r="AB124" s="209"/>
      <c r="AC124" s="209"/>
      <c r="AD124" s="209"/>
      <c r="AE124" s="209"/>
      <c r="AF124" s="209"/>
      <c r="AG124" s="209"/>
      <c r="AH124" s="209"/>
      <c r="AI124" s="209"/>
      <c r="AJ124" s="209"/>
      <c r="AK124" s="209"/>
      <c r="AL124" s="209"/>
      <c r="AM124" s="209"/>
      <c r="AN124" s="209"/>
      <c r="AO124" s="209"/>
      <c r="AP124" s="209"/>
      <c r="AQ124" s="209"/>
      <c r="AR124" s="209"/>
      <c r="AS124" s="209"/>
      <c r="AT124" s="209"/>
      <c r="AU124" s="209"/>
      <c r="AV124" s="209"/>
      <c r="AW124" s="209"/>
      <c r="AX124" s="209"/>
      <c r="AY124" s="209"/>
      <c r="AZ124" s="209"/>
      <c r="BA124" s="209"/>
      <c r="BB124" s="209"/>
      <c r="BC124" s="209"/>
      <c r="BD124" s="209"/>
      <c r="BE124" s="209"/>
      <c r="BF124" s="209"/>
      <c r="BG124" s="209"/>
      <c r="BH124" s="209"/>
      <c r="BI124" s="209"/>
      <c r="BJ124" s="209"/>
      <c r="BK124" s="209"/>
      <c r="BL124" s="209"/>
      <c r="BM124" s="209"/>
      <c r="BN124" s="209"/>
      <c r="BO124" s="209"/>
      <c r="BP124" s="209"/>
      <c r="BQ124" s="209"/>
      <c r="BR124" s="209"/>
      <c r="BS124" s="209"/>
      <c r="BT124" s="209"/>
      <c r="BU124" s="209"/>
      <c r="BV124" s="209"/>
      <c r="BW124" s="209"/>
      <c r="BX124" s="209"/>
      <c r="BY124" s="209"/>
      <c r="BZ124" s="209"/>
      <c r="CA124" s="209"/>
      <c r="CB124" s="209"/>
      <c r="CC124" s="209"/>
      <c r="CD124" s="209"/>
      <c r="CE124" s="209"/>
      <c r="CF124" s="209"/>
      <c r="CG124" s="209"/>
      <c r="CH124" s="209"/>
      <c r="CI124" s="209"/>
      <c r="CJ124" s="209"/>
      <c r="CK124" s="209"/>
      <c r="CL124" s="209"/>
      <c r="CM124" s="209"/>
      <c r="CN124" s="209"/>
      <c r="CO124" s="209"/>
      <c r="CP124" s="209"/>
      <c r="CQ124" s="209"/>
      <c r="CR124" s="209"/>
      <c r="CS124" s="209"/>
      <c r="CT124" s="209"/>
      <c r="CU124" s="209"/>
      <c r="CV124" s="209"/>
      <c r="CW124" s="209"/>
      <c r="CX124" s="209"/>
      <c r="CY124" s="209"/>
      <c r="CZ124" s="209"/>
      <c r="DA124" s="209"/>
      <c r="DB124" s="209"/>
      <c r="DC124" s="209"/>
      <c r="DD124" s="209"/>
      <c r="DE124" s="209"/>
      <c r="DF124" s="209"/>
      <c r="DG124" s="209"/>
      <c r="DH124" s="209"/>
      <c r="DI124" s="209"/>
      <c r="DJ124" s="209"/>
      <c r="DK124" s="209"/>
      <c r="DL124" s="209"/>
      <c r="DM124" s="209"/>
      <c r="DN124" s="209"/>
      <c r="DO124" s="209"/>
      <c r="DP124" s="209"/>
      <c r="DQ124" s="209"/>
      <c r="DR124" s="209"/>
      <c r="DS124" s="209"/>
      <c r="DT124" s="209"/>
      <c r="DU124" s="209"/>
      <c r="DV124" s="209"/>
      <c r="DW124" s="209"/>
      <c r="DX124" s="209"/>
      <c r="DY124" s="209"/>
      <c r="DZ124" s="209"/>
      <c r="EA124" s="209"/>
      <c r="EB124" s="209"/>
      <c r="EC124" s="209"/>
      <c r="ED124" s="209"/>
      <c r="EE124" s="209"/>
      <c r="EF124" s="209"/>
      <c r="EG124" s="209"/>
      <c r="EH124" s="209"/>
      <c r="EI124" s="209"/>
      <c r="EJ124" s="209"/>
      <c r="EK124" s="209"/>
      <c r="EL124" s="209"/>
      <c r="EM124" s="209"/>
      <c r="EN124" s="209"/>
      <c r="EO124" s="209"/>
      <c r="EP124" s="209"/>
      <c r="EQ124" s="209"/>
      <c r="ER124" s="209"/>
      <c r="ES124" s="209"/>
      <c r="ET124" s="209"/>
      <c r="EU124" s="209"/>
      <c r="EV124" s="209"/>
      <c r="EW124" s="209"/>
      <c r="EX124" s="209"/>
      <c r="EY124" s="209"/>
      <c r="EZ124" s="209"/>
      <c r="FA124" s="209"/>
      <c r="FB124" s="209"/>
      <c r="FC124" s="209"/>
      <c r="FD124" s="209"/>
      <c r="FE124" s="209"/>
      <c r="FF124" s="209"/>
      <c r="FG124" s="209"/>
      <c r="FH124" s="209"/>
      <c r="FI124" s="209"/>
      <c r="FJ124" s="209"/>
      <c r="FK124" s="209"/>
      <c r="FL124" s="209"/>
      <c r="FM124" s="209"/>
      <c r="FN124" s="209"/>
      <c r="FO124" s="209"/>
      <c r="FP124" s="209"/>
      <c r="FQ124" s="209"/>
      <c r="FR124" s="209"/>
      <c r="FS124" s="209"/>
      <c r="FT124" s="209"/>
      <c r="FU124" s="209"/>
      <c r="FV124" s="209"/>
      <c r="FW124" s="209"/>
      <c r="FX124" s="209"/>
      <c r="FY124" s="209"/>
      <c r="FZ124" s="209"/>
      <c r="GA124" s="209"/>
      <c r="GB124" s="209"/>
      <c r="GC124" s="209"/>
      <c r="GD124" s="209"/>
      <c r="GE124" s="209"/>
      <c r="GF124" s="209"/>
      <c r="GG124" s="209"/>
      <c r="GH124" s="209"/>
      <c r="GI124" s="209"/>
      <c r="GJ124" s="209"/>
      <c r="GK124" s="209"/>
      <c r="GL124" s="209"/>
      <c r="GM124" s="209"/>
      <c r="GN124" s="209"/>
      <c r="GO124" s="209"/>
      <c r="GP124" s="209"/>
      <c r="GQ124" s="209"/>
      <c r="GR124" s="209"/>
      <c r="GS124" s="209"/>
      <c r="GT124" s="209"/>
      <c r="GU124" s="209"/>
      <c r="GV124" s="209"/>
      <c r="GW124" s="209"/>
      <c r="GX124" s="209"/>
      <c r="GY124" s="209"/>
      <c r="GZ124" s="209"/>
      <c r="HA124" s="209"/>
      <c r="HB124" s="209"/>
      <c r="HC124" s="209"/>
      <c r="HD124" s="209"/>
      <c r="HE124" s="209"/>
      <c r="HF124" s="209"/>
      <c r="HG124" s="209"/>
      <c r="HH124" s="209"/>
      <c r="HI124" s="209"/>
      <c r="HJ124" s="209"/>
      <c r="HK124" s="209"/>
      <c r="HL124" s="209"/>
      <c r="HM124" s="209"/>
      <c r="HN124" s="209"/>
      <c r="HO124" s="209"/>
      <c r="HP124" s="209"/>
      <c r="HQ124" s="209"/>
      <c r="HR124" s="209"/>
      <c r="HS124" s="209"/>
      <c r="HT124" s="209"/>
      <c r="HU124" s="209"/>
      <c r="HV124" s="209"/>
      <c r="HW124" s="209"/>
      <c r="HX124" s="209"/>
      <c r="HY124" s="209"/>
      <c r="HZ124" s="209"/>
      <c r="IA124" s="209"/>
      <c r="IB124" s="209"/>
      <c r="IC124" s="209"/>
      <c r="ID124" s="209"/>
      <c r="IE124" s="209"/>
      <c r="IF124" s="209"/>
      <c r="IG124" s="209"/>
      <c r="IH124" s="209"/>
      <c r="II124" s="209"/>
      <c r="IJ124" s="209"/>
      <c r="IK124" s="209"/>
      <c r="IL124" s="209"/>
      <c r="IM124" s="209"/>
      <c r="IN124" s="209"/>
      <c r="IO124" s="209"/>
      <c r="IP124" s="209"/>
      <c r="IQ124" s="209"/>
      <c r="IR124" s="209"/>
      <c r="IS124" s="209"/>
      <c r="IT124" s="209"/>
      <c r="IU124" s="209"/>
      <c r="IV124" s="209"/>
      <c r="IW124" s="209"/>
      <c r="IX124" s="209"/>
    </row>
    <row r="125" s="332" customFormat="true" ht="17.4" hidden="false" customHeight="false" outlineLevel="0" collapsed="false">
      <c r="A125" s="330" t="s">
        <v>272</v>
      </c>
      <c r="B125" s="76"/>
      <c r="C125" s="77" t="n">
        <f aca="false">SUM(C129:C136)</f>
        <v>1</v>
      </c>
      <c r="D125" s="78" t="s">
        <v>133</v>
      </c>
      <c r="E125" s="79" t="n">
        <f aca="false">IF($F$1="GWP100 without fb",E126+E127*'Common input data'!$C$5+E128*'Common input data'!$D$5,IF($F$1="GWP100 with fb",E126+E127*'Common input data'!$C$6+E128*'Common input data'!$D$6,IF($F$1="GTP100 without fb",E126+E127*'Common input data'!$C$7+E128*'Common input data'!$D$7,IF($F$1="GTP100 with fb",E126+E127*'Common input data'!$C$8+E128*'Common input data'!$D$8,E126+E127*'Common input data'!$C$9+E128*'Common input data'!$D$9))))</f>
        <v>0.0548055693974052</v>
      </c>
      <c r="F125" s="80" t="n">
        <f aca="false">IF($F$1="GWP100 without fb",F126+F127*'Common input data'!$C$5+F128*'Common input data'!$D$5,IF($F$1="GWP100 with fb",F126+F127*'Common input data'!$C$6+F128*'Common input data'!$D$6,IF($F$1="GTP100 without fb",F126+F127*'Common input data'!$C$7+F128*'Common input data'!$D$7,IF($F$1="GTP100 with fb",F126+F127*'Common input data'!$C$8+F128*'Common input data'!$D$8,F126+F127*'Common input data'!$C$9+F128*'Common input data'!$D$9))))</f>
        <v>0.120634572830399</v>
      </c>
      <c r="G125" s="81" t="n">
        <f aca="false">IF($F$1="GWP100 without fb",G126+G127*'Common input data'!$C$5+G128*'Common input data'!$D$5,IF($F$1="GWP100 with fb",G126+G127*'Common input data'!$C$6+G128*'Common input data'!$D$6,IF($F$1="GTP100 without fb",G126+G127*'Common input data'!$C$7+G128*'Common input data'!$D$7,IF($F$1="GTP100 with fb",G126+G127*'Common input data'!$C$8+G128*'Common input data'!$D$8,G126+G127*'Common input data'!$C$9+G128*'Common input data'!$D$9))))</f>
        <v>0.298370863941168</v>
      </c>
      <c r="H125" s="95"/>
      <c r="I125" s="97"/>
      <c r="J125" s="97"/>
      <c r="K125" s="83"/>
      <c r="L125" s="83"/>
      <c r="M125" s="83"/>
      <c r="N125" s="83"/>
      <c r="O125" s="83"/>
      <c r="P125" s="83"/>
      <c r="Q125" s="83"/>
      <c r="R125" s="83"/>
      <c r="S125" s="83"/>
      <c r="T125" s="83"/>
      <c r="U125" s="83"/>
      <c r="V125" s="309"/>
      <c r="W125" s="92"/>
      <c r="X125" s="209"/>
      <c r="Y125" s="209"/>
      <c r="Z125" s="30"/>
      <c r="AA125" s="209"/>
      <c r="AB125" s="209"/>
      <c r="AC125" s="209"/>
      <c r="AD125" s="209"/>
      <c r="AE125" s="209"/>
      <c r="AF125" s="209"/>
      <c r="AG125" s="209"/>
      <c r="AH125" s="209"/>
      <c r="AI125" s="209"/>
      <c r="AJ125" s="209"/>
      <c r="AK125" s="209"/>
      <c r="AL125" s="209"/>
      <c r="AM125" s="209"/>
      <c r="AN125" s="209"/>
      <c r="AO125" s="209"/>
      <c r="AP125" s="209"/>
      <c r="AQ125" s="209"/>
      <c r="AR125" s="209"/>
      <c r="AS125" s="209"/>
      <c r="AT125" s="209"/>
      <c r="AU125" s="209"/>
      <c r="AV125" s="209"/>
      <c r="AW125" s="209"/>
      <c r="AX125" s="209"/>
      <c r="AY125" s="209"/>
      <c r="AZ125" s="209"/>
      <c r="BA125" s="209"/>
      <c r="BB125" s="209"/>
      <c r="BC125" s="209"/>
      <c r="BD125" s="209"/>
      <c r="BE125" s="209"/>
      <c r="BF125" s="209"/>
      <c r="BG125" s="209"/>
      <c r="BH125" s="209"/>
      <c r="BI125" s="209"/>
      <c r="BJ125" s="209"/>
      <c r="BK125" s="209"/>
      <c r="BL125" s="209"/>
      <c r="BM125" s="209"/>
      <c r="BN125" s="209"/>
      <c r="BO125" s="209"/>
      <c r="BP125" s="209"/>
      <c r="BQ125" s="209"/>
      <c r="BR125" s="209"/>
      <c r="BS125" s="209"/>
      <c r="BT125" s="209"/>
      <c r="BU125" s="209"/>
      <c r="BV125" s="209"/>
      <c r="BW125" s="209"/>
      <c r="BX125" s="209"/>
      <c r="BY125" s="209"/>
      <c r="BZ125" s="209"/>
      <c r="CA125" s="209"/>
      <c r="CB125" s="209"/>
      <c r="CC125" s="209"/>
      <c r="CD125" s="209"/>
      <c r="CE125" s="209"/>
      <c r="CF125" s="209"/>
      <c r="CG125" s="209"/>
      <c r="CH125" s="209"/>
      <c r="CI125" s="209"/>
      <c r="CJ125" s="209"/>
      <c r="CK125" s="209"/>
      <c r="CL125" s="209"/>
      <c r="CM125" s="209"/>
      <c r="CN125" s="209"/>
      <c r="CO125" s="209"/>
      <c r="CP125" s="209"/>
      <c r="CQ125" s="209"/>
      <c r="CR125" s="209"/>
      <c r="CS125" s="209"/>
      <c r="CT125" s="209"/>
      <c r="CU125" s="209"/>
      <c r="CV125" s="209"/>
      <c r="CW125" s="209"/>
      <c r="CX125" s="209"/>
      <c r="CY125" s="209"/>
      <c r="CZ125" s="209"/>
      <c r="DA125" s="209"/>
      <c r="DB125" s="209"/>
      <c r="DC125" s="209"/>
      <c r="DD125" s="209"/>
      <c r="DE125" s="209"/>
      <c r="DF125" s="209"/>
      <c r="DG125" s="209"/>
      <c r="DH125" s="209"/>
      <c r="DI125" s="209"/>
      <c r="DJ125" s="209"/>
      <c r="DK125" s="209"/>
      <c r="DL125" s="209"/>
      <c r="DM125" s="209"/>
      <c r="DN125" s="209"/>
      <c r="DO125" s="209"/>
      <c r="DP125" s="209"/>
      <c r="DQ125" s="209"/>
      <c r="DR125" s="209"/>
      <c r="DS125" s="209"/>
      <c r="DT125" s="209"/>
      <c r="DU125" s="209"/>
      <c r="DV125" s="209"/>
      <c r="DW125" s="209"/>
      <c r="DX125" s="209"/>
      <c r="DY125" s="209"/>
      <c r="DZ125" s="209"/>
      <c r="EA125" s="209"/>
      <c r="EB125" s="209"/>
      <c r="EC125" s="209"/>
      <c r="ED125" s="209"/>
      <c r="EE125" s="209"/>
      <c r="EF125" s="209"/>
      <c r="EG125" s="209"/>
      <c r="EH125" s="209"/>
      <c r="EI125" s="209"/>
      <c r="EJ125" s="209"/>
      <c r="EK125" s="209"/>
      <c r="EL125" s="209"/>
      <c r="EM125" s="209"/>
      <c r="EN125" s="209"/>
      <c r="EO125" s="209"/>
      <c r="EP125" s="209"/>
      <c r="EQ125" s="209"/>
      <c r="ER125" s="209"/>
      <c r="ES125" s="209"/>
      <c r="ET125" s="209"/>
      <c r="EU125" s="209"/>
      <c r="EV125" s="209"/>
      <c r="EW125" s="209"/>
      <c r="EX125" s="209"/>
      <c r="EY125" s="209"/>
      <c r="EZ125" s="209"/>
      <c r="FA125" s="209"/>
      <c r="FB125" s="209"/>
      <c r="FC125" s="209"/>
      <c r="FD125" s="209"/>
      <c r="FE125" s="209"/>
      <c r="FF125" s="209"/>
      <c r="FG125" s="209"/>
      <c r="FH125" s="209"/>
      <c r="FI125" s="209"/>
      <c r="FJ125" s="209"/>
      <c r="FK125" s="209"/>
      <c r="FL125" s="209"/>
      <c r="FM125" s="209"/>
      <c r="FN125" s="209"/>
      <c r="FO125" s="209"/>
      <c r="FP125" s="209"/>
      <c r="FQ125" s="209"/>
      <c r="FR125" s="209"/>
      <c r="FS125" s="209"/>
      <c r="FT125" s="209"/>
      <c r="FU125" s="209"/>
      <c r="FV125" s="209"/>
      <c r="FW125" s="209"/>
      <c r="FX125" s="209"/>
      <c r="FY125" s="209"/>
      <c r="FZ125" s="209"/>
      <c r="GA125" s="209"/>
      <c r="GB125" s="209"/>
      <c r="GC125" s="209"/>
      <c r="GD125" s="209"/>
      <c r="GE125" s="209"/>
      <c r="GF125" s="209"/>
      <c r="GG125" s="209"/>
      <c r="GH125" s="209"/>
      <c r="GI125" s="209"/>
      <c r="GJ125" s="209"/>
      <c r="GK125" s="209"/>
      <c r="GL125" s="209"/>
      <c r="GM125" s="209"/>
      <c r="GN125" s="209"/>
      <c r="GO125" s="209"/>
      <c r="GP125" s="209"/>
      <c r="GQ125" s="209"/>
      <c r="GR125" s="209"/>
      <c r="GS125" s="209"/>
      <c r="GT125" s="209"/>
      <c r="GU125" s="209"/>
      <c r="GV125" s="209"/>
      <c r="GW125" s="209"/>
      <c r="GX125" s="209"/>
      <c r="GY125" s="209"/>
      <c r="GZ125" s="209"/>
      <c r="HA125" s="209"/>
      <c r="HB125" s="209"/>
      <c r="HC125" s="209"/>
      <c r="HD125" s="209"/>
      <c r="HE125" s="209"/>
      <c r="HF125" s="209"/>
      <c r="HG125" s="209"/>
      <c r="HH125" s="209"/>
      <c r="HI125" s="209"/>
      <c r="HJ125" s="209"/>
      <c r="HK125" s="209"/>
      <c r="HL125" s="209"/>
      <c r="HM125" s="209"/>
      <c r="HN125" s="209"/>
      <c r="HO125" s="209"/>
      <c r="HP125" s="209"/>
      <c r="HQ125" s="209"/>
      <c r="HR125" s="209"/>
      <c r="HS125" s="209"/>
      <c r="HT125" s="209"/>
      <c r="HU125" s="209"/>
      <c r="HV125" s="209"/>
      <c r="HW125" s="209"/>
      <c r="HX125" s="209"/>
      <c r="HY125" s="209"/>
      <c r="HZ125" s="209"/>
      <c r="IA125" s="209"/>
      <c r="IB125" s="209"/>
      <c r="IC125" s="209"/>
      <c r="ID125" s="209"/>
      <c r="IE125" s="209"/>
      <c r="IF125" s="209"/>
      <c r="IG125" s="209"/>
      <c r="IH125" s="209"/>
      <c r="II125" s="209"/>
      <c r="IJ125" s="209"/>
      <c r="IK125" s="209"/>
      <c r="IL125" s="209"/>
      <c r="IM125" s="209"/>
      <c r="IN125" s="209"/>
      <c r="IO125" s="209"/>
      <c r="IP125" s="209"/>
      <c r="IQ125" s="209"/>
      <c r="IR125" s="209"/>
      <c r="IS125" s="209"/>
      <c r="IT125" s="209"/>
      <c r="IU125" s="209"/>
      <c r="IV125" s="209"/>
      <c r="IW125" s="209"/>
      <c r="IX125" s="209"/>
    </row>
    <row r="126" s="209" customFormat="true" ht="17.4" hidden="false" customHeight="false" outlineLevel="0" collapsed="false">
      <c r="A126" s="315"/>
      <c r="B126" s="31"/>
      <c r="C126" s="30"/>
      <c r="D126" s="85" t="s">
        <v>134</v>
      </c>
      <c r="E126" s="217" t="n">
        <f aca="false">E130*$C$129+E134*$C$133</f>
        <v>0.0399894869629571</v>
      </c>
      <c r="F126" s="89" t="n">
        <f aca="false">F130*$C$129+F134*$C$133</f>
        <v>0.100593677228321</v>
      </c>
      <c r="G126" s="88" t="n">
        <f aca="false">G130*$C$129+G134*$C$133</f>
        <v>0.270511329216202</v>
      </c>
      <c r="H126" s="89" t="n">
        <f aca="false">H130*$C$129+H134*$C$133</f>
        <v>0.00395039174203535</v>
      </c>
      <c r="I126" s="89" t="n">
        <f aca="false">I130*$C$129+I134*$C$133</f>
        <v>0.03</v>
      </c>
      <c r="J126" s="89" t="n">
        <f aca="false">J130*$C$129+J134*$C$133</f>
        <v>0</v>
      </c>
      <c r="K126" s="89" t="n">
        <f aca="false">K130*$C$129+K134*$C$133</f>
        <v>0</v>
      </c>
      <c r="L126" s="89" t="n">
        <f aca="false">L130*$C$129+L134*$C$133</f>
        <v>0.00665379852332862</v>
      </c>
      <c r="M126" s="89" t="n">
        <f aca="false">M130*$C$129+M134*$C$133</f>
        <v>0</v>
      </c>
      <c r="N126" s="89" t="n">
        <f aca="false">N130*$C$129+N134*$C$133</f>
        <v>0.02</v>
      </c>
      <c r="O126" s="89" t="n">
        <f aca="false">O130*$C$129+O134*$C$133</f>
        <v>0</v>
      </c>
      <c r="P126" s="89" t="n">
        <f aca="false">P130*$C$129+P134*$C$133</f>
        <v>0.0399894869629571</v>
      </c>
      <c r="Q126" s="89" t="n">
        <f aca="false">Q130*$C$129+Q134*$C$133</f>
        <v>0</v>
      </c>
      <c r="R126" s="89" t="n">
        <f aca="false">R130*$C$129+R134*$C$133</f>
        <v>0</v>
      </c>
      <c r="S126" s="89" t="n">
        <f aca="false">S130*$C$129+S134*$C$133</f>
        <v>0.100593677228321</v>
      </c>
      <c r="T126" s="89" t="n">
        <f aca="false">T130*$C$129+T134*$C$133</f>
        <v>0.05</v>
      </c>
      <c r="U126" s="89" t="n">
        <f aca="false">U130*$C$129+U134*$C$133</f>
        <v>0.044</v>
      </c>
      <c r="V126" s="309"/>
      <c r="W126" s="92"/>
      <c r="Z126" s="30"/>
    </row>
    <row r="127" s="209" customFormat="true" ht="17.4" hidden="false" customHeight="false" outlineLevel="0" collapsed="false">
      <c r="A127" s="315"/>
      <c r="B127" s="31"/>
      <c r="C127" s="93"/>
      <c r="D127" s="85" t="s">
        <v>135</v>
      </c>
      <c r="E127" s="217" t="n">
        <f aca="false">E131*$C$129+E135*$C$133</f>
        <v>0</v>
      </c>
      <c r="F127" s="89" t="n">
        <f aca="false">F131*$C$129+F135*$C$133</f>
        <v>2.94742016048932E-006</v>
      </c>
      <c r="G127" s="88" t="n">
        <f aca="false">G131*$C$129+G135*$C$133</f>
        <v>4.0973096183238E-006</v>
      </c>
      <c r="H127" s="89" t="n">
        <f aca="false">H131*$C$129+H135*$C$133</f>
        <v>1.17787777575106E-011</v>
      </c>
      <c r="I127" s="89" t="n">
        <f aca="false">I131*$C$129+I135*$C$133</f>
        <v>0</v>
      </c>
      <c r="J127" s="89" t="n">
        <f aca="false">J131*$C$129+J135*$C$133</f>
        <v>0</v>
      </c>
      <c r="K127" s="89" t="n">
        <f aca="false">K131*$C$129+K135*$C$133</f>
        <v>0</v>
      </c>
      <c r="L127" s="89" t="n">
        <f aca="false">L131*$C$129+L135*$C$133</f>
        <v>2.94740838171156E-006</v>
      </c>
      <c r="M127" s="89" t="n">
        <f aca="false">M131*$C$129+M135*$C$133</f>
        <v>0</v>
      </c>
      <c r="N127" s="89" t="n">
        <f aca="false">N131*$C$129+N135*$C$133</f>
        <v>0</v>
      </c>
      <c r="O127" s="89" t="n">
        <f aca="false">O131*$C$129+O135*$C$133</f>
        <v>0</v>
      </c>
      <c r="P127" s="89" t="n">
        <f aca="false">P131*$C$129+P135*$C$133</f>
        <v>0</v>
      </c>
      <c r="Q127" s="89" t="n">
        <f aca="false">Q131*$C$129+Q135*$C$133</f>
        <v>0</v>
      </c>
      <c r="R127" s="89" t="n">
        <f aca="false">R131*$C$129+R135*$C$133</f>
        <v>0</v>
      </c>
      <c r="S127" s="89" t="n">
        <f aca="false">S131*$C$129+S135*$C$133</f>
        <v>2.94742016048932E-006</v>
      </c>
      <c r="T127" s="89" t="n">
        <f aca="false">T131*$C$129+T135*$C$133</f>
        <v>0</v>
      </c>
      <c r="U127" s="89" t="n">
        <f aca="false">U131*$C$129+U135*$C$133</f>
        <v>0</v>
      </c>
      <c r="V127" s="309"/>
      <c r="W127" s="92"/>
      <c r="Z127" s="30"/>
    </row>
    <row r="128" s="209" customFormat="true" ht="17.4" hidden="false" customHeight="false" outlineLevel="0" collapsed="false">
      <c r="A128" s="74"/>
      <c r="B128" s="101"/>
      <c r="C128" s="87"/>
      <c r="D128" s="31" t="s">
        <v>136</v>
      </c>
      <c r="E128" s="217" t="n">
        <f aca="false">E132*$C$129+E136*$C$133</f>
        <v>4.97183974310337E-005</v>
      </c>
      <c r="F128" s="89" t="n">
        <f aca="false">F132*$C$129+F136*$C$133</f>
        <v>6.6915044686648E-005</v>
      </c>
      <c r="G128" s="88" t="n">
        <f aca="false">G132*$C$129+G136*$C$133</f>
        <v>9.30208932816871E-005</v>
      </c>
      <c r="H128" s="89" t="n">
        <f aca="false">H132*$C$129+H136*$C$133</f>
        <v>1.70178570950823E-005</v>
      </c>
      <c r="I128" s="89" t="n">
        <f aca="false">I132*$C$129+I136*$C$133</f>
        <v>0</v>
      </c>
      <c r="J128" s="89" t="n">
        <f aca="false">J132*$C$129+J136*$C$133</f>
        <v>4.51985431191216E-005</v>
      </c>
      <c r="K128" s="89" t="n">
        <f aca="false">K132*$C$129+K136*$C$133</f>
        <v>4.51985431191216E-006</v>
      </c>
      <c r="L128" s="89" t="n">
        <f aca="false">L132*$C$129+L136*$C$133</f>
        <v>1.78790160532012E-007</v>
      </c>
      <c r="M128" s="89" t="n">
        <f aca="false">M132*$C$129+M136*$C$133</f>
        <v>0</v>
      </c>
      <c r="N128" s="89" t="n">
        <f aca="false">N132*$C$129+N136*$C$133</f>
        <v>0</v>
      </c>
      <c r="O128" s="89" t="n">
        <f aca="false">O132*$C$129+O136*$C$133</f>
        <v>0</v>
      </c>
      <c r="P128" s="89" t="n">
        <f aca="false">P132*$C$129+P136*$C$133</f>
        <v>0</v>
      </c>
      <c r="Q128" s="89" t="n">
        <f aca="false">Q132*$C$129+Q136*$C$133</f>
        <v>0</v>
      </c>
      <c r="R128" s="89" t="n">
        <f aca="false">R132*$C$129+R136*$C$133</f>
        <v>0</v>
      </c>
      <c r="S128" s="89" t="n">
        <f aca="false">S132*$C$129+S136*$C$133</f>
        <v>6.6915044686648E-005</v>
      </c>
      <c r="T128" s="89" t="n">
        <f aca="false">T132*$C$129+T136*$C$133</f>
        <v>0</v>
      </c>
      <c r="U128" s="89" t="n">
        <f aca="false">U132*$C$129+U136*$C$133</f>
        <v>0</v>
      </c>
      <c r="V128" s="309"/>
      <c r="W128" s="92"/>
      <c r="Z128" s="30"/>
    </row>
    <row r="129" s="332" customFormat="true" ht="17.4" hidden="false" customHeight="false" outlineLevel="0" collapsed="false">
      <c r="A129" s="330" t="s">
        <v>137</v>
      </c>
      <c r="B129" s="76" t="s">
        <v>254</v>
      </c>
      <c r="C129" s="84" t="n">
        <f aca="false">'Input data plant-based products'!D43</f>
        <v>0.93</v>
      </c>
      <c r="D129" s="78" t="s">
        <v>133</v>
      </c>
      <c r="E129" s="94" t="n">
        <f aca="false">IF($F$1="GWP100 without fb",E130+E131*'Common input data'!$C$5+E132*'Common input data'!$D$5,IF($F$1="GWP100 with fb",E130+E131*'Common input data'!$C$6+E132*'Common input data'!$D$6,IF($F$1="GTP100 without fb",E130+E131*'Common input data'!$C$7+E132*'Common input data'!$D$7,IF($F$1="GTP100 with fb",E130+E131*'Common input data'!$C$8+E132*'Common input data'!$D$8,E130+E131*'Common input data'!$C$9+E132*'Common input data'!$D$9))))</f>
        <v>0.0533574525074241</v>
      </c>
      <c r="F129" s="95" t="n">
        <f aca="false">IF($F$1="GWP100 without fb",F130+F131*'Common input data'!$C$5+F132*'Common input data'!$D$5,IF($F$1="GWP100 with fb",F130+F131*'Common input data'!$C$6+F132*'Common input data'!$D$6,IF($F$1="GTP100 without fb",F130+F131*'Common input data'!$C$7+F132*'Common input data'!$D$7,IF($F$1="GTP100 with fb",F130+F131*'Common input data'!$C$8+F132*'Common input data'!$D$8,F130+F131*'Common input data'!$C$9+F132*'Common input data'!$D$9))))</f>
        <v>0.117530020479495</v>
      </c>
      <c r="G129" s="96" t="n">
        <f aca="false">IF($F$1="GWP100 without fb",G130+G131*'Common input data'!$C$5+G132*'Common input data'!$D$5,IF($F$1="GWP100 with fb",G130+G131*'Common input data'!$C$6+G132*'Common input data'!$D$6,IF($F$1="GTP100 without fb",G130+G131*'Common input data'!$C$7+G132*'Common input data'!$D$7,IF($F$1="GTP100 with fb",G130+G131*'Common input data'!$C$8+G132*'Common input data'!$D$8,G130+G131*'Common input data'!$C$9+G132*'Common input data'!$D$9))))</f>
        <v>0.274593240443863</v>
      </c>
      <c r="H129" s="83"/>
      <c r="I129" s="83"/>
      <c r="J129" s="83"/>
      <c r="K129" s="83"/>
      <c r="L129" s="83"/>
      <c r="M129" s="83"/>
      <c r="N129" s="83"/>
      <c r="O129" s="83"/>
      <c r="P129" s="83"/>
      <c r="Q129" s="83"/>
      <c r="R129" s="83"/>
      <c r="S129" s="83"/>
      <c r="T129" s="83"/>
      <c r="U129" s="83"/>
      <c r="V129" s="309"/>
      <c r="W129" s="92"/>
      <c r="X129" s="209"/>
      <c r="Y129" s="209"/>
      <c r="Z129" s="30"/>
      <c r="AA129" s="209"/>
      <c r="AB129" s="209"/>
      <c r="AC129" s="209"/>
      <c r="AD129" s="209"/>
      <c r="AE129" s="209"/>
      <c r="AF129" s="209"/>
      <c r="AG129" s="209"/>
      <c r="AH129" s="209"/>
      <c r="AI129" s="209"/>
      <c r="AJ129" s="209"/>
      <c r="AK129" s="209"/>
      <c r="AL129" s="209"/>
      <c r="AM129" s="209"/>
      <c r="AN129" s="209"/>
      <c r="AO129" s="209"/>
      <c r="AP129" s="209"/>
      <c r="AQ129" s="209"/>
      <c r="AR129" s="209"/>
      <c r="AS129" s="209"/>
      <c r="AT129" s="209"/>
      <c r="AU129" s="209"/>
      <c r="AV129" s="209"/>
      <c r="AW129" s="209"/>
      <c r="AX129" s="209"/>
      <c r="AY129" s="209"/>
      <c r="AZ129" s="209"/>
      <c r="BA129" s="209"/>
      <c r="BB129" s="209"/>
      <c r="BC129" s="209"/>
      <c r="BD129" s="209"/>
      <c r="BE129" s="209"/>
      <c r="BF129" s="209"/>
      <c r="BG129" s="209"/>
      <c r="BH129" s="209"/>
      <c r="BI129" s="209"/>
      <c r="BJ129" s="209"/>
      <c r="BK129" s="209"/>
      <c r="BL129" s="209"/>
      <c r="BM129" s="209"/>
      <c r="BN129" s="209"/>
      <c r="BO129" s="209"/>
      <c r="BP129" s="209"/>
      <c r="BQ129" s="209"/>
      <c r="BR129" s="209"/>
      <c r="BS129" s="209"/>
      <c r="BT129" s="209"/>
      <c r="BU129" s="209"/>
      <c r="BV129" s="209"/>
      <c r="BW129" s="209"/>
      <c r="BX129" s="209"/>
      <c r="BY129" s="209"/>
      <c r="BZ129" s="209"/>
      <c r="CA129" s="209"/>
      <c r="CB129" s="209"/>
      <c r="CC129" s="209"/>
      <c r="CD129" s="209"/>
      <c r="CE129" s="209"/>
      <c r="CF129" s="209"/>
      <c r="CG129" s="209"/>
      <c r="CH129" s="209"/>
      <c r="CI129" s="209"/>
      <c r="CJ129" s="209"/>
      <c r="CK129" s="209"/>
      <c r="CL129" s="209"/>
      <c r="CM129" s="209"/>
      <c r="CN129" s="209"/>
      <c r="CO129" s="209"/>
      <c r="CP129" s="209"/>
      <c r="CQ129" s="209"/>
      <c r="CR129" s="209"/>
      <c r="CS129" s="209"/>
      <c r="CT129" s="209"/>
      <c r="CU129" s="209"/>
      <c r="CV129" s="209"/>
      <c r="CW129" s="209"/>
      <c r="CX129" s="209"/>
      <c r="CY129" s="209"/>
      <c r="CZ129" s="209"/>
      <c r="DA129" s="209"/>
      <c r="DB129" s="209"/>
      <c r="DC129" s="209"/>
      <c r="DD129" s="209"/>
      <c r="DE129" s="209"/>
      <c r="DF129" s="209"/>
      <c r="DG129" s="209"/>
      <c r="DH129" s="209"/>
      <c r="DI129" s="209"/>
      <c r="DJ129" s="209"/>
      <c r="DK129" s="209"/>
      <c r="DL129" s="209"/>
      <c r="DM129" s="209"/>
      <c r="DN129" s="209"/>
      <c r="DO129" s="209"/>
      <c r="DP129" s="209"/>
      <c r="DQ129" s="209"/>
      <c r="DR129" s="209"/>
      <c r="DS129" s="209"/>
      <c r="DT129" s="209"/>
      <c r="DU129" s="209"/>
      <c r="DV129" s="209"/>
      <c r="DW129" s="209"/>
      <c r="DX129" s="209"/>
      <c r="DY129" s="209"/>
      <c r="DZ129" s="209"/>
      <c r="EA129" s="209"/>
      <c r="EB129" s="209"/>
      <c r="EC129" s="209"/>
      <c r="ED129" s="209"/>
      <c r="EE129" s="209"/>
      <c r="EF129" s="209"/>
      <c r="EG129" s="209"/>
      <c r="EH129" s="209"/>
      <c r="EI129" s="209"/>
      <c r="EJ129" s="209"/>
      <c r="EK129" s="209"/>
      <c r="EL129" s="209"/>
      <c r="EM129" s="209"/>
      <c r="EN129" s="209"/>
      <c r="EO129" s="209"/>
      <c r="EP129" s="209"/>
      <c r="EQ129" s="209"/>
      <c r="ER129" s="209"/>
      <c r="ES129" s="209"/>
      <c r="ET129" s="209"/>
      <c r="EU129" s="209"/>
      <c r="EV129" s="209"/>
      <c r="EW129" s="209"/>
      <c r="EX129" s="209"/>
      <c r="EY129" s="209"/>
      <c r="EZ129" s="209"/>
      <c r="FA129" s="209"/>
      <c r="FB129" s="209"/>
      <c r="FC129" s="209"/>
      <c r="FD129" s="209"/>
      <c r="FE129" s="209"/>
      <c r="FF129" s="209"/>
      <c r="FG129" s="209"/>
      <c r="FH129" s="209"/>
      <c r="FI129" s="209"/>
      <c r="FJ129" s="209"/>
      <c r="FK129" s="209"/>
      <c r="FL129" s="209"/>
      <c r="FM129" s="209"/>
      <c r="FN129" s="209"/>
      <c r="FO129" s="209"/>
      <c r="FP129" s="209"/>
      <c r="FQ129" s="209"/>
      <c r="FR129" s="209"/>
      <c r="FS129" s="209"/>
      <c r="FT129" s="209"/>
      <c r="FU129" s="209"/>
      <c r="FV129" s="209"/>
      <c r="FW129" s="209"/>
      <c r="FX129" s="209"/>
      <c r="FY129" s="209"/>
      <c r="FZ129" s="209"/>
      <c r="GA129" s="209"/>
      <c r="GB129" s="209"/>
      <c r="GC129" s="209"/>
      <c r="GD129" s="209"/>
      <c r="GE129" s="209"/>
      <c r="GF129" s="209"/>
      <c r="GG129" s="209"/>
      <c r="GH129" s="209"/>
      <c r="GI129" s="209"/>
      <c r="GJ129" s="209"/>
      <c r="GK129" s="209"/>
      <c r="GL129" s="209"/>
      <c r="GM129" s="209"/>
      <c r="GN129" s="209"/>
      <c r="GO129" s="209"/>
      <c r="GP129" s="209"/>
      <c r="GQ129" s="209"/>
      <c r="GR129" s="209"/>
      <c r="GS129" s="209"/>
      <c r="GT129" s="209"/>
      <c r="GU129" s="209"/>
      <c r="GV129" s="209"/>
      <c r="GW129" s="209"/>
      <c r="GX129" s="209"/>
      <c r="GY129" s="209"/>
      <c r="GZ129" s="209"/>
      <c r="HA129" s="209"/>
      <c r="HB129" s="209"/>
      <c r="HC129" s="209"/>
      <c r="HD129" s="209"/>
      <c r="HE129" s="209"/>
      <c r="HF129" s="209"/>
      <c r="HG129" s="209"/>
      <c r="HH129" s="209"/>
      <c r="HI129" s="209"/>
      <c r="HJ129" s="209"/>
      <c r="HK129" s="209"/>
      <c r="HL129" s="209"/>
      <c r="HM129" s="209"/>
      <c r="HN129" s="209"/>
      <c r="HO129" s="209"/>
      <c r="HP129" s="209"/>
      <c r="HQ129" s="209"/>
      <c r="HR129" s="209"/>
      <c r="HS129" s="209"/>
      <c r="HT129" s="209"/>
      <c r="HU129" s="209"/>
      <c r="HV129" s="209"/>
      <c r="HW129" s="209"/>
      <c r="HX129" s="209"/>
      <c r="HY129" s="209"/>
      <c r="HZ129" s="209"/>
      <c r="IA129" s="209"/>
      <c r="IB129" s="209"/>
      <c r="IC129" s="209"/>
      <c r="ID129" s="209"/>
      <c r="IE129" s="209"/>
      <c r="IF129" s="209"/>
      <c r="IG129" s="209"/>
      <c r="IH129" s="209"/>
      <c r="II129" s="209"/>
      <c r="IJ129" s="209"/>
      <c r="IK129" s="209"/>
      <c r="IL129" s="209"/>
      <c r="IM129" s="209"/>
      <c r="IN129" s="209"/>
      <c r="IO129" s="209"/>
      <c r="IP129" s="209"/>
      <c r="IQ129" s="209"/>
      <c r="IR129" s="209"/>
      <c r="IS129" s="209"/>
      <c r="IT129" s="209"/>
      <c r="IU129" s="209"/>
      <c r="IV129" s="209"/>
      <c r="IW129" s="209"/>
      <c r="IX129" s="209"/>
    </row>
    <row r="130" s="209" customFormat="true" ht="17.4" hidden="false" customHeight="false" outlineLevel="0" collapsed="false">
      <c r="A130" s="315"/>
      <c r="B130" s="31"/>
      <c r="C130" s="30"/>
      <c r="D130" s="85" t="s">
        <v>134</v>
      </c>
      <c r="E130" s="217" t="n">
        <f aca="false">IF(AND($F$2="No",$F$3="No"),SUM(J130:K130),IF(AND($F$2="Yes", $F$3="No"), SUM(J130:K130)+Q130, IF(AND($F$2="No", $F$3="Yes"),SUM(J130:K130)+P130, SUM(J130:K130)+Q130+P130)))</f>
        <v>0.0399894869629571</v>
      </c>
      <c r="F130" s="89" t="n">
        <f aca="false">IF(AND($F$2="No",$F$3="No"),SUM(H130:O130),IF(AND($F$2="Yes", $F$3="No"), SUM(H130:O130)+Q130, IF(AND($F$2="No", $F$3="Yes"),SUM(H130:O130)+P130, SUM(H130:O130)+Q130+P130)))</f>
        <v>0.0997793512873885</v>
      </c>
      <c r="G130" s="88" t="n">
        <f aca="false">SUM(S130:U130)/(1-'Common input data'!$B$123)</f>
        <v>0.249917427817126</v>
      </c>
      <c r="H130" s="89" t="n">
        <f aca="false">('Input data plant-based products'!$F$43*('Common input data'!$B$76*'Common input data'!B69+'Common input data'!$B$77*'Common input data'!C69))/'Input data plant-based products'!$E$43</f>
        <v>0.00350105641748589</v>
      </c>
      <c r="I130" s="89" t="n">
        <f aca="false">'Common input data'!$B$81</f>
        <v>0.03</v>
      </c>
      <c r="J130" s="89" t="n">
        <v>0</v>
      </c>
      <c r="K130" s="89" t="n">
        <v>0</v>
      </c>
      <c r="L130" s="89" t="n">
        <f aca="false">('Input data plant-based products'!$I$43*'Common input data'!$C$59*'Common input data'!H49)/'Input data plant-based products'!$E$43</f>
        <v>0.00628880790694547</v>
      </c>
      <c r="M130" s="89" t="n">
        <v>0</v>
      </c>
      <c r="N130" s="89" t="n">
        <f aca="false">'Input data plant-based products'!$G$152</f>
        <v>0.02</v>
      </c>
      <c r="O130" s="89" t="n">
        <v>0</v>
      </c>
      <c r="P130" s="89" t="n">
        <f aca="false">'Common input data'!$E$13</f>
        <v>0.0399894869629571</v>
      </c>
      <c r="Q130" s="89" t="n">
        <v>0</v>
      </c>
      <c r="R130" s="89" t="n">
        <v>0</v>
      </c>
      <c r="S130" s="89" t="n">
        <f aca="false">(F130+R130)</f>
        <v>0.0997793512873885</v>
      </c>
      <c r="T130" s="89" t="n">
        <f aca="false">'Common input data'!$B$88</f>
        <v>0.05</v>
      </c>
      <c r="U130" s="89" t="n">
        <f aca="false">'Common input data'!C98</f>
        <v>0.03</v>
      </c>
      <c r="V130" s="309"/>
      <c r="W130" s="92"/>
      <c r="Z130" s="30"/>
    </row>
    <row r="131" s="209" customFormat="true" ht="17.4" hidden="false" customHeight="false" outlineLevel="0" collapsed="false">
      <c r="A131" s="74"/>
      <c r="B131" s="31"/>
      <c r="C131" s="93"/>
      <c r="D131" s="85" t="s">
        <v>135</v>
      </c>
      <c r="E131" s="217" t="n">
        <f aca="false">SUM(J131:K131)</f>
        <v>0</v>
      </c>
      <c r="F131" s="89" t="n">
        <f aca="false">SUM(H131:O131)</f>
        <v>2.78573921917569E-006</v>
      </c>
      <c r="G131" s="88" t="n">
        <f aca="false">SUM(S131:U131)/(1-'Common input data'!$B$123)</f>
        <v>3.87255140949279E-006</v>
      </c>
      <c r="H131" s="89" t="n">
        <f aca="false">('Input data plant-based products'!$F$43*('Common input data'!$B$76*'Common input data'!B70+'Common input data'!$B$77*'Common input data'!C70))/'Input data plant-based products'!$E$43</f>
        <v>9.37314596920594E-012</v>
      </c>
      <c r="I131" s="89" t="n">
        <v>0</v>
      </c>
      <c r="J131" s="89" t="n">
        <v>0</v>
      </c>
      <c r="K131" s="89" t="n">
        <v>0</v>
      </c>
      <c r="L131" s="89" t="n">
        <f aca="false">('Input data plant-based products'!$I$43*'Common input data'!$C$59*'Common input data'!H50)/'Input data plant-based products'!$E$43</f>
        <v>2.78572984602972E-006</v>
      </c>
      <c r="M131" s="89" t="n">
        <v>0</v>
      </c>
      <c r="N131" s="89" t="n">
        <v>0</v>
      </c>
      <c r="O131" s="89" t="n">
        <v>0</v>
      </c>
      <c r="P131" s="89" t="n">
        <v>0</v>
      </c>
      <c r="Q131" s="89" t="n">
        <v>0</v>
      </c>
      <c r="R131" s="89" t="n">
        <v>0</v>
      </c>
      <c r="S131" s="89" t="n">
        <f aca="false">(F131+R131)</f>
        <v>2.78573921917569E-006</v>
      </c>
      <c r="T131" s="89" t="n">
        <v>0</v>
      </c>
      <c r="U131" s="89" t="n">
        <v>0</v>
      </c>
      <c r="V131" s="309"/>
      <c r="W131" s="92"/>
      <c r="Z131" s="30"/>
    </row>
    <row r="132" s="209" customFormat="true" ht="17.4" hidden="false" customHeight="false" outlineLevel="0" collapsed="false">
      <c r="A132" s="100"/>
      <c r="B132" s="101"/>
      <c r="C132" s="87"/>
      <c r="D132" s="31" t="s">
        <v>136</v>
      </c>
      <c r="E132" s="217" t="n">
        <f aca="false">SUM(J132:K132)</f>
        <v>4.48589447800905E-005</v>
      </c>
      <c r="F132" s="89" t="n">
        <f aca="false">SUM(H132:O132)</f>
        <v>5.92481679820628E-005</v>
      </c>
      <c r="G132" s="88" t="n">
        <f aca="false">SUM(S132:U132)/(1-'Common input data'!$B$123)</f>
        <v>8.23629056336063E-005</v>
      </c>
      <c r="H132" s="89" t="n">
        <f aca="false">('Input data plant-based products'!$F$43*('Common input data'!$B$76*'Common input data'!B71+'Common input data'!$B$77*'Common input data'!C71))/'Input data plant-based products'!$E$43</f>
        <v>1.42202404816066E-005</v>
      </c>
      <c r="I132" s="89" t="n">
        <v>0</v>
      </c>
      <c r="J132" s="89" t="n">
        <f aca="false">(SUM('Input data plant-based products'!F43:H43)*'Input data plant-based products'!$B$114*44/28)/'Input data plant-based products'!E43</f>
        <v>4.07808588909913E-005</v>
      </c>
      <c r="K132" s="89" t="n">
        <f aca="false">J132*'Input data plant-based products'!$B$115</f>
        <v>4.07808588909913E-006</v>
      </c>
      <c r="L132" s="89" t="n">
        <f aca="false">('Input data plant-based products'!$I$43*'Common input data'!$C$59*'Common input data'!H51)/'Input data plant-based products'!$E$43</f>
        <v>1.68982720365764E-007</v>
      </c>
      <c r="M132" s="89" t="n">
        <v>0</v>
      </c>
      <c r="N132" s="89" t="n">
        <v>0</v>
      </c>
      <c r="O132" s="89" t="n">
        <v>0</v>
      </c>
      <c r="P132" s="89" t="n">
        <v>0</v>
      </c>
      <c r="Q132" s="89" t="n">
        <v>0</v>
      </c>
      <c r="R132" s="89" t="n">
        <v>0</v>
      </c>
      <c r="S132" s="89" t="n">
        <f aca="false">(F132+R132)</f>
        <v>5.92481679820628E-005</v>
      </c>
      <c r="T132" s="89" t="n">
        <v>0</v>
      </c>
      <c r="U132" s="89" t="n">
        <v>0</v>
      </c>
      <c r="V132" s="309"/>
      <c r="W132" s="92"/>
      <c r="Z132" s="30"/>
    </row>
    <row r="133" s="332" customFormat="true" ht="17.4" hidden="false" customHeight="false" outlineLevel="0" collapsed="false">
      <c r="A133" s="330" t="s">
        <v>141</v>
      </c>
      <c r="B133" s="76" t="s">
        <v>254</v>
      </c>
      <c r="C133" s="84" t="n">
        <f aca="false">'Input data plant-based products'!D44</f>
        <v>0.07</v>
      </c>
      <c r="D133" s="78" t="s">
        <v>133</v>
      </c>
      <c r="E133" s="94" t="n">
        <f aca="false">IF($F$1="GWP100 without fb",E134+E135*'Common input data'!$C$5+E136*'Common input data'!$D$5,IF($F$1="GWP100 with fb",E134+E135*'Common input data'!$C$6+E136*'Common input data'!$D$6,IF($F$1="GTP100 without fb",E134+E135*'Common input data'!$C$7+E136*'Common input data'!$D$7,IF($F$1="GTP100 with fb",E134+E135*'Common input data'!$C$8+E136*'Common input data'!$D$8,E134+E135*'Common input data'!$C$9+E136*'Common input data'!$D$9))))</f>
        <v>0.074044836650011</v>
      </c>
      <c r="F133" s="95" t="n">
        <f aca="false">IF($F$1="GWP100 without fb",F134+F135*'Common input data'!$C$5+F136*'Common input data'!$D$5,IF($F$1="GWP100 with fb",F134+F135*'Common input data'!$C$6+F136*'Common input data'!$D$6,IF($F$1="GTP100 without fb",F134+F135*'Common input data'!$C$7+F136*'Common input data'!$D$7,IF($F$1="GTP100 with fb",F134+F135*'Common input data'!$C$8+F136*'Common input data'!$D$8,F134+F135*'Common input data'!$C$9+F136*'Common input data'!$D$9))))</f>
        <v>0.161880768349547</v>
      </c>
      <c r="G133" s="96" t="n">
        <f aca="false">IF($F$1="GWP100 without fb",G134+G135*'Common input data'!$C$5+G136*'Common input data'!$D$5,IF($F$1="GWP100 with fb",G134+G135*'Common input data'!$C$6+G136*'Common input data'!$D$6,IF($F$1="GTP100 without fb",G134+G135*'Common input data'!$C$7+G136*'Common input data'!$D$7,IF($F$1="GTP100 with fb",G134+G135*'Common input data'!$C$8+G136*'Common input data'!$D$8,G134+G135*'Common input data'!$C$9+G136*'Common input data'!$D$9))))</f>
        <v>0.614273576119645</v>
      </c>
      <c r="H133" s="83"/>
      <c r="I133" s="83"/>
      <c r="J133" s="83"/>
      <c r="K133" s="83"/>
      <c r="L133" s="83"/>
      <c r="M133" s="83"/>
      <c r="N133" s="83"/>
      <c r="O133" s="83"/>
      <c r="P133" s="83"/>
      <c r="Q133" s="83"/>
      <c r="R133" s="83"/>
      <c r="S133" s="83"/>
      <c r="T133" s="83"/>
      <c r="U133" s="83"/>
      <c r="V133" s="309"/>
      <c r="W133" s="92"/>
      <c r="X133" s="209"/>
      <c r="Y133" s="209"/>
      <c r="Z133" s="30"/>
      <c r="AA133" s="209"/>
      <c r="AB133" s="209"/>
      <c r="AC133" s="209"/>
      <c r="AD133" s="209"/>
      <c r="AE133" s="209"/>
      <c r="AF133" s="209"/>
      <c r="AG133" s="209"/>
      <c r="AH133" s="209"/>
      <c r="AI133" s="209"/>
      <c r="AJ133" s="209"/>
      <c r="AK133" s="209"/>
      <c r="AL133" s="209"/>
      <c r="AM133" s="209"/>
      <c r="AN133" s="209"/>
      <c r="AO133" s="209"/>
      <c r="AP133" s="209"/>
      <c r="AQ133" s="209"/>
      <c r="AR133" s="209"/>
      <c r="AS133" s="209"/>
      <c r="AT133" s="209"/>
      <c r="AU133" s="209"/>
      <c r="AV133" s="209"/>
      <c r="AW133" s="209"/>
      <c r="AX133" s="209"/>
      <c r="AY133" s="209"/>
      <c r="AZ133" s="209"/>
      <c r="BA133" s="209"/>
      <c r="BB133" s="209"/>
      <c r="BC133" s="209"/>
      <c r="BD133" s="209"/>
      <c r="BE133" s="209"/>
      <c r="BF133" s="209"/>
      <c r="BG133" s="209"/>
      <c r="BH133" s="209"/>
      <c r="BI133" s="209"/>
      <c r="BJ133" s="209"/>
      <c r="BK133" s="209"/>
      <c r="BL133" s="209"/>
      <c r="BM133" s="209"/>
      <c r="BN133" s="209"/>
      <c r="BO133" s="209"/>
      <c r="BP133" s="209"/>
      <c r="BQ133" s="209"/>
      <c r="BR133" s="209"/>
      <c r="BS133" s="209"/>
      <c r="BT133" s="209"/>
      <c r="BU133" s="209"/>
      <c r="BV133" s="209"/>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209"/>
      <c r="CT133" s="209"/>
      <c r="CU133" s="209"/>
      <c r="CV133" s="209"/>
      <c r="CW133" s="209"/>
      <c r="CX133" s="209"/>
      <c r="CY133" s="209"/>
      <c r="CZ133" s="209"/>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09"/>
      <c r="EC133" s="209"/>
      <c r="ED133" s="209"/>
      <c r="EE133" s="209"/>
      <c r="EF133" s="209"/>
      <c r="EG133" s="209"/>
      <c r="EH133" s="209"/>
      <c r="EI133" s="209"/>
      <c r="EJ133" s="209"/>
      <c r="EK133" s="209"/>
      <c r="EL133" s="209"/>
      <c r="EM133" s="209"/>
      <c r="EN133" s="209"/>
      <c r="EO133" s="209"/>
      <c r="EP133" s="209"/>
      <c r="EQ133" s="209"/>
      <c r="ER133" s="209"/>
      <c r="ES133" s="209"/>
      <c r="ET133" s="209"/>
      <c r="EU133" s="209"/>
      <c r="EV133" s="209"/>
      <c r="EW133" s="209"/>
      <c r="EX133" s="209"/>
      <c r="EY133" s="209"/>
      <c r="EZ133" s="209"/>
      <c r="FA133" s="209"/>
      <c r="FB133" s="209"/>
      <c r="FC133" s="209"/>
      <c r="FD133" s="209"/>
      <c r="FE133" s="209"/>
      <c r="FF133" s="209"/>
      <c r="FG133" s="209"/>
      <c r="FH133" s="209"/>
      <c r="FI133" s="209"/>
      <c r="FJ133" s="209"/>
      <c r="FK133" s="209"/>
      <c r="FL133" s="209"/>
      <c r="FM133" s="209"/>
      <c r="FN133" s="209"/>
      <c r="FO133" s="209"/>
      <c r="FP133" s="209"/>
      <c r="FQ133" s="209"/>
      <c r="FR133" s="209"/>
      <c r="FS133" s="209"/>
      <c r="FT133" s="209"/>
      <c r="FU133" s="209"/>
      <c r="FV133" s="209"/>
      <c r="FW133" s="209"/>
      <c r="FX133" s="209"/>
      <c r="FY133" s="209"/>
      <c r="FZ133" s="209"/>
      <c r="GA133" s="209"/>
      <c r="GB133" s="209"/>
      <c r="GC133" s="209"/>
      <c r="GD133" s="209"/>
      <c r="GE133" s="209"/>
      <c r="GF133" s="209"/>
      <c r="GG133" s="209"/>
      <c r="GH133" s="209"/>
      <c r="GI133" s="209"/>
      <c r="GJ133" s="209"/>
      <c r="GK133" s="209"/>
      <c r="GL133" s="209"/>
      <c r="GM133" s="209"/>
      <c r="GN133" s="209"/>
      <c r="GO133" s="209"/>
      <c r="GP133" s="209"/>
      <c r="GQ133" s="209"/>
      <c r="GR133" s="209"/>
      <c r="GS133" s="209"/>
      <c r="GT133" s="209"/>
      <c r="GU133" s="209"/>
      <c r="GV133" s="209"/>
      <c r="GW133" s="209"/>
      <c r="GX133" s="209"/>
      <c r="GY133" s="209"/>
      <c r="GZ133" s="209"/>
      <c r="HA133" s="209"/>
      <c r="HB133" s="209"/>
      <c r="HC133" s="209"/>
      <c r="HD133" s="209"/>
      <c r="HE133" s="209"/>
      <c r="HF133" s="209"/>
      <c r="HG133" s="209"/>
      <c r="HH133" s="209"/>
      <c r="HI133" s="209"/>
      <c r="HJ133" s="209"/>
      <c r="HK133" s="209"/>
      <c r="HL133" s="209"/>
      <c r="HM133" s="209"/>
      <c r="HN133" s="209"/>
      <c r="HO133" s="209"/>
      <c r="HP133" s="209"/>
      <c r="HQ133" s="209"/>
      <c r="HR133" s="209"/>
      <c r="HS133" s="209"/>
      <c r="HT133" s="209"/>
      <c r="HU133" s="209"/>
      <c r="HV133" s="209"/>
      <c r="HW133" s="209"/>
      <c r="HX133" s="209"/>
      <c r="HY133" s="209"/>
      <c r="HZ133" s="209"/>
      <c r="IA133" s="209"/>
      <c r="IB133" s="209"/>
      <c r="IC133" s="209"/>
      <c r="ID133" s="209"/>
      <c r="IE133" s="209"/>
      <c r="IF133" s="209"/>
      <c r="IG133" s="209"/>
      <c r="IH133" s="209"/>
      <c r="II133" s="209"/>
      <c r="IJ133" s="209"/>
      <c r="IK133" s="209"/>
      <c r="IL133" s="209"/>
      <c r="IM133" s="209"/>
      <c r="IN133" s="209"/>
      <c r="IO133" s="209"/>
      <c r="IP133" s="209"/>
      <c r="IQ133" s="209"/>
      <c r="IR133" s="209"/>
      <c r="IS133" s="209"/>
      <c r="IT133" s="209"/>
      <c r="IU133" s="209"/>
      <c r="IV133" s="209"/>
      <c r="IW133" s="209"/>
      <c r="IX133" s="209"/>
    </row>
    <row r="134" s="209" customFormat="true" ht="17.4" hidden="false" customHeight="false" outlineLevel="0" collapsed="false">
      <c r="A134" s="99"/>
      <c r="B134" s="31"/>
      <c r="C134" s="30"/>
      <c r="D134" s="85" t="s">
        <v>134</v>
      </c>
      <c r="E134" s="217" t="n">
        <f aca="false">IF(AND($F$2="No",$F$3="No"),SUM(J134:K134),IF(AND($F$2="Yes", $F$3="No"), SUM(J134:K134)+Q134, IF(AND($F$2="No", $F$3="Yes"),SUM(J134:K134)+P134, SUM(J134:K134)+Q134+P134)))</f>
        <v>0.0399894869629571</v>
      </c>
      <c r="F134" s="89" t="n">
        <f aca="false">IF(AND($F$2="No",$F$3="No"),SUM(H134:O134),IF(AND($F$2="Yes", $F$3="No"), SUM(H134:O134)+Q134, IF(AND($F$2="No", $F$3="Yes"),SUM(H134:O134)+P134, SUM(H134:O134)+Q134+P134)))</f>
        <v>0.111412579014997</v>
      </c>
      <c r="G134" s="88" t="n">
        <f aca="false">SUM(S134:U134)/(1-'Common input data'!$B$123)</f>
        <v>0.544116019232503</v>
      </c>
      <c r="H134" s="89" t="n">
        <f aca="false">('Input data plant-based products'!$F$44*('Common input data'!$C$76*'Common input data'!B69+'Common input data'!$C$77*'Common input data'!C69))/'Input data plant-based products'!$E$44</f>
        <v>0.00992013248247807</v>
      </c>
      <c r="I134" s="89" t="n">
        <f aca="false">'Common input data'!$B$81</f>
        <v>0.03</v>
      </c>
      <c r="J134" s="89" t="n">
        <v>0</v>
      </c>
      <c r="K134" s="89" t="n">
        <v>0</v>
      </c>
      <c r="L134" s="89" t="n">
        <f aca="false">('Input data plant-based products'!$I$44*'Common input data'!$C$59*'Common input data'!H49)/'Input data plant-based products'!$E$44</f>
        <v>0.0115029595695619</v>
      </c>
      <c r="M134" s="89" t="n">
        <v>0</v>
      </c>
      <c r="N134" s="89" t="n">
        <f aca="false">'Input data plant-based products'!$G$152</f>
        <v>0.02</v>
      </c>
      <c r="O134" s="89" t="n">
        <v>0</v>
      </c>
      <c r="P134" s="89" t="n">
        <f aca="false">'Common input data'!$E$13</f>
        <v>0.0399894869629571</v>
      </c>
      <c r="Q134" s="89" t="n">
        <v>0</v>
      </c>
      <c r="R134" s="89" t="n">
        <v>0</v>
      </c>
      <c r="S134" s="89" t="n">
        <f aca="false">(F134+R134)</f>
        <v>0.111412579014997</v>
      </c>
      <c r="T134" s="89" t="n">
        <f aca="false">'Common input data'!$B$88</f>
        <v>0.05</v>
      </c>
      <c r="U134" s="89" t="n">
        <f aca="false">'Common input data'!B102+'Common input data'!C102</f>
        <v>0.23</v>
      </c>
      <c r="V134" s="309"/>
      <c r="W134" s="92"/>
      <c r="Z134" s="30"/>
    </row>
    <row r="135" s="209" customFormat="true" ht="17.4" hidden="false" customHeight="false" outlineLevel="0" collapsed="false">
      <c r="A135" s="99"/>
      <c r="B135" s="31"/>
      <c r="C135" s="93"/>
      <c r="D135" s="85" t="s">
        <v>135</v>
      </c>
      <c r="E135" s="217" t="n">
        <f aca="false">SUM(J135:K135)</f>
        <v>0</v>
      </c>
      <c r="F135" s="89" t="n">
        <f aca="false">SUM(H135:O135)</f>
        <v>5.09546695222752E-006</v>
      </c>
      <c r="G135" s="88" t="n">
        <f aca="false">SUM(S135:U135)/(1-'Common input data'!$B$123)</f>
        <v>7.08338296422145E-006</v>
      </c>
      <c r="H135" s="89" t="n">
        <f aca="false">('Input data plant-based products'!$F$44*('Common input data'!$C$76*'Common input data'!B70+'Common input data'!$C$77*'Common input data'!C70))/'Input data plant-based products'!$E$44</f>
        <v>4.37393143735588E-011</v>
      </c>
      <c r="I135" s="89" t="n">
        <v>0</v>
      </c>
      <c r="J135" s="89" t="n">
        <v>0</v>
      </c>
      <c r="K135" s="89" t="n">
        <v>0</v>
      </c>
      <c r="L135" s="89" t="n">
        <f aca="false">('Input data plant-based products'!$I$44*'Common input data'!$C$59*'Common input data'!H50)/'Input data plant-based products'!$E$44</f>
        <v>5.09542321291314E-006</v>
      </c>
      <c r="M135" s="89" t="n">
        <v>0</v>
      </c>
      <c r="N135" s="89" t="n">
        <v>0</v>
      </c>
      <c r="O135" s="89" t="n">
        <v>0</v>
      </c>
      <c r="P135" s="89" t="n">
        <v>0</v>
      </c>
      <c r="Q135" s="89" t="n">
        <v>0</v>
      </c>
      <c r="R135" s="89" t="n">
        <v>0</v>
      </c>
      <c r="S135" s="89" t="n">
        <f aca="false">(F135+R135)</f>
        <v>5.09546695222752E-006</v>
      </c>
      <c r="T135" s="89" t="n">
        <v>0</v>
      </c>
      <c r="U135" s="89" t="n">
        <v>0</v>
      </c>
      <c r="V135" s="309"/>
      <c r="W135" s="92"/>
      <c r="Z135" s="30"/>
    </row>
    <row r="136" s="209" customFormat="true" ht="17.4" hidden="false" customHeight="false" outlineLevel="0" collapsed="false">
      <c r="A136" s="100"/>
      <c r="B136" s="101"/>
      <c r="C136" s="87"/>
      <c r="D136" s="31" t="s">
        <v>136</v>
      </c>
      <c r="E136" s="219" t="n">
        <f aca="false">SUM(J136:K136)</f>
        <v>0.000114279696936423</v>
      </c>
      <c r="F136" s="126" t="n">
        <f aca="false">SUM(H136:O136)</f>
        <v>0.000168774978047565</v>
      </c>
      <c r="G136" s="106" t="n">
        <f aca="false">SUM(S136:U136)/(1-'Common input data'!$B$123)</f>
        <v>0.000234619872034761</v>
      </c>
      <c r="H136" s="89" t="n">
        <f aca="false">('Input data plant-based products'!$F$44*('Common input data'!$C$76*'Common input data'!B71+'Common input data'!$C$77*'Common input data'!C71))/'Input data plant-based products'!$E$44</f>
        <v>5.41861921026879E-005</v>
      </c>
      <c r="I136" s="89" t="n">
        <v>0</v>
      </c>
      <c r="J136" s="89" t="n">
        <f aca="false">(SUM('Input data plant-based products'!F44:H44)*'Input data plant-based products'!$B$114*44/28)/'Input data plant-based products'!E44</f>
        <v>0.000103890633578566</v>
      </c>
      <c r="K136" s="89" t="n">
        <f aca="false">J136*'Input data plant-based products'!$B$115</f>
        <v>1.03890633578566E-005</v>
      </c>
      <c r="L136" s="89" t="n">
        <f aca="false">('Input data plant-based products'!$I$44*'Common input data'!$C$59*'Common input data'!H51)/'Input data plant-based products'!$E$44</f>
        <v>3.09089008455035E-007</v>
      </c>
      <c r="M136" s="89" t="n">
        <v>0</v>
      </c>
      <c r="N136" s="89" t="n">
        <v>0</v>
      </c>
      <c r="O136" s="89" t="n">
        <v>0</v>
      </c>
      <c r="P136" s="89" t="n">
        <v>0</v>
      </c>
      <c r="Q136" s="89" t="n">
        <v>0</v>
      </c>
      <c r="R136" s="89" t="n">
        <v>0</v>
      </c>
      <c r="S136" s="89" t="n">
        <f aca="false">(F136+R136)</f>
        <v>0.000168774978047565</v>
      </c>
      <c r="T136" s="89" t="n">
        <v>0</v>
      </c>
      <c r="U136" s="89" t="n">
        <v>0</v>
      </c>
      <c r="V136" s="309"/>
      <c r="W136" s="92"/>
      <c r="Z136" s="30"/>
    </row>
    <row r="137" s="334" customFormat="true" ht="17.4" hidden="false" customHeight="false" outlineLevel="0" collapsed="false">
      <c r="A137" s="107" t="s">
        <v>302</v>
      </c>
      <c r="B137" s="108"/>
      <c r="C137" s="69"/>
      <c r="D137" s="109"/>
      <c r="E137" s="110" t="s">
        <v>303</v>
      </c>
      <c r="F137" s="111" t="s">
        <v>303</v>
      </c>
      <c r="G137" s="112" t="s">
        <v>303</v>
      </c>
      <c r="H137" s="69"/>
      <c r="I137" s="69"/>
      <c r="J137" s="69"/>
      <c r="K137" s="113"/>
      <c r="L137" s="113"/>
      <c r="M137" s="114"/>
      <c r="N137" s="113"/>
      <c r="O137" s="113"/>
      <c r="P137" s="113"/>
      <c r="Q137" s="113"/>
      <c r="R137" s="113"/>
      <c r="S137" s="113"/>
      <c r="T137" s="113"/>
      <c r="U137" s="113"/>
      <c r="V137" s="309"/>
      <c r="W137" s="92"/>
      <c r="X137" s="209"/>
      <c r="Y137" s="209"/>
      <c r="Z137" s="30"/>
      <c r="AA137" s="209"/>
      <c r="AB137" s="209"/>
      <c r="AC137" s="209"/>
      <c r="AD137" s="209"/>
      <c r="AE137" s="209"/>
      <c r="AF137" s="209"/>
      <c r="AG137" s="209"/>
      <c r="AH137" s="209"/>
      <c r="AI137" s="209"/>
      <c r="AJ137" s="209"/>
      <c r="AK137" s="209"/>
      <c r="AL137" s="209"/>
      <c r="AM137" s="209"/>
      <c r="AN137" s="209"/>
      <c r="AO137" s="209"/>
      <c r="AP137" s="209"/>
      <c r="AQ137" s="209"/>
      <c r="AR137" s="209"/>
      <c r="AS137" s="209"/>
      <c r="AT137" s="209"/>
      <c r="AU137" s="209"/>
      <c r="AV137" s="209"/>
      <c r="AW137" s="209"/>
      <c r="AX137" s="209"/>
      <c r="AY137" s="209"/>
      <c r="AZ137" s="209"/>
      <c r="BA137" s="209"/>
      <c r="BB137" s="209"/>
      <c r="BC137" s="209"/>
      <c r="BD137" s="209"/>
      <c r="BE137" s="209"/>
      <c r="BF137" s="209"/>
      <c r="BG137" s="209"/>
      <c r="BH137" s="209"/>
      <c r="BI137" s="209"/>
      <c r="BJ137" s="209"/>
      <c r="BK137" s="209"/>
      <c r="BL137" s="209"/>
      <c r="BM137" s="209"/>
      <c r="BN137" s="209"/>
      <c r="BO137" s="209"/>
      <c r="BP137" s="209"/>
      <c r="BQ137" s="209"/>
      <c r="BR137" s="209"/>
      <c r="BS137" s="209"/>
      <c r="BT137" s="209"/>
      <c r="BU137" s="209"/>
      <c r="BV137" s="209"/>
      <c r="BW137" s="209"/>
      <c r="BX137" s="209"/>
      <c r="BY137" s="209"/>
      <c r="BZ137" s="209"/>
      <c r="CA137" s="209"/>
      <c r="CB137" s="209"/>
      <c r="CC137" s="209"/>
      <c r="CD137" s="209"/>
      <c r="CE137" s="209"/>
      <c r="CF137" s="209"/>
      <c r="CG137" s="209"/>
      <c r="CH137" s="209"/>
      <c r="CI137" s="209"/>
      <c r="CJ137" s="209"/>
      <c r="CK137" s="209"/>
      <c r="CL137" s="209"/>
      <c r="CM137" s="209"/>
      <c r="CN137" s="209"/>
      <c r="CO137" s="209"/>
      <c r="CP137" s="209"/>
      <c r="CQ137" s="209"/>
      <c r="CR137" s="209"/>
      <c r="CS137" s="209"/>
      <c r="CT137" s="209"/>
      <c r="CU137" s="209"/>
      <c r="CV137" s="209"/>
      <c r="CW137" s="209"/>
      <c r="CX137" s="209"/>
      <c r="CY137" s="209"/>
      <c r="CZ137" s="209"/>
      <c r="DA137" s="209"/>
      <c r="DB137" s="209"/>
      <c r="DC137" s="209"/>
      <c r="DD137" s="209"/>
      <c r="DE137" s="209"/>
      <c r="DF137" s="209"/>
      <c r="DG137" s="209"/>
      <c r="DH137" s="209"/>
      <c r="DI137" s="209"/>
      <c r="DJ137" s="209"/>
      <c r="DK137" s="209"/>
      <c r="DL137" s="209"/>
      <c r="DM137" s="209"/>
      <c r="DN137" s="209"/>
      <c r="DO137" s="209"/>
      <c r="DP137" s="209"/>
      <c r="DQ137" s="209"/>
      <c r="DR137" s="209"/>
      <c r="DS137" s="209"/>
      <c r="DT137" s="209"/>
      <c r="DU137" s="209"/>
      <c r="DV137" s="209"/>
      <c r="DW137" s="209"/>
      <c r="DX137" s="209"/>
      <c r="DY137" s="209"/>
      <c r="DZ137" s="209"/>
      <c r="EA137" s="209"/>
      <c r="EB137" s="209"/>
      <c r="EC137" s="209"/>
      <c r="ED137" s="209"/>
      <c r="EE137" s="209"/>
      <c r="EF137" s="209"/>
      <c r="EG137" s="209"/>
      <c r="EH137" s="209"/>
      <c r="EI137" s="209"/>
      <c r="EJ137" s="209"/>
      <c r="EK137" s="209"/>
      <c r="EL137" s="209"/>
      <c r="EM137" s="209"/>
      <c r="EN137" s="209"/>
      <c r="EO137" s="209"/>
      <c r="EP137" s="209"/>
      <c r="EQ137" s="209"/>
      <c r="ER137" s="209"/>
      <c r="ES137" s="209"/>
      <c r="ET137" s="209"/>
      <c r="EU137" s="209"/>
      <c r="EV137" s="209"/>
      <c r="EW137" s="209"/>
      <c r="EX137" s="209"/>
      <c r="EY137" s="209"/>
      <c r="EZ137" s="209"/>
      <c r="FA137" s="209"/>
      <c r="FB137" s="209"/>
      <c r="FC137" s="209"/>
      <c r="FD137" s="209"/>
      <c r="FE137" s="209"/>
      <c r="FF137" s="209"/>
      <c r="FG137" s="209"/>
      <c r="FH137" s="209"/>
      <c r="FI137" s="209"/>
      <c r="FJ137" s="209"/>
      <c r="FK137" s="209"/>
      <c r="FL137" s="209"/>
      <c r="FM137" s="209"/>
      <c r="FN137" s="209"/>
      <c r="FO137" s="209"/>
      <c r="FP137" s="209"/>
      <c r="FQ137" s="209"/>
      <c r="FR137" s="209"/>
      <c r="FS137" s="209"/>
      <c r="FT137" s="209"/>
      <c r="FU137" s="209"/>
      <c r="FV137" s="209"/>
      <c r="FW137" s="209"/>
      <c r="FX137" s="209"/>
      <c r="FY137" s="209"/>
      <c r="FZ137" s="209"/>
      <c r="GA137" s="209"/>
      <c r="GB137" s="209"/>
      <c r="GC137" s="209"/>
      <c r="GD137" s="209"/>
      <c r="GE137" s="209"/>
      <c r="GF137" s="209"/>
      <c r="GG137" s="209"/>
      <c r="GH137" s="209"/>
      <c r="GI137" s="209"/>
      <c r="GJ137" s="209"/>
      <c r="GK137" s="209"/>
      <c r="GL137" s="209"/>
      <c r="GM137" s="209"/>
      <c r="GN137" s="209"/>
      <c r="GO137" s="209"/>
      <c r="GP137" s="209"/>
      <c r="GQ137" s="209"/>
      <c r="GR137" s="209"/>
      <c r="GS137" s="209"/>
      <c r="GT137" s="209"/>
      <c r="GU137" s="209"/>
      <c r="GV137" s="209"/>
      <c r="GW137" s="209"/>
      <c r="GX137" s="209"/>
      <c r="GY137" s="209"/>
      <c r="GZ137" s="209"/>
      <c r="HA137" s="209"/>
      <c r="HB137" s="209"/>
      <c r="HC137" s="209"/>
      <c r="HD137" s="209"/>
      <c r="HE137" s="209"/>
      <c r="HF137" s="209"/>
      <c r="HG137" s="209"/>
      <c r="HH137" s="209"/>
      <c r="HI137" s="209"/>
      <c r="HJ137" s="209"/>
      <c r="HK137" s="209"/>
      <c r="HL137" s="209"/>
      <c r="HM137" s="209"/>
      <c r="HN137" s="209"/>
      <c r="HO137" s="209"/>
      <c r="HP137" s="209"/>
      <c r="HQ137" s="209"/>
      <c r="HR137" s="209"/>
      <c r="HS137" s="209"/>
      <c r="HT137" s="209"/>
      <c r="HU137" s="209"/>
      <c r="HV137" s="209"/>
      <c r="HW137" s="209"/>
      <c r="HX137" s="209"/>
      <c r="HY137" s="209"/>
      <c r="HZ137" s="209"/>
      <c r="IA137" s="209"/>
      <c r="IB137" s="209"/>
      <c r="IC137" s="209"/>
      <c r="ID137" s="209"/>
      <c r="IE137" s="209"/>
      <c r="IF137" s="209"/>
      <c r="IG137" s="209"/>
      <c r="IH137" s="209"/>
      <c r="II137" s="209"/>
      <c r="IJ137" s="209"/>
      <c r="IK137" s="209"/>
      <c r="IL137" s="209"/>
      <c r="IM137" s="209"/>
      <c r="IN137" s="209"/>
      <c r="IO137" s="209"/>
      <c r="IP137" s="209"/>
      <c r="IQ137" s="209"/>
      <c r="IR137" s="209"/>
      <c r="IS137" s="209"/>
      <c r="IT137" s="209"/>
      <c r="IU137" s="209"/>
      <c r="IV137" s="209"/>
      <c r="IW137" s="209"/>
      <c r="IX137" s="209"/>
    </row>
    <row r="138" s="332" customFormat="true" ht="17.4" hidden="false" customHeight="false" outlineLevel="0" collapsed="false">
      <c r="A138" s="330" t="s">
        <v>272</v>
      </c>
      <c r="B138" s="76"/>
      <c r="C138" s="188" t="n">
        <f aca="false">SUM(C142:C153)</f>
        <v>1</v>
      </c>
      <c r="D138" s="78" t="s">
        <v>133</v>
      </c>
      <c r="E138" s="79" t="n">
        <f aca="false">IF($F$1="GWP100 without fb",E139+E140*'Common input data'!$C$5+E141*'Common input data'!$D$5,IF($F$1="GWP100 with fb",E139+E140*'Common input data'!$C$6+E141*'Common input data'!$D$6,IF($F$1="GTP100 without fb",E139+E140*'Common input data'!$C$7+E141*'Common input data'!$D$7,IF($F$1="GTP100 with fb",E139+E140*'Common input data'!$C$8+E141*'Common input data'!$D$8,E139+E140*'Common input data'!$C$9+E141*'Common input data'!$D$9))))</f>
        <v>0.0661645697634746</v>
      </c>
      <c r="F138" s="80" t="n">
        <f aca="false">IF($F$1="GWP100 without fb",F139+F140*'Common input data'!$C$5+F141*'Common input data'!$D$5,IF($F$1="GWP100 with fb",F139+F140*'Common input data'!$C$6+F141*'Common input data'!$D$6,IF($F$1="GTP100 without fb",F139+F140*'Common input data'!$C$7+F141*'Common input data'!$D$7,IF($F$1="GTP100 with fb",F139+F140*'Common input data'!$C$8+F141*'Common input data'!$D$8,F139+F140*'Common input data'!$C$9+F141*'Common input data'!$D$9))))</f>
        <v>0.14551484620763</v>
      </c>
      <c r="G138" s="81" t="n">
        <f aca="false">IF($F$1="GWP100 without fb",G139+G140*'Common input data'!$C$5+G141*'Common input data'!$D$5,IF($F$1="GWP100 with fb",G139+G140*'Common input data'!$C$6+G141*'Common input data'!$D$6,IF($F$1="GTP100 without fb",G139+G140*'Common input data'!$C$7+G141*'Common input data'!$D$7,IF($F$1="GTP100 with fb",G139+G140*'Common input data'!$C$8+G141*'Common input data'!$D$8,G139+G140*'Common input data'!$C$9+G141*'Common input data'!$D$9))))</f>
        <v>0.381612480913637</v>
      </c>
      <c r="H138" s="95"/>
      <c r="I138" s="97"/>
      <c r="J138" s="97"/>
      <c r="K138" s="83"/>
      <c r="L138" s="83"/>
      <c r="M138" s="83"/>
      <c r="N138" s="83"/>
      <c r="O138" s="83"/>
      <c r="P138" s="83"/>
      <c r="Q138" s="83"/>
      <c r="R138" s="83"/>
      <c r="S138" s="83"/>
      <c r="T138" s="83"/>
      <c r="U138" s="83"/>
      <c r="V138" s="309"/>
      <c r="W138" s="92"/>
      <c r="X138" s="209"/>
      <c r="Y138" s="209"/>
      <c r="Z138" s="30"/>
      <c r="AA138" s="209"/>
      <c r="AB138" s="209"/>
      <c r="AC138" s="209"/>
      <c r="AD138" s="209"/>
      <c r="AE138" s="209"/>
      <c r="AF138" s="209"/>
      <c r="AG138" s="209"/>
      <c r="AH138" s="209"/>
      <c r="AI138" s="209"/>
      <c r="AJ138" s="209"/>
      <c r="AK138" s="209"/>
      <c r="AL138" s="209"/>
      <c r="AM138" s="209"/>
      <c r="AN138" s="209"/>
      <c r="AO138" s="209"/>
      <c r="AP138" s="209"/>
      <c r="AQ138" s="209"/>
      <c r="AR138" s="209"/>
      <c r="AS138" s="209"/>
      <c r="AT138" s="209"/>
      <c r="AU138" s="209"/>
      <c r="AV138" s="209"/>
      <c r="AW138" s="209"/>
      <c r="AX138" s="209"/>
      <c r="AY138" s="209"/>
      <c r="AZ138" s="209"/>
      <c r="BA138" s="209"/>
      <c r="BB138" s="209"/>
      <c r="BC138" s="209"/>
      <c r="BD138" s="209"/>
      <c r="BE138" s="209"/>
      <c r="BF138" s="209"/>
      <c r="BG138" s="209"/>
      <c r="BH138" s="209"/>
      <c r="BI138" s="209"/>
      <c r="BJ138" s="209"/>
      <c r="BK138" s="209"/>
      <c r="BL138" s="209"/>
      <c r="BM138" s="209"/>
      <c r="BN138" s="209"/>
      <c r="BO138" s="209"/>
      <c r="BP138" s="209"/>
      <c r="BQ138" s="209"/>
      <c r="BR138" s="209"/>
      <c r="BS138" s="209"/>
      <c r="BT138" s="209"/>
      <c r="BU138" s="209"/>
      <c r="BV138" s="209"/>
      <c r="BW138" s="209"/>
      <c r="BX138" s="209"/>
      <c r="BY138" s="209"/>
      <c r="BZ138" s="209"/>
      <c r="CA138" s="209"/>
      <c r="CB138" s="209"/>
      <c r="CC138" s="209"/>
      <c r="CD138" s="209"/>
      <c r="CE138" s="209"/>
      <c r="CF138" s="209"/>
      <c r="CG138" s="209"/>
      <c r="CH138" s="209"/>
      <c r="CI138" s="209"/>
      <c r="CJ138" s="209"/>
      <c r="CK138" s="209"/>
      <c r="CL138" s="209"/>
      <c r="CM138" s="209"/>
      <c r="CN138" s="209"/>
      <c r="CO138" s="209"/>
      <c r="CP138" s="209"/>
      <c r="CQ138" s="209"/>
      <c r="CR138" s="209"/>
      <c r="CS138" s="209"/>
      <c r="CT138" s="209"/>
      <c r="CU138" s="209"/>
      <c r="CV138" s="209"/>
      <c r="CW138" s="209"/>
      <c r="CX138" s="209"/>
      <c r="CY138" s="209"/>
      <c r="CZ138" s="209"/>
      <c r="DA138" s="209"/>
      <c r="DB138" s="209"/>
      <c r="DC138" s="209"/>
      <c r="DD138" s="209"/>
      <c r="DE138" s="209"/>
      <c r="DF138" s="209"/>
      <c r="DG138" s="209"/>
      <c r="DH138" s="209"/>
      <c r="DI138" s="209"/>
      <c r="DJ138" s="209"/>
      <c r="DK138" s="209"/>
      <c r="DL138" s="209"/>
      <c r="DM138" s="209"/>
      <c r="DN138" s="209"/>
      <c r="DO138" s="209"/>
      <c r="DP138" s="209"/>
      <c r="DQ138" s="209"/>
      <c r="DR138" s="209"/>
      <c r="DS138" s="209"/>
      <c r="DT138" s="209"/>
      <c r="DU138" s="209"/>
      <c r="DV138" s="209"/>
      <c r="DW138" s="209"/>
      <c r="DX138" s="209"/>
      <c r="DY138" s="209"/>
      <c r="DZ138" s="209"/>
      <c r="EA138" s="209"/>
      <c r="EB138" s="209"/>
      <c r="EC138" s="209"/>
      <c r="ED138" s="209"/>
      <c r="EE138" s="209"/>
      <c r="EF138" s="209"/>
      <c r="EG138" s="209"/>
      <c r="EH138" s="209"/>
      <c r="EI138" s="209"/>
      <c r="EJ138" s="209"/>
      <c r="EK138" s="209"/>
      <c r="EL138" s="209"/>
      <c r="EM138" s="209"/>
      <c r="EN138" s="209"/>
      <c r="EO138" s="209"/>
      <c r="EP138" s="209"/>
      <c r="EQ138" s="209"/>
      <c r="ER138" s="209"/>
      <c r="ES138" s="209"/>
      <c r="ET138" s="209"/>
      <c r="EU138" s="209"/>
      <c r="EV138" s="209"/>
      <c r="EW138" s="209"/>
      <c r="EX138" s="209"/>
      <c r="EY138" s="209"/>
      <c r="EZ138" s="209"/>
      <c r="FA138" s="209"/>
      <c r="FB138" s="209"/>
      <c r="FC138" s="209"/>
      <c r="FD138" s="209"/>
      <c r="FE138" s="209"/>
      <c r="FF138" s="209"/>
      <c r="FG138" s="209"/>
      <c r="FH138" s="209"/>
      <c r="FI138" s="209"/>
      <c r="FJ138" s="209"/>
      <c r="FK138" s="209"/>
      <c r="FL138" s="209"/>
      <c r="FM138" s="209"/>
      <c r="FN138" s="209"/>
      <c r="FO138" s="209"/>
      <c r="FP138" s="209"/>
      <c r="FQ138" s="209"/>
      <c r="FR138" s="209"/>
      <c r="FS138" s="209"/>
      <c r="FT138" s="209"/>
      <c r="FU138" s="209"/>
      <c r="FV138" s="209"/>
      <c r="FW138" s="209"/>
      <c r="FX138" s="209"/>
      <c r="FY138" s="209"/>
      <c r="FZ138" s="209"/>
      <c r="GA138" s="209"/>
      <c r="GB138" s="209"/>
      <c r="GC138" s="209"/>
      <c r="GD138" s="209"/>
      <c r="GE138" s="209"/>
      <c r="GF138" s="209"/>
      <c r="GG138" s="209"/>
      <c r="GH138" s="209"/>
      <c r="GI138" s="209"/>
      <c r="GJ138" s="209"/>
      <c r="GK138" s="209"/>
      <c r="GL138" s="209"/>
      <c r="GM138" s="209"/>
      <c r="GN138" s="209"/>
      <c r="GO138" s="209"/>
      <c r="GP138" s="209"/>
      <c r="GQ138" s="209"/>
      <c r="GR138" s="209"/>
      <c r="GS138" s="209"/>
      <c r="GT138" s="209"/>
      <c r="GU138" s="209"/>
      <c r="GV138" s="209"/>
      <c r="GW138" s="209"/>
      <c r="GX138" s="209"/>
      <c r="GY138" s="209"/>
      <c r="GZ138" s="209"/>
      <c r="HA138" s="209"/>
      <c r="HB138" s="209"/>
      <c r="HC138" s="209"/>
      <c r="HD138" s="209"/>
      <c r="HE138" s="209"/>
      <c r="HF138" s="209"/>
      <c r="HG138" s="209"/>
      <c r="HH138" s="209"/>
      <c r="HI138" s="209"/>
      <c r="HJ138" s="209"/>
      <c r="HK138" s="209"/>
      <c r="HL138" s="209"/>
      <c r="HM138" s="209"/>
      <c r="HN138" s="209"/>
      <c r="HO138" s="209"/>
      <c r="HP138" s="209"/>
      <c r="HQ138" s="209"/>
      <c r="HR138" s="209"/>
      <c r="HS138" s="209"/>
      <c r="HT138" s="209"/>
      <c r="HU138" s="209"/>
      <c r="HV138" s="209"/>
      <c r="HW138" s="209"/>
      <c r="HX138" s="209"/>
      <c r="HY138" s="209"/>
      <c r="HZ138" s="209"/>
      <c r="IA138" s="209"/>
      <c r="IB138" s="209"/>
      <c r="IC138" s="209"/>
      <c r="ID138" s="209"/>
      <c r="IE138" s="209"/>
      <c r="IF138" s="209"/>
      <c r="IG138" s="209"/>
      <c r="IH138" s="209"/>
      <c r="II138" s="209"/>
      <c r="IJ138" s="209"/>
      <c r="IK138" s="209"/>
      <c r="IL138" s="209"/>
      <c r="IM138" s="209"/>
      <c r="IN138" s="209"/>
      <c r="IO138" s="209"/>
      <c r="IP138" s="209"/>
      <c r="IQ138" s="209"/>
      <c r="IR138" s="209"/>
      <c r="IS138" s="209"/>
      <c r="IT138" s="209"/>
      <c r="IU138" s="209"/>
      <c r="IV138" s="209"/>
      <c r="IW138" s="209"/>
      <c r="IX138" s="209"/>
    </row>
    <row r="139" s="209" customFormat="true" ht="17.4" hidden="false" customHeight="false" outlineLevel="0" collapsed="false">
      <c r="A139" s="315"/>
      <c r="B139" s="31"/>
      <c r="C139" s="30"/>
      <c r="D139" s="85" t="s">
        <v>134</v>
      </c>
      <c r="E139" s="217" t="n">
        <f aca="false">E143*$C$142+E147*$C$146+$C$150*E151</f>
        <v>0.0399894869629571</v>
      </c>
      <c r="F139" s="89" t="n">
        <f aca="false">F143*$C$142+F147*$C$146+$C$150*F151</f>
        <v>0.107901248950108</v>
      </c>
      <c r="G139" s="88" t="n">
        <f aca="false">G143*$C$142+G147*$C$146+$C$150*G151</f>
        <v>0.329324532324246</v>
      </c>
      <c r="H139" s="89" t="n">
        <f aca="false">H143*$C$142+H147*$C$146+$C$150*H151</f>
        <v>0.00817054267918476</v>
      </c>
      <c r="I139" s="89" t="n">
        <f aca="false">I143*$C$142+I147*$C$146+$C$150*I151</f>
        <v>0.03</v>
      </c>
      <c r="J139" s="89" t="n">
        <f aca="false">J143*$C$142+J147*$C$146+$C$150*J151</f>
        <v>0</v>
      </c>
      <c r="K139" s="89" t="n">
        <f aca="false">K143*$C$142+K147*$C$146+$C$150*K151</f>
        <v>0</v>
      </c>
      <c r="L139" s="89" t="n">
        <f aca="false">L143*$C$142+L147*$C$146+$C$150*L151</f>
        <v>0.009741219307966</v>
      </c>
      <c r="M139" s="89" t="n">
        <f aca="false">M143*$C$142+M147*$C$146+$C$150*M151</f>
        <v>0</v>
      </c>
      <c r="N139" s="89" t="n">
        <f aca="false">N143*$C$142+N147*$C$146+$C$150*N151</f>
        <v>0.02</v>
      </c>
      <c r="O139" s="89" t="n">
        <f aca="false">O143*$C$142+O147*$C$146+$C$150*O151</f>
        <v>0</v>
      </c>
      <c r="P139" s="89" t="n">
        <f aca="false">P143*$C$142+P147*$C$146+$C$150*P151</f>
        <v>0.0399894869629571</v>
      </c>
      <c r="Q139" s="89" t="n">
        <f aca="false">Q143*$C$142+Q147*$C$146+$C$150*Q151</f>
        <v>0</v>
      </c>
      <c r="R139" s="89" t="n">
        <f aca="false">R143*$C$142+R147*$C$146+$C$150*R151</f>
        <v>0</v>
      </c>
      <c r="S139" s="89" t="n">
        <f aca="false">S143*$C$142+S147*$C$146+$C$150*S151</f>
        <v>0.107901248950108</v>
      </c>
      <c r="T139" s="89" t="n">
        <f aca="false">T143*$C$142+T147*$C$146+$C$150*T151</f>
        <v>0.05</v>
      </c>
      <c r="U139" s="89" t="n">
        <f aca="false">U143*$C$142+U147*$C$146+$C$150*U151</f>
        <v>0.079</v>
      </c>
      <c r="V139" s="309"/>
      <c r="W139" s="92"/>
      <c r="Z139" s="30"/>
    </row>
    <row r="140" s="209" customFormat="true" ht="17.4" hidden="false" customHeight="false" outlineLevel="0" collapsed="false">
      <c r="A140" s="315"/>
      <c r="B140" s="31"/>
      <c r="C140" s="93"/>
      <c r="D140" s="85" t="s">
        <v>135</v>
      </c>
      <c r="E140" s="217" t="n">
        <f aca="false">E144*$C$142+E148*$C$146+$C$150*E152</f>
        <v>0</v>
      </c>
      <c r="F140" s="89" t="n">
        <f aca="false">F144*$C$142+F148*$C$146+$C$150*F152</f>
        <v>4.31505905217695E-006</v>
      </c>
      <c r="G140" s="88" t="n">
        <f aca="false">G144*$C$142+G148*$C$146+$C$150*G152</f>
        <v>5.99851123878606E-006</v>
      </c>
      <c r="H140" s="89" t="n">
        <f aca="false">H144*$C$142+H148*$C$146+$C$150*H152</f>
        <v>2.73697889529743E-011</v>
      </c>
      <c r="I140" s="89" t="n">
        <f aca="false">I144*$C$142+I148*$C$146+$C$150*I152</f>
        <v>0</v>
      </c>
      <c r="J140" s="89" t="n">
        <f aca="false">J144*$C$142+J148*$C$146+$C$150*J152</f>
        <v>0</v>
      </c>
      <c r="K140" s="89" t="n">
        <f aca="false">K144*$C$142+K148*$C$146+$C$150*K152</f>
        <v>0</v>
      </c>
      <c r="L140" s="89" t="n">
        <f aca="false">L144*$C$142+L148*$C$146+$C$150*L152</f>
        <v>4.31503168238799E-006</v>
      </c>
      <c r="M140" s="89" t="n">
        <f aca="false">M144*$C$142+M148*$C$146+$C$150*M152</f>
        <v>0</v>
      </c>
      <c r="N140" s="89" t="n">
        <f aca="false">N144*$C$142+N148*$C$146+$C$150*N152</f>
        <v>0</v>
      </c>
      <c r="O140" s="89" t="n">
        <f aca="false">O144*$C$142+O148*$C$146+$C$150*O152</f>
        <v>0</v>
      </c>
      <c r="P140" s="89" t="n">
        <f aca="false">P144*$C$142+P148*$C$146+$C$150*P152</f>
        <v>0</v>
      </c>
      <c r="Q140" s="89" t="n">
        <f aca="false">Q144*$C$142+Q148*$C$146+$C$150*Q152</f>
        <v>0</v>
      </c>
      <c r="R140" s="89" t="n">
        <f aca="false">R144*$C$142+R148*$C$146+$C$150*R152</f>
        <v>0</v>
      </c>
      <c r="S140" s="89" t="n">
        <f aca="false">S144*$C$142+S148*$C$146+$C$150*S152</f>
        <v>4.31505905217695E-006</v>
      </c>
      <c r="T140" s="89" t="n">
        <f aca="false">T144*$C$142+T148*$C$146+$C$150*T152</f>
        <v>0</v>
      </c>
      <c r="U140" s="89" t="n">
        <f aca="false">U144*$C$142+U148*$C$146+$C$150*U152</f>
        <v>0</v>
      </c>
      <c r="V140" s="309"/>
      <c r="W140" s="92"/>
      <c r="Z140" s="30"/>
    </row>
    <row r="141" s="209" customFormat="true" ht="17.4" hidden="false" customHeight="false" outlineLevel="0" collapsed="false">
      <c r="A141" s="74"/>
      <c r="B141" s="101"/>
      <c r="C141" s="87"/>
      <c r="D141" s="31" t="s">
        <v>136</v>
      </c>
      <c r="E141" s="217" t="n">
        <f aca="false">E145*$C$142+E149*$C$146+$C$150*E153</f>
        <v>8.78358483238842E-005</v>
      </c>
      <c r="F141" s="89" t="n">
        <f aca="false">F145*$C$142+F149*$C$146+$C$150*F153</f>
        <v>0.000125727802851502</v>
      </c>
      <c r="G141" s="88" t="n">
        <f aca="false">G145*$C$142+G149*$C$146+$C$150*G153</f>
        <v>0.000174778520829774</v>
      </c>
      <c r="H141" s="89" t="n">
        <f aca="false">H145*$C$142+H149*$C$146+$C$150*H153</f>
        <v>3.76302041668665E-005</v>
      </c>
      <c r="I141" s="89" t="n">
        <f aca="false">I145*$C$142+I149*$C$146+$C$150*I153</f>
        <v>0</v>
      </c>
      <c r="J141" s="89" t="n">
        <f aca="false">J145*$C$142+J149*$C$146+$C$150*J153</f>
        <v>7.98507712035311E-005</v>
      </c>
      <c r="K141" s="89" t="n">
        <f aca="false">K145*$C$142+K149*$C$146+$C$150*K153</f>
        <v>7.98507712035311E-006</v>
      </c>
      <c r="L141" s="89" t="n">
        <f aca="false">L145*$C$142+L149*$C$146+$C$150*L153</f>
        <v>2.61750360751457E-007</v>
      </c>
      <c r="M141" s="89" t="n">
        <f aca="false">M145*$C$142+M149*$C$146+$C$150*M153</f>
        <v>0</v>
      </c>
      <c r="N141" s="89" t="n">
        <f aca="false">N145*$C$142+N149*$C$146+$C$150*N153</f>
        <v>0</v>
      </c>
      <c r="O141" s="89" t="n">
        <f aca="false">O145*$C$142+O149*$C$146+$C$150*O153</f>
        <v>0</v>
      </c>
      <c r="P141" s="89" t="n">
        <f aca="false">P145*$C$142+P149*$C$146+$C$150*P153</f>
        <v>0</v>
      </c>
      <c r="Q141" s="89" t="n">
        <f aca="false">Q145*$C$142+Q149*$C$146+$C$150*Q153</f>
        <v>0</v>
      </c>
      <c r="R141" s="89" t="n">
        <f aca="false">R145*$C$142+R149*$C$146+$C$150*R153</f>
        <v>0</v>
      </c>
      <c r="S141" s="89" t="n">
        <f aca="false">S145*$C$142+S149*$C$146+$C$150*S153</f>
        <v>0.000125727802851502</v>
      </c>
      <c r="T141" s="89" t="n">
        <f aca="false">T145*$C$142+T149*$C$146+$C$150*T153</f>
        <v>0</v>
      </c>
      <c r="U141" s="89" t="n">
        <f aca="false">U145*$C$142+U149*$C$146+$C$150*U153</f>
        <v>0</v>
      </c>
      <c r="V141" s="309"/>
      <c r="W141" s="92"/>
      <c r="Z141" s="30"/>
    </row>
    <row r="142" s="332" customFormat="true" ht="17.4" hidden="false" customHeight="false" outlineLevel="0" collapsed="false">
      <c r="A142" s="330" t="s">
        <v>137</v>
      </c>
      <c r="B142" s="76" t="s">
        <v>254</v>
      </c>
      <c r="C142" s="84" t="n">
        <f aca="false">'Input data plant-based products'!D45</f>
        <v>0.65</v>
      </c>
      <c r="D142" s="78" t="s">
        <v>133</v>
      </c>
      <c r="E142" s="94" t="n">
        <f aca="false">IF($F$1="GWP100 without fb",E143+E144*'Common input data'!$C$5+E145*'Common input data'!$D$5,IF($F$1="GWP100 with fb",E143+E144*'Common input data'!$C$6+E145*'Common input data'!$D$6,IF($F$1="GTP100 without fb",E143+E144*'Common input data'!$C$7+E145*'Common input data'!$D$7,IF($F$1="GTP100 with fb",E143+E144*'Common input data'!$C$8+E145*'Common input data'!$D$8,E143+E144*'Common input data'!$C$9+E145*'Common input data'!$D$9))))</f>
        <v>0.0655588833155407</v>
      </c>
      <c r="F142" s="95" t="n">
        <f aca="false">IF($F$1="GWP100 without fb",F143+F144*'Common input data'!$C$5+F145*'Common input data'!$D$5,IF($F$1="GWP100 with fb",F143+F144*'Common input data'!$C$6+F145*'Common input data'!$D$6,IF($F$1="GTP100 without fb",F143+F144*'Common input data'!$C$7+F145*'Common input data'!$D$7,IF($F$1="GTP100 with fb",F143+F144*'Common input data'!$C$8+F145*'Common input data'!$D$8,F143+F144*'Common input data'!$C$9+F145*'Common input data'!$D$9))))</f>
        <v>0.140697465579494</v>
      </c>
      <c r="G142" s="96" t="n">
        <f aca="false">IF($F$1="GWP100 without fb",G143+G144*'Common input data'!$C$5+G145*'Common input data'!$D$5,IF($F$1="GWP100 with fb",G143+G144*'Common input data'!$C$6+G145*'Common input data'!$D$6,IF($F$1="GTP100 without fb",G143+G144*'Common input data'!$C$7+G145*'Common input data'!$D$7,IF($F$1="GTP100 with fb",G143+G144*'Common input data'!$C$8+G145*'Common input data'!$D$8,G143+G144*'Common input data'!$C$9+G145*'Common input data'!$D$9))))</f>
        <v>0.306799098608467</v>
      </c>
      <c r="H142" s="83"/>
      <c r="I142" s="83"/>
      <c r="J142" s="83"/>
      <c r="K142" s="83"/>
      <c r="L142" s="83"/>
      <c r="M142" s="83"/>
      <c r="N142" s="83"/>
      <c r="O142" s="83"/>
      <c r="P142" s="83"/>
      <c r="Q142" s="83"/>
      <c r="R142" s="83"/>
      <c r="S142" s="83"/>
      <c r="T142" s="83"/>
      <c r="U142" s="83"/>
      <c r="V142" s="309"/>
      <c r="W142" s="92"/>
      <c r="X142" s="209"/>
      <c r="Y142" s="209"/>
      <c r="Z142" s="30"/>
      <c r="AA142" s="209"/>
      <c r="AB142" s="209"/>
      <c r="AC142" s="209"/>
      <c r="AD142" s="209"/>
      <c r="AE142" s="209"/>
      <c r="AF142" s="209"/>
      <c r="AG142" s="209"/>
      <c r="AH142" s="209"/>
      <c r="AI142" s="209"/>
      <c r="AJ142" s="209"/>
      <c r="AK142" s="209"/>
      <c r="AL142" s="209"/>
      <c r="AM142" s="209"/>
      <c r="AN142" s="209"/>
      <c r="AO142" s="209"/>
      <c r="AP142" s="209"/>
      <c r="AQ142" s="209"/>
      <c r="AR142" s="209"/>
      <c r="AS142" s="209"/>
      <c r="AT142" s="209"/>
      <c r="AU142" s="209"/>
      <c r="AV142" s="209"/>
      <c r="AW142" s="209"/>
      <c r="AX142" s="209"/>
      <c r="AY142" s="209"/>
      <c r="AZ142" s="209"/>
      <c r="BA142" s="209"/>
      <c r="BB142" s="209"/>
      <c r="BC142" s="209"/>
      <c r="BD142" s="209"/>
      <c r="BE142" s="209"/>
      <c r="BF142" s="209"/>
      <c r="BG142" s="209"/>
      <c r="BH142" s="209"/>
      <c r="BI142" s="209"/>
      <c r="BJ142" s="209"/>
      <c r="BK142" s="209"/>
      <c r="BL142" s="209"/>
      <c r="BM142" s="209"/>
      <c r="BN142" s="209"/>
      <c r="BO142" s="209"/>
      <c r="BP142" s="209"/>
      <c r="BQ142" s="209"/>
      <c r="BR142" s="209"/>
      <c r="BS142" s="209"/>
      <c r="BT142" s="209"/>
      <c r="BU142" s="209"/>
      <c r="BV142" s="209"/>
      <c r="BW142" s="209"/>
      <c r="BX142" s="209"/>
      <c r="BY142" s="209"/>
      <c r="BZ142" s="209"/>
      <c r="CA142" s="209"/>
      <c r="CB142" s="209"/>
      <c r="CC142" s="209"/>
      <c r="CD142" s="209"/>
      <c r="CE142" s="209"/>
      <c r="CF142" s="209"/>
      <c r="CG142" s="209"/>
      <c r="CH142" s="209"/>
      <c r="CI142" s="209"/>
      <c r="CJ142" s="209"/>
      <c r="CK142" s="209"/>
      <c r="CL142" s="209"/>
      <c r="CM142" s="209"/>
      <c r="CN142" s="209"/>
      <c r="CO142" s="209"/>
      <c r="CP142" s="209"/>
      <c r="CQ142" s="209"/>
      <c r="CR142" s="209"/>
      <c r="CS142" s="209"/>
      <c r="CT142" s="209"/>
      <c r="CU142" s="209"/>
      <c r="CV142" s="209"/>
      <c r="CW142" s="209"/>
      <c r="CX142" s="209"/>
      <c r="CY142" s="209"/>
      <c r="CZ142" s="209"/>
      <c r="DA142" s="209"/>
      <c r="DB142" s="209"/>
      <c r="DC142" s="209"/>
      <c r="DD142" s="209"/>
      <c r="DE142" s="209"/>
      <c r="DF142" s="209"/>
      <c r="DG142" s="209"/>
      <c r="DH142" s="209"/>
      <c r="DI142" s="209"/>
      <c r="DJ142" s="209"/>
      <c r="DK142" s="209"/>
      <c r="DL142" s="209"/>
      <c r="DM142" s="209"/>
      <c r="DN142" s="209"/>
      <c r="DO142" s="209"/>
      <c r="DP142" s="209"/>
      <c r="DQ142" s="209"/>
      <c r="DR142" s="209"/>
      <c r="DS142" s="209"/>
      <c r="DT142" s="209"/>
      <c r="DU142" s="209"/>
      <c r="DV142" s="209"/>
      <c r="DW142" s="209"/>
      <c r="DX142" s="209"/>
      <c r="DY142" s="209"/>
      <c r="DZ142" s="209"/>
      <c r="EA142" s="209"/>
      <c r="EB142" s="209"/>
      <c r="EC142" s="209"/>
      <c r="ED142" s="209"/>
      <c r="EE142" s="209"/>
      <c r="EF142" s="209"/>
      <c r="EG142" s="209"/>
      <c r="EH142" s="209"/>
      <c r="EI142" s="209"/>
      <c r="EJ142" s="209"/>
      <c r="EK142" s="209"/>
      <c r="EL142" s="209"/>
      <c r="EM142" s="209"/>
      <c r="EN142" s="209"/>
      <c r="EO142" s="209"/>
      <c r="EP142" s="209"/>
      <c r="EQ142" s="209"/>
      <c r="ER142" s="209"/>
      <c r="ES142" s="209"/>
      <c r="ET142" s="209"/>
      <c r="EU142" s="209"/>
      <c r="EV142" s="209"/>
      <c r="EW142" s="209"/>
      <c r="EX142" s="209"/>
      <c r="EY142" s="209"/>
      <c r="EZ142" s="209"/>
      <c r="FA142" s="209"/>
      <c r="FB142" s="209"/>
      <c r="FC142" s="209"/>
      <c r="FD142" s="209"/>
      <c r="FE142" s="209"/>
      <c r="FF142" s="209"/>
      <c r="FG142" s="209"/>
      <c r="FH142" s="209"/>
      <c r="FI142" s="209"/>
      <c r="FJ142" s="209"/>
      <c r="FK142" s="209"/>
      <c r="FL142" s="209"/>
      <c r="FM142" s="209"/>
      <c r="FN142" s="209"/>
      <c r="FO142" s="209"/>
      <c r="FP142" s="209"/>
      <c r="FQ142" s="209"/>
      <c r="FR142" s="209"/>
      <c r="FS142" s="209"/>
      <c r="FT142" s="209"/>
      <c r="FU142" s="209"/>
      <c r="FV142" s="209"/>
      <c r="FW142" s="209"/>
      <c r="FX142" s="209"/>
      <c r="FY142" s="209"/>
      <c r="FZ142" s="209"/>
      <c r="GA142" s="209"/>
      <c r="GB142" s="209"/>
      <c r="GC142" s="209"/>
      <c r="GD142" s="209"/>
      <c r="GE142" s="209"/>
      <c r="GF142" s="209"/>
      <c r="GG142" s="209"/>
      <c r="GH142" s="209"/>
      <c r="GI142" s="209"/>
      <c r="GJ142" s="209"/>
      <c r="GK142" s="209"/>
      <c r="GL142" s="209"/>
      <c r="GM142" s="209"/>
      <c r="GN142" s="209"/>
      <c r="GO142" s="209"/>
      <c r="GP142" s="209"/>
      <c r="GQ142" s="209"/>
      <c r="GR142" s="209"/>
      <c r="GS142" s="209"/>
      <c r="GT142" s="209"/>
      <c r="GU142" s="209"/>
      <c r="GV142" s="209"/>
      <c r="GW142" s="209"/>
      <c r="GX142" s="209"/>
      <c r="GY142" s="209"/>
      <c r="GZ142" s="209"/>
      <c r="HA142" s="209"/>
      <c r="HB142" s="209"/>
      <c r="HC142" s="209"/>
      <c r="HD142" s="209"/>
      <c r="HE142" s="209"/>
      <c r="HF142" s="209"/>
      <c r="HG142" s="209"/>
      <c r="HH142" s="209"/>
      <c r="HI142" s="209"/>
      <c r="HJ142" s="209"/>
      <c r="HK142" s="209"/>
      <c r="HL142" s="209"/>
      <c r="HM142" s="209"/>
      <c r="HN142" s="209"/>
      <c r="HO142" s="209"/>
      <c r="HP142" s="209"/>
      <c r="HQ142" s="209"/>
      <c r="HR142" s="209"/>
      <c r="HS142" s="209"/>
      <c r="HT142" s="209"/>
      <c r="HU142" s="209"/>
      <c r="HV142" s="209"/>
      <c r="HW142" s="209"/>
      <c r="HX142" s="209"/>
      <c r="HY142" s="209"/>
      <c r="HZ142" s="209"/>
      <c r="IA142" s="209"/>
      <c r="IB142" s="209"/>
      <c r="IC142" s="209"/>
      <c r="ID142" s="209"/>
      <c r="IE142" s="209"/>
      <c r="IF142" s="209"/>
      <c r="IG142" s="209"/>
      <c r="IH142" s="209"/>
      <c r="II142" s="209"/>
      <c r="IJ142" s="209"/>
      <c r="IK142" s="209"/>
      <c r="IL142" s="209"/>
      <c r="IM142" s="209"/>
      <c r="IN142" s="209"/>
      <c r="IO142" s="209"/>
      <c r="IP142" s="209"/>
      <c r="IQ142" s="209"/>
      <c r="IR142" s="209"/>
      <c r="IS142" s="209"/>
      <c r="IT142" s="209"/>
      <c r="IU142" s="209"/>
      <c r="IV142" s="209"/>
      <c r="IW142" s="209"/>
      <c r="IX142" s="209"/>
    </row>
    <row r="143" s="209" customFormat="true" ht="17.4" hidden="false" customHeight="false" outlineLevel="0" collapsed="false">
      <c r="A143" s="315"/>
      <c r="B143" s="31"/>
      <c r="C143" s="30"/>
      <c r="D143" s="85" t="s">
        <v>134</v>
      </c>
      <c r="E143" s="217" t="n">
        <f aca="false">IF(AND($F$2="No",$F$3="No"),SUM(J143:K143),IF(AND($F$2="Yes", $F$3="No"), SUM(J143:K143)+Q143, IF(AND($F$2="No", $F$3="Yes"),SUM(J143:K143)+P143, SUM(J143:K143)+Q143+P143)))</f>
        <v>0.0399894869629571</v>
      </c>
      <c r="F143" s="89" t="n">
        <f aca="false">IF(AND($F$2="No",$F$3="No"),SUM(H143:O143),IF(AND($F$2="Yes", $F$3="No"), SUM(H143:O143)+Q143, IF(AND($F$2="No", $F$3="Yes"),SUM(H143:O143)+P143, SUM(H143:O143)+Q143+P143)))</f>
        <v>0.10563832578583</v>
      </c>
      <c r="G143" s="88" t="n">
        <f aca="false">SUM(S143:U143)/(1-'Common input data'!$B$123)</f>
        <v>0.258062188746627</v>
      </c>
      <c r="H143" s="89" t="n">
        <f aca="false">('Input data plant-based products'!$F$45*('Common input data'!$B$76*'Common input data'!B69+'Common input data'!$B$77*'Common input data'!C69))/'Input data plant-based products'!$E$45</f>
        <v>0.0076885460569152</v>
      </c>
      <c r="I143" s="89" t="n">
        <f aca="false">'Common input data'!$B$81</f>
        <v>0.03</v>
      </c>
      <c r="J143" s="89" t="n">
        <v>0</v>
      </c>
      <c r="K143" s="89" t="n">
        <v>0</v>
      </c>
      <c r="L143" s="89" t="n">
        <f aca="false">('Input data plant-based products'!$I$45*'Common input data'!$C$59*'Common input data'!H49)/'Input data plant-based products'!$E$45</f>
        <v>0.00796029276595745</v>
      </c>
      <c r="M143" s="89" t="n">
        <v>0</v>
      </c>
      <c r="N143" s="89" t="n">
        <f aca="false">'Input data plant-based products'!$G$152</f>
        <v>0.02</v>
      </c>
      <c r="O143" s="89" t="n">
        <v>0</v>
      </c>
      <c r="P143" s="89" t="n">
        <f aca="false">'Common input data'!$E$13</f>
        <v>0.0399894869629571</v>
      </c>
      <c r="Q143" s="89" t="n">
        <v>0</v>
      </c>
      <c r="R143" s="89" t="n">
        <v>0</v>
      </c>
      <c r="S143" s="89" t="n">
        <f aca="false">(F143+R143)</f>
        <v>0.10563832578583</v>
      </c>
      <c r="T143" s="89" t="n">
        <f aca="false">'Common input data'!$B$88</f>
        <v>0.05</v>
      </c>
      <c r="U143" s="89" t="n">
        <f aca="false">'Common input data'!C98</f>
        <v>0.03</v>
      </c>
      <c r="V143" s="309"/>
      <c r="W143" s="92"/>
      <c r="Z143" s="30"/>
    </row>
    <row r="144" s="209" customFormat="true" ht="17.4" hidden="false" customHeight="false" outlineLevel="0" collapsed="false">
      <c r="A144" s="74"/>
      <c r="B144" s="31"/>
      <c r="C144" s="93"/>
      <c r="D144" s="85" t="s">
        <v>135</v>
      </c>
      <c r="E144" s="217" t="n">
        <f aca="false">SUM(J144:K144)</f>
        <v>0</v>
      </c>
      <c r="F144" s="89" t="n">
        <f aca="false">SUM(H144:O144)</f>
        <v>3.52616186062979E-006</v>
      </c>
      <c r="G144" s="88" t="n">
        <f aca="false">SUM(S144:U144)/(1-'Common input data'!$B$123)</f>
        <v>4.90183825875929E-006</v>
      </c>
      <c r="H144" s="89" t="n">
        <f aca="false">('Input data plant-based products'!$F$45*('Common input data'!$B$76*'Common input data'!B70+'Common input data'!$B$77*'Common input data'!C70))/'Input data plant-based products'!$E$45</f>
        <v>2.05840340425532E-011</v>
      </c>
      <c r="I144" s="89" t="n">
        <v>0</v>
      </c>
      <c r="J144" s="89" t="n">
        <v>0</v>
      </c>
      <c r="K144" s="89" t="n">
        <v>0</v>
      </c>
      <c r="L144" s="89" t="n">
        <f aca="false">('Input data plant-based products'!$I$45*'Common input data'!$C$59*'Common input data'!H50)/'Input data plant-based products'!$E$45</f>
        <v>3.52614127659574E-006</v>
      </c>
      <c r="M144" s="89" t="n">
        <v>0</v>
      </c>
      <c r="N144" s="89" t="n">
        <v>0</v>
      </c>
      <c r="O144" s="89" t="n">
        <v>0</v>
      </c>
      <c r="P144" s="89" t="n">
        <v>0</v>
      </c>
      <c r="Q144" s="89" t="n">
        <v>0</v>
      </c>
      <c r="R144" s="89" t="n">
        <v>0</v>
      </c>
      <c r="S144" s="89" t="n">
        <f aca="false">(F144+R144)</f>
        <v>3.52616186062979E-006</v>
      </c>
      <c r="T144" s="89" t="n">
        <v>0</v>
      </c>
      <c r="U144" s="89" t="n">
        <v>0</v>
      </c>
      <c r="V144" s="309"/>
      <c r="W144" s="92"/>
      <c r="Z144" s="30"/>
    </row>
    <row r="145" s="209" customFormat="true" ht="17.4" hidden="false" customHeight="false" outlineLevel="0" collapsed="false">
      <c r="A145" s="100"/>
      <c r="B145" s="101"/>
      <c r="C145" s="87"/>
      <c r="D145" s="31" t="s">
        <v>136</v>
      </c>
      <c r="E145" s="217" t="n">
        <f aca="false">SUM(J145:K145)</f>
        <v>8.58033434650456E-005</v>
      </c>
      <c r="F145" s="89" t="n">
        <f aca="false">SUM(H145:O145)</f>
        <v>0.000117245806343633</v>
      </c>
      <c r="G145" s="88" t="n">
        <f aca="false">SUM(S145:U145)/(1-'Common input data'!$B$123)</f>
        <v>0.00016298740725182</v>
      </c>
      <c r="H145" s="89" t="n">
        <f aca="false">('Input data plant-based products'!$F$45*('Common input data'!$B$76*'Common input data'!B71+'Common input data'!$B$77*'Common input data'!C71))/'Input data plant-based products'!$E$45</f>
        <v>3.12285667083749E-005</v>
      </c>
      <c r="I145" s="89" t="n">
        <v>0</v>
      </c>
      <c r="J145" s="89" t="n">
        <f aca="false">(SUM('Input data plant-based products'!F45:H45)*'Input data plant-based products'!$B$114*44/28)/'Input data plant-based products'!E45</f>
        <v>7.80030395136778E-005</v>
      </c>
      <c r="K145" s="89" t="n">
        <f aca="false">J145*'Input data plant-based products'!$B$115</f>
        <v>7.80030395136778E-006</v>
      </c>
      <c r="L145" s="89" t="n">
        <f aca="false">('Input data plant-based products'!$I$45*'Common input data'!$C$59*'Common input data'!H51)/'Input data plant-based products'!$E$45</f>
        <v>2.13896170212766E-007</v>
      </c>
      <c r="M145" s="89" t="n">
        <v>0</v>
      </c>
      <c r="N145" s="89" t="n">
        <v>0</v>
      </c>
      <c r="O145" s="89" t="n">
        <v>0</v>
      </c>
      <c r="P145" s="89" t="n">
        <v>0</v>
      </c>
      <c r="Q145" s="89" t="n">
        <v>0</v>
      </c>
      <c r="R145" s="89" t="n">
        <v>0</v>
      </c>
      <c r="S145" s="89" t="n">
        <f aca="false">(F145+R145)</f>
        <v>0.000117245806343633</v>
      </c>
      <c r="T145" s="89" t="n">
        <v>0</v>
      </c>
      <c r="U145" s="89" t="n">
        <v>0</v>
      </c>
      <c r="V145" s="309"/>
      <c r="W145" s="92"/>
      <c r="Z145" s="30"/>
    </row>
    <row r="146" s="332" customFormat="true" ht="17.4" hidden="false" customHeight="false" outlineLevel="0" collapsed="false">
      <c r="A146" s="330" t="s">
        <v>187</v>
      </c>
      <c r="B146" s="76" t="s">
        <v>254</v>
      </c>
      <c r="C146" s="84" t="n">
        <f aca="false">'Input data plant-based products'!D46</f>
        <v>0.21</v>
      </c>
      <c r="D146" s="78" t="s">
        <v>133</v>
      </c>
      <c r="E146" s="94" t="n">
        <f aca="false">IF($F$1="GWP100 without fb",E147+E148*'Common input data'!$C$5+E149*'Common input data'!$D$5,IF($F$1="GWP100 with fb",E147+E148*'Common input data'!$C$6+E149*'Common input data'!$D$6,IF($F$1="GTP100 without fb",E147+E148*'Common input data'!$C$7+E149*'Common input data'!$D$7,IF($F$1="GTP100 with fb",E147+E148*'Common input data'!$C$8+E149*'Common input data'!$D$8,E147+E148*'Common input data'!$C$9+E149*'Common input data'!$D$9))))</f>
        <v>0.0674117022007362</v>
      </c>
      <c r="F146" s="95" t="n">
        <f aca="false">IF($F$1="GWP100 without fb",F147+F148*'Common input data'!$C$5+F149*'Common input data'!$D$5,IF($F$1="GWP100 with fb",F147+F148*'Common input data'!$C$6+F149*'Common input data'!$D$6,IF($F$1="GTP100 without fb",F147+F148*'Common input data'!$C$7+F149*'Common input data'!$D$7,IF($F$1="GTP100 with fb",F147+F148*'Common input data'!$C$8+F149*'Common input data'!$D$8,F147+F148*'Common input data'!$C$9+F149*'Common input data'!$D$9))))</f>
        <v>0.149342205154265</v>
      </c>
      <c r="G146" s="96" t="n">
        <f aca="false">IF($F$1="GWP100 without fb",G147+G148*'Common input data'!$C$5+G149*'Common input data'!$D$5,IF($F$1="GWP100 with fb",G147+G148*'Common input data'!$C$6+G149*'Common input data'!$D$6,IF($F$1="GTP100 without fb",G147+G148*'Common input data'!$C$7+G149*'Common input data'!$D$7,IF($F$1="GTP100 with fb",G147+G148*'Common input data'!$C$8+G149*'Common input data'!$D$8,G147+G148*'Common input data'!$C$9+G149*'Common input data'!$D$9))))</f>
        <v>0.457829868638246</v>
      </c>
      <c r="H146" s="83"/>
      <c r="I146" s="83"/>
      <c r="J146" s="83"/>
      <c r="K146" s="83"/>
      <c r="L146" s="83"/>
      <c r="M146" s="83"/>
      <c r="N146" s="83"/>
      <c r="O146" s="83"/>
      <c r="P146" s="83"/>
      <c r="Q146" s="83"/>
      <c r="R146" s="83"/>
      <c r="S146" s="83"/>
      <c r="T146" s="83"/>
      <c r="U146" s="83"/>
      <c r="V146" s="309"/>
      <c r="W146" s="92"/>
      <c r="X146" s="209"/>
      <c r="Y146" s="209"/>
      <c r="Z146" s="30"/>
      <c r="AA146" s="209"/>
      <c r="AB146" s="209"/>
      <c r="AC146" s="209"/>
      <c r="AD146" s="209"/>
      <c r="AE146" s="209"/>
      <c r="AF146" s="209"/>
      <c r="AG146" s="209"/>
      <c r="AH146" s="209"/>
      <c r="AI146" s="209"/>
      <c r="AJ146" s="209"/>
      <c r="AK146" s="209"/>
      <c r="AL146" s="209"/>
      <c r="AM146" s="209"/>
      <c r="AN146" s="209"/>
      <c r="AO146" s="209"/>
      <c r="AP146" s="209"/>
      <c r="AQ146" s="209"/>
      <c r="AR146" s="209"/>
      <c r="AS146" s="209"/>
      <c r="AT146" s="209"/>
      <c r="AU146" s="209"/>
      <c r="AV146" s="209"/>
      <c r="AW146" s="209"/>
      <c r="AX146" s="209"/>
      <c r="AY146" s="209"/>
      <c r="AZ146" s="209"/>
      <c r="BA146" s="209"/>
      <c r="BB146" s="209"/>
      <c r="BC146" s="209"/>
      <c r="BD146" s="209"/>
      <c r="BE146" s="209"/>
      <c r="BF146" s="209"/>
      <c r="BG146" s="209"/>
      <c r="BH146" s="209"/>
      <c r="BI146" s="209"/>
      <c r="BJ146" s="209"/>
      <c r="BK146" s="209"/>
      <c r="BL146" s="209"/>
      <c r="BM146" s="209"/>
      <c r="BN146" s="209"/>
      <c r="BO146" s="209"/>
      <c r="BP146" s="209"/>
      <c r="BQ146" s="209"/>
      <c r="BR146" s="209"/>
      <c r="BS146" s="209"/>
      <c r="BT146" s="209"/>
      <c r="BU146" s="209"/>
      <c r="BV146" s="209"/>
      <c r="BW146" s="209"/>
      <c r="BX146" s="209"/>
      <c r="BY146" s="209"/>
      <c r="BZ146" s="209"/>
      <c r="CA146" s="209"/>
      <c r="CB146" s="209"/>
      <c r="CC146" s="209"/>
      <c r="CD146" s="209"/>
      <c r="CE146" s="209"/>
      <c r="CF146" s="209"/>
      <c r="CG146" s="209"/>
      <c r="CH146" s="209"/>
      <c r="CI146" s="209"/>
      <c r="CJ146" s="209"/>
      <c r="CK146" s="209"/>
      <c r="CL146" s="209"/>
      <c r="CM146" s="209"/>
      <c r="CN146" s="209"/>
      <c r="CO146" s="209"/>
      <c r="CP146" s="209"/>
      <c r="CQ146" s="209"/>
      <c r="CR146" s="209"/>
      <c r="CS146" s="209"/>
      <c r="CT146" s="209"/>
      <c r="CU146" s="209"/>
      <c r="CV146" s="209"/>
      <c r="CW146" s="209"/>
      <c r="CX146" s="209"/>
      <c r="CY146" s="209"/>
      <c r="CZ146" s="209"/>
      <c r="DA146" s="209"/>
      <c r="DB146" s="209"/>
      <c r="DC146" s="209"/>
      <c r="DD146" s="209"/>
      <c r="DE146" s="209"/>
      <c r="DF146" s="209"/>
      <c r="DG146" s="209"/>
      <c r="DH146" s="209"/>
      <c r="DI146" s="209"/>
      <c r="DJ146" s="209"/>
      <c r="DK146" s="209"/>
      <c r="DL146" s="209"/>
      <c r="DM146" s="209"/>
      <c r="DN146" s="209"/>
      <c r="DO146" s="209"/>
      <c r="DP146" s="209"/>
      <c r="DQ146" s="209"/>
      <c r="DR146" s="209"/>
      <c r="DS146" s="209"/>
      <c r="DT146" s="209"/>
      <c r="DU146" s="209"/>
      <c r="DV146" s="209"/>
      <c r="DW146" s="209"/>
      <c r="DX146" s="209"/>
      <c r="DY146" s="209"/>
      <c r="DZ146" s="209"/>
      <c r="EA146" s="209"/>
      <c r="EB146" s="209"/>
      <c r="EC146" s="209"/>
      <c r="ED146" s="209"/>
      <c r="EE146" s="209"/>
      <c r="EF146" s="209"/>
      <c r="EG146" s="209"/>
      <c r="EH146" s="209"/>
      <c r="EI146" s="209"/>
      <c r="EJ146" s="209"/>
      <c r="EK146" s="209"/>
      <c r="EL146" s="209"/>
      <c r="EM146" s="209"/>
      <c r="EN146" s="209"/>
      <c r="EO146" s="209"/>
      <c r="EP146" s="209"/>
      <c r="EQ146" s="209"/>
      <c r="ER146" s="209"/>
      <c r="ES146" s="209"/>
      <c r="ET146" s="209"/>
      <c r="EU146" s="209"/>
      <c r="EV146" s="209"/>
      <c r="EW146" s="209"/>
      <c r="EX146" s="209"/>
      <c r="EY146" s="209"/>
      <c r="EZ146" s="209"/>
      <c r="FA146" s="209"/>
      <c r="FB146" s="209"/>
      <c r="FC146" s="209"/>
      <c r="FD146" s="209"/>
      <c r="FE146" s="209"/>
      <c r="FF146" s="209"/>
      <c r="FG146" s="209"/>
      <c r="FH146" s="209"/>
      <c r="FI146" s="209"/>
      <c r="FJ146" s="209"/>
      <c r="FK146" s="209"/>
      <c r="FL146" s="209"/>
      <c r="FM146" s="209"/>
      <c r="FN146" s="209"/>
      <c r="FO146" s="209"/>
      <c r="FP146" s="209"/>
      <c r="FQ146" s="209"/>
      <c r="FR146" s="209"/>
      <c r="FS146" s="209"/>
      <c r="FT146" s="209"/>
      <c r="FU146" s="209"/>
      <c r="FV146" s="209"/>
      <c r="FW146" s="209"/>
      <c r="FX146" s="209"/>
      <c r="FY146" s="209"/>
      <c r="FZ146" s="209"/>
      <c r="GA146" s="209"/>
      <c r="GB146" s="209"/>
      <c r="GC146" s="209"/>
      <c r="GD146" s="209"/>
      <c r="GE146" s="209"/>
      <c r="GF146" s="209"/>
      <c r="GG146" s="209"/>
      <c r="GH146" s="209"/>
      <c r="GI146" s="209"/>
      <c r="GJ146" s="209"/>
      <c r="GK146" s="209"/>
      <c r="GL146" s="209"/>
      <c r="GM146" s="209"/>
      <c r="GN146" s="209"/>
      <c r="GO146" s="209"/>
      <c r="GP146" s="209"/>
      <c r="GQ146" s="209"/>
      <c r="GR146" s="209"/>
      <c r="GS146" s="209"/>
      <c r="GT146" s="209"/>
      <c r="GU146" s="209"/>
      <c r="GV146" s="209"/>
      <c r="GW146" s="209"/>
      <c r="GX146" s="209"/>
      <c r="GY146" s="209"/>
      <c r="GZ146" s="209"/>
      <c r="HA146" s="209"/>
      <c r="HB146" s="209"/>
      <c r="HC146" s="209"/>
      <c r="HD146" s="209"/>
      <c r="HE146" s="209"/>
      <c r="HF146" s="209"/>
      <c r="HG146" s="209"/>
      <c r="HH146" s="209"/>
      <c r="HI146" s="209"/>
      <c r="HJ146" s="209"/>
      <c r="HK146" s="209"/>
      <c r="HL146" s="209"/>
      <c r="HM146" s="209"/>
      <c r="HN146" s="209"/>
      <c r="HO146" s="209"/>
      <c r="HP146" s="209"/>
      <c r="HQ146" s="209"/>
      <c r="HR146" s="209"/>
      <c r="HS146" s="209"/>
      <c r="HT146" s="209"/>
      <c r="HU146" s="209"/>
      <c r="HV146" s="209"/>
      <c r="HW146" s="209"/>
      <c r="HX146" s="209"/>
      <c r="HY146" s="209"/>
      <c r="HZ146" s="209"/>
      <c r="IA146" s="209"/>
      <c r="IB146" s="209"/>
      <c r="IC146" s="209"/>
      <c r="ID146" s="209"/>
      <c r="IE146" s="209"/>
      <c r="IF146" s="209"/>
      <c r="IG146" s="209"/>
      <c r="IH146" s="209"/>
      <c r="II146" s="209"/>
      <c r="IJ146" s="209"/>
      <c r="IK146" s="209"/>
      <c r="IL146" s="209"/>
      <c r="IM146" s="209"/>
      <c r="IN146" s="209"/>
      <c r="IO146" s="209"/>
      <c r="IP146" s="209"/>
      <c r="IQ146" s="209"/>
      <c r="IR146" s="209"/>
      <c r="IS146" s="209"/>
      <c r="IT146" s="209"/>
      <c r="IU146" s="209"/>
      <c r="IV146" s="209"/>
      <c r="IW146" s="209"/>
      <c r="IX146" s="209"/>
    </row>
    <row r="147" s="209" customFormat="true" ht="17.4" hidden="false" customHeight="false" outlineLevel="0" collapsed="false">
      <c r="A147" s="99"/>
      <c r="B147" s="31"/>
      <c r="C147" s="30"/>
      <c r="D147" s="85" t="s">
        <v>134</v>
      </c>
      <c r="E147" s="217" t="n">
        <f aca="false">IF(AND($F$2="No",$F$3="No"),SUM(J147:K147),IF(AND($F$2="Yes", $F$3="No"), SUM(J147:K147)+Q147, IF(AND($F$2="No", $F$3="Yes"),SUM(J147:K147)+P147, SUM(J147:K147)+Q147+P147)))</f>
        <v>0.0399894869629571</v>
      </c>
      <c r="F147" s="89" t="n">
        <f aca="false">IF(AND($F$2="No",$F$3="No"),SUM(H147:O147),IF(AND($F$2="Yes", $F$3="No"), SUM(H147:O147)+Q147, IF(AND($F$2="No", $F$3="Yes"),SUM(H147:O147)+P147, SUM(H147:O147)+Q147+P147)))</f>
        <v>0.10688122447963</v>
      </c>
      <c r="G147" s="88" t="n">
        <f aca="false">SUM(S147:U147)/(1-'Common input data'!$B$123)</f>
        <v>0.398803406495582</v>
      </c>
      <c r="H147" s="89" t="n">
        <f aca="false">('Input data plant-based products'!$F$46*('Common input data'!$C$76*'Common input data'!B69+'Common input data'!$C$77*'Common input data'!C69))/'Input data plant-based products'!$E$46</f>
        <v>0.00912898210128526</v>
      </c>
      <c r="I147" s="89" t="n">
        <f aca="false">'Common input data'!$B$81</f>
        <v>0.03</v>
      </c>
      <c r="J147" s="89" t="n">
        <v>0</v>
      </c>
      <c r="K147" s="89" t="n">
        <v>0</v>
      </c>
      <c r="L147" s="89" t="n">
        <f aca="false">('Input data plant-based products'!$I$46*'Common input data'!$C$59*'Common input data'!H49)/'Input data plant-based products'!$E$46</f>
        <v>0.00776275541538717</v>
      </c>
      <c r="M147" s="89" t="n">
        <v>0</v>
      </c>
      <c r="N147" s="89" t="n">
        <f aca="false">'Input data plant-based products'!$G$152</f>
        <v>0.02</v>
      </c>
      <c r="O147" s="89" t="n">
        <v>0</v>
      </c>
      <c r="P147" s="89" t="n">
        <f aca="false">'Common input data'!$E$13</f>
        <v>0.0399894869629571</v>
      </c>
      <c r="Q147" s="89" t="n">
        <v>0</v>
      </c>
      <c r="R147" s="89" t="n">
        <v>0</v>
      </c>
      <c r="S147" s="89" t="n">
        <f aca="false">(F147+R147)</f>
        <v>0.10688122447963</v>
      </c>
      <c r="T147" s="89" t="n">
        <f aca="false">'Common input data'!$B$88</f>
        <v>0.05</v>
      </c>
      <c r="U147" s="89" t="n">
        <f aca="false">'Common input data'!B99+'Common input data'!C99</f>
        <v>0.13</v>
      </c>
      <c r="V147" s="309"/>
      <c r="W147" s="92"/>
      <c r="Z147" s="30"/>
    </row>
    <row r="148" s="209" customFormat="true" ht="17.4" hidden="false" customHeight="false" outlineLevel="0" collapsed="false">
      <c r="A148" s="74"/>
      <c r="B148" s="31"/>
      <c r="C148" s="93"/>
      <c r="D148" s="85" t="s">
        <v>135</v>
      </c>
      <c r="E148" s="217" t="n">
        <f aca="false">SUM(J148:K148)</f>
        <v>0</v>
      </c>
      <c r="F148" s="89" t="n">
        <f aca="false">SUM(H148:O148)</f>
        <v>3.43867914221097E-006</v>
      </c>
      <c r="G148" s="88" t="n">
        <f aca="false">SUM(S148:U148)/(1-'Common input data'!$B$123)</f>
        <v>4.78022553844899E-006</v>
      </c>
      <c r="H148" s="89" t="n">
        <f aca="false">('Input data plant-based products'!$F$46*('Common input data'!$C$76*'Common input data'!B70+'Common input data'!$C$77*'Common input data'!C70))/'Input data plant-based products'!$E$46</f>
        <v>4.02510166818823E-011</v>
      </c>
      <c r="I148" s="89" t="n">
        <v>0</v>
      </c>
      <c r="J148" s="89" t="n">
        <v>0</v>
      </c>
      <c r="K148" s="89" t="n">
        <v>0</v>
      </c>
      <c r="L148" s="89" t="n">
        <f aca="false">('Input data plant-based products'!$I$46*'Common input data'!$C$59*'Common input data'!H50)/'Input data plant-based products'!$E$46</f>
        <v>3.43863889119429E-006</v>
      </c>
      <c r="M148" s="89" t="n">
        <v>0</v>
      </c>
      <c r="N148" s="89" t="n">
        <v>0</v>
      </c>
      <c r="O148" s="89" t="n">
        <v>0</v>
      </c>
      <c r="P148" s="89" t="n">
        <v>0</v>
      </c>
      <c r="Q148" s="89" t="n">
        <v>0</v>
      </c>
      <c r="R148" s="89" t="n">
        <v>0</v>
      </c>
      <c r="S148" s="89" t="n">
        <f aca="false">(F148+R148)</f>
        <v>3.43867914221097E-006</v>
      </c>
      <c r="T148" s="89" t="n">
        <v>0</v>
      </c>
      <c r="U148" s="89" t="n">
        <v>0</v>
      </c>
      <c r="V148" s="309"/>
      <c r="W148" s="92"/>
      <c r="Z148" s="30"/>
    </row>
    <row r="149" s="209" customFormat="true" ht="17.4" hidden="false" customHeight="false" outlineLevel="0" collapsed="false">
      <c r="A149" s="100"/>
      <c r="B149" s="101"/>
      <c r="C149" s="87"/>
      <c r="D149" s="31" t="s">
        <v>136</v>
      </c>
      <c r="E149" s="217" t="n">
        <f aca="false">SUM(J149:K149)</f>
        <v>9.20208565026143E-005</v>
      </c>
      <c r="F149" s="89" t="n">
        <f aca="false">SUM(H149:O149)</f>
        <v>0.000142094179811412</v>
      </c>
      <c r="G149" s="88" t="n">
        <f aca="false">SUM(S149:U149)/(1-'Common input data'!$B$123)</f>
        <v>0.000197529981457572</v>
      </c>
      <c r="H149" s="89" t="n">
        <f aca="false">('Input data plant-based products'!$F$46*('Common input data'!$C$76*'Common input data'!B71+'Common input data'!$C$77*'Common input data'!C71))/'Input data plant-based products'!$E$46</f>
        <v>4.98647350442113E-005</v>
      </c>
      <c r="I149" s="89" t="n">
        <v>0</v>
      </c>
      <c r="J149" s="89" t="n">
        <f aca="false">(SUM('Input data plant-based products'!F46:H46)*'Input data plant-based products'!$B$114*44/28)/'Input data plant-based products'!E46</f>
        <v>8.36553240932858E-005</v>
      </c>
      <c r="K149" s="89" t="n">
        <f aca="false">J149*'Input data plant-based products'!$B$115</f>
        <v>8.36553240932858E-006</v>
      </c>
      <c r="L149" s="89" t="n">
        <f aca="false">('Input data plant-based products'!$I$46*'Common input data'!$C$59*'Common input data'!H51)/'Input data plant-based products'!$E$46</f>
        <v>2.08588264586273E-007</v>
      </c>
      <c r="M149" s="89" t="n">
        <v>0</v>
      </c>
      <c r="N149" s="89" t="n">
        <v>0</v>
      </c>
      <c r="O149" s="89" t="n">
        <v>0</v>
      </c>
      <c r="P149" s="89" t="n">
        <v>0</v>
      </c>
      <c r="Q149" s="89" t="n">
        <v>0</v>
      </c>
      <c r="R149" s="89" t="n">
        <v>0</v>
      </c>
      <c r="S149" s="89" t="n">
        <f aca="false">(F149+R149)</f>
        <v>0.000142094179811412</v>
      </c>
      <c r="T149" s="89" t="n">
        <v>0</v>
      </c>
      <c r="U149" s="89" t="n">
        <v>0</v>
      </c>
      <c r="V149" s="309"/>
      <c r="W149" s="92"/>
      <c r="Z149" s="30"/>
    </row>
    <row r="150" s="332" customFormat="true" ht="17.4" hidden="false" customHeight="false" outlineLevel="0" collapsed="false">
      <c r="A150" s="330" t="s">
        <v>141</v>
      </c>
      <c r="B150" s="76" t="s">
        <v>254</v>
      </c>
      <c r="C150" s="84" t="n">
        <f aca="false">'Input data plant-based products'!D47</f>
        <v>0.14</v>
      </c>
      <c r="D150" s="78" t="s">
        <v>133</v>
      </c>
      <c r="E150" s="94" t="n">
        <f aca="false">IF($F$1="GWP100 without fb",E151+E152*'Common input data'!$C$5+E153*'Common input data'!$D$5,IF($F$1="GWP100 with fb",E151+E152*'Common input data'!$C$6+E153*'Common input data'!$D$6,IF($F$1="GTP100 without fb",E151+E152*'Common input data'!$C$7+E153*'Common input data'!$D$7,IF($F$1="GTP100 with fb",E151+E152*'Common input data'!$C$8+E153*'Common input data'!$D$8,E151+E152*'Common input data'!$C$9+E153*'Common input data'!$D$9))))</f>
        <v>0.0671059867587038</v>
      </c>
      <c r="F150" s="95" t="n">
        <f aca="false">IF($F$1="GWP100 without fb",F151+F152*'Common input data'!$C$5+F153*'Common input data'!$D$5,IF($F$1="GWP100 with fb",F151+F152*'Common input data'!$C$6+F153*'Common input data'!$D$6,IF($F$1="GTP100 without fb",F151+F152*'Common input data'!$C$7+F153*'Common input data'!$D$7,IF($F$1="GTP100 with fb",F151+F152*'Common input data'!$C$8+F153*'Common input data'!$D$8,F151+F152*'Common input data'!$C$9+F153*'Common input data'!$D$9))))</f>
        <v>0.162140217846877</v>
      </c>
      <c r="G150" s="96" t="n">
        <f aca="false">IF($F$1="GWP100 without fb",G151+G152*'Common input data'!$C$5+G153*'Common input data'!$D$5,IF($F$1="GWP100 with fb",G151+G152*'Common input data'!$C$6+G153*'Common input data'!$D$6,IF($F$1="GTP100 without fb",G151+G152*'Common input data'!$C$7+G153*'Common input data'!$D$7,IF($F$1="GTP100 with fb",G151+G152*'Common input data'!$C$8+G153*'Common input data'!$D$8,G151+G152*'Common input data'!$C$9+G153*'Common input data'!$D$9))))</f>
        <v>0.614634245743585</v>
      </c>
      <c r="H150" s="83"/>
      <c r="I150" s="83"/>
      <c r="J150" s="83"/>
      <c r="K150" s="83"/>
      <c r="L150" s="83"/>
      <c r="M150" s="83"/>
      <c r="N150" s="83"/>
      <c r="O150" s="83"/>
      <c r="P150" s="83"/>
      <c r="Q150" s="83"/>
      <c r="R150" s="83"/>
      <c r="S150" s="83"/>
      <c r="T150" s="83"/>
      <c r="U150" s="83"/>
      <c r="V150" s="309"/>
      <c r="W150" s="92"/>
      <c r="X150" s="209"/>
      <c r="Y150" s="209"/>
      <c r="Z150" s="30"/>
      <c r="AA150" s="209"/>
      <c r="AB150" s="209"/>
      <c r="AC150" s="209"/>
      <c r="AD150" s="209"/>
      <c r="AE150" s="209"/>
      <c r="AF150" s="209"/>
      <c r="AG150" s="209"/>
      <c r="AH150" s="209"/>
      <c r="AI150" s="209"/>
      <c r="AJ150" s="209"/>
      <c r="AK150" s="209"/>
      <c r="AL150" s="209"/>
      <c r="AM150" s="209"/>
      <c r="AN150" s="209"/>
      <c r="AO150" s="209"/>
      <c r="AP150" s="209"/>
      <c r="AQ150" s="209"/>
      <c r="AR150" s="209"/>
      <c r="AS150" s="209"/>
      <c r="AT150" s="209"/>
      <c r="AU150" s="209"/>
      <c r="AV150" s="209"/>
      <c r="AW150" s="209"/>
      <c r="AX150" s="209"/>
      <c r="AY150" s="209"/>
      <c r="AZ150" s="209"/>
      <c r="BA150" s="209"/>
      <c r="BB150" s="209"/>
      <c r="BC150" s="209"/>
      <c r="BD150" s="209"/>
      <c r="BE150" s="209"/>
      <c r="BF150" s="209"/>
      <c r="BG150" s="209"/>
      <c r="BH150" s="209"/>
      <c r="BI150" s="209"/>
      <c r="BJ150" s="209"/>
      <c r="BK150" s="209"/>
      <c r="BL150" s="209"/>
      <c r="BM150" s="209"/>
      <c r="BN150" s="209"/>
      <c r="BO150" s="209"/>
      <c r="BP150" s="209"/>
      <c r="BQ150" s="209"/>
      <c r="BR150" s="209"/>
      <c r="BS150" s="209"/>
      <c r="BT150" s="209"/>
      <c r="BU150" s="209"/>
      <c r="BV150" s="209"/>
      <c r="BW150" s="209"/>
      <c r="BX150" s="209"/>
      <c r="BY150" s="209"/>
      <c r="BZ150" s="209"/>
      <c r="CA150" s="209"/>
      <c r="CB150" s="209"/>
      <c r="CC150" s="209"/>
      <c r="CD150" s="209"/>
      <c r="CE150" s="209"/>
      <c r="CF150" s="209"/>
      <c r="CG150" s="209"/>
      <c r="CH150" s="209"/>
      <c r="CI150" s="209"/>
      <c r="CJ150" s="209"/>
      <c r="CK150" s="209"/>
      <c r="CL150" s="209"/>
      <c r="CM150" s="209"/>
      <c r="CN150" s="209"/>
      <c r="CO150" s="209"/>
      <c r="CP150" s="209"/>
      <c r="CQ150" s="209"/>
      <c r="CR150" s="209"/>
      <c r="CS150" s="209"/>
      <c r="CT150" s="209"/>
      <c r="CU150" s="209"/>
      <c r="CV150" s="209"/>
      <c r="CW150" s="209"/>
      <c r="CX150" s="209"/>
      <c r="CY150" s="209"/>
      <c r="CZ150" s="209"/>
      <c r="DA150" s="209"/>
      <c r="DB150" s="209"/>
      <c r="DC150" s="209"/>
      <c r="DD150" s="209"/>
      <c r="DE150" s="209"/>
      <c r="DF150" s="209"/>
      <c r="DG150" s="209"/>
      <c r="DH150" s="209"/>
      <c r="DI150" s="209"/>
      <c r="DJ150" s="209"/>
      <c r="DK150" s="209"/>
      <c r="DL150" s="209"/>
      <c r="DM150" s="209"/>
      <c r="DN150" s="209"/>
      <c r="DO150" s="209"/>
      <c r="DP150" s="209"/>
      <c r="DQ150" s="209"/>
      <c r="DR150" s="209"/>
      <c r="DS150" s="209"/>
      <c r="DT150" s="209"/>
      <c r="DU150" s="209"/>
      <c r="DV150" s="209"/>
      <c r="DW150" s="209"/>
      <c r="DX150" s="209"/>
      <c r="DY150" s="209"/>
      <c r="DZ150" s="209"/>
      <c r="EA150" s="209"/>
      <c r="EB150" s="209"/>
      <c r="EC150" s="209"/>
      <c r="ED150" s="209"/>
      <c r="EE150" s="209"/>
      <c r="EF150" s="209"/>
      <c r="EG150" s="209"/>
      <c r="EH150" s="209"/>
      <c r="EI150" s="209"/>
      <c r="EJ150" s="209"/>
      <c r="EK150" s="209"/>
      <c r="EL150" s="209"/>
      <c r="EM150" s="209"/>
      <c r="EN150" s="209"/>
      <c r="EO150" s="209"/>
      <c r="EP150" s="209"/>
      <c r="EQ150" s="209"/>
      <c r="ER150" s="209"/>
      <c r="ES150" s="209"/>
      <c r="ET150" s="209"/>
      <c r="EU150" s="209"/>
      <c r="EV150" s="209"/>
      <c r="EW150" s="209"/>
      <c r="EX150" s="209"/>
      <c r="EY150" s="209"/>
      <c r="EZ150" s="209"/>
      <c r="FA150" s="209"/>
      <c r="FB150" s="209"/>
      <c r="FC150" s="209"/>
      <c r="FD150" s="209"/>
      <c r="FE150" s="209"/>
      <c r="FF150" s="209"/>
      <c r="FG150" s="209"/>
      <c r="FH150" s="209"/>
      <c r="FI150" s="209"/>
      <c r="FJ150" s="209"/>
      <c r="FK150" s="209"/>
      <c r="FL150" s="209"/>
      <c r="FM150" s="209"/>
      <c r="FN150" s="209"/>
      <c r="FO150" s="209"/>
      <c r="FP150" s="209"/>
      <c r="FQ150" s="209"/>
      <c r="FR150" s="209"/>
      <c r="FS150" s="209"/>
      <c r="FT150" s="209"/>
      <c r="FU150" s="209"/>
      <c r="FV150" s="209"/>
      <c r="FW150" s="209"/>
      <c r="FX150" s="209"/>
      <c r="FY150" s="209"/>
      <c r="FZ150" s="209"/>
      <c r="GA150" s="209"/>
      <c r="GB150" s="209"/>
      <c r="GC150" s="209"/>
      <c r="GD150" s="209"/>
      <c r="GE150" s="209"/>
      <c r="GF150" s="209"/>
      <c r="GG150" s="209"/>
      <c r="GH150" s="209"/>
      <c r="GI150" s="209"/>
      <c r="GJ150" s="209"/>
      <c r="GK150" s="209"/>
      <c r="GL150" s="209"/>
      <c r="GM150" s="209"/>
      <c r="GN150" s="209"/>
      <c r="GO150" s="209"/>
      <c r="GP150" s="209"/>
      <c r="GQ150" s="209"/>
      <c r="GR150" s="209"/>
      <c r="GS150" s="209"/>
      <c r="GT150" s="209"/>
      <c r="GU150" s="209"/>
      <c r="GV150" s="209"/>
      <c r="GW150" s="209"/>
      <c r="GX150" s="209"/>
      <c r="GY150" s="209"/>
      <c r="GZ150" s="209"/>
      <c r="HA150" s="209"/>
      <c r="HB150" s="209"/>
      <c r="HC150" s="209"/>
      <c r="HD150" s="209"/>
      <c r="HE150" s="209"/>
      <c r="HF150" s="209"/>
      <c r="HG150" s="209"/>
      <c r="HH150" s="209"/>
      <c r="HI150" s="209"/>
      <c r="HJ150" s="209"/>
      <c r="HK150" s="209"/>
      <c r="HL150" s="209"/>
      <c r="HM150" s="209"/>
      <c r="HN150" s="209"/>
      <c r="HO150" s="209"/>
      <c r="HP150" s="209"/>
      <c r="HQ150" s="209"/>
      <c r="HR150" s="209"/>
      <c r="HS150" s="209"/>
      <c r="HT150" s="209"/>
      <c r="HU150" s="209"/>
      <c r="HV150" s="209"/>
      <c r="HW150" s="209"/>
      <c r="HX150" s="209"/>
      <c r="HY150" s="209"/>
      <c r="HZ150" s="209"/>
      <c r="IA150" s="209"/>
      <c r="IB150" s="209"/>
      <c r="IC150" s="209"/>
      <c r="ID150" s="209"/>
      <c r="IE150" s="209"/>
      <c r="IF150" s="209"/>
      <c r="IG150" s="209"/>
      <c r="IH150" s="209"/>
      <c r="II150" s="209"/>
      <c r="IJ150" s="209"/>
      <c r="IK150" s="209"/>
      <c r="IL150" s="209"/>
      <c r="IM150" s="209"/>
      <c r="IN150" s="209"/>
      <c r="IO150" s="209"/>
      <c r="IP150" s="209"/>
      <c r="IQ150" s="209"/>
      <c r="IR150" s="209"/>
      <c r="IS150" s="209"/>
      <c r="IT150" s="209"/>
      <c r="IU150" s="209"/>
      <c r="IV150" s="209"/>
      <c r="IW150" s="209"/>
      <c r="IX150" s="209"/>
    </row>
    <row r="151" s="209" customFormat="true" ht="17.4" hidden="false" customHeight="false" outlineLevel="0" collapsed="false">
      <c r="A151" s="99"/>
      <c r="B151" s="31"/>
      <c r="C151" s="30"/>
      <c r="D151" s="85" t="s">
        <v>134</v>
      </c>
      <c r="E151" s="217" t="n">
        <f aca="false">IF(AND($F$2="No",$F$3="No"),SUM(J151:K151),IF(AND($F$2="Yes", $F$3="No"), SUM(J151:K151)+Q151, IF(AND($F$2="No", $F$3="Yes"),SUM(J151:K151)+P151, SUM(J151:K151)+Q151+P151)))</f>
        <v>0.0399894869629571</v>
      </c>
      <c r="F151" s="89" t="n">
        <f aca="false">IF(AND($F$2="No",$F$3="No"),SUM(H151:O151),IF(AND($F$2="Yes", $F$3="No"), SUM(H151:O151)+Q151, IF(AND($F$2="No", $F$3="Yes"),SUM(H151:O151)+P151, SUM(H151:O151)+Q151+P151)))</f>
        <v>0.119937714632831</v>
      </c>
      <c r="G151" s="88" t="n">
        <f aca="false">SUM(S151:U151)/(1-'Common input data'!$B$123)</f>
        <v>0.55596710196333</v>
      </c>
      <c r="H151" s="87" t="n">
        <f aca="false">('Input data plant-based products'!$F$47*('Common input data'!$C$76*'Common input data'!B69+'Common input data'!$C$77*'Common input data'!C69))/'Input data plant-based products'!$E$47</f>
        <v>0.00897072500657124</v>
      </c>
      <c r="I151" s="89" t="n">
        <f aca="false">'Common input data'!$B$81</f>
        <v>0.03</v>
      </c>
      <c r="J151" s="87" t="n">
        <v>0</v>
      </c>
      <c r="K151" s="89" t="n">
        <v>0</v>
      </c>
      <c r="L151" s="87" t="n">
        <f aca="false">('Input data plant-based products'!$I$47*'Common input data'!$C$59*'Common input data'!H49)/'Input data plant-based products'!$E$47</f>
        <v>0.0209775026633025</v>
      </c>
      <c r="M151" s="89" t="n">
        <v>0</v>
      </c>
      <c r="N151" s="89" t="n">
        <f aca="false">'Input data plant-based products'!$G$152</f>
        <v>0.02</v>
      </c>
      <c r="O151" s="89" t="n">
        <v>0</v>
      </c>
      <c r="P151" s="89" t="n">
        <f aca="false">'Common input data'!$E$13</f>
        <v>0.0399894869629571</v>
      </c>
      <c r="Q151" s="89" t="n">
        <v>0</v>
      </c>
      <c r="R151" s="89" t="n">
        <v>0</v>
      </c>
      <c r="S151" s="89" t="n">
        <f aca="false">(F151+R151)</f>
        <v>0.119937714632831</v>
      </c>
      <c r="T151" s="89" t="n">
        <f aca="false">'Common input data'!$B$88</f>
        <v>0.05</v>
      </c>
      <c r="U151" s="89" t="n">
        <f aca="false">'Common input data'!B102+'Common input data'!C102</f>
        <v>0.23</v>
      </c>
      <c r="V151" s="309"/>
      <c r="W151" s="92"/>
      <c r="Z151" s="30"/>
    </row>
    <row r="152" s="209" customFormat="true" ht="17.4" hidden="false" customHeight="false" outlineLevel="0" collapsed="false">
      <c r="A152" s="74"/>
      <c r="B152" s="31"/>
      <c r="C152" s="93"/>
      <c r="D152" s="85" t="s">
        <v>135</v>
      </c>
      <c r="E152" s="217" t="n">
        <f aca="false">SUM(J152:K152)</f>
        <v>0</v>
      </c>
      <c r="F152" s="89" t="n">
        <f aca="false">SUM(H152:O152)</f>
        <v>9.29236587788057E-006</v>
      </c>
      <c r="G152" s="88" t="n">
        <f aca="false">SUM(S152:U152)/(1-'Common input data'!$B$123)</f>
        <v>1.29176357679874E-005</v>
      </c>
      <c r="H152" s="87" t="n">
        <f aca="false">('Input data plant-based products'!$F$47*('Common input data'!$C$76*'Common input data'!B70+'Common input data'!$C$77*'Common input data'!C70))/'Input data plant-based products'!$E$47</f>
        <v>3.95532380151388E-011</v>
      </c>
      <c r="I152" s="89" t="n">
        <v>0</v>
      </c>
      <c r="J152" s="87" t="n">
        <v>0</v>
      </c>
      <c r="K152" s="89" t="n">
        <v>0</v>
      </c>
      <c r="L152" s="87" t="n">
        <f aca="false">('Input data plant-based products'!$I$47*'Common input data'!$C$59*'Common input data'!H50)/'Input data plant-based products'!$E$47</f>
        <v>9.29232632464256E-006</v>
      </c>
      <c r="M152" s="89" t="n">
        <v>0</v>
      </c>
      <c r="N152" s="89" t="n">
        <v>0</v>
      </c>
      <c r="O152" s="89" t="n">
        <v>0</v>
      </c>
      <c r="P152" s="89" t="n">
        <v>0</v>
      </c>
      <c r="Q152" s="89" t="n">
        <v>0</v>
      </c>
      <c r="R152" s="89" t="n">
        <v>0</v>
      </c>
      <c r="S152" s="89" t="n">
        <f aca="false">(F152+R152)</f>
        <v>9.29236587788057E-006</v>
      </c>
      <c r="T152" s="89" t="n">
        <v>0</v>
      </c>
      <c r="U152" s="89" t="n">
        <v>0</v>
      </c>
      <c r="V152" s="309"/>
      <c r="W152" s="92"/>
      <c r="Z152" s="30"/>
    </row>
    <row r="153" s="209" customFormat="true" ht="17.4" hidden="false" customHeight="false" outlineLevel="0" collapsed="false">
      <c r="A153" s="100"/>
      <c r="B153" s="101"/>
      <c r="C153" s="87"/>
      <c r="D153" s="31" t="s">
        <v>136</v>
      </c>
      <c r="E153" s="219" t="n">
        <f aca="false">SUM(J153:K153)</f>
        <v>9.09949657575393E-005</v>
      </c>
      <c r="F153" s="126" t="n">
        <f aca="false">SUM(H153:O153)</f>
        <v>0.000140558935483886</v>
      </c>
      <c r="G153" s="106" t="n">
        <f aca="false">SUM(S153:U153)/(1-'Common input data'!$B$123)</f>
        <v>0.000195395785785719</v>
      </c>
      <c r="H153" s="87" t="n">
        <f aca="false">('Input data plant-based products'!$F$47*('Common input data'!$C$76*'Common input data'!B71+'Common input data'!$C$77*'Common input data'!C71))/'Input data plant-based products'!$E$47</f>
        <v>4.90002960509887E-005</v>
      </c>
      <c r="I153" s="87" t="n">
        <v>0</v>
      </c>
      <c r="J153" s="87" t="n">
        <f aca="false">(SUM('Input data plant-based products'!F47:H47)*'Input data plant-based products'!$B$114*44/28)/'Input data plant-based products'!E47</f>
        <v>8.27226961432176E-005</v>
      </c>
      <c r="K153" s="89" t="n">
        <f aca="false">J153*'Input data plant-based products'!$B$115</f>
        <v>8.27226961432176E-006</v>
      </c>
      <c r="L153" s="87" t="n">
        <f aca="false">('Input data plant-based products'!$I$47*'Common input data'!$C$59*'Common input data'!H51)/'Input data plant-based products'!$E$47</f>
        <v>5.63673675357443E-007</v>
      </c>
      <c r="M153" s="89" t="n">
        <v>0</v>
      </c>
      <c r="N153" s="89" t="n">
        <v>0</v>
      </c>
      <c r="O153" s="89" t="n">
        <v>0</v>
      </c>
      <c r="P153" s="89" t="n">
        <v>0</v>
      </c>
      <c r="Q153" s="89" t="n">
        <v>0</v>
      </c>
      <c r="R153" s="89" t="n">
        <v>0</v>
      </c>
      <c r="S153" s="89" t="n">
        <f aca="false">(F153+R153)</f>
        <v>0.000140558935483886</v>
      </c>
      <c r="T153" s="89" t="n">
        <v>0</v>
      </c>
      <c r="U153" s="89" t="n">
        <v>0</v>
      </c>
      <c r="V153" s="309"/>
      <c r="W153" s="92"/>
      <c r="Z153" s="30"/>
    </row>
    <row r="154" s="334" customFormat="true" ht="17.4" hidden="false" customHeight="false" outlineLevel="0" collapsed="false">
      <c r="A154" s="107" t="s">
        <v>304</v>
      </c>
      <c r="B154" s="108"/>
      <c r="C154" s="69"/>
      <c r="D154" s="109"/>
      <c r="E154" s="110" t="s">
        <v>305</v>
      </c>
      <c r="F154" s="111" t="s">
        <v>305</v>
      </c>
      <c r="G154" s="112" t="s">
        <v>305</v>
      </c>
      <c r="H154" s="69"/>
      <c r="I154" s="69"/>
      <c r="J154" s="69"/>
      <c r="K154" s="113"/>
      <c r="L154" s="113"/>
      <c r="M154" s="114"/>
      <c r="N154" s="113"/>
      <c r="O154" s="113"/>
      <c r="P154" s="113"/>
      <c r="Q154" s="113"/>
      <c r="R154" s="113"/>
      <c r="S154" s="113"/>
      <c r="T154" s="113"/>
      <c r="U154" s="113"/>
      <c r="V154" s="309"/>
      <c r="W154" s="92"/>
      <c r="X154" s="209"/>
      <c r="Y154" s="209"/>
      <c r="Z154" s="30"/>
      <c r="AA154" s="209"/>
      <c r="AB154" s="209"/>
      <c r="AC154" s="209"/>
      <c r="AD154" s="209"/>
      <c r="AE154" s="209"/>
      <c r="AF154" s="209"/>
      <c r="AG154" s="209"/>
      <c r="AH154" s="209"/>
      <c r="AI154" s="209"/>
      <c r="AJ154" s="209"/>
      <c r="AK154" s="209"/>
      <c r="AL154" s="209"/>
      <c r="AM154" s="209"/>
      <c r="AN154" s="209"/>
      <c r="AO154" s="209"/>
      <c r="AP154" s="209"/>
      <c r="AQ154" s="209"/>
      <c r="AR154" s="209"/>
      <c r="AS154" s="209"/>
      <c r="AT154" s="209"/>
      <c r="AU154" s="209"/>
      <c r="AV154" s="209"/>
      <c r="AW154" s="209"/>
      <c r="AX154" s="209"/>
      <c r="AY154" s="209"/>
      <c r="AZ154" s="209"/>
      <c r="BA154" s="209"/>
      <c r="BB154" s="209"/>
      <c r="BC154" s="209"/>
      <c r="BD154" s="209"/>
      <c r="BE154" s="209"/>
      <c r="BF154" s="209"/>
      <c r="BG154" s="209"/>
      <c r="BH154" s="209"/>
      <c r="BI154" s="209"/>
      <c r="BJ154" s="209"/>
      <c r="BK154" s="209"/>
      <c r="BL154" s="209"/>
      <c r="BM154" s="209"/>
      <c r="BN154" s="209"/>
      <c r="BO154" s="209"/>
      <c r="BP154" s="209"/>
      <c r="BQ154" s="209"/>
      <c r="BR154" s="209"/>
      <c r="BS154" s="209"/>
      <c r="BT154" s="209"/>
      <c r="BU154" s="209"/>
      <c r="BV154" s="209"/>
      <c r="BW154" s="209"/>
      <c r="BX154" s="209"/>
      <c r="BY154" s="209"/>
      <c r="BZ154" s="209"/>
      <c r="CA154" s="209"/>
      <c r="CB154" s="209"/>
      <c r="CC154" s="209"/>
      <c r="CD154" s="209"/>
      <c r="CE154" s="209"/>
      <c r="CF154" s="209"/>
      <c r="CG154" s="209"/>
      <c r="CH154" s="209"/>
      <c r="CI154" s="209"/>
      <c r="CJ154" s="209"/>
      <c r="CK154" s="209"/>
      <c r="CL154" s="209"/>
      <c r="CM154" s="209"/>
      <c r="CN154" s="209"/>
      <c r="CO154" s="209"/>
      <c r="CP154" s="209"/>
      <c r="CQ154" s="209"/>
      <c r="CR154" s="209"/>
      <c r="CS154" s="209"/>
      <c r="CT154" s="209"/>
      <c r="CU154" s="209"/>
      <c r="CV154" s="209"/>
      <c r="CW154" s="209"/>
      <c r="CX154" s="209"/>
      <c r="CY154" s="209"/>
      <c r="CZ154" s="209"/>
      <c r="DA154" s="209"/>
      <c r="DB154" s="209"/>
      <c r="DC154" s="209"/>
      <c r="DD154" s="209"/>
      <c r="DE154" s="209"/>
      <c r="DF154" s="209"/>
      <c r="DG154" s="209"/>
      <c r="DH154" s="209"/>
      <c r="DI154" s="209"/>
      <c r="DJ154" s="209"/>
      <c r="DK154" s="209"/>
      <c r="DL154" s="209"/>
      <c r="DM154" s="209"/>
      <c r="DN154" s="209"/>
      <c r="DO154" s="209"/>
      <c r="DP154" s="209"/>
      <c r="DQ154" s="209"/>
      <c r="DR154" s="209"/>
      <c r="DS154" s="209"/>
      <c r="DT154" s="209"/>
      <c r="DU154" s="209"/>
      <c r="DV154" s="209"/>
      <c r="DW154" s="209"/>
      <c r="DX154" s="209"/>
      <c r="DY154" s="209"/>
      <c r="DZ154" s="209"/>
      <c r="EA154" s="209"/>
      <c r="EB154" s="209"/>
      <c r="EC154" s="209"/>
      <c r="ED154" s="209"/>
      <c r="EE154" s="209"/>
      <c r="EF154" s="209"/>
      <c r="EG154" s="209"/>
      <c r="EH154" s="209"/>
      <c r="EI154" s="209"/>
      <c r="EJ154" s="209"/>
      <c r="EK154" s="209"/>
      <c r="EL154" s="209"/>
      <c r="EM154" s="209"/>
      <c r="EN154" s="209"/>
      <c r="EO154" s="209"/>
      <c r="EP154" s="209"/>
      <c r="EQ154" s="209"/>
      <c r="ER154" s="209"/>
      <c r="ES154" s="209"/>
      <c r="ET154" s="209"/>
      <c r="EU154" s="209"/>
      <c r="EV154" s="209"/>
      <c r="EW154" s="209"/>
      <c r="EX154" s="209"/>
      <c r="EY154" s="209"/>
      <c r="EZ154" s="209"/>
      <c r="FA154" s="209"/>
      <c r="FB154" s="209"/>
      <c r="FC154" s="209"/>
      <c r="FD154" s="209"/>
      <c r="FE154" s="209"/>
      <c r="FF154" s="209"/>
      <c r="FG154" s="209"/>
      <c r="FH154" s="209"/>
      <c r="FI154" s="209"/>
      <c r="FJ154" s="209"/>
      <c r="FK154" s="209"/>
      <c r="FL154" s="209"/>
      <c r="FM154" s="209"/>
      <c r="FN154" s="209"/>
      <c r="FO154" s="209"/>
      <c r="FP154" s="209"/>
      <c r="FQ154" s="209"/>
      <c r="FR154" s="209"/>
      <c r="FS154" s="209"/>
      <c r="FT154" s="209"/>
      <c r="FU154" s="209"/>
      <c r="FV154" s="209"/>
      <c r="FW154" s="209"/>
      <c r="FX154" s="209"/>
      <c r="FY154" s="209"/>
      <c r="FZ154" s="209"/>
      <c r="GA154" s="209"/>
      <c r="GB154" s="209"/>
      <c r="GC154" s="209"/>
      <c r="GD154" s="209"/>
      <c r="GE154" s="209"/>
      <c r="GF154" s="209"/>
      <c r="GG154" s="209"/>
      <c r="GH154" s="209"/>
      <c r="GI154" s="209"/>
      <c r="GJ154" s="209"/>
      <c r="GK154" s="209"/>
      <c r="GL154" s="209"/>
      <c r="GM154" s="209"/>
      <c r="GN154" s="209"/>
      <c r="GO154" s="209"/>
      <c r="GP154" s="209"/>
      <c r="GQ154" s="209"/>
      <c r="GR154" s="209"/>
      <c r="GS154" s="209"/>
      <c r="GT154" s="209"/>
      <c r="GU154" s="209"/>
      <c r="GV154" s="209"/>
      <c r="GW154" s="209"/>
      <c r="GX154" s="209"/>
      <c r="GY154" s="209"/>
      <c r="GZ154" s="209"/>
      <c r="HA154" s="209"/>
      <c r="HB154" s="209"/>
      <c r="HC154" s="209"/>
      <c r="HD154" s="209"/>
      <c r="HE154" s="209"/>
      <c r="HF154" s="209"/>
      <c r="HG154" s="209"/>
      <c r="HH154" s="209"/>
      <c r="HI154" s="209"/>
      <c r="HJ154" s="209"/>
      <c r="HK154" s="209"/>
      <c r="HL154" s="209"/>
      <c r="HM154" s="209"/>
      <c r="HN154" s="209"/>
      <c r="HO154" s="209"/>
      <c r="HP154" s="209"/>
      <c r="HQ154" s="209"/>
      <c r="HR154" s="209"/>
      <c r="HS154" s="209"/>
      <c r="HT154" s="209"/>
      <c r="HU154" s="209"/>
      <c r="HV154" s="209"/>
      <c r="HW154" s="209"/>
      <c r="HX154" s="209"/>
      <c r="HY154" s="209"/>
      <c r="HZ154" s="209"/>
      <c r="IA154" s="209"/>
      <c r="IB154" s="209"/>
      <c r="IC154" s="209"/>
      <c r="ID154" s="209"/>
      <c r="IE154" s="209"/>
      <c r="IF154" s="209"/>
      <c r="IG154" s="209"/>
      <c r="IH154" s="209"/>
      <c r="II154" s="209"/>
      <c r="IJ154" s="209"/>
      <c r="IK154" s="209"/>
      <c r="IL154" s="209"/>
      <c r="IM154" s="209"/>
      <c r="IN154" s="209"/>
      <c r="IO154" s="209"/>
      <c r="IP154" s="209"/>
      <c r="IQ154" s="209"/>
      <c r="IR154" s="209"/>
      <c r="IS154" s="209"/>
      <c r="IT154" s="209"/>
      <c r="IU154" s="209"/>
      <c r="IV154" s="209"/>
      <c r="IW154" s="209"/>
      <c r="IX154" s="209"/>
    </row>
    <row r="155" s="332" customFormat="true" ht="17.4" hidden="false" customHeight="false" outlineLevel="0" collapsed="false">
      <c r="A155" s="330" t="s">
        <v>272</v>
      </c>
      <c r="B155" s="76"/>
      <c r="C155" s="188" t="n">
        <f aca="false">SUM(C159:C170)</f>
        <v>1</v>
      </c>
      <c r="D155" s="78" t="s">
        <v>133</v>
      </c>
      <c r="E155" s="79" t="n">
        <f aca="false">IF($F$1="GWP100 without fb",E156+E157*'Common input data'!$C$5+E158*'Common input data'!$D$5,IF($F$1="GWP100 with fb",E156+E157*'Common input data'!$C$6+E158*'Common input data'!$D$6,IF($F$1="GTP100 without fb",E156+E157*'Common input data'!$C$7+E158*'Common input data'!$D$7,IF($F$1="GTP100 with fb",E156+E157*'Common input data'!$C$8+E158*'Common input data'!$D$8,E156+E157*'Common input data'!$C$9+E158*'Common input data'!$D$9))))</f>
        <v>0.0763591607245845</v>
      </c>
      <c r="F155" s="80" t="n">
        <f aca="false">IF($F$1="GWP100 without fb",F156+F157*'Common input data'!$C$5+F158*'Common input data'!$D$5,IF($F$1="GWP100 with fb",F156+F157*'Common input data'!$C$6+F158*'Common input data'!$D$6,IF($F$1="GTP100 without fb",F156+F157*'Common input data'!$C$7+F158*'Common input data'!$D$7,IF($F$1="GTP100 with fb",F156+F157*'Common input data'!$C$8+F158*'Common input data'!$D$8,F156+F157*'Common input data'!$C$9+F158*'Common input data'!$D$9))))</f>
        <v>0.175440927988011</v>
      </c>
      <c r="G155" s="81" t="n">
        <f aca="false">IF($F$1="GWP100 without fb",G156+G157*'Common input data'!$C$5+G158*'Common input data'!$D$5,IF($F$1="GWP100 with fb",G156+G157*'Common input data'!$C$6+G158*'Common input data'!$D$6,IF($F$1="GTP100 without fb",G156+G157*'Common input data'!$C$7+G158*'Common input data'!$D$7,IF($F$1="GTP100 with fb",G156+G157*'Common input data'!$C$8+G158*'Common input data'!$D$8,G156+G157*'Common input data'!$C$9+G158*'Common input data'!$D$9))))</f>
        <v>0.395561436911338</v>
      </c>
      <c r="H155" s="95"/>
      <c r="I155" s="97"/>
      <c r="J155" s="97"/>
      <c r="K155" s="83"/>
      <c r="L155" s="83"/>
      <c r="M155" s="83"/>
      <c r="N155" s="83"/>
      <c r="O155" s="83"/>
      <c r="P155" s="83"/>
      <c r="Q155" s="83"/>
      <c r="R155" s="83"/>
      <c r="S155" s="83"/>
      <c r="T155" s="83"/>
      <c r="U155" s="83"/>
      <c r="V155" s="309"/>
      <c r="W155" s="92"/>
      <c r="X155" s="209"/>
      <c r="Y155" s="209"/>
      <c r="Z155" s="30"/>
      <c r="AA155" s="209"/>
      <c r="AB155" s="209"/>
      <c r="AC155" s="209"/>
      <c r="AD155" s="209"/>
      <c r="AE155" s="209"/>
      <c r="AF155" s="209"/>
      <c r="AG155" s="209"/>
      <c r="AH155" s="209"/>
      <c r="AI155" s="209"/>
      <c r="AJ155" s="209"/>
      <c r="AK155" s="209"/>
      <c r="AL155" s="209"/>
      <c r="AM155" s="209"/>
      <c r="AN155" s="209"/>
      <c r="AO155" s="209"/>
      <c r="AP155" s="209"/>
      <c r="AQ155" s="209"/>
      <c r="AR155" s="209"/>
      <c r="AS155" s="209"/>
      <c r="AT155" s="209"/>
      <c r="AU155" s="209"/>
      <c r="AV155" s="209"/>
      <c r="AW155" s="209"/>
      <c r="AX155" s="209"/>
      <c r="AY155" s="209"/>
      <c r="AZ155" s="209"/>
      <c r="BA155" s="209"/>
      <c r="BB155" s="209"/>
      <c r="BC155" s="209"/>
      <c r="BD155" s="209"/>
      <c r="BE155" s="209"/>
      <c r="BF155" s="209"/>
      <c r="BG155" s="209"/>
      <c r="BH155" s="209"/>
      <c r="BI155" s="209"/>
      <c r="BJ155" s="209"/>
      <c r="BK155" s="209"/>
      <c r="BL155" s="209"/>
      <c r="BM155" s="209"/>
      <c r="BN155" s="209"/>
      <c r="BO155" s="209"/>
      <c r="BP155" s="209"/>
      <c r="BQ155" s="209"/>
      <c r="BR155" s="209"/>
      <c r="BS155" s="209"/>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209"/>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09"/>
      <c r="EC155" s="209"/>
      <c r="ED155" s="209"/>
      <c r="EE155" s="209"/>
      <c r="EF155" s="209"/>
      <c r="EG155" s="209"/>
      <c r="EH155" s="209"/>
      <c r="EI155" s="209"/>
      <c r="EJ155" s="209"/>
      <c r="EK155" s="209"/>
      <c r="EL155" s="209"/>
      <c r="EM155" s="209"/>
      <c r="EN155" s="209"/>
      <c r="EO155" s="209"/>
      <c r="EP155" s="209"/>
      <c r="EQ155" s="209"/>
      <c r="ER155" s="209"/>
      <c r="ES155" s="209"/>
      <c r="ET155" s="209"/>
      <c r="EU155" s="209"/>
      <c r="EV155" s="209"/>
      <c r="EW155" s="209"/>
      <c r="EX155" s="209"/>
      <c r="EY155" s="209"/>
      <c r="EZ155" s="209"/>
      <c r="FA155" s="209"/>
      <c r="FB155" s="209"/>
      <c r="FC155" s="209"/>
      <c r="FD155" s="209"/>
      <c r="FE155" s="209"/>
      <c r="FF155" s="209"/>
      <c r="FG155" s="209"/>
      <c r="FH155" s="209"/>
      <c r="FI155" s="209"/>
      <c r="FJ155" s="209"/>
      <c r="FK155" s="209"/>
      <c r="FL155" s="209"/>
      <c r="FM155" s="209"/>
      <c r="FN155" s="209"/>
      <c r="FO155" s="209"/>
      <c r="FP155" s="209"/>
      <c r="FQ155" s="209"/>
      <c r="FR155" s="209"/>
      <c r="FS155" s="209"/>
      <c r="FT155" s="209"/>
      <c r="FU155" s="209"/>
      <c r="FV155" s="209"/>
      <c r="FW155" s="209"/>
      <c r="FX155" s="209"/>
      <c r="FY155" s="209"/>
      <c r="FZ155" s="209"/>
      <c r="GA155" s="209"/>
      <c r="GB155" s="209"/>
      <c r="GC155" s="209"/>
      <c r="GD155" s="209"/>
      <c r="GE155" s="209"/>
      <c r="GF155" s="209"/>
      <c r="GG155" s="209"/>
      <c r="GH155" s="209"/>
      <c r="GI155" s="209"/>
      <c r="GJ155" s="209"/>
      <c r="GK155" s="209"/>
      <c r="GL155" s="209"/>
      <c r="GM155" s="209"/>
      <c r="GN155" s="209"/>
      <c r="GO155" s="209"/>
      <c r="GP155" s="209"/>
      <c r="GQ155" s="209"/>
      <c r="GR155" s="209"/>
      <c r="GS155" s="209"/>
      <c r="GT155" s="209"/>
      <c r="GU155" s="209"/>
      <c r="GV155" s="209"/>
      <c r="GW155" s="209"/>
      <c r="GX155" s="209"/>
      <c r="GY155" s="209"/>
      <c r="GZ155" s="209"/>
      <c r="HA155" s="209"/>
      <c r="HB155" s="209"/>
      <c r="HC155" s="209"/>
      <c r="HD155" s="209"/>
      <c r="HE155" s="209"/>
      <c r="HF155" s="209"/>
      <c r="HG155" s="209"/>
      <c r="HH155" s="209"/>
      <c r="HI155" s="209"/>
      <c r="HJ155" s="209"/>
      <c r="HK155" s="209"/>
      <c r="HL155" s="209"/>
      <c r="HM155" s="209"/>
      <c r="HN155" s="209"/>
      <c r="HO155" s="209"/>
      <c r="HP155" s="209"/>
      <c r="HQ155" s="209"/>
      <c r="HR155" s="209"/>
      <c r="HS155" s="209"/>
      <c r="HT155" s="209"/>
      <c r="HU155" s="209"/>
      <c r="HV155" s="209"/>
      <c r="HW155" s="209"/>
      <c r="HX155" s="209"/>
      <c r="HY155" s="209"/>
      <c r="HZ155" s="209"/>
      <c r="IA155" s="209"/>
      <c r="IB155" s="209"/>
      <c r="IC155" s="209"/>
      <c r="ID155" s="209"/>
      <c r="IE155" s="209"/>
      <c r="IF155" s="209"/>
      <c r="IG155" s="209"/>
      <c r="IH155" s="209"/>
      <c r="II155" s="209"/>
      <c r="IJ155" s="209"/>
      <c r="IK155" s="209"/>
      <c r="IL155" s="209"/>
      <c r="IM155" s="209"/>
      <c r="IN155" s="209"/>
      <c r="IO155" s="209"/>
      <c r="IP155" s="209"/>
      <c r="IQ155" s="209"/>
      <c r="IR155" s="209"/>
      <c r="IS155" s="209"/>
      <c r="IT155" s="209"/>
      <c r="IU155" s="209"/>
      <c r="IV155" s="209"/>
      <c r="IW155" s="209"/>
      <c r="IX155" s="209"/>
    </row>
    <row r="156" s="209" customFormat="true" ht="17.4" hidden="false" customHeight="false" outlineLevel="0" collapsed="false">
      <c r="A156" s="315"/>
      <c r="B156" s="31"/>
      <c r="C156" s="30"/>
      <c r="D156" s="85" t="s">
        <v>134</v>
      </c>
      <c r="E156" s="217" t="n">
        <f aca="false">E160*$C$159+E164*$C$163+$C$167*E168</f>
        <v>0.0399894869629571</v>
      </c>
      <c r="F156" s="89" t="n">
        <f aca="false">F160*$C$159+F164*$C$163+$C$167*F168</f>
        <v>0.116794105506298</v>
      </c>
      <c r="G156" s="88" t="n">
        <f aca="false">G160*$C$159+G164*$C$163+$C$167*G168</f>
        <v>0.325568809531325</v>
      </c>
      <c r="H156" s="89" t="n">
        <f aca="false">H160*$C$159+H164*$C$163+$C$167*H168</f>
        <v>0.0152141035142956</v>
      </c>
      <c r="I156" s="89" t="n">
        <f aca="false">I160*$C$159+I164*$C$163+$C$167*I168</f>
        <v>0.03</v>
      </c>
      <c r="J156" s="89" t="n">
        <f aca="false">J160*$C$159+J164*$C$163+$C$167*J168</f>
        <v>0</v>
      </c>
      <c r="K156" s="89" t="n">
        <f aca="false">K160*$C$159+K164*$C$163+$C$167*K168</f>
        <v>0</v>
      </c>
      <c r="L156" s="89" t="n">
        <f aca="false">L160*$C$159+L164*$C$163+$C$167*L168</f>
        <v>0.0115905150290448</v>
      </c>
      <c r="M156" s="89" t="n">
        <f aca="false">M160*$C$159+M164*$C$163+$C$167*M168</f>
        <v>0</v>
      </c>
      <c r="N156" s="89" t="n">
        <f aca="false">N160*$C$159+N164*$C$163+$C$167*N168</f>
        <v>0.02</v>
      </c>
      <c r="O156" s="89" t="n">
        <f aca="false">O160*$C$159+O164*$C$163+$C$167*O168</f>
        <v>0</v>
      </c>
      <c r="P156" s="89" t="n">
        <f aca="false">P160*$C$159+P164*$C$163+$C$167*P168</f>
        <v>0.0399894869629571</v>
      </c>
      <c r="Q156" s="89" t="n">
        <f aca="false">Q160*$C$159+Q164*$C$163+$C$167*Q168</f>
        <v>0</v>
      </c>
      <c r="R156" s="89" t="n">
        <f aca="false">R160*$C$159+R164*$C$163+$C$167*R168</f>
        <v>0</v>
      </c>
      <c r="S156" s="89" t="n">
        <f aca="false">S160*$C$159+S164*$C$163+$C$167*S168</f>
        <v>0.116794105506298</v>
      </c>
      <c r="T156" s="89" t="n">
        <f aca="false">T160*$C$159+T164*$C$163+$C$167*T168</f>
        <v>0.05</v>
      </c>
      <c r="U156" s="89" t="n">
        <f aca="false">U160*$C$159+U164*$C$163+$C$167*U168</f>
        <v>0.106</v>
      </c>
      <c r="V156" s="309"/>
      <c r="W156" s="92"/>
      <c r="Z156" s="30"/>
    </row>
    <row r="157" s="209" customFormat="true" ht="17.4" hidden="false" customHeight="false" outlineLevel="0" collapsed="false">
      <c r="A157" s="315"/>
      <c r="B157" s="31"/>
      <c r="C157" s="93"/>
      <c r="D157" s="85" t="s">
        <v>135</v>
      </c>
      <c r="E157" s="217" t="n">
        <f aca="false">E161*$C$159+E165*$C$163+$C$167*E169</f>
        <v>0</v>
      </c>
      <c r="F157" s="89" t="n">
        <f aca="false">F161*$C$159+F165*$C$163+$C$167*F169</f>
        <v>5.13426297814671E-006</v>
      </c>
      <c r="G157" s="88" t="n">
        <f aca="false">G161*$C$159+G165*$C$163+$C$167*G169</f>
        <v>6.12753667280906E-006</v>
      </c>
      <c r="H157" s="89" t="n">
        <f aca="false">H161*$C$159+H165*$C$163+$C$167*H169</f>
        <v>5.5649026906113E-011</v>
      </c>
      <c r="I157" s="89" t="n">
        <f aca="false">I161*$C$159+I165*$C$163+$C$167*I169</f>
        <v>0</v>
      </c>
      <c r="J157" s="89" t="n">
        <f aca="false">J161*$C$159+J165*$C$163+$C$167*J169</f>
        <v>0</v>
      </c>
      <c r="K157" s="89" t="n">
        <f aca="false">K161*$C$159+K165*$C$163+$C$167*K169</f>
        <v>0</v>
      </c>
      <c r="L157" s="89" t="n">
        <f aca="false">L161*$C$159+L165*$C$163+$C$167*L169</f>
        <v>5.1342073291198E-006</v>
      </c>
      <c r="M157" s="89" t="n">
        <f aca="false">M161*$C$159+M165*$C$163+$C$167*M169</f>
        <v>0</v>
      </c>
      <c r="N157" s="89" t="n">
        <f aca="false">N161*$C$159+N165*$C$163+$C$167*N169</f>
        <v>0</v>
      </c>
      <c r="O157" s="89" t="n">
        <f aca="false">O161*$C$159+O165*$C$163+$C$167*O169</f>
        <v>0</v>
      </c>
      <c r="P157" s="89" t="n">
        <f aca="false">P161*$C$159+P165*$C$163+$C$167*P169</f>
        <v>0</v>
      </c>
      <c r="Q157" s="89" t="n">
        <f aca="false">Q161*$C$159+Q165*$C$163+$C$167*Q169</f>
        <v>0</v>
      </c>
      <c r="R157" s="89" t="n">
        <f aca="false">R161*$C$159+R165*$C$163+$C$167*R169</f>
        <v>0</v>
      </c>
      <c r="S157" s="89" t="n">
        <f aca="false">S161*$C$159+S165*$C$163+$C$167*S169</f>
        <v>5.13426297814671E-006</v>
      </c>
      <c r="T157" s="89" t="n">
        <f aca="false">T161*$C$159+T165*$C$163+$C$167*T169</f>
        <v>0</v>
      </c>
      <c r="U157" s="89" t="n">
        <f aca="false">U161*$C$159+U165*$C$163+$C$167*U169</f>
        <v>0</v>
      </c>
      <c r="V157" s="309"/>
      <c r="W157" s="92"/>
      <c r="Z157" s="30"/>
    </row>
    <row r="158" s="209" customFormat="true" ht="17.4" hidden="false" customHeight="false" outlineLevel="0" collapsed="false">
      <c r="A158" s="74"/>
      <c r="B158" s="101"/>
      <c r="C158" s="87"/>
      <c r="D158" s="31" t="s">
        <v>136</v>
      </c>
      <c r="E158" s="217" t="n">
        <f aca="false">E162*$C$159+E166*$C$163+$C$167*E170</f>
        <v>0.000122045885106132</v>
      </c>
      <c r="F158" s="89" t="n">
        <f aca="false">F162*$C$159+F166*$C$163+$C$167*F170</f>
        <v>0.000196215629330389</v>
      </c>
      <c r="G158" s="88" t="n">
        <f aca="false">G162*$C$159+G166*$C$163+$C$167*G170</f>
        <v>0.000234175473601133</v>
      </c>
      <c r="H158" s="89" t="n">
        <f aca="false">H162*$C$159+H166*$C$163+$C$167*H170</f>
        <v>7.38583025664692E-005</v>
      </c>
      <c r="I158" s="89" t="n">
        <f aca="false">I162*$C$159+I166*$C$163+$C$167*I170</f>
        <v>0</v>
      </c>
      <c r="J158" s="89" t="n">
        <f aca="false">J162*$C$159+J166*$C$163+$C$167*J170</f>
        <v>0.000110950804641939</v>
      </c>
      <c r="K158" s="89" t="n">
        <f aca="false">K162*$C$159+K166*$C$163+$C$167*K170</f>
        <v>1.10950804641939E-005</v>
      </c>
      <c r="L158" s="89" t="n">
        <f aca="false">L162*$C$159+L166*$C$163+$C$167*L170</f>
        <v>3.1144165778782E-007</v>
      </c>
      <c r="M158" s="89" t="n">
        <f aca="false">M162*$C$159+M166*$C$163+$C$167*M170</f>
        <v>0</v>
      </c>
      <c r="N158" s="89" t="n">
        <f aca="false">N162*$C$159+N166*$C$163+$C$167*N170</f>
        <v>0</v>
      </c>
      <c r="O158" s="89" t="n">
        <f aca="false">O162*$C$159+O166*$C$163+$C$167*O170</f>
        <v>0</v>
      </c>
      <c r="P158" s="89" t="n">
        <f aca="false">P162*$C$159+P166*$C$163+$C$167*P170</f>
        <v>0</v>
      </c>
      <c r="Q158" s="89" t="n">
        <f aca="false">Q162*$C$159+Q166*$C$163+$C$167*Q170</f>
        <v>0</v>
      </c>
      <c r="R158" s="89" t="n">
        <f aca="false">R162*$C$159+R166*$C$163+$C$167*R170</f>
        <v>0</v>
      </c>
      <c r="S158" s="89" t="n">
        <f aca="false">S162*$C$159+S166*$C$163+$C$167*S170</f>
        <v>0.000196215629330389</v>
      </c>
      <c r="T158" s="89" t="n">
        <f aca="false">T162*$C$159+T166*$C$163+$C$167*T170</f>
        <v>0</v>
      </c>
      <c r="U158" s="89" t="n">
        <f aca="false">U162*$C$159+U166*$C$163+$C$167*U170</f>
        <v>0</v>
      </c>
      <c r="V158" s="309"/>
      <c r="W158" s="92"/>
      <c r="Z158" s="30"/>
    </row>
    <row r="159" s="332" customFormat="true" ht="17.4" hidden="false" customHeight="false" outlineLevel="0" collapsed="false">
      <c r="A159" s="330" t="s">
        <v>137</v>
      </c>
      <c r="B159" s="76" t="s">
        <v>254</v>
      </c>
      <c r="C159" s="84" t="n">
        <f aca="false">'Input data plant-based products'!D48</f>
        <v>0.35</v>
      </c>
      <c r="D159" s="78" t="s">
        <v>133</v>
      </c>
      <c r="E159" s="94" t="n">
        <f aca="false">IF($F$1="GWP100 without fb",E160+E161*'Common input data'!$C$5+E162*'Common input data'!$D$5,IF($F$1="GWP100 with fb",E160+E161*'Common input data'!$C$6+E162*'Common input data'!$D$6,IF($F$1="GTP100 without fb",E160+E161*'Common input data'!$C$7+E162*'Common input data'!$D$7,IF($F$1="GTP100 with fb",E160+E161*'Common input data'!$C$8+E162*'Common input data'!$D$8,E160+E161*'Common input data'!$C$9+E162*'Common input data'!$D$9))))</f>
        <v>0.0848840558284646</v>
      </c>
      <c r="F159" s="95" t="n">
        <f aca="false">IF($F$1="GWP100 without fb",F160+F161*'Common input data'!$C$5+F162*'Common input data'!$D$5,IF($F$1="GWP100 with fb",F160+F161*'Common input data'!$C$6+F162*'Common input data'!$D$6,IF($F$1="GTP100 without fb",F160+F161*'Common input data'!$C$7+F162*'Common input data'!$D$7,IF($F$1="GTP100 with fb",F160+F161*'Common input data'!$C$8+F162*'Common input data'!$D$8,F160+F161*'Common input data'!$C$9+F162*'Common input data'!$D$9))))</f>
        <v>0.189646988911889</v>
      </c>
      <c r="G159" s="96" t="n">
        <f aca="false">IF($F$1="GWP100 without fb",G160+G161*'Common input data'!$C$5+G162*'Common input data'!$D$5,IF($F$1="GWP100 with fb",G160+G161*'Common input data'!$C$6+G162*'Common input data'!$D$6,IF($F$1="GTP100 without fb",G160+G161*'Common input data'!$C$7+G162*'Common input data'!$D$7,IF($F$1="GTP100 with fb",G160+G161*'Common input data'!$C$8+G162*'Common input data'!$D$8,G160+G161*'Common input data'!$C$9+G162*'Common input data'!$D$9))))</f>
        <v>0.321812852263861</v>
      </c>
      <c r="H159" s="83"/>
      <c r="I159" s="83"/>
      <c r="J159" s="83"/>
      <c r="K159" s="83"/>
      <c r="L159" s="83"/>
      <c r="M159" s="83"/>
      <c r="N159" s="83"/>
      <c r="O159" s="83"/>
      <c r="P159" s="83"/>
      <c r="Q159" s="83"/>
      <c r="R159" s="83"/>
      <c r="S159" s="83"/>
      <c r="T159" s="83"/>
      <c r="U159" s="83"/>
      <c r="V159" s="309"/>
      <c r="W159" s="92"/>
      <c r="X159" s="209"/>
      <c r="Y159" s="209"/>
      <c r="Z159" s="30"/>
      <c r="AA159" s="209"/>
      <c r="AB159" s="209"/>
      <c r="AC159" s="209"/>
      <c r="AD159" s="209"/>
      <c r="AE159" s="209"/>
      <c r="AF159" s="209"/>
      <c r="AG159" s="209"/>
      <c r="AH159" s="209"/>
      <c r="AI159" s="209"/>
      <c r="AJ159" s="209"/>
      <c r="AK159" s="209"/>
      <c r="AL159" s="209"/>
      <c r="AM159" s="209"/>
      <c r="AN159" s="209"/>
      <c r="AO159" s="209"/>
      <c r="AP159" s="209"/>
      <c r="AQ159" s="209"/>
      <c r="AR159" s="209"/>
      <c r="AS159" s="209"/>
      <c r="AT159" s="209"/>
      <c r="AU159" s="209"/>
      <c r="AV159" s="209"/>
      <c r="AW159" s="209"/>
      <c r="AX159" s="209"/>
      <c r="AY159" s="209"/>
      <c r="AZ159" s="209"/>
      <c r="BA159" s="209"/>
      <c r="BB159" s="209"/>
      <c r="BC159" s="209"/>
      <c r="BD159" s="209"/>
      <c r="BE159" s="209"/>
      <c r="BF159" s="209"/>
      <c r="BG159" s="209"/>
      <c r="BH159" s="209"/>
      <c r="BI159" s="209"/>
      <c r="BJ159" s="209"/>
      <c r="BK159" s="209"/>
      <c r="BL159" s="209"/>
      <c r="BM159" s="209"/>
      <c r="BN159" s="209"/>
      <c r="BO159" s="209"/>
      <c r="BP159" s="209"/>
      <c r="BQ159" s="209"/>
      <c r="BR159" s="209"/>
      <c r="BS159" s="209"/>
      <c r="BT159" s="209"/>
      <c r="BU159" s="209"/>
      <c r="BV159" s="209"/>
      <c r="BW159" s="209"/>
      <c r="BX159" s="209"/>
      <c r="BY159" s="209"/>
      <c r="BZ159" s="209"/>
      <c r="CA159" s="209"/>
      <c r="CB159" s="209"/>
      <c r="CC159" s="209"/>
      <c r="CD159" s="209"/>
      <c r="CE159" s="209"/>
      <c r="CF159" s="209"/>
      <c r="CG159" s="209"/>
      <c r="CH159" s="209"/>
      <c r="CI159" s="209"/>
      <c r="CJ159" s="209"/>
      <c r="CK159" s="209"/>
      <c r="CL159" s="209"/>
      <c r="CM159" s="209"/>
      <c r="CN159" s="209"/>
      <c r="CO159" s="209"/>
      <c r="CP159" s="209"/>
      <c r="CQ159" s="209"/>
      <c r="CR159" s="209"/>
      <c r="CS159" s="209"/>
      <c r="CT159" s="209"/>
      <c r="CU159" s="209"/>
      <c r="CV159" s="209"/>
      <c r="CW159" s="209"/>
      <c r="CX159" s="209"/>
      <c r="CY159" s="209"/>
      <c r="CZ159" s="209"/>
      <c r="DA159" s="209"/>
      <c r="DB159" s="209"/>
      <c r="DC159" s="209"/>
      <c r="DD159" s="209"/>
      <c r="DE159" s="209"/>
      <c r="DF159" s="209"/>
      <c r="DG159" s="209"/>
      <c r="DH159" s="209"/>
      <c r="DI159" s="209"/>
      <c r="DJ159" s="209"/>
      <c r="DK159" s="209"/>
      <c r="DL159" s="209"/>
      <c r="DM159" s="209"/>
      <c r="DN159" s="209"/>
      <c r="DO159" s="209"/>
      <c r="DP159" s="209"/>
      <c r="DQ159" s="209"/>
      <c r="DR159" s="209"/>
      <c r="DS159" s="209"/>
      <c r="DT159" s="209"/>
      <c r="DU159" s="209"/>
      <c r="DV159" s="209"/>
      <c r="DW159" s="209"/>
      <c r="DX159" s="209"/>
      <c r="DY159" s="209"/>
      <c r="DZ159" s="209"/>
      <c r="EA159" s="209"/>
      <c r="EB159" s="209"/>
      <c r="EC159" s="209"/>
      <c r="ED159" s="209"/>
      <c r="EE159" s="209"/>
      <c r="EF159" s="209"/>
      <c r="EG159" s="209"/>
      <c r="EH159" s="209"/>
      <c r="EI159" s="209"/>
      <c r="EJ159" s="209"/>
      <c r="EK159" s="209"/>
      <c r="EL159" s="209"/>
      <c r="EM159" s="209"/>
      <c r="EN159" s="209"/>
      <c r="EO159" s="209"/>
      <c r="EP159" s="209"/>
      <c r="EQ159" s="209"/>
      <c r="ER159" s="209"/>
      <c r="ES159" s="209"/>
      <c r="ET159" s="209"/>
      <c r="EU159" s="209"/>
      <c r="EV159" s="209"/>
      <c r="EW159" s="209"/>
      <c r="EX159" s="209"/>
      <c r="EY159" s="209"/>
      <c r="EZ159" s="209"/>
      <c r="FA159" s="209"/>
      <c r="FB159" s="209"/>
      <c r="FC159" s="209"/>
      <c r="FD159" s="209"/>
      <c r="FE159" s="209"/>
      <c r="FF159" s="209"/>
      <c r="FG159" s="209"/>
      <c r="FH159" s="209"/>
      <c r="FI159" s="209"/>
      <c r="FJ159" s="209"/>
      <c r="FK159" s="209"/>
      <c r="FL159" s="209"/>
      <c r="FM159" s="209"/>
      <c r="FN159" s="209"/>
      <c r="FO159" s="209"/>
      <c r="FP159" s="209"/>
      <c r="FQ159" s="209"/>
      <c r="FR159" s="209"/>
      <c r="FS159" s="209"/>
      <c r="FT159" s="209"/>
      <c r="FU159" s="209"/>
      <c r="FV159" s="209"/>
      <c r="FW159" s="209"/>
      <c r="FX159" s="209"/>
      <c r="FY159" s="209"/>
      <c r="FZ159" s="209"/>
      <c r="GA159" s="209"/>
      <c r="GB159" s="209"/>
      <c r="GC159" s="209"/>
      <c r="GD159" s="209"/>
      <c r="GE159" s="209"/>
      <c r="GF159" s="209"/>
      <c r="GG159" s="209"/>
      <c r="GH159" s="209"/>
      <c r="GI159" s="209"/>
      <c r="GJ159" s="209"/>
      <c r="GK159" s="209"/>
      <c r="GL159" s="209"/>
      <c r="GM159" s="209"/>
      <c r="GN159" s="209"/>
      <c r="GO159" s="209"/>
      <c r="GP159" s="209"/>
      <c r="GQ159" s="209"/>
      <c r="GR159" s="209"/>
      <c r="GS159" s="209"/>
      <c r="GT159" s="209"/>
      <c r="GU159" s="209"/>
      <c r="GV159" s="209"/>
      <c r="GW159" s="209"/>
      <c r="GX159" s="209"/>
      <c r="GY159" s="209"/>
      <c r="GZ159" s="209"/>
      <c r="HA159" s="209"/>
      <c r="HB159" s="209"/>
      <c r="HC159" s="209"/>
      <c r="HD159" s="209"/>
      <c r="HE159" s="209"/>
      <c r="HF159" s="209"/>
      <c r="HG159" s="209"/>
      <c r="HH159" s="209"/>
      <c r="HI159" s="209"/>
      <c r="HJ159" s="209"/>
      <c r="HK159" s="209"/>
      <c r="HL159" s="209"/>
      <c r="HM159" s="209"/>
      <c r="HN159" s="209"/>
      <c r="HO159" s="209"/>
      <c r="HP159" s="209"/>
      <c r="HQ159" s="209"/>
      <c r="HR159" s="209"/>
      <c r="HS159" s="209"/>
      <c r="HT159" s="209"/>
      <c r="HU159" s="209"/>
      <c r="HV159" s="209"/>
      <c r="HW159" s="209"/>
      <c r="HX159" s="209"/>
      <c r="HY159" s="209"/>
      <c r="HZ159" s="209"/>
      <c r="IA159" s="209"/>
      <c r="IB159" s="209"/>
      <c r="IC159" s="209"/>
      <c r="ID159" s="209"/>
      <c r="IE159" s="209"/>
      <c r="IF159" s="209"/>
      <c r="IG159" s="209"/>
      <c r="IH159" s="209"/>
      <c r="II159" s="209"/>
      <c r="IJ159" s="209"/>
      <c r="IK159" s="209"/>
      <c r="IL159" s="209"/>
      <c r="IM159" s="209"/>
      <c r="IN159" s="209"/>
      <c r="IO159" s="209"/>
      <c r="IP159" s="209"/>
      <c r="IQ159" s="209"/>
      <c r="IR159" s="209"/>
      <c r="IS159" s="209"/>
      <c r="IT159" s="209"/>
      <c r="IU159" s="209"/>
      <c r="IV159" s="209"/>
      <c r="IW159" s="209"/>
      <c r="IX159" s="209"/>
    </row>
    <row r="160" s="209" customFormat="true" ht="17.4" hidden="false" customHeight="false" outlineLevel="0" collapsed="false">
      <c r="A160" s="315"/>
      <c r="B160" s="31"/>
      <c r="C160" s="30"/>
      <c r="D160" s="85" t="s">
        <v>134</v>
      </c>
      <c r="E160" s="217" t="n">
        <f aca="false">IF(AND($F$2="No",$F$3="No"),SUM(J160:K160),IF(AND($F$2="Yes", $F$3="No"), SUM(J160:K160)+Q160, IF(AND($F$2="No", $F$3="Yes"),SUM(J160:K160)+P160, SUM(J160:K160)+Q160+P160)))</f>
        <v>0.0399894869629571</v>
      </c>
      <c r="F160" s="89" t="n">
        <f aca="false">IF(AND($F$2="No",$F$3="No"),SUM(H160:O160),IF(AND($F$2="Yes", $F$3="No"), SUM(H160:O160)+Q160, IF(AND($F$2="No", $F$3="Yes"),SUM(H160:O160)+P160, SUM(H160:O160)+Q160+P160)))</f>
        <v>0.121630045874967</v>
      </c>
      <c r="G160" s="88" t="n">
        <f aca="false">SUM(S160:U160)/(1-'Common input data'!$B$121)</f>
        <v>0.240637362304532</v>
      </c>
      <c r="H160" s="89" t="n">
        <f aca="false">('Input data plant-based products'!$F$48*('Common input data'!$B$76*'Common input data'!B69+'Common input data'!$B$77*'Common input data'!C69))/'Input data plant-based products'!$E$48</f>
        <v>0.0188597110317109</v>
      </c>
      <c r="I160" s="89" t="n">
        <f aca="false">'Common input data'!$B$81</f>
        <v>0.03</v>
      </c>
      <c r="J160" s="89" t="n">
        <v>0</v>
      </c>
      <c r="K160" s="89" t="n">
        <v>0</v>
      </c>
      <c r="L160" s="89" t="n">
        <f aca="false">('Input data plant-based products'!$I$48*'Common input data'!$C$59*'Common input data'!H49)/'Input data plant-based products'!$E$48</f>
        <v>0.0127808478802993</v>
      </c>
      <c r="M160" s="89" t="n">
        <v>0</v>
      </c>
      <c r="N160" s="89" t="n">
        <f aca="false">'Input data plant-based products'!$G$152</f>
        <v>0.02</v>
      </c>
      <c r="O160" s="89" t="n">
        <v>0</v>
      </c>
      <c r="P160" s="89" t="n">
        <f aca="false">'Common input data'!$E$13</f>
        <v>0.0399894869629571</v>
      </c>
      <c r="Q160" s="89" t="n">
        <v>0</v>
      </c>
      <c r="R160" s="89" t="n">
        <v>0</v>
      </c>
      <c r="S160" s="89" t="n">
        <f aca="false">(F160+R160)</f>
        <v>0.121630045874967</v>
      </c>
      <c r="T160" s="89" t="n">
        <f aca="false">'Common input data'!$B$88</f>
        <v>0.05</v>
      </c>
      <c r="U160" s="89" t="n">
        <f aca="false">'Common input data'!C98</f>
        <v>0.03</v>
      </c>
      <c r="V160" s="309"/>
      <c r="W160" s="92"/>
      <c r="Z160" s="30"/>
    </row>
    <row r="161" s="209" customFormat="true" ht="17.4" hidden="false" customHeight="false" outlineLevel="0" collapsed="false">
      <c r="A161" s="74"/>
      <c r="B161" s="31"/>
      <c r="C161" s="93"/>
      <c r="D161" s="85" t="s">
        <v>135</v>
      </c>
      <c r="E161" s="217" t="n">
        <f aca="false">SUM(J161:K161)</f>
        <v>0</v>
      </c>
      <c r="F161" s="89" t="n">
        <f aca="false">SUM(H161:O161)</f>
        <v>5.66153513640556E-006</v>
      </c>
      <c r="G161" s="88" t="n">
        <f aca="false">SUM(S161:U161)/(1-'Common input data'!$B$121)</f>
        <v>6.7568148184814E-006</v>
      </c>
      <c r="H161" s="89" t="n">
        <f aca="false">('Input data plant-based products'!$F$48*('Common input data'!$B$76*'Common input data'!B70+'Common input data'!$B$77*'Common input data'!C70))/'Input data plant-based products'!$E$48</f>
        <v>5.04918525603799E-011</v>
      </c>
      <c r="I161" s="89" t="n">
        <v>0</v>
      </c>
      <c r="J161" s="89" t="n">
        <v>0</v>
      </c>
      <c r="K161" s="89" t="n">
        <v>0</v>
      </c>
      <c r="L161" s="89" t="n">
        <f aca="false">('Input data plant-based products'!$I$48*'Common input data'!$C$59*'Common input data'!H50)/'Input data plant-based products'!$E$48</f>
        <v>5.661484644553E-006</v>
      </c>
      <c r="M161" s="89" t="n">
        <v>0</v>
      </c>
      <c r="N161" s="89" t="n">
        <v>0</v>
      </c>
      <c r="O161" s="89" t="n">
        <v>0</v>
      </c>
      <c r="P161" s="89" t="n">
        <v>0</v>
      </c>
      <c r="Q161" s="89" t="n">
        <v>0</v>
      </c>
      <c r="R161" s="89" t="n">
        <v>0</v>
      </c>
      <c r="S161" s="89" t="n">
        <f aca="false">(F161+R161)</f>
        <v>5.66153513640556E-006</v>
      </c>
      <c r="T161" s="89" t="n">
        <v>0</v>
      </c>
      <c r="U161" s="89" t="n">
        <v>0</v>
      </c>
      <c r="V161" s="309"/>
      <c r="W161" s="92"/>
      <c r="Z161" s="30"/>
    </row>
    <row r="162" s="209" customFormat="true" ht="17.4" hidden="false" customHeight="false" outlineLevel="0" collapsed="false">
      <c r="A162" s="100"/>
      <c r="B162" s="101"/>
      <c r="C162" s="87"/>
      <c r="D162" s="31" t="s">
        <v>136</v>
      </c>
      <c r="E162" s="217" t="n">
        <f aca="false">SUM(J162:K162)</f>
        <v>0.000150652915656065</v>
      </c>
      <c r="F162" s="89" t="n">
        <f aca="false">SUM(H162:O162)</f>
        <v>0.000227598828329812</v>
      </c>
      <c r="G162" s="88" t="n">
        <f aca="false">SUM(S162:U162)/(1-'Common input data'!$B$121)</f>
        <v>0.000271630061260069</v>
      </c>
      <c r="H162" s="89" t="n">
        <f aca="false">('Input data plant-based products'!$F$48*('Common input data'!$B$76*'Common input data'!B71+'Common input data'!$B$77*'Common input data'!C71))/'Input data plant-based products'!$E$48</f>
        <v>7.66024863081539E-005</v>
      </c>
      <c r="I162" s="89" t="n">
        <v>0</v>
      </c>
      <c r="J162" s="89" t="n">
        <f aca="false">(SUM('Input data plant-based products'!F48:H48)*'Input data plant-based products'!$B$114*44/28)/'Input data plant-based products'!E48</f>
        <v>0.000136957196050968</v>
      </c>
      <c r="K162" s="89" t="n">
        <f aca="false">J162*'Input data plant-based products'!$B$115</f>
        <v>1.36957196050968E-005</v>
      </c>
      <c r="L162" s="89" t="n">
        <f aca="false">('Input data plant-based products'!$I$48*'Common input data'!$C$59*'Common input data'!H51)/'Input data plant-based products'!$E$48</f>
        <v>3.43426365592867E-007</v>
      </c>
      <c r="M162" s="89" t="n">
        <v>0</v>
      </c>
      <c r="N162" s="89" t="n">
        <v>0</v>
      </c>
      <c r="O162" s="89" t="n">
        <v>0</v>
      </c>
      <c r="P162" s="89" t="n">
        <v>0</v>
      </c>
      <c r="Q162" s="89" t="n">
        <v>0</v>
      </c>
      <c r="R162" s="89" t="n">
        <v>0</v>
      </c>
      <c r="S162" s="89" t="n">
        <f aca="false">(F162+R162)</f>
        <v>0.000227598828329812</v>
      </c>
      <c r="T162" s="89" t="n">
        <v>0</v>
      </c>
      <c r="U162" s="89" t="n">
        <v>0</v>
      </c>
      <c r="V162" s="309"/>
      <c r="W162" s="92"/>
      <c r="Z162" s="30"/>
    </row>
    <row r="163" s="332" customFormat="true" ht="17.4" hidden="false" customHeight="false" outlineLevel="0" collapsed="false">
      <c r="A163" s="330" t="s">
        <v>187</v>
      </c>
      <c r="B163" s="76" t="s">
        <v>254</v>
      </c>
      <c r="C163" s="84" t="n">
        <f aca="false">'Input data plant-based products'!D49</f>
        <v>0.54</v>
      </c>
      <c r="D163" s="78" t="s">
        <v>133</v>
      </c>
      <c r="E163" s="94" t="n">
        <f aca="false">IF($F$1="GWP100 without fb",E164+E165*'Common input data'!$C$5+E166*'Common input data'!$D$5,IF($F$1="GWP100 with fb",E164+E165*'Common input data'!$C$6+E166*'Common input data'!$D$6,IF($F$1="GTP100 without fb",E164+E165*'Common input data'!$C$7+E166*'Common input data'!$D$7,IF($F$1="GTP100 with fb",E164+E165*'Common input data'!$C$8+E166*'Common input data'!$D$8,E164+E165*'Common input data'!$C$9+E166*'Common input data'!$D$9))))</f>
        <v>0.0705673401235989</v>
      </c>
      <c r="F163" s="95" t="n">
        <f aca="false">IF($F$1="GWP100 without fb",F164+F165*'Common input data'!$C$5+F166*'Common input data'!$D$5,IF($F$1="GWP100 with fb",F164+F165*'Common input data'!$C$6+F166*'Common input data'!$D$6,IF($F$1="GTP100 without fb",F164+F165*'Common input data'!$C$7+F166*'Common input data'!$D$7,IF($F$1="GTP100 with fb",F164+F165*'Common input data'!$C$8+F166*'Common input data'!$D$8,F164+F165*'Common input data'!$C$9+F166*'Common input data'!$D$9))))</f>
        <v>0.164544098630172</v>
      </c>
      <c r="G163" s="96" t="n">
        <f aca="false">IF($F$1="GWP100 without fb",G164+G165*'Common input data'!$C$5+G166*'Common input data'!$D$5,IF($F$1="GWP100 with fb",G164+G165*'Common input data'!$C$6+G166*'Common input data'!$D$6,IF($F$1="GTP100 without fb",G164+G165*'Common input data'!$C$7+G166*'Common input data'!$D$7,IF($F$1="GTP100 with fb",G164+G165*'Common input data'!$C$8+G166*'Common input data'!$D$8,G164+G165*'Common input data'!$C$9+G166*'Common input data'!$D$9))))</f>
        <v>0.411199544850427</v>
      </c>
      <c r="H163" s="83"/>
      <c r="I163" s="83"/>
      <c r="J163" s="83"/>
      <c r="K163" s="83"/>
      <c r="L163" s="83"/>
      <c r="M163" s="83"/>
      <c r="N163" s="83"/>
      <c r="O163" s="83"/>
      <c r="P163" s="83"/>
      <c r="Q163" s="83"/>
      <c r="R163" s="83"/>
      <c r="S163" s="83"/>
      <c r="T163" s="83"/>
      <c r="U163" s="83"/>
      <c r="V163" s="309"/>
      <c r="W163" s="92"/>
      <c r="X163" s="209"/>
      <c r="Y163" s="209"/>
      <c r="Z163" s="30"/>
      <c r="AA163" s="209"/>
      <c r="AB163" s="209"/>
      <c r="AC163" s="209"/>
      <c r="AD163" s="209"/>
      <c r="AE163" s="209"/>
      <c r="AF163" s="209"/>
      <c r="AG163" s="209"/>
      <c r="AH163" s="209"/>
      <c r="AI163" s="209"/>
      <c r="AJ163" s="209"/>
      <c r="AK163" s="209"/>
      <c r="AL163" s="209"/>
      <c r="AM163" s="209"/>
      <c r="AN163" s="209"/>
      <c r="AO163" s="209"/>
      <c r="AP163" s="209"/>
      <c r="AQ163" s="209"/>
      <c r="AR163" s="209"/>
      <c r="AS163" s="209"/>
      <c r="AT163" s="209"/>
      <c r="AU163" s="209"/>
      <c r="AV163" s="209"/>
      <c r="AW163" s="209"/>
      <c r="AX163" s="209"/>
      <c r="AY163" s="209"/>
      <c r="AZ163" s="209"/>
      <c r="BA163" s="209"/>
      <c r="BB163" s="209"/>
      <c r="BC163" s="209"/>
      <c r="BD163" s="209"/>
      <c r="BE163" s="209"/>
      <c r="BF163" s="209"/>
      <c r="BG163" s="209"/>
      <c r="BH163" s="209"/>
      <c r="BI163" s="209"/>
      <c r="BJ163" s="209"/>
      <c r="BK163" s="209"/>
      <c r="BL163" s="209"/>
      <c r="BM163" s="209"/>
      <c r="BN163" s="209"/>
      <c r="BO163" s="209"/>
      <c r="BP163" s="209"/>
      <c r="BQ163" s="209"/>
      <c r="BR163" s="209"/>
      <c r="BS163" s="209"/>
      <c r="BT163" s="209"/>
      <c r="BU163" s="209"/>
      <c r="BV163" s="209"/>
      <c r="BW163" s="209"/>
      <c r="BX163" s="209"/>
      <c r="BY163" s="209"/>
      <c r="BZ163" s="209"/>
      <c r="CA163" s="209"/>
      <c r="CB163" s="209"/>
      <c r="CC163" s="209"/>
      <c r="CD163" s="209"/>
      <c r="CE163" s="209"/>
      <c r="CF163" s="209"/>
      <c r="CG163" s="209"/>
      <c r="CH163" s="209"/>
      <c r="CI163" s="209"/>
      <c r="CJ163" s="209"/>
      <c r="CK163" s="209"/>
      <c r="CL163" s="209"/>
      <c r="CM163" s="209"/>
      <c r="CN163" s="209"/>
      <c r="CO163" s="209"/>
      <c r="CP163" s="209"/>
      <c r="CQ163" s="209"/>
      <c r="CR163" s="209"/>
      <c r="CS163" s="209"/>
      <c r="CT163" s="209"/>
      <c r="CU163" s="209"/>
      <c r="CV163" s="209"/>
      <c r="CW163" s="209"/>
      <c r="CX163" s="209"/>
      <c r="CY163" s="209"/>
      <c r="CZ163" s="209"/>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09"/>
      <c r="EC163" s="209"/>
      <c r="ED163" s="209"/>
      <c r="EE163" s="209"/>
      <c r="EF163" s="209"/>
      <c r="EG163" s="209"/>
      <c r="EH163" s="209"/>
      <c r="EI163" s="209"/>
      <c r="EJ163" s="209"/>
      <c r="EK163" s="209"/>
      <c r="EL163" s="209"/>
      <c r="EM163" s="209"/>
      <c r="EN163" s="209"/>
      <c r="EO163" s="209"/>
      <c r="EP163" s="209"/>
      <c r="EQ163" s="209"/>
      <c r="ER163" s="209"/>
      <c r="ES163" s="209"/>
      <c r="ET163" s="209"/>
      <c r="EU163" s="209"/>
      <c r="EV163" s="209"/>
      <c r="EW163" s="209"/>
      <c r="EX163" s="209"/>
      <c r="EY163" s="209"/>
      <c r="EZ163" s="209"/>
      <c r="FA163" s="209"/>
      <c r="FB163" s="209"/>
      <c r="FC163" s="209"/>
      <c r="FD163" s="209"/>
      <c r="FE163" s="209"/>
      <c r="FF163" s="209"/>
      <c r="FG163" s="209"/>
      <c r="FH163" s="209"/>
      <c r="FI163" s="209"/>
      <c r="FJ163" s="209"/>
      <c r="FK163" s="209"/>
      <c r="FL163" s="209"/>
      <c r="FM163" s="209"/>
      <c r="FN163" s="209"/>
      <c r="FO163" s="209"/>
      <c r="FP163" s="209"/>
      <c r="FQ163" s="209"/>
      <c r="FR163" s="209"/>
      <c r="FS163" s="209"/>
      <c r="FT163" s="209"/>
      <c r="FU163" s="209"/>
      <c r="FV163" s="209"/>
      <c r="FW163" s="209"/>
      <c r="FX163" s="209"/>
      <c r="FY163" s="209"/>
      <c r="FZ163" s="209"/>
      <c r="GA163" s="209"/>
      <c r="GB163" s="209"/>
      <c r="GC163" s="209"/>
      <c r="GD163" s="209"/>
      <c r="GE163" s="209"/>
      <c r="GF163" s="209"/>
      <c r="GG163" s="209"/>
      <c r="GH163" s="209"/>
      <c r="GI163" s="209"/>
      <c r="GJ163" s="209"/>
      <c r="GK163" s="209"/>
      <c r="GL163" s="209"/>
      <c r="GM163" s="209"/>
      <c r="GN163" s="209"/>
      <c r="GO163" s="209"/>
      <c r="GP163" s="209"/>
      <c r="GQ163" s="209"/>
      <c r="GR163" s="209"/>
      <c r="GS163" s="209"/>
      <c r="GT163" s="209"/>
      <c r="GU163" s="209"/>
      <c r="GV163" s="209"/>
      <c r="GW163" s="209"/>
      <c r="GX163" s="209"/>
      <c r="GY163" s="209"/>
      <c r="GZ163" s="209"/>
      <c r="HA163" s="209"/>
      <c r="HB163" s="209"/>
      <c r="HC163" s="209"/>
      <c r="HD163" s="209"/>
      <c r="HE163" s="209"/>
      <c r="HF163" s="209"/>
      <c r="HG163" s="209"/>
      <c r="HH163" s="209"/>
      <c r="HI163" s="209"/>
      <c r="HJ163" s="209"/>
      <c r="HK163" s="209"/>
      <c r="HL163" s="209"/>
      <c r="HM163" s="209"/>
      <c r="HN163" s="209"/>
      <c r="HO163" s="209"/>
      <c r="HP163" s="209"/>
      <c r="HQ163" s="209"/>
      <c r="HR163" s="209"/>
      <c r="HS163" s="209"/>
      <c r="HT163" s="209"/>
      <c r="HU163" s="209"/>
      <c r="HV163" s="209"/>
      <c r="HW163" s="209"/>
      <c r="HX163" s="209"/>
      <c r="HY163" s="209"/>
      <c r="HZ163" s="209"/>
      <c r="IA163" s="209"/>
      <c r="IB163" s="209"/>
      <c r="IC163" s="209"/>
      <c r="ID163" s="209"/>
      <c r="IE163" s="209"/>
      <c r="IF163" s="209"/>
      <c r="IG163" s="209"/>
      <c r="IH163" s="209"/>
      <c r="II163" s="209"/>
      <c r="IJ163" s="209"/>
      <c r="IK163" s="209"/>
      <c r="IL163" s="209"/>
      <c r="IM163" s="209"/>
      <c r="IN163" s="209"/>
      <c r="IO163" s="209"/>
      <c r="IP163" s="209"/>
      <c r="IQ163" s="209"/>
      <c r="IR163" s="209"/>
      <c r="IS163" s="209"/>
      <c r="IT163" s="209"/>
      <c r="IU163" s="209"/>
      <c r="IV163" s="209"/>
      <c r="IW163" s="209"/>
      <c r="IX163" s="209"/>
    </row>
    <row r="164" s="209" customFormat="true" ht="17.4" hidden="false" customHeight="false" outlineLevel="0" collapsed="false">
      <c r="A164" s="99"/>
      <c r="B164" s="31"/>
      <c r="C164" s="30"/>
      <c r="D164" s="85" t="s">
        <v>134</v>
      </c>
      <c r="E164" s="217" t="n">
        <f aca="false">IF(AND($F$2="No",$F$3="No"),SUM(J164:K164),IF(AND($F$2="Yes", $F$3="No"), SUM(J164:K164)+Q164, IF(AND($F$2="No", $F$3="Yes"),SUM(J164:K164)+P164, SUM(J164:K164)+Q164+P164)))</f>
        <v>0.0399894869629571</v>
      </c>
      <c r="F164" s="89" t="n">
        <f aca="false">IF(AND($F$2="No",$F$3="No"),SUM(H164:O164),IF(AND($F$2="Yes", $F$3="No"), SUM(H164:O164)+Q164, IF(AND($F$2="No", $F$3="Yes"),SUM(H164:O164)+P164, SUM(H164:O164)+Q164+P164)))</f>
        <v>0.113165902879121</v>
      </c>
      <c r="G164" s="88" t="n">
        <f aca="false">SUM(S164:U164)/(1-'Common input data'!$B$121)</f>
        <v>0.349881731565963</v>
      </c>
      <c r="H164" s="89" t="n">
        <f aca="false">('Input data plant-based products'!$F$49*('Common input data'!$C$76*'Common input data'!B69+'Common input data'!$C$77*'Common input data'!C69))/'Input data plant-based products'!$E$49</f>
        <v>0.0126291177655095</v>
      </c>
      <c r="I164" s="89" t="n">
        <f aca="false">'Common input data'!$B$81</f>
        <v>0.03</v>
      </c>
      <c r="J164" s="89" t="n">
        <v>0</v>
      </c>
      <c r="K164" s="89" t="n">
        <v>0</v>
      </c>
      <c r="L164" s="89" t="n">
        <f aca="false">('Input data plant-based products'!$I$49*'Common input data'!$C$59*'Common input data'!H49)/'Input data plant-based products'!$E$49</f>
        <v>0.010547298150654</v>
      </c>
      <c r="M164" s="89" t="n">
        <v>0</v>
      </c>
      <c r="N164" s="89" t="n">
        <f aca="false">'Input data plant-based products'!$G$152</f>
        <v>0.02</v>
      </c>
      <c r="O164" s="89" t="n">
        <v>0</v>
      </c>
      <c r="P164" s="89" t="n">
        <f aca="false">'Common input data'!$E$13</f>
        <v>0.0399894869629571</v>
      </c>
      <c r="Q164" s="89" t="n">
        <v>0</v>
      </c>
      <c r="R164" s="89" t="n">
        <v>0</v>
      </c>
      <c r="S164" s="89" t="n">
        <f aca="false">(F164+R164)</f>
        <v>0.113165902879121</v>
      </c>
      <c r="T164" s="89" t="n">
        <f aca="false">'Common input data'!$B$88</f>
        <v>0.05</v>
      </c>
      <c r="U164" s="89" t="n">
        <f aca="false">'Common input data'!B99+'Common input data'!C99</f>
        <v>0.13</v>
      </c>
      <c r="V164" s="309"/>
      <c r="W164" s="92"/>
      <c r="Z164" s="30"/>
    </row>
    <row r="165" s="209" customFormat="true" ht="17.4" hidden="false" customHeight="false" outlineLevel="0" collapsed="false">
      <c r="A165" s="74"/>
      <c r="B165" s="31"/>
      <c r="C165" s="93"/>
      <c r="D165" s="85" t="s">
        <v>135</v>
      </c>
      <c r="E165" s="217" t="n">
        <f aca="false">SUM(J165:K165)</f>
        <v>0</v>
      </c>
      <c r="F165" s="89" t="n">
        <f aca="false">SUM(H165:O165)</f>
        <v>4.67215311258457E-006</v>
      </c>
      <c r="G165" s="88" t="n">
        <f aca="false">SUM(S165:U165)/(1-'Common input data'!$B$121)</f>
        <v>5.57602710655755E-006</v>
      </c>
      <c r="H165" s="89" t="n">
        <f aca="false">('Input data plant-based products'!$F$49*('Common input data'!$C$76*'Common input data'!B70+'Common input data'!$C$77*'Common input data'!C70))/'Input data plant-based products'!$E$49</f>
        <v>5.56836265223275E-011</v>
      </c>
      <c r="I165" s="89" t="n">
        <v>0</v>
      </c>
      <c r="J165" s="89" t="n">
        <v>0</v>
      </c>
      <c r="K165" s="89" t="n">
        <v>0</v>
      </c>
      <c r="L165" s="89" t="n">
        <f aca="false">('Input data plant-based products'!$I$49*'Common input data'!$C$59*'Common input data'!H50)/'Input data plant-based products'!$E$49</f>
        <v>4.67209742895805E-006</v>
      </c>
      <c r="M165" s="89" t="n">
        <v>0</v>
      </c>
      <c r="N165" s="89" t="n">
        <v>0</v>
      </c>
      <c r="O165" s="89" t="n">
        <v>0</v>
      </c>
      <c r="P165" s="89" t="n">
        <v>0</v>
      </c>
      <c r="Q165" s="89" t="n">
        <v>0</v>
      </c>
      <c r="R165" s="89" t="n">
        <v>0</v>
      </c>
      <c r="S165" s="89" t="n">
        <f aca="false">(F165+R165)</f>
        <v>4.67215311258457E-006</v>
      </c>
      <c r="T165" s="89" t="n">
        <v>0</v>
      </c>
      <c r="U165" s="89" t="n">
        <v>0</v>
      </c>
      <c r="V165" s="309"/>
      <c r="W165" s="92"/>
      <c r="Z165" s="30"/>
    </row>
    <row r="166" s="209" customFormat="true" ht="17.4" hidden="false" customHeight="false" outlineLevel="0" collapsed="false">
      <c r="A166" s="100"/>
      <c r="B166" s="101"/>
      <c r="C166" s="87"/>
      <c r="D166" s="31" t="s">
        <v>136</v>
      </c>
      <c r="E166" s="217" t="n">
        <f aca="false">SUM(J166:K166)</f>
        <v>0.000102610245505509</v>
      </c>
      <c r="F166" s="89" t="n">
        <f aca="false">SUM(H166:O166)</f>
        <v>0.000171876988406791</v>
      </c>
      <c r="G166" s="88" t="n">
        <f aca="false">SUM(S166:U166)/(1-'Common input data'!$B$121)</f>
        <v>0.000205128283096779</v>
      </c>
      <c r="H166" s="89" t="n">
        <f aca="false">('Input data plant-based products'!$F$49*('Common input data'!$C$76*'Common input data'!B71+'Common input data'!$C$77*'Common input data'!C71))/'Input data plant-based products'!$E$49</f>
        <v>6.89833328877502E-005</v>
      </c>
      <c r="I166" s="89" t="n">
        <v>0</v>
      </c>
      <c r="J166" s="89" t="n">
        <f aca="false">(SUM('Input data plant-based products'!F49:H49)*'Input data plant-based products'!$B$114*44/28)/'Input data plant-based products'!E49</f>
        <v>9.32820413686449E-005</v>
      </c>
      <c r="K166" s="89" t="n">
        <f aca="false">J166*'Input data plant-based products'!$B$115</f>
        <v>9.32820413686449E-006</v>
      </c>
      <c r="L166" s="89" t="n">
        <f aca="false">('Input data plant-based products'!$I$49*'Common input data'!$C$59*'Common input data'!H51)/'Input data plant-based products'!$E$49</f>
        <v>2.834100135318E-007</v>
      </c>
      <c r="M166" s="89" t="n">
        <v>0</v>
      </c>
      <c r="N166" s="89" t="n">
        <v>0</v>
      </c>
      <c r="O166" s="89" t="n">
        <v>0</v>
      </c>
      <c r="P166" s="89" t="n">
        <v>0</v>
      </c>
      <c r="Q166" s="89" t="n">
        <v>0</v>
      </c>
      <c r="R166" s="89" t="n">
        <v>0</v>
      </c>
      <c r="S166" s="89" t="n">
        <f aca="false">(F166+R166)</f>
        <v>0.000171876988406791</v>
      </c>
      <c r="T166" s="89" t="n">
        <v>0</v>
      </c>
      <c r="U166" s="89" t="n">
        <v>0</v>
      </c>
      <c r="V166" s="309"/>
      <c r="W166" s="92"/>
      <c r="Z166" s="30"/>
    </row>
    <row r="167" s="332" customFormat="true" ht="17.4" hidden="false" customHeight="false" outlineLevel="0" collapsed="false">
      <c r="A167" s="330" t="s">
        <v>141</v>
      </c>
      <c r="B167" s="76" t="s">
        <v>254</v>
      </c>
      <c r="C167" s="84" t="n">
        <f aca="false">'Input data plant-based products'!D50</f>
        <v>0.11</v>
      </c>
      <c r="D167" s="78" t="s">
        <v>133</v>
      </c>
      <c r="E167" s="94" t="n">
        <f aca="false">IF($F$1="GWP100 without fb",E168+E169*'Common input data'!$C$5+E170*'Common input data'!$D$5,IF($F$1="GWP100 with fb",E168+E169*'Common input data'!$C$6+E170*'Common input data'!$D$6,IF($F$1="GTP100 without fb",E168+E169*'Common input data'!$C$7+E170*'Common input data'!$D$7,IF($F$1="GTP100 with fb",E168+E169*'Common input data'!$C$8+E170*'Common input data'!$D$8,E168+E169*'Common input data'!$C$9+E170*'Common input data'!$D$9))))</f>
        <v>0.0776670683443503</v>
      </c>
      <c r="F167" s="95" t="n">
        <f aca="false">IF($F$1="GWP100 without fb",F168+F169*'Common input data'!$C$5+F170*'Common input data'!$D$5,IF($F$1="GWP100 with fb",F168+F169*'Common input data'!$C$6+F170*'Common input data'!$D$6,IF($F$1="GTP100 without fb",F168+F169*'Common input data'!$C$7+F170*'Common input data'!$D$7,IF($F$1="GTP100 with fb",F168+F169*'Common input data'!$C$8+F170*'Common input data'!$D$8,F168+F169*'Common input data'!$C$9+F170*'Common input data'!$D$9))))</f>
        <v>0.183733350986875</v>
      </c>
      <c r="G167" s="96" t="n">
        <f aca="false">IF($F$1="GWP100 without fb",G168+G169*'Common input data'!$C$5+G170*'Common input data'!$D$5,IF($F$1="GWP100 with fb",G168+G169*'Common input data'!$C$6+G170*'Common input data'!$D$6,IF($F$1="GTP100 without fb",G168+G169*'Common input data'!$C$7+G170*'Common input data'!$D$7,IF($F$1="GTP100 with fb",G168+G169*'Common input data'!$C$8+G170*'Common input data'!$D$8,G168+G169*'Common input data'!$C$9+G170*'Common input data'!$D$9))))</f>
        <v>0.553447130906881</v>
      </c>
      <c r="H167" s="83"/>
      <c r="I167" s="83"/>
      <c r="J167" s="83"/>
      <c r="K167" s="83"/>
      <c r="L167" s="83"/>
      <c r="M167" s="83"/>
      <c r="N167" s="83"/>
      <c r="O167" s="83"/>
      <c r="P167" s="83"/>
      <c r="Q167" s="83"/>
      <c r="R167" s="83"/>
      <c r="S167" s="83"/>
      <c r="T167" s="83"/>
      <c r="U167" s="83"/>
      <c r="V167" s="309"/>
      <c r="W167" s="92"/>
      <c r="X167" s="209"/>
      <c r="Y167" s="209"/>
      <c r="Z167" s="30"/>
      <c r="AA167" s="209"/>
      <c r="AB167" s="209"/>
      <c r="AC167" s="209"/>
      <c r="AD167" s="209"/>
      <c r="AE167" s="209"/>
      <c r="AF167" s="209"/>
      <c r="AG167" s="209"/>
      <c r="AH167" s="209"/>
      <c r="AI167" s="209"/>
      <c r="AJ167" s="209"/>
      <c r="AK167" s="209"/>
      <c r="AL167" s="209"/>
      <c r="AM167" s="209"/>
      <c r="AN167" s="209"/>
      <c r="AO167" s="209"/>
      <c r="AP167" s="209"/>
      <c r="AQ167" s="209"/>
      <c r="AR167" s="209"/>
      <c r="AS167" s="209"/>
      <c r="AT167" s="209"/>
      <c r="AU167" s="209"/>
      <c r="AV167" s="209"/>
      <c r="AW167" s="209"/>
      <c r="AX167" s="209"/>
      <c r="AY167" s="209"/>
      <c r="AZ167" s="209"/>
      <c r="BA167" s="209"/>
      <c r="BB167" s="209"/>
      <c r="BC167" s="209"/>
      <c r="BD167" s="209"/>
      <c r="BE167" s="209"/>
      <c r="BF167" s="209"/>
      <c r="BG167" s="209"/>
      <c r="BH167" s="209"/>
      <c r="BI167" s="209"/>
      <c r="BJ167" s="209"/>
      <c r="BK167" s="209"/>
      <c r="BL167" s="209"/>
      <c r="BM167" s="209"/>
      <c r="BN167" s="209"/>
      <c r="BO167" s="209"/>
      <c r="BP167" s="209"/>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209"/>
      <c r="CT167" s="209"/>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209"/>
      <c r="EC167" s="209"/>
      <c r="ED167" s="209"/>
      <c r="EE167" s="209"/>
      <c r="EF167" s="209"/>
      <c r="EG167" s="209"/>
      <c r="EH167" s="209"/>
      <c r="EI167" s="209"/>
      <c r="EJ167" s="209"/>
      <c r="EK167" s="209"/>
      <c r="EL167" s="209"/>
      <c r="EM167" s="209"/>
      <c r="EN167" s="209"/>
      <c r="EO167" s="209"/>
      <c r="EP167" s="209"/>
      <c r="EQ167" s="209"/>
      <c r="ER167" s="209"/>
      <c r="ES167" s="209"/>
      <c r="ET167" s="209"/>
      <c r="EU167" s="209"/>
      <c r="EV167" s="209"/>
      <c r="EW167" s="209"/>
      <c r="EX167" s="209"/>
      <c r="EY167" s="209"/>
      <c r="EZ167" s="209"/>
      <c r="FA167" s="209"/>
      <c r="FB167" s="209"/>
      <c r="FC167" s="209"/>
      <c r="FD167" s="209"/>
      <c r="FE167" s="209"/>
      <c r="FF167" s="209"/>
      <c r="FG167" s="209"/>
      <c r="FH167" s="209"/>
      <c r="FI167" s="209"/>
      <c r="FJ167" s="209"/>
      <c r="FK167" s="209"/>
      <c r="FL167" s="209"/>
      <c r="FM167" s="209"/>
      <c r="FN167" s="209"/>
      <c r="FO167" s="209"/>
      <c r="FP167" s="209"/>
      <c r="FQ167" s="209"/>
      <c r="FR167" s="209"/>
      <c r="FS167" s="209"/>
      <c r="FT167" s="209"/>
      <c r="FU167" s="209"/>
      <c r="FV167" s="209"/>
      <c r="FW167" s="209"/>
      <c r="FX167" s="209"/>
      <c r="FY167" s="209"/>
      <c r="FZ167" s="209"/>
      <c r="GA167" s="209"/>
      <c r="GB167" s="209"/>
      <c r="GC167" s="209"/>
      <c r="GD167" s="209"/>
      <c r="GE167" s="209"/>
      <c r="GF167" s="209"/>
      <c r="GG167" s="209"/>
      <c r="GH167" s="209"/>
      <c r="GI167" s="209"/>
      <c r="GJ167" s="209"/>
      <c r="GK167" s="209"/>
      <c r="GL167" s="209"/>
      <c r="GM167" s="209"/>
      <c r="GN167" s="209"/>
      <c r="GO167" s="209"/>
      <c r="GP167" s="209"/>
      <c r="GQ167" s="209"/>
      <c r="GR167" s="209"/>
      <c r="GS167" s="209"/>
      <c r="GT167" s="209"/>
      <c r="GU167" s="209"/>
      <c r="GV167" s="209"/>
      <c r="GW167" s="209"/>
      <c r="GX167" s="209"/>
      <c r="GY167" s="209"/>
      <c r="GZ167" s="209"/>
      <c r="HA167" s="209"/>
      <c r="HB167" s="209"/>
      <c r="HC167" s="209"/>
      <c r="HD167" s="209"/>
      <c r="HE167" s="209"/>
      <c r="HF167" s="209"/>
      <c r="HG167" s="209"/>
      <c r="HH167" s="209"/>
      <c r="HI167" s="209"/>
      <c r="HJ167" s="209"/>
      <c r="HK167" s="209"/>
      <c r="HL167" s="209"/>
      <c r="HM167" s="209"/>
      <c r="HN167" s="209"/>
      <c r="HO167" s="209"/>
      <c r="HP167" s="209"/>
      <c r="HQ167" s="209"/>
      <c r="HR167" s="209"/>
      <c r="HS167" s="209"/>
      <c r="HT167" s="209"/>
      <c r="HU167" s="209"/>
      <c r="HV167" s="209"/>
      <c r="HW167" s="209"/>
      <c r="HX167" s="209"/>
      <c r="HY167" s="209"/>
      <c r="HZ167" s="209"/>
      <c r="IA167" s="209"/>
      <c r="IB167" s="209"/>
      <c r="IC167" s="209"/>
      <c r="ID167" s="209"/>
      <c r="IE167" s="209"/>
      <c r="IF167" s="209"/>
      <c r="IG167" s="209"/>
      <c r="IH167" s="209"/>
      <c r="II167" s="209"/>
      <c r="IJ167" s="209"/>
      <c r="IK167" s="209"/>
      <c r="IL167" s="209"/>
      <c r="IM167" s="209"/>
      <c r="IN167" s="209"/>
      <c r="IO167" s="209"/>
      <c r="IP167" s="209"/>
      <c r="IQ167" s="209"/>
      <c r="IR167" s="209"/>
      <c r="IS167" s="209"/>
      <c r="IT167" s="209"/>
      <c r="IU167" s="209"/>
      <c r="IV167" s="209"/>
      <c r="IW167" s="209"/>
      <c r="IX167" s="209"/>
    </row>
    <row r="168" s="209" customFormat="true" ht="17.4" hidden="false" customHeight="false" outlineLevel="0" collapsed="false">
      <c r="A168" s="99"/>
      <c r="B168" s="31"/>
      <c r="C168" s="30"/>
      <c r="D168" s="85" t="s">
        <v>134</v>
      </c>
      <c r="E168" s="217" t="n">
        <f aca="false">IF(AND($F$2="No",$F$3="No"),SUM(J168:K168),IF(AND($F$2="Yes", $F$3="No"), SUM(J168:K168)+Q168, IF(AND($F$2="No", $F$3="Yes"),SUM(J168:K168)+P168, SUM(J168:K168)+Q168+P168)))</f>
        <v>0.0399894869629571</v>
      </c>
      <c r="F168" s="89" t="n">
        <f aca="false">IF(AND($F$2="No",$F$3="No"),SUM(H168:O168),IF(AND($F$2="Yes", $F$3="No"), SUM(H168:O168)+Q168, IF(AND($F$2="No", $F$3="Yes"),SUM(H168:O168)+P168, SUM(H168:O168)+Q168+P168)))</f>
        <v>0.119218199048489</v>
      </c>
      <c r="G168" s="88" t="n">
        <f aca="false">SUM(S168:U168)/(1-'Common input data'!$B$121)</f>
        <v>0.476450887991991</v>
      </c>
      <c r="H168" s="87" t="n">
        <f aca="false">('Input data plant-based products'!$F$50*('Common input data'!$C$76*'Common input data'!B69+'Common input data'!$C$77*'Common input data'!C69))/'Input data plant-based products'!$E$50</f>
        <v>0.0163043732711063</v>
      </c>
      <c r="I168" s="89" t="n">
        <f aca="false">'Common input data'!$B$81</f>
        <v>0.03</v>
      </c>
      <c r="J168" s="87" t="n">
        <v>0</v>
      </c>
      <c r="K168" s="89" t="n">
        <v>0</v>
      </c>
      <c r="L168" s="87" t="n">
        <f aca="false">('Input data plant-based products'!$I$50*'Common input data'!$C$59*'Common input data'!H49)/'Input data plant-based products'!$E$50</f>
        <v>0.0129243388144259</v>
      </c>
      <c r="M168" s="89" t="n">
        <v>0</v>
      </c>
      <c r="N168" s="89" t="n">
        <f aca="false">'Input data plant-based products'!$G$152</f>
        <v>0.02</v>
      </c>
      <c r="O168" s="89" t="n">
        <v>0</v>
      </c>
      <c r="P168" s="89" t="n">
        <f aca="false">'Common input data'!$E$13</f>
        <v>0.0399894869629571</v>
      </c>
      <c r="Q168" s="89" t="n">
        <v>0</v>
      </c>
      <c r="R168" s="89" t="n">
        <v>0</v>
      </c>
      <c r="S168" s="89" t="n">
        <f aca="false">(F168+R168)</f>
        <v>0.119218199048489</v>
      </c>
      <c r="T168" s="89" t="n">
        <f aca="false">'Common input data'!$B$88</f>
        <v>0.05</v>
      </c>
      <c r="U168" s="89" t="n">
        <f aca="false">'Common input data'!B102+'Common input data'!C102</f>
        <v>0.23</v>
      </c>
      <c r="V168" s="309"/>
      <c r="W168" s="92"/>
      <c r="Z168" s="30"/>
    </row>
    <row r="169" s="209" customFormat="true" ht="17.4" hidden="false" customHeight="false" outlineLevel="0" collapsed="false">
      <c r="A169" s="74"/>
      <c r="B169" s="31"/>
      <c r="C169" s="93"/>
      <c r="D169" s="85" t="s">
        <v>135</v>
      </c>
      <c r="E169" s="217" t="n">
        <f aca="false">SUM(J169:K169)</f>
        <v>0</v>
      </c>
      <c r="F169" s="89" t="n">
        <f aca="false">SUM(H169:O169)</f>
        <v>5.72511817826447E-006</v>
      </c>
      <c r="G169" s="88" t="n">
        <f aca="false">SUM(S169:U169)/(1-'Common input data'!$B$121)</f>
        <v>6.8326986254499E-006</v>
      </c>
      <c r="H169" s="87" t="n">
        <f aca="false">('Input data plant-based products'!$F$50*('Common input data'!$C$76*'Common input data'!B70+'Common input data'!$C$77*'Common input data'!C70))/'Input data plant-based products'!$E$50</f>
        <v>7.18883653447561E-011</v>
      </c>
      <c r="I169" s="89" t="n">
        <v>0</v>
      </c>
      <c r="J169" s="87" t="n">
        <v>0</v>
      </c>
      <c r="K169" s="89" t="n">
        <v>0</v>
      </c>
      <c r="L169" s="87" t="n">
        <f aca="false">('Input data plant-based products'!$I$50*'Common input data'!$C$59*'Common input data'!H50)/'Input data plant-based products'!$E$50</f>
        <v>5.72504628989913E-006</v>
      </c>
      <c r="M169" s="89" t="n">
        <v>0</v>
      </c>
      <c r="N169" s="89" t="n">
        <v>0</v>
      </c>
      <c r="O169" s="89" t="n">
        <v>0</v>
      </c>
      <c r="P169" s="89" t="n">
        <v>0</v>
      </c>
      <c r="Q169" s="89" t="n">
        <v>0</v>
      </c>
      <c r="R169" s="89" t="n">
        <v>0</v>
      </c>
      <c r="S169" s="89" t="n">
        <f aca="false">(F169+R169)</f>
        <v>5.72511817826447E-006</v>
      </c>
      <c r="T169" s="89" t="n">
        <v>0</v>
      </c>
      <c r="U169" s="89" t="n">
        <v>0</v>
      </c>
      <c r="V169" s="309"/>
      <c r="W169" s="92"/>
      <c r="Z169" s="30"/>
    </row>
    <row r="170" s="209" customFormat="true" ht="17.4" hidden="false" customHeight="false" outlineLevel="0" collapsed="false">
      <c r="A170" s="100"/>
      <c r="B170" s="101"/>
      <c r="C170" s="87"/>
      <c r="D170" s="31" t="s">
        <v>136</v>
      </c>
      <c r="E170" s="219" t="n">
        <f aca="false">SUM(J170:K170)</f>
        <v>0.000126434836850313</v>
      </c>
      <c r="F170" s="126" t="n">
        <f aca="false">SUM(H170:O170)</f>
        <v>0.00021584059704807</v>
      </c>
      <c r="G170" s="106" t="n">
        <f aca="false">SUM(S170:U170)/(1-'Common input data'!$B$121)</f>
        <v>0.000257597084434981</v>
      </c>
      <c r="H170" s="87" t="n">
        <f aca="false">('Input data plant-based products'!$F$50*('Common input data'!$C$76*'Common input data'!B71+'Common input data'!$C$77*'Common input data'!C71))/'Input data plant-based products'!$E$50</f>
        <v>8.90584781748198E-005</v>
      </c>
      <c r="I170" s="87" t="n">
        <v>0</v>
      </c>
      <c r="J170" s="87" t="n">
        <f aca="false">(SUM('Input data plant-based products'!F50:H50)*'Input data plant-based products'!$B$114*44/28)/'Input data plant-based products'!E50</f>
        <v>0.000114940760773012</v>
      </c>
      <c r="K170" s="89" t="n">
        <f aca="false">J170*'Input data plant-based products'!$B$115</f>
        <v>1.14940760773012E-005</v>
      </c>
      <c r="L170" s="87" t="n">
        <f aca="false">('Input data plant-based products'!$I$50*'Common input data'!$C$59*'Common input data'!H51)/'Input data plant-based products'!$E$50</f>
        <v>3.47282022937681E-007</v>
      </c>
      <c r="M170" s="89" t="n">
        <v>0</v>
      </c>
      <c r="N170" s="89" t="n">
        <v>0</v>
      </c>
      <c r="O170" s="89" t="n">
        <v>0</v>
      </c>
      <c r="P170" s="89" t="n">
        <v>0</v>
      </c>
      <c r="Q170" s="89" t="n">
        <v>0</v>
      </c>
      <c r="R170" s="89" t="n">
        <v>0</v>
      </c>
      <c r="S170" s="89" t="n">
        <f aca="false">(F170+R170)</f>
        <v>0.00021584059704807</v>
      </c>
      <c r="T170" s="89" t="n">
        <v>0</v>
      </c>
      <c r="U170" s="89" t="n">
        <v>0</v>
      </c>
      <c r="V170" s="309"/>
      <c r="W170" s="92"/>
      <c r="Z170" s="30"/>
    </row>
    <row r="171" s="334" customFormat="true" ht="17.4" hidden="false" customHeight="false" outlineLevel="0" collapsed="false">
      <c r="A171" s="107" t="s">
        <v>306</v>
      </c>
      <c r="B171" s="108"/>
      <c r="C171" s="69"/>
      <c r="D171" s="109"/>
      <c r="E171" s="110" t="s">
        <v>307</v>
      </c>
      <c r="F171" s="111" t="s">
        <v>307</v>
      </c>
      <c r="G171" s="112" t="s">
        <v>307</v>
      </c>
      <c r="H171" s="69"/>
      <c r="I171" s="69"/>
      <c r="J171" s="69"/>
      <c r="K171" s="113"/>
      <c r="L171" s="113"/>
      <c r="M171" s="114"/>
      <c r="N171" s="113"/>
      <c r="O171" s="113"/>
      <c r="P171" s="113"/>
      <c r="Q171" s="113"/>
      <c r="R171" s="113"/>
      <c r="S171" s="113"/>
      <c r="T171" s="113"/>
      <c r="U171" s="113"/>
      <c r="V171" s="309"/>
      <c r="W171" s="92"/>
      <c r="X171" s="209"/>
      <c r="Y171" s="209"/>
      <c r="Z171" s="30"/>
      <c r="AA171" s="209"/>
      <c r="AB171" s="209"/>
      <c r="AC171" s="209"/>
      <c r="AD171" s="209"/>
      <c r="AE171" s="209"/>
      <c r="AF171" s="209"/>
      <c r="AG171" s="209"/>
      <c r="AH171" s="209"/>
      <c r="AI171" s="209"/>
      <c r="AJ171" s="209"/>
      <c r="AK171" s="209"/>
      <c r="AL171" s="209"/>
      <c r="AM171" s="209"/>
      <c r="AN171" s="209"/>
      <c r="AO171" s="209"/>
      <c r="AP171" s="209"/>
      <c r="AQ171" s="209"/>
      <c r="AR171" s="209"/>
      <c r="AS171" s="209"/>
      <c r="AT171" s="209"/>
      <c r="AU171" s="209"/>
      <c r="AV171" s="209"/>
      <c r="AW171" s="209"/>
      <c r="AX171" s="209"/>
      <c r="AY171" s="209"/>
      <c r="AZ171" s="209"/>
      <c r="BA171" s="209"/>
      <c r="BB171" s="209"/>
      <c r="BC171" s="209"/>
      <c r="BD171" s="209"/>
      <c r="BE171" s="209"/>
      <c r="BF171" s="209"/>
      <c r="BG171" s="209"/>
      <c r="BH171" s="209"/>
      <c r="BI171" s="209"/>
      <c r="BJ171" s="209"/>
      <c r="BK171" s="209"/>
      <c r="BL171" s="209"/>
      <c r="BM171" s="209"/>
      <c r="BN171" s="209"/>
      <c r="BO171" s="209"/>
      <c r="BP171" s="209"/>
      <c r="BQ171" s="209"/>
      <c r="BR171" s="209"/>
      <c r="BS171" s="209"/>
      <c r="BT171" s="209"/>
      <c r="BU171" s="209"/>
      <c r="BV171" s="209"/>
      <c r="BW171" s="209"/>
      <c r="BX171" s="209"/>
      <c r="BY171" s="209"/>
      <c r="BZ171" s="209"/>
      <c r="CA171" s="209"/>
      <c r="CB171" s="209"/>
      <c r="CC171" s="209"/>
      <c r="CD171" s="209"/>
      <c r="CE171" s="209"/>
      <c r="CF171" s="209"/>
      <c r="CG171" s="209"/>
      <c r="CH171" s="209"/>
      <c r="CI171" s="209"/>
      <c r="CJ171" s="209"/>
      <c r="CK171" s="209"/>
      <c r="CL171" s="209"/>
      <c r="CM171" s="209"/>
      <c r="CN171" s="209"/>
      <c r="CO171" s="209"/>
      <c r="CP171" s="209"/>
      <c r="CQ171" s="209"/>
      <c r="CR171" s="209"/>
      <c r="CS171" s="209"/>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209"/>
      <c r="EC171" s="209"/>
      <c r="ED171" s="209"/>
      <c r="EE171" s="209"/>
      <c r="EF171" s="209"/>
      <c r="EG171" s="209"/>
      <c r="EH171" s="209"/>
      <c r="EI171" s="209"/>
      <c r="EJ171" s="209"/>
      <c r="EK171" s="209"/>
      <c r="EL171" s="209"/>
      <c r="EM171" s="209"/>
      <c r="EN171" s="209"/>
      <c r="EO171" s="209"/>
      <c r="EP171" s="209"/>
      <c r="EQ171" s="209"/>
      <c r="ER171" s="209"/>
      <c r="ES171" s="209"/>
      <c r="ET171" s="209"/>
      <c r="EU171" s="209"/>
      <c r="EV171" s="209"/>
      <c r="EW171" s="209"/>
      <c r="EX171" s="209"/>
      <c r="EY171" s="209"/>
      <c r="EZ171" s="209"/>
      <c r="FA171" s="209"/>
      <c r="FB171" s="209"/>
      <c r="FC171" s="209"/>
      <c r="FD171" s="209"/>
      <c r="FE171" s="209"/>
      <c r="FF171" s="209"/>
      <c r="FG171" s="209"/>
      <c r="FH171" s="209"/>
      <c r="FI171" s="209"/>
      <c r="FJ171" s="209"/>
      <c r="FK171" s="209"/>
      <c r="FL171" s="209"/>
      <c r="FM171" s="209"/>
      <c r="FN171" s="209"/>
      <c r="FO171" s="209"/>
      <c r="FP171" s="209"/>
      <c r="FQ171" s="209"/>
      <c r="FR171" s="209"/>
      <c r="FS171" s="209"/>
      <c r="FT171" s="209"/>
      <c r="FU171" s="209"/>
      <c r="FV171" s="209"/>
      <c r="FW171" s="209"/>
      <c r="FX171" s="209"/>
      <c r="FY171" s="209"/>
      <c r="FZ171" s="209"/>
      <c r="GA171" s="209"/>
      <c r="GB171" s="209"/>
      <c r="GC171" s="209"/>
      <c r="GD171" s="209"/>
      <c r="GE171" s="209"/>
      <c r="GF171" s="209"/>
      <c r="GG171" s="209"/>
      <c r="GH171" s="209"/>
      <c r="GI171" s="209"/>
      <c r="GJ171" s="209"/>
      <c r="GK171" s="209"/>
      <c r="GL171" s="209"/>
      <c r="GM171" s="209"/>
      <c r="GN171" s="209"/>
      <c r="GO171" s="209"/>
      <c r="GP171" s="209"/>
      <c r="GQ171" s="209"/>
      <c r="GR171" s="209"/>
      <c r="GS171" s="209"/>
      <c r="GT171" s="209"/>
      <c r="GU171" s="209"/>
      <c r="GV171" s="209"/>
      <c r="GW171" s="209"/>
      <c r="GX171" s="209"/>
      <c r="GY171" s="209"/>
      <c r="GZ171" s="209"/>
      <c r="HA171" s="209"/>
      <c r="HB171" s="209"/>
      <c r="HC171" s="209"/>
      <c r="HD171" s="209"/>
      <c r="HE171" s="209"/>
      <c r="HF171" s="209"/>
      <c r="HG171" s="209"/>
      <c r="HH171" s="209"/>
      <c r="HI171" s="209"/>
      <c r="HJ171" s="209"/>
      <c r="HK171" s="209"/>
      <c r="HL171" s="209"/>
      <c r="HM171" s="209"/>
      <c r="HN171" s="209"/>
      <c r="HO171" s="209"/>
      <c r="HP171" s="209"/>
      <c r="HQ171" s="209"/>
      <c r="HR171" s="209"/>
      <c r="HS171" s="209"/>
      <c r="HT171" s="209"/>
      <c r="HU171" s="209"/>
      <c r="HV171" s="209"/>
      <c r="HW171" s="209"/>
      <c r="HX171" s="209"/>
      <c r="HY171" s="209"/>
      <c r="HZ171" s="209"/>
      <c r="IA171" s="209"/>
      <c r="IB171" s="209"/>
      <c r="IC171" s="209"/>
      <c r="ID171" s="209"/>
      <c r="IE171" s="209"/>
      <c r="IF171" s="209"/>
      <c r="IG171" s="209"/>
      <c r="IH171" s="209"/>
      <c r="II171" s="209"/>
      <c r="IJ171" s="209"/>
      <c r="IK171" s="209"/>
      <c r="IL171" s="209"/>
      <c r="IM171" s="209"/>
      <c r="IN171" s="209"/>
      <c r="IO171" s="209"/>
      <c r="IP171" s="209"/>
      <c r="IQ171" s="209"/>
      <c r="IR171" s="209"/>
      <c r="IS171" s="209"/>
      <c r="IT171" s="209"/>
      <c r="IU171" s="209"/>
      <c r="IV171" s="209"/>
      <c r="IW171" s="209"/>
      <c r="IX171" s="209"/>
    </row>
    <row r="172" s="332" customFormat="true" ht="17.4" hidden="false" customHeight="false" outlineLevel="0" collapsed="false">
      <c r="A172" s="330" t="s">
        <v>272</v>
      </c>
      <c r="B172" s="76"/>
      <c r="C172" s="77" t="n">
        <f aca="false">SUM(C176:C187)</f>
        <v>1</v>
      </c>
      <c r="D172" s="78" t="s">
        <v>133</v>
      </c>
      <c r="E172" s="79" t="n">
        <f aca="false">IF($F$1="GWP100 without fb",E173+E174*'Common input data'!$C$5+E175*'Common input data'!$D$5,IF($F$1="GWP100 with fb",E173+E174*'Common input data'!$C$6+E175*'Common input data'!$D$6,IF($F$1="GTP100 without fb",E173+E174*'Common input data'!$C$7+E175*'Common input data'!$D$7,IF($F$1="GTP100 with fb",E173+E174*'Common input data'!$C$8+E175*'Common input data'!$D$8,E173+E174*'Common input data'!$C$9+E175*'Common input data'!$D$9))))</f>
        <v>0.191806576317427</v>
      </c>
      <c r="F172" s="80" t="n">
        <f aca="false">IF($F$1="GWP100 without fb",F173+F174*'Common input data'!$C$5+F175*'Common input data'!$D$5,IF($F$1="GWP100 with fb",F173+F174*'Common input data'!$C$6+F175*'Common input data'!$D$6,IF($F$1="GTP100 without fb",F173+F174*'Common input data'!$C$7+F175*'Common input data'!$D$7,IF($F$1="GTP100 with fb",F173+F174*'Common input data'!$C$8+F175*'Common input data'!$D$8,F173+F174*'Common input data'!$C$9+F175*'Common input data'!$D$9))))</f>
        <v>0.378096317478093</v>
      </c>
      <c r="G172" s="81" t="n">
        <f aca="false">IF($F$1="GWP100 without fb",G173+G174*'Common input data'!$C$5+G175*'Common input data'!$D$5,IF($F$1="GWP100 with fb",G173+G174*'Common input data'!$C$6+G175*'Common input data'!$D$6,IF($F$1="GTP100 without fb",G173+G174*'Common input data'!$C$7+G175*'Common input data'!$D$7,IF($F$1="GTP100 with fb",G173+G174*'Common input data'!$C$8+G175*'Common input data'!$D$8,G173+G174*'Common input data'!$C$9+G175*'Common input data'!$D$9))))</f>
        <v>0.627874826922178</v>
      </c>
      <c r="H172" s="95"/>
      <c r="I172" s="97"/>
      <c r="J172" s="97"/>
      <c r="K172" s="83"/>
      <c r="L172" s="83"/>
      <c r="M172" s="83"/>
      <c r="N172" s="83"/>
      <c r="O172" s="83"/>
      <c r="P172" s="83"/>
      <c r="Q172" s="83"/>
      <c r="R172" s="83"/>
      <c r="S172" s="83"/>
      <c r="T172" s="83"/>
      <c r="U172" s="83"/>
      <c r="V172" s="309"/>
      <c r="W172" s="92"/>
      <c r="X172" s="209"/>
      <c r="Y172" s="209"/>
      <c r="Z172" s="30"/>
      <c r="AA172" s="209"/>
      <c r="AB172" s="209"/>
      <c r="AC172" s="209"/>
      <c r="AD172" s="209"/>
      <c r="AE172" s="209"/>
      <c r="AF172" s="209"/>
      <c r="AG172" s="209"/>
      <c r="AH172" s="209"/>
      <c r="AI172" s="209"/>
      <c r="AJ172" s="209"/>
      <c r="AK172" s="209"/>
      <c r="AL172" s="209"/>
      <c r="AM172" s="209"/>
      <c r="AN172" s="209"/>
      <c r="AO172" s="209"/>
      <c r="AP172" s="209"/>
      <c r="AQ172" s="209"/>
      <c r="AR172" s="209"/>
      <c r="AS172" s="209"/>
      <c r="AT172" s="209"/>
      <c r="AU172" s="209"/>
      <c r="AV172" s="209"/>
      <c r="AW172" s="209"/>
      <c r="AX172" s="209"/>
      <c r="AY172" s="209"/>
      <c r="AZ172" s="209"/>
      <c r="BA172" s="209"/>
      <c r="BB172" s="209"/>
      <c r="BC172" s="209"/>
      <c r="BD172" s="209"/>
      <c r="BE172" s="209"/>
      <c r="BF172" s="209"/>
      <c r="BG172" s="209"/>
      <c r="BH172" s="209"/>
      <c r="BI172" s="209"/>
      <c r="BJ172" s="209"/>
      <c r="BK172" s="209"/>
      <c r="BL172" s="209"/>
      <c r="BM172" s="209"/>
      <c r="BN172" s="209"/>
      <c r="BO172" s="209"/>
      <c r="BP172" s="209"/>
      <c r="BQ172" s="209"/>
      <c r="BR172" s="209"/>
      <c r="BS172" s="209"/>
      <c r="BT172" s="209"/>
      <c r="BU172" s="209"/>
      <c r="BV172" s="209"/>
      <c r="BW172" s="209"/>
      <c r="BX172" s="209"/>
      <c r="BY172" s="209"/>
      <c r="BZ172" s="209"/>
      <c r="CA172" s="209"/>
      <c r="CB172" s="209"/>
      <c r="CC172" s="209"/>
      <c r="CD172" s="209"/>
      <c r="CE172" s="209"/>
      <c r="CF172" s="209"/>
      <c r="CG172" s="209"/>
      <c r="CH172" s="209"/>
      <c r="CI172" s="209"/>
      <c r="CJ172" s="209"/>
      <c r="CK172" s="209"/>
      <c r="CL172" s="209"/>
      <c r="CM172" s="209"/>
      <c r="CN172" s="209"/>
      <c r="CO172" s="209"/>
      <c r="CP172" s="209"/>
      <c r="CQ172" s="209"/>
      <c r="CR172" s="209"/>
      <c r="CS172" s="209"/>
      <c r="CT172" s="209"/>
      <c r="CU172" s="209"/>
      <c r="CV172" s="209"/>
      <c r="CW172" s="209"/>
      <c r="CX172" s="209"/>
      <c r="CY172" s="209"/>
      <c r="CZ172" s="209"/>
      <c r="DA172" s="209"/>
      <c r="DB172" s="209"/>
      <c r="DC172" s="209"/>
      <c r="DD172" s="209"/>
      <c r="DE172" s="209"/>
      <c r="DF172" s="209"/>
      <c r="DG172" s="209"/>
      <c r="DH172" s="209"/>
      <c r="DI172" s="209"/>
      <c r="DJ172" s="209"/>
      <c r="DK172" s="209"/>
      <c r="DL172" s="209"/>
      <c r="DM172" s="209"/>
      <c r="DN172" s="209"/>
      <c r="DO172" s="209"/>
      <c r="DP172" s="209"/>
      <c r="DQ172" s="209"/>
      <c r="DR172" s="209"/>
      <c r="DS172" s="209"/>
      <c r="DT172" s="209"/>
      <c r="DU172" s="209"/>
      <c r="DV172" s="209"/>
      <c r="DW172" s="209"/>
      <c r="DX172" s="209"/>
      <c r="DY172" s="209"/>
      <c r="DZ172" s="209"/>
      <c r="EA172" s="209"/>
      <c r="EB172" s="209"/>
      <c r="EC172" s="209"/>
      <c r="ED172" s="209"/>
      <c r="EE172" s="209"/>
      <c r="EF172" s="209"/>
      <c r="EG172" s="209"/>
      <c r="EH172" s="209"/>
      <c r="EI172" s="209"/>
      <c r="EJ172" s="209"/>
      <c r="EK172" s="209"/>
      <c r="EL172" s="209"/>
      <c r="EM172" s="209"/>
      <c r="EN172" s="209"/>
      <c r="EO172" s="209"/>
      <c r="EP172" s="209"/>
      <c r="EQ172" s="209"/>
      <c r="ER172" s="209"/>
      <c r="ES172" s="209"/>
      <c r="ET172" s="209"/>
      <c r="EU172" s="209"/>
      <c r="EV172" s="209"/>
      <c r="EW172" s="209"/>
      <c r="EX172" s="209"/>
      <c r="EY172" s="209"/>
      <c r="EZ172" s="209"/>
      <c r="FA172" s="209"/>
      <c r="FB172" s="209"/>
      <c r="FC172" s="209"/>
      <c r="FD172" s="209"/>
      <c r="FE172" s="209"/>
      <c r="FF172" s="209"/>
      <c r="FG172" s="209"/>
      <c r="FH172" s="209"/>
      <c r="FI172" s="209"/>
      <c r="FJ172" s="209"/>
      <c r="FK172" s="209"/>
      <c r="FL172" s="209"/>
      <c r="FM172" s="209"/>
      <c r="FN172" s="209"/>
      <c r="FO172" s="209"/>
      <c r="FP172" s="209"/>
      <c r="FQ172" s="209"/>
      <c r="FR172" s="209"/>
      <c r="FS172" s="209"/>
      <c r="FT172" s="209"/>
      <c r="FU172" s="209"/>
      <c r="FV172" s="209"/>
      <c r="FW172" s="209"/>
      <c r="FX172" s="209"/>
      <c r="FY172" s="209"/>
      <c r="FZ172" s="209"/>
      <c r="GA172" s="209"/>
      <c r="GB172" s="209"/>
      <c r="GC172" s="209"/>
      <c r="GD172" s="209"/>
      <c r="GE172" s="209"/>
      <c r="GF172" s="209"/>
      <c r="GG172" s="209"/>
      <c r="GH172" s="209"/>
      <c r="GI172" s="209"/>
      <c r="GJ172" s="209"/>
      <c r="GK172" s="209"/>
      <c r="GL172" s="209"/>
      <c r="GM172" s="209"/>
      <c r="GN172" s="209"/>
      <c r="GO172" s="209"/>
      <c r="GP172" s="209"/>
      <c r="GQ172" s="209"/>
      <c r="GR172" s="209"/>
      <c r="GS172" s="209"/>
      <c r="GT172" s="209"/>
      <c r="GU172" s="209"/>
      <c r="GV172" s="209"/>
      <c r="GW172" s="209"/>
      <c r="GX172" s="209"/>
      <c r="GY172" s="209"/>
      <c r="GZ172" s="209"/>
      <c r="HA172" s="209"/>
      <c r="HB172" s="209"/>
      <c r="HC172" s="209"/>
      <c r="HD172" s="209"/>
      <c r="HE172" s="209"/>
      <c r="HF172" s="209"/>
      <c r="HG172" s="209"/>
      <c r="HH172" s="209"/>
      <c r="HI172" s="209"/>
      <c r="HJ172" s="209"/>
      <c r="HK172" s="209"/>
      <c r="HL172" s="209"/>
      <c r="HM172" s="209"/>
      <c r="HN172" s="209"/>
      <c r="HO172" s="209"/>
      <c r="HP172" s="209"/>
      <c r="HQ172" s="209"/>
      <c r="HR172" s="209"/>
      <c r="HS172" s="209"/>
      <c r="HT172" s="209"/>
      <c r="HU172" s="209"/>
      <c r="HV172" s="209"/>
      <c r="HW172" s="209"/>
      <c r="HX172" s="209"/>
      <c r="HY172" s="209"/>
      <c r="HZ172" s="209"/>
      <c r="IA172" s="209"/>
      <c r="IB172" s="209"/>
      <c r="IC172" s="209"/>
      <c r="ID172" s="209"/>
      <c r="IE172" s="209"/>
      <c r="IF172" s="209"/>
      <c r="IG172" s="209"/>
      <c r="IH172" s="209"/>
      <c r="II172" s="209"/>
      <c r="IJ172" s="209"/>
      <c r="IK172" s="209"/>
      <c r="IL172" s="209"/>
      <c r="IM172" s="209"/>
      <c r="IN172" s="209"/>
      <c r="IO172" s="209"/>
      <c r="IP172" s="209"/>
      <c r="IQ172" s="209"/>
      <c r="IR172" s="209"/>
      <c r="IS172" s="209"/>
      <c r="IT172" s="209"/>
      <c r="IU172" s="209"/>
      <c r="IV172" s="209"/>
      <c r="IW172" s="209"/>
      <c r="IX172" s="209"/>
    </row>
    <row r="173" s="209" customFormat="true" ht="17.4" hidden="false" customHeight="false" outlineLevel="0" collapsed="false">
      <c r="A173" s="315"/>
      <c r="B173" s="31"/>
      <c r="C173" s="30"/>
      <c r="D173" s="85" t="s">
        <v>134</v>
      </c>
      <c r="E173" s="217" t="n">
        <f aca="false">E177*$C$176+E181*$C$180+$C$184*E185</f>
        <v>0.0399894869629571</v>
      </c>
      <c r="F173" s="89" t="n">
        <f aca="false">F177*$C$176+F181*$C$180+$C$184*F185</f>
        <v>0.168896052275909</v>
      </c>
      <c r="G173" s="88" t="n">
        <f aca="false">G177*$C$176+G181*$C$180+$C$184*G185</f>
        <v>0.378202711870043</v>
      </c>
      <c r="H173" s="89" t="n">
        <f aca="false">H177*$C$176+H181*$C$180+$C$184*H185</f>
        <v>0.0422916977318789</v>
      </c>
      <c r="I173" s="89" t="n">
        <f aca="false">I177*$C$176+I181*$C$180+$C$184*I185</f>
        <v>0.03</v>
      </c>
      <c r="J173" s="89" t="n">
        <f aca="false">J177*$C$176+J181*$C$180+$C$184*J185</f>
        <v>0</v>
      </c>
      <c r="K173" s="89" t="n">
        <f aca="false">K177*$C$176+K181*$C$180+$C$184*K185</f>
        <v>0</v>
      </c>
      <c r="L173" s="89" t="n">
        <f aca="false">L177*$C$176+L181*$C$180+$C$184*L185</f>
        <v>0.0366148675810733</v>
      </c>
      <c r="M173" s="89" t="n">
        <f aca="false">M177*$C$176+M181*$C$180+$C$184*M185</f>
        <v>0</v>
      </c>
      <c r="N173" s="89" t="n">
        <f aca="false">N177*$C$176+N181*$C$180+$C$184*N185</f>
        <v>0.02</v>
      </c>
      <c r="O173" s="89" t="n">
        <f aca="false">O177*$C$176+O181*$C$180+$C$184*O185</f>
        <v>0</v>
      </c>
      <c r="P173" s="89" t="n">
        <f aca="false">P177*$C$176+P181*$C$180+$C$184*P185</f>
        <v>0.0399894869629571</v>
      </c>
      <c r="Q173" s="89" t="n">
        <f aca="false">Q177*$C$176+Q181*$C$180+$C$184*Q185</f>
        <v>0</v>
      </c>
      <c r="R173" s="89" t="n">
        <f aca="false">R177*$C$176+R181*$C$180+$C$184*R185</f>
        <v>0</v>
      </c>
      <c r="S173" s="89" t="n">
        <f aca="false">S177*$C$176+S181*$C$180+$C$184*S185</f>
        <v>0.168896052275909</v>
      </c>
      <c r="T173" s="89" t="n">
        <f aca="false">T177*$C$176+T181*$C$180+$C$184*T185</f>
        <v>0.05</v>
      </c>
      <c r="U173" s="89" t="n">
        <f aca="false">U177*$C$176+U181*$C$180+$C$184*U185</f>
        <v>0.098</v>
      </c>
      <c r="V173" s="309"/>
      <c r="W173" s="92"/>
      <c r="Z173" s="30"/>
    </row>
    <row r="174" s="209" customFormat="true" ht="17.4" hidden="false" customHeight="false" outlineLevel="0" collapsed="false">
      <c r="A174" s="315"/>
      <c r="B174" s="31"/>
      <c r="C174" s="93"/>
      <c r="D174" s="85" t="s">
        <v>135</v>
      </c>
      <c r="E174" s="217" t="n">
        <f aca="false">E178*$C$176+E182*$C$180+$C$184*E186</f>
        <v>0</v>
      </c>
      <c r="F174" s="89" t="n">
        <f aca="false">F178*$C$176+F182*$C$180+$C$184*F186</f>
        <v>1.62192871181247E-005</v>
      </c>
      <c r="G174" s="88" t="n">
        <f aca="false">G178*$C$176+G182*$C$180+$C$184*G186</f>
        <v>1.935706781015E-005</v>
      </c>
      <c r="H174" s="89" t="n">
        <f aca="false">H178*$C$176+H182*$C$180+$C$184*H186</f>
        <v>1.35422240908583E-010</v>
      </c>
      <c r="I174" s="89" t="n">
        <f aca="false">I178*$C$176+I182*$C$180+$C$184*I186</f>
        <v>0</v>
      </c>
      <c r="J174" s="89" t="n">
        <f aca="false">J178*$C$176+J182*$C$180+$C$184*J186</f>
        <v>0</v>
      </c>
      <c r="K174" s="89" t="n">
        <f aca="false">K178*$C$176+K182*$C$180+$C$184*K186</f>
        <v>0</v>
      </c>
      <c r="L174" s="89" t="n">
        <f aca="false">L178*$C$176+L182*$C$180+$C$184*L186</f>
        <v>1.62191516958838E-005</v>
      </c>
      <c r="M174" s="89" t="n">
        <f aca="false">M178*$C$176+M182*$C$180+$C$184*M186</f>
        <v>0</v>
      </c>
      <c r="N174" s="89" t="n">
        <f aca="false">N178*$C$176+N182*$C$180+$C$184*N186</f>
        <v>0</v>
      </c>
      <c r="O174" s="89" t="n">
        <f aca="false">O178*$C$176+O182*$C$180+$C$184*O186</f>
        <v>0</v>
      </c>
      <c r="P174" s="89" t="n">
        <f aca="false">P178*$C$176+P182*$C$180+$C$184*P186</f>
        <v>0</v>
      </c>
      <c r="Q174" s="89" t="n">
        <f aca="false">Q178*$C$176+Q182*$C$180+$C$184*Q186</f>
        <v>0</v>
      </c>
      <c r="R174" s="89" t="n">
        <f aca="false">R178*$C$176+R182*$C$180+$C$184*R186</f>
        <v>0</v>
      </c>
      <c r="S174" s="89" t="n">
        <f aca="false">S178*$C$176+S182*$C$180+$C$184*S186</f>
        <v>1.62192871181247E-005</v>
      </c>
      <c r="T174" s="89" t="n">
        <f aca="false">T178*$C$176+T182*$C$180+$C$184*T186</f>
        <v>0</v>
      </c>
      <c r="U174" s="89" t="n">
        <f aca="false">U178*$C$176+U182*$C$180+$C$184*U186</f>
        <v>0</v>
      </c>
      <c r="V174" s="309"/>
      <c r="W174" s="92"/>
      <c r="Z174" s="30"/>
    </row>
    <row r="175" s="209" customFormat="true" ht="17.4" hidden="false" customHeight="false" outlineLevel="0" collapsed="false">
      <c r="A175" s="74"/>
      <c r="B175" s="101"/>
      <c r="C175" s="87"/>
      <c r="D175" s="31" t="s">
        <v>136</v>
      </c>
      <c r="E175" s="217" t="n">
        <f aca="false">E179*$C$176+E183*$C$180+$C$184*E187</f>
        <v>0.000509453319981444</v>
      </c>
      <c r="F175" s="89" t="n">
        <f aca="false">F179*$C$176+F183*$C$180+$C$184*F187</f>
        <v>0.000700163790067675</v>
      </c>
      <c r="G175" s="88" t="n">
        <f aca="false">G179*$C$176+G183*$C$180+$C$184*G187</f>
        <v>0.00083561736492144</v>
      </c>
      <c r="H175" s="89" t="n">
        <f aca="false">H179*$C$176+H183*$C$180+$C$184*H187</f>
        <v>0.000189726614318774</v>
      </c>
      <c r="I175" s="89" t="n">
        <f aca="false">I179*$C$176+I183*$C$180+$C$184*I187</f>
        <v>0</v>
      </c>
      <c r="J175" s="89" t="n">
        <f aca="false">J179*$C$176+J183*$C$180+$C$184*J187</f>
        <v>0.000463139381801312</v>
      </c>
      <c r="K175" s="89" t="n">
        <f aca="false">K179*$C$176+K183*$C$180+$C$184*K187</f>
        <v>4.63139381801312E-005</v>
      </c>
      <c r="L175" s="89" t="n">
        <f aca="false">L179*$C$176+L183*$C$180+$C$184*L187</f>
        <v>9.83855767457712E-007</v>
      </c>
      <c r="M175" s="89" t="n">
        <f aca="false">M179*$C$176+M183*$C$180+$C$184*M187</f>
        <v>0</v>
      </c>
      <c r="N175" s="89" t="n">
        <f aca="false">N179*$C$176+N183*$C$180+$C$184*N187</f>
        <v>0</v>
      </c>
      <c r="O175" s="89" t="n">
        <f aca="false">O179*$C$176+O183*$C$180+$C$184*O187</f>
        <v>0</v>
      </c>
      <c r="P175" s="89" t="n">
        <f aca="false">P179*$C$176+P183*$C$180+$C$184*P187</f>
        <v>0</v>
      </c>
      <c r="Q175" s="89" t="n">
        <f aca="false">Q179*$C$176+Q183*$C$180+$C$184*Q187</f>
        <v>0</v>
      </c>
      <c r="R175" s="89" t="n">
        <f aca="false">R179*$C$176+R183*$C$180+$C$184*R187</f>
        <v>0</v>
      </c>
      <c r="S175" s="89" t="n">
        <f aca="false">S179*$C$176+S183*$C$180+$C$184*S187</f>
        <v>0.000700163790067675</v>
      </c>
      <c r="T175" s="89" t="n">
        <f aca="false">T179*$C$176+T183*$C$180+$C$184*T187</f>
        <v>0</v>
      </c>
      <c r="U175" s="89" t="n">
        <f aca="false">U179*$C$176+U183*$C$180+$C$184*U187</f>
        <v>0</v>
      </c>
      <c r="V175" s="309"/>
      <c r="W175" s="92"/>
      <c r="Z175" s="30"/>
    </row>
    <row r="176" s="332" customFormat="true" ht="17.4" hidden="false" customHeight="false" outlineLevel="0" collapsed="false">
      <c r="A176" s="330" t="s">
        <v>137</v>
      </c>
      <c r="B176" s="76" t="s">
        <v>254</v>
      </c>
      <c r="C176" s="84" t="n">
        <f aca="false">'Input data plant-based products'!D58</f>
        <v>0.66</v>
      </c>
      <c r="D176" s="78" t="s">
        <v>133</v>
      </c>
      <c r="E176" s="94" t="n">
        <f aca="false">IF($F$1="GWP100 without fb",E177+E178*'Common input data'!$C$5+E179*'Common input data'!$D$5,IF($F$1="GWP100 with fb",E177+E178*'Common input data'!$C$6+E179*'Common input data'!$D$6,IF($F$1="GTP100 without fb",E177+E178*'Common input data'!$C$7+E179*'Common input data'!$D$7,IF($F$1="GTP100 with fb",E177+E178*'Common input data'!$C$8+E179*'Common input data'!$D$8,E177+E178*'Common input data'!$C$9+E179*'Common input data'!$D$9))))</f>
        <v>0.200945624617236</v>
      </c>
      <c r="F176" s="95" t="n">
        <f aca="false">IF($F$1="GWP100 without fb",F177+F178*'Common input data'!$C$5+F179*'Common input data'!$D$5,IF($F$1="GWP100 with fb",F177+F178*'Common input data'!$C$6+F179*'Common input data'!$D$6,IF($F$1="GTP100 without fb",F177+F178*'Common input data'!$C$7+F179*'Common input data'!$D$7,IF($F$1="GTP100 with fb",F177+F178*'Common input data'!$C$8+F179*'Common input data'!$D$8,F177+F178*'Common input data'!$C$9+F179*'Common input data'!$D$9))))</f>
        <v>0.395071230915474</v>
      </c>
      <c r="G176" s="96" t="n">
        <f aca="false">IF($F$1="GWP100 without fb",G177+G178*'Common input data'!$C$5+G179*'Common input data'!$D$5,IF($F$1="GWP100 with fb",G177+G178*'Common input data'!$C$6+G179*'Common input data'!$D$6,IF($F$1="GTP100 without fb",G177+G178*'Common input data'!$C$7+G179*'Common input data'!$D$7,IF($F$1="GTP100 with fb",G177+G178*'Common input data'!$C$8+G179*'Common input data'!$D$8,G177+G178*'Common input data'!$C$9+G179*'Common input data'!$D$9))))</f>
        <v>0.566978435273271</v>
      </c>
      <c r="H176" s="83"/>
      <c r="I176" s="83"/>
      <c r="J176" s="83"/>
      <c r="K176" s="83"/>
      <c r="L176" s="83"/>
      <c r="M176" s="83"/>
      <c r="N176" s="83"/>
      <c r="O176" s="83"/>
      <c r="P176" s="83"/>
      <c r="Q176" s="83"/>
      <c r="R176" s="83"/>
      <c r="S176" s="83"/>
      <c r="T176" s="83"/>
      <c r="U176" s="83"/>
      <c r="V176" s="309"/>
      <c r="W176" s="92"/>
      <c r="X176" s="209"/>
      <c r="Y176" s="209"/>
      <c r="Z176" s="30"/>
      <c r="AA176" s="209"/>
      <c r="AB176" s="209"/>
      <c r="AC176" s="209"/>
      <c r="AD176" s="209"/>
      <c r="AE176" s="209"/>
      <c r="AF176" s="209"/>
      <c r="AG176" s="209"/>
      <c r="AH176" s="209"/>
      <c r="AI176" s="209"/>
      <c r="AJ176" s="209"/>
      <c r="AK176" s="209"/>
      <c r="AL176" s="209"/>
      <c r="AM176" s="209"/>
      <c r="AN176" s="209"/>
      <c r="AO176" s="209"/>
      <c r="AP176" s="209"/>
      <c r="AQ176" s="209"/>
      <c r="AR176" s="209"/>
      <c r="AS176" s="209"/>
      <c r="AT176" s="209"/>
      <c r="AU176" s="209"/>
      <c r="AV176" s="209"/>
      <c r="AW176" s="209"/>
      <c r="AX176" s="209"/>
      <c r="AY176" s="209"/>
      <c r="AZ176" s="209"/>
      <c r="BA176" s="209"/>
      <c r="BB176" s="209"/>
      <c r="BC176" s="209"/>
      <c r="BD176" s="209"/>
      <c r="BE176" s="209"/>
      <c r="BF176" s="209"/>
      <c r="BG176" s="209"/>
      <c r="BH176" s="209"/>
      <c r="BI176" s="209"/>
      <c r="BJ176" s="209"/>
      <c r="BK176" s="209"/>
      <c r="BL176" s="209"/>
      <c r="BM176" s="209"/>
      <c r="BN176" s="209"/>
      <c r="BO176" s="209"/>
      <c r="BP176" s="209"/>
      <c r="BQ176" s="209"/>
      <c r="BR176" s="209"/>
      <c r="BS176" s="209"/>
      <c r="BT176" s="209"/>
      <c r="BU176" s="209"/>
      <c r="BV176" s="209"/>
      <c r="BW176" s="209"/>
      <c r="BX176" s="209"/>
      <c r="BY176" s="209"/>
      <c r="BZ176" s="209"/>
      <c r="CA176" s="209"/>
      <c r="CB176" s="209"/>
      <c r="CC176" s="209"/>
      <c r="CD176" s="209"/>
      <c r="CE176" s="209"/>
      <c r="CF176" s="209"/>
      <c r="CG176" s="209"/>
      <c r="CH176" s="209"/>
      <c r="CI176" s="209"/>
      <c r="CJ176" s="209"/>
      <c r="CK176" s="209"/>
      <c r="CL176" s="209"/>
      <c r="CM176" s="209"/>
      <c r="CN176" s="209"/>
      <c r="CO176" s="209"/>
      <c r="CP176" s="209"/>
      <c r="CQ176" s="209"/>
      <c r="CR176" s="209"/>
      <c r="CS176" s="209"/>
      <c r="CT176" s="209"/>
      <c r="CU176" s="209"/>
      <c r="CV176" s="209"/>
      <c r="CW176" s="209"/>
      <c r="CX176" s="209"/>
      <c r="CY176" s="209"/>
      <c r="CZ176" s="209"/>
      <c r="DA176" s="209"/>
      <c r="DB176" s="209"/>
      <c r="DC176" s="209"/>
      <c r="DD176" s="209"/>
      <c r="DE176" s="209"/>
      <c r="DF176" s="209"/>
      <c r="DG176" s="209"/>
      <c r="DH176" s="209"/>
      <c r="DI176" s="209"/>
      <c r="DJ176" s="209"/>
      <c r="DK176" s="209"/>
      <c r="DL176" s="209"/>
      <c r="DM176" s="209"/>
      <c r="DN176" s="209"/>
      <c r="DO176" s="209"/>
      <c r="DP176" s="209"/>
      <c r="DQ176" s="209"/>
      <c r="DR176" s="209"/>
      <c r="DS176" s="209"/>
      <c r="DT176" s="209"/>
      <c r="DU176" s="209"/>
      <c r="DV176" s="209"/>
      <c r="DW176" s="209"/>
      <c r="DX176" s="209"/>
      <c r="DY176" s="209"/>
      <c r="DZ176" s="209"/>
      <c r="EA176" s="209"/>
      <c r="EB176" s="209"/>
      <c r="EC176" s="209"/>
      <c r="ED176" s="209"/>
      <c r="EE176" s="209"/>
      <c r="EF176" s="209"/>
      <c r="EG176" s="209"/>
      <c r="EH176" s="209"/>
      <c r="EI176" s="209"/>
      <c r="EJ176" s="209"/>
      <c r="EK176" s="209"/>
      <c r="EL176" s="209"/>
      <c r="EM176" s="209"/>
      <c r="EN176" s="209"/>
      <c r="EO176" s="209"/>
      <c r="EP176" s="209"/>
      <c r="EQ176" s="209"/>
      <c r="ER176" s="209"/>
      <c r="ES176" s="209"/>
      <c r="ET176" s="209"/>
      <c r="EU176" s="209"/>
      <c r="EV176" s="209"/>
      <c r="EW176" s="209"/>
      <c r="EX176" s="209"/>
      <c r="EY176" s="209"/>
      <c r="EZ176" s="209"/>
      <c r="FA176" s="209"/>
      <c r="FB176" s="209"/>
      <c r="FC176" s="209"/>
      <c r="FD176" s="209"/>
      <c r="FE176" s="209"/>
      <c r="FF176" s="209"/>
      <c r="FG176" s="209"/>
      <c r="FH176" s="209"/>
      <c r="FI176" s="209"/>
      <c r="FJ176" s="209"/>
      <c r="FK176" s="209"/>
      <c r="FL176" s="209"/>
      <c r="FM176" s="209"/>
      <c r="FN176" s="209"/>
      <c r="FO176" s="209"/>
      <c r="FP176" s="209"/>
      <c r="FQ176" s="209"/>
      <c r="FR176" s="209"/>
      <c r="FS176" s="209"/>
      <c r="FT176" s="209"/>
      <c r="FU176" s="209"/>
      <c r="FV176" s="209"/>
      <c r="FW176" s="209"/>
      <c r="FX176" s="209"/>
      <c r="FY176" s="209"/>
      <c r="FZ176" s="209"/>
      <c r="GA176" s="209"/>
      <c r="GB176" s="209"/>
      <c r="GC176" s="209"/>
      <c r="GD176" s="209"/>
      <c r="GE176" s="209"/>
      <c r="GF176" s="209"/>
      <c r="GG176" s="209"/>
      <c r="GH176" s="209"/>
      <c r="GI176" s="209"/>
      <c r="GJ176" s="209"/>
      <c r="GK176" s="209"/>
      <c r="GL176" s="209"/>
      <c r="GM176" s="209"/>
      <c r="GN176" s="209"/>
      <c r="GO176" s="209"/>
      <c r="GP176" s="209"/>
      <c r="GQ176" s="209"/>
      <c r="GR176" s="209"/>
      <c r="GS176" s="209"/>
      <c r="GT176" s="209"/>
      <c r="GU176" s="209"/>
      <c r="GV176" s="209"/>
      <c r="GW176" s="209"/>
      <c r="GX176" s="209"/>
      <c r="GY176" s="209"/>
      <c r="GZ176" s="209"/>
      <c r="HA176" s="209"/>
      <c r="HB176" s="209"/>
      <c r="HC176" s="209"/>
      <c r="HD176" s="209"/>
      <c r="HE176" s="209"/>
      <c r="HF176" s="209"/>
      <c r="HG176" s="209"/>
      <c r="HH176" s="209"/>
      <c r="HI176" s="209"/>
      <c r="HJ176" s="209"/>
      <c r="HK176" s="209"/>
      <c r="HL176" s="209"/>
      <c r="HM176" s="209"/>
      <c r="HN176" s="209"/>
      <c r="HO176" s="209"/>
      <c r="HP176" s="209"/>
      <c r="HQ176" s="209"/>
      <c r="HR176" s="209"/>
      <c r="HS176" s="209"/>
      <c r="HT176" s="209"/>
      <c r="HU176" s="209"/>
      <c r="HV176" s="209"/>
      <c r="HW176" s="209"/>
      <c r="HX176" s="209"/>
      <c r="HY176" s="209"/>
      <c r="HZ176" s="209"/>
      <c r="IA176" s="209"/>
      <c r="IB176" s="209"/>
      <c r="IC176" s="209"/>
      <c r="ID176" s="209"/>
      <c r="IE176" s="209"/>
      <c r="IF176" s="209"/>
      <c r="IG176" s="209"/>
      <c r="IH176" s="209"/>
      <c r="II176" s="209"/>
      <c r="IJ176" s="209"/>
      <c r="IK176" s="209"/>
      <c r="IL176" s="209"/>
      <c r="IM176" s="209"/>
      <c r="IN176" s="209"/>
      <c r="IO176" s="209"/>
      <c r="IP176" s="209"/>
      <c r="IQ176" s="209"/>
      <c r="IR176" s="209"/>
      <c r="IS176" s="209"/>
      <c r="IT176" s="209"/>
      <c r="IU176" s="209"/>
      <c r="IV176" s="209"/>
      <c r="IW176" s="209"/>
      <c r="IX176" s="209"/>
    </row>
    <row r="177" s="209" customFormat="true" ht="17.4" hidden="false" customHeight="false" outlineLevel="0" collapsed="false">
      <c r="A177" s="315"/>
      <c r="B177" s="31"/>
      <c r="C177" s="30"/>
      <c r="D177" s="85" t="s">
        <v>134</v>
      </c>
      <c r="E177" s="217" t="n">
        <f aca="false">IF(AND($F$2="No",$F$3="No"),SUM(J177:K177),IF(AND($F$2="Yes", $F$3="No"), SUM(J177:K177)+Q177, IF(AND($F$2="No", $F$3="Yes"),SUM(J177:K177)+P177, SUM(J177:K177)+Q177+P177)))</f>
        <v>0.0399894869629571</v>
      </c>
      <c r="F177" s="89" t="n">
        <f aca="false">IF(AND($F$2="No",$F$3="No"),SUM(H177:O177),IF(AND($F$2="Yes", $F$3="No"), SUM(H177:O177)+Q177, IF(AND($F$2="No", $F$3="Yes"),SUM(H177:O177)+P177, SUM(H177:O177)+Q177+P177)))</f>
        <v>0.179036464500139</v>
      </c>
      <c r="G177" s="88" t="n">
        <f aca="false">SUM(S177:U177)/(1-'Common input data'!$B$121)</f>
        <v>0.309149617496287</v>
      </c>
      <c r="H177" s="89" t="n">
        <f aca="false">('Input data plant-based products'!$F$58*('Common input data'!$B$76*'Common input data'!B69+'Common input data'!$B$77*'Common input data'!C69))/'Input data plant-based products'!$E$58</f>
        <v>0.0446590158911711</v>
      </c>
      <c r="I177" s="89" t="n">
        <f aca="false">'Common input data'!$B$81</f>
        <v>0.03</v>
      </c>
      <c r="J177" s="89" t="n">
        <v>0</v>
      </c>
      <c r="K177" s="89" t="n">
        <v>0</v>
      </c>
      <c r="L177" s="89" t="n">
        <f aca="false">('Input data plant-based products'!$I$58*'Common input data'!$C$59*'Common input data'!H49)/'Input data plant-based products'!$E$58</f>
        <v>0.0443879616460105</v>
      </c>
      <c r="M177" s="89" t="n">
        <v>0</v>
      </c>
      <c r="N177" s="89" t="n">
        <f aca="false">'Input data plant-based products'!$G$152</f>
        <v>0.02</v>
      </c>
      <c r="O177" s="89" t="n">
        <v>0</v>
      </c>
      <c r="P177" s="89" t="n">
        <f aca="false">'Common input data'!$E$13</f>
        <v>0.0399894869629571</v>
      </c>
      <c r="Q177" s="89" t="n">
        <v>0</v>
      </c>
      <c r="R177" s="89" t="n">
        <v>0</v>
      </c>
      <c r="S177" s="89" t="n">
        <f aca="false">(F177+R177)</f>
        <v>0.179036464500139</v>
      </c>
      <c r="T177" s="89" t="n">
        <f aca="false">'Common input data'!$B$88</f>
        <v>0.05</v>
      </c>
      <c r="U177" s="89" t="n">
        <f aca="false">'Common input data'!C98</f>
        <v>0.03</v>
      </c>
      <c r="V177" s="309"/>
      <c r="W177" s="92"/>
      <c r="Z177" s="30"/>
    </row>
    <row r="178" s="209" customFormat="true" ht="17.4" hidden="false" customHeight="false" outlineLevel="0" collapsed="false">
      <c r="A178" s="74"/>
      <c r="B178" s="31"/>
      <c r="C178" s="93"/>
      <c r="D178" s="85" t="s">
        <v>135</v>
      </c>
      <c r="E178" s="217" t="n">
        <f aca="false">SUM(J178:K178)</f>
        <v>0</v>
      </c>
      <c r="F178" s="89" t="n">
        <f aca="false">SUM(H178:O178)</f>
        <v>1.96624898228316E-005</v>
      </c>
      <c r="G178" s="88" t="n">
        <f aca="false">SUM(S178:U178)/(1-'Common input data'!$B$121)</f>
        <v>2.34663919594601E-005</v>
      </c>
      <c r="H178" s="89" t="n">
        <f aca="false">('Input data plant-based products'!$F$58*('Common input data'!$B$76*'Common input data'!B70+'Common input data'!$B$77*'Common input data'!C70))/'Input data plant-based products'!$E$58</f>
        <v>1.1956261907074E-010</v>
      </c>
      <c r="I178" s="89" t="n">
        <v>0</v>
      </c>
      <c r="J178" s="89" t="n">
        <v>0</v>
      </c>
      <c r="K178" s="89" t="n">
        <v>0</v>
      </c>
      <c r="L178" s="89" t="n">
        <f aca="false">('Input data plant-based products'!$I$58*'Common input data'!$C$59*'Common input data'!H50)/'Input data plant-based products'!$E$58</f>
        <v>1.96623702602125E-005</v>
      </c>
      <c r="M178" s="89" t="n">
        <v>0</v>
      </c>
      <c r="N178" s="89" t="n">
        <v>0</v>
      </c>
      <c r="O178" s="89" t="n">
        <v>0</v>
      </c>
      <c r="P178" s="89" t="n">
        <v>0</v>
      </c>
      <c r="Q178" s="89" t="n">
        <v>0</v>
      </c>
      <c r="R178" s="89" t="n">
        <v>0</v>
      </c>
      <c r="S178" s="89" t="n">
        <f aca="false">(F178+R178)</f>
        <v>1.96624898228316E-005</v>
      </c>
      <c r="T178" s="89" t="n">
        <v>0</v>
      </c>
      <c r="U178" s="89" t="n">
        <v>0</v>
      </c>
      <c r="V178" s="309"/>
      <c r="W178" s="92"/>
      <c r="Z178" s="30"/>
    </row>
    <row r="179" s="209" customFormat="true" ht="17.4" hidden="false" customHeight="false" outlineLevel="0" collapsed="false">
      <c r="A179" s="100"/>
      <c r="B179" s="101"/>
      <c r="C179" s="87"/>
      <c r="D179" s="31" t="s">
        <v>136</v>
      </c>
      <c r="E179" s="217" t="n">
        <f aca="false">SUM(J179:K179)</f>
        <v>0.000540121267296236</v>
      </c>
      <c r="F179" s="89" t="n">
        <f aca="false">SUM(H179:O179)</f>
        <v>0.000722705509266305</v>
      </c>
      <c r="G179" s="88" t="n">
        <f aca="false">SUM(S179:U179)/(1-'Common input data'!$B$121)</f>
        <v>0.000862520001511284</v>
      </c>
      <c r="H179" s="89" t="n">
        <f aca="false">('Input data plant-based products'!$F$58*('Common input data'!$B$76*'Common input data'!B71+'Common input data'!$B$77*'Common input data'!C71))/'Input data plant-based products'!$E$58</f>
        <v>0.00018139152013448</v>
      </c>
      <c r="I179" s="89" t="n">
        <v>0</v>
      </c>
      <c r="J179" s="89" t="n">
        <f aca="false">(SUM('Input data plant-based products'!F58:H58)*'Input data plant-based products'!$B$114*44/28)/'Input data plant-based products'!E58</f>
        <v>0.000491019333905669</v>
      </c>
      <c r="K179" s="89" t="n">
        <f aca="false">J179*'Input data plant-based products'!$B$115</f>
        <v>4.91019333905669E-005</v>
      </c>
      <c r="L179" s="89" t="n">
        <f aca="false">('Input data plant-based products'!$I$58*'Common input data'!$C$59*'Common input data'!H51)/'Input data plant-based products'!$E$58</f>
        <v>1.19272183558827E-006</v>
      </c>
      <c r="M179" s="89" t="n">
        <v>0</v>
      </c>
      <c r="N179" s="89" t="n">
        <v>0</v>
      </c>
      <c r="O179" s="89" t="n">
        <v>0</v>
      </c>
      <c r="P179" s="89" t="n">
        <v>0</v>
      </c>
      <c r="Q179" s="89" t="n">
        <v>0</v>
      </c>
      <c r="R179" s="89" t="n">
        <v>0</v>
      </c>
      <c r="S179" s="89" t="n">
        <f aca="false">(F179+R179)</f>
        <v>0.000722705509266305</v>
      </c>
      <c r="T179" s="89" t="n">
        <v>0</v>
      </c>
      <c r="U179" s="89" t="n">
        <v>0</v>
      </c>
      <c r="V179" s="309"/>
      <c r="W179" s="92"/>
      <c r="Z179" s="30"/>
    </row>
    <row r="180" s="332" customFormat="true" ht="17.4" hidden="false" customHeight="false" outlineLevel="0" collapsed="false">
      <c r="A180" s="330" t="s">
        <v>285</v>
      </c>
      <c r="B180" s="76" t="s">
        <v>254</v>
      </c>
      <c r="C180" s="84" t="n">
        <f aca="false">'Input data plant-based products'!D59</f>
        <v>0.14</v>
      </c>
      <c r="D180" s="78" t="s">
        <v>133</v>
      </c>
      <c r="E180" s="94" t="n">
        <f aca="false">IF($F$1="GWP100 without fb",E181+E182*'Common input data'!$C$5+E183*'Common input data'!$D$5,IF($F$1="GWP100 with fb",E181+E182*'Common input data'!$C$6+E183*'Common input data'!$D$6,IF($F$1="GTP100 without fb",E181+E182*'Common input data'!$C$7+E183*'Common input data'!$D$7,IF($F$1="GTP100 with fb",E181+E182*'Common input data'!$C$8+E183*'Common input data'!$D$8,E181+E182*'Common input data'!$C$9+E183*'Common input data'!$D$9))))</f>
        <v>0.186038929375714</v>
      </c>
      <c r="F180" s="95" t="n">
        <f aca="false">IF($F$1="GWP100 without fb",F181+F182*'Common input data'!$C$5+F183*'Common input data'!$D$5,IF($F$1="GWP100 with fb",F181+F182*'Common input data'!$C$6+F183*'Common input data'!$D$6,IF($F$1="GTP100 without fb",F181+F182*'Common input data'!$C$7+F183*'Common input data'!$D$7,IF($F$1="GTP100 with fb",F181+F182*'Common input data'!$C$8+F183*'Common input data'!$D$8,F181+F182*'Common input data'!$C$9+F183*'Common input data'!$D$9))))</f>
        <v>0.378426762311992</v>
      </c>
      <c r="G180" s="96" t="n">
        <f aca="false">IF($F$1="GWP100 without fb",G181+G182*'Common input data'!$C$5+G183*'Common input data'!$D$5,IF($F$1="GWP100 with fb",G181+G182*'Common input data'!$C$6+G183*'Common input data'!$D$6,IF($F$1="GTP100 without fb",G181+G182*'Common input data'!$C$7+G183*'Common input data'!$D$7,IF($F$1="GTP100 with fb",G181+G182*'Common input data'!$C$8+G183*'Common input data'!$D$8,G181+G182*'Common input data'!$C$9+G183*'Common input data'!$D$9))))</f>
        <v>0.785805898450879</v>
      </c>
      <c r="H180" s="83"/>
      <c r="I180" s="83"/>
      <c r="J180" s="83"/>
      <c r="K180" s="83"/>
      <c r="L180" s="83"/>
      <c r="M180" s="83"/>
      <c r="N180" s="83"/>
      <c r="O180" s="83"/>
      <c r="P180" s="83"/>
      <c r="Q180" s="83"/>
      <c r="R180" s="83"/>
      <c r="S180" s="83"/>
      <c r="T180" s="83"/>
      <c r="U180" s="83"/>
      <c r="V180" s="309"/>
      <c r="W180" s="92"/>
      <c r="X180" s="209"/>
      <c r="Y180" s="209"/>
      <c r="Z180" s="30"/>
      <c r="AA180" s="209"/>
      <c r="AB180" s="209"/>
      <c r="AC180" s="209"/>
      <c r="AD180" s="209"/>
      <c r="AE180" s="209"/>
      <c r="AF180" s="209"/>
      <c r="AG180" s="209"/>
      <c r="AH180" s="209"/>
      <c r="AI180" s="209"/>
      <c r="AJ180" s="209"/>
      <c r="AK180" s="209"/>
      <c r="AL180" s="209"/>
      <c r="AM180" s="209"/>
      <c r="AN180" s="209"/>
      <c r="AO180" s="209"/>
      <c r="AP180" s="209"/>
      <c r="AQ180" s="209"/>
      <c r="AR180" s="209"/>
      <c r="AS180" s="209"/>
      <c r="AT180" s="209"/>
      <c r="AU180" s="209"/>
      <c r="AV180" s="209"/>
      <c r="AW180" s="209"/>
      <c r="AX180" s="209"/>
      <c r="AY180" s="209"/>
      <c r="AZ180" s="209"/>
      <c r="BA180" s="209"/>
      <c r="BB180" s="209"/>
      <c r="BC180" s="209"/>
      <c r="BD180" s="209"/>
      <c r="BE180" s="209"/>
      <c r="BF180" s="209"/>
      <c r="BG180" s="209"/>
      <c r="BH180" s="209"/>
      <c r="BI180" s="209"/>
      <c r="BJ180" s="209"/>
      <c r="BK180" s="209"/>
      <c r="BL180" s="209"/>
      <c r="BM180" s="209"/>
      <c r="BN180" s="209"/>
      <c r="BO180" s="209"/>
      <c r="BP180" s="209"/>
      <c r="BQ180" s="209"/>
      <c r="BR180" s="209"/>
      <c r="BS180" s="209"/>
      <c r="BT180" s="209"/>
      <c r="BU180" s="209"/>
      <c r="BV180" s="209"/>
      <c r="BW180" s="209"/>
      <c r="BX180" s="209"/>
      <c r="BY180" s="209"/>
      <c r="BZ180" s="209"/>
      <c r="CA180" s="209"/>
      <c r="CB180" s="209"/>
      <c r="CC180" s="209"/>
      <c r="CD180" s="209"/>
      <c r="CE180" s="209"/>
      <c r="CF180" s="209"/>
      <c r="CG180" s="209"/>
      <c r="CH180" s="209"/>
      <c r="CI180" s="209"/>
      <c r="CJ180" s="209"/>
      <c r="CK180" s="209"/>
      <c r="CL180" s="209"/>
      <c r="CM180" s="209"/>
      <c r="CN180" s="209"/>
      <c r="CO180" s="209"/>
      <c r="CP180" s="209"/>
      <c r="CQ180" s="209"/>
      <c r="CR180" s="209"/>
      <c r="CS180" s="209"/>
      <c r="CT180" s="209"/>
      <c r="CU180" s="209"/>
      <c r="CV180" s="209"/>
      <c r="CW180" s="209"/>
      <c r="CX180" s="209"/>
      <c r="CY180" s="209"/>
      <c r="CZ180" s="209"/>
      <c r="DA180" s="209"/>
      <c r="DB180" s="209"/>
      <c r="DC180" s="209"/>
      <c r="DD180" s="209"/>
      <c r="DE180" s="209"/>
      <c r="DF180" s="209"/>
      <c r="DG180" s="209"/>
      <c r="DH180" s="209"/>
      <c r="DI180" s="209"/>
      <c r="DJ180" s="209"/>
      <c r="DK180" s="209"/>
      <c r="DL180" s="209"/>
      <c r="DM180" s="209"/>
      <c r="DN180" s="209"/>
      <c r="DO180" s="209"/>
      <c r="DP180" s="209"/>
      <c r="DQ180" s="209"/>
      <c r="DR180" s="209"/>
      <c r="DS180" s="209"/>
      <c r="DT180" s="209"/>
      <c r="DU180" s="209"/>
      <c r="DV180" s="209"/>
      <c r="DW180" s="209"/>
      <c r="DX180" s="209"/>
      <c r="DY180" s="209"/>
      <c r="DZ180" s="209"/>
      <c r="EA180" s="209"/>
      <c r="EB180" s="209"/>
      <c r="EC180" s="209"/>
      <c r="ED180" s="209"/>
      <c r="EE180" s="209"/>
      <c r="EF180" s="209"/>
      <c r="EG180" s="209"/>
      <c r="EH180" s="209"/>
      <c r="EI180" s="209"/>
      <c r="EJ180" s="209"/>
      <c r="EK180" s="209"/>
      <c r="EL180" s="209"/>
      <c r="EM180" s="209"/>
      <c r="EN180" s="209"/>
      <c r="EO180" s="209"/>
      <c r="EP180" s="209"/>
      <c r="EQ180" s="209"/>
      <c r="ER180" s="209"/>
      <c r="ES180" s="209"/>
      <c r="ET180" s="209"/>
      <c r="EU180" s="209"/>
      <c r="EV180" s="209"/>
      <c r="EW180" s="209"/>
      <c r="EX180" s="209"/>
      <c r="EY180" s="209"/>
      <c r="EZ180" s="209"/>
      <c r="FA180" s="209"/>
      <c r="FB180" s="209"/>
      <c r="FC180" s="209"/>
      <c r="FD180" s="209"/>
      <c r="FE180" s="209"/>
      <c r="FF180" s="209"/>
      <c r="FG180" s="209"/>
      <c r="FH180" s="209"/>
      <c r="FI180" s="209"/>
      <c r="FJ180" s="209"/>
      <c r="FK180" s="209"/>
      <c r="FL180" s="209"/>
      <c r="FM180" s="209"/>
      <c r="FN180" s="209"/>
      <c r="FO180" s="209"/>
      <c r="FP180" s="209"/>
      <c r="FQ180" s="209"/>
      <c r="FR180" s="209"/>
      <c r="FS180" s="209"/>
      <c r="FT180" s="209"/>
      <c r="FU180" s="209"/>
      <c r="FV180" s="209"/>
      <c r="FW180" s="209"/>
      <c r="FX180" s="209"/>
      <c r="FY180" s="209"/>
      <c r="FZ180" s="209"/>
      <c r="GA180" s="209"/>
      <c r="GB180" s="209"/>
      <c r="GC180" s="209"/>
      <c r="GD180" s="209"/>
      <c r="GE180" s="209"/>
      <c r="GF180" s="209"/>
      <c r="GG180" s="209"/>
      <c r="GH180" s="209"/>
      <c r="GI180" s="209"/>
      <c r="GJ180" s="209"/>
      <c r="GK180" s="209"/>
      <c r="GL180" s="209"/>
      <c r="GM180" s="209"/>
      <c r="GN180" s="209"/>
      <c r="GO180" s="209"/>
      <c r="GP180" s="209"/>
      <c r="GQ180" s="209"/>
      <c r="GR180" s="209"/>
      <c r="GS180" s="209"/>
      <c r="GT180" s="209"/>
      <c r="GU180" s="209"/>
      <c r="GV180" s="209"/>
      <c r="GW180" s="209"/>
      <c r="GX180" s="209"/>
      <c r="GY180" s="209"/>
      <c r="GZ180" s="209"/>
      <c r="HA180" s="209"/>
      <c r="HB180" s="209"/>
      <c r="HC180" s="209"/>
      <c r="HD180" s="209"/>
      <c r="HE180" s="209"/>
      <c r="HF180" s="209"/>
      <c r="HG180" s="209"/>
      <c r="HH180" s="209"/>
      <c r="HI180" s="209"/>
      <c r="HJ180" s="209"/>
      <c r="HK180" s="209"/>
      <c r="HL180" s="209"/>
      <c r="HM180" s="209"/>
      <c r="HN180" s="209"/>
      <c r="HO180" s="209"/>
      <c r="HP180" s="209"/>
      <c r="HQ180" s="209"/>
      <c r="HR180" s="209"/>
      <c r="HS180" s="209"/>
      <c r="HT180" s="209"/>
      <c r="HU180" s="209"/>
      <c r="HV180" s="209"/>
      <c r="HW180" s="209"/>
      <c r="HX180" s="209"/>
      <c r="HY180" s="209"/>
      <c r="HZ180" s="209"/>
      <c r="IA180" s="209"/>
      <c r="IB180" s="209"/>
      <c r="IC180" s="209"/>
      <c r="ID180" s="209"/>
      <c r="IE180" s="209"/>
      <c r="IF180" s="209"/>
      <c r="IG180" s="209"/>
      <c r="IH180" s="209"/>
      <c r="II180" s="209"/>
      <c r="IJ180" s="209"/>
      <c r="IK180" s="209"/>
      <c r="IL180" s="209"/>
      <c r="IM180" s="209"/>
      <c r="IN180" s="209"/>
      <c r="IO180" s="209"/>
      <c r="IP180" s="209"/>
      <c r="IQ180" s="209"/>
      <c r="IR180" s="209"/>
      <c r="IS180" s="209"/>
      <c r="IT180" s="209"/>
      <c r="IU180" s="209"/>
      <c r="IV180" s="209"/>
      <c r="IW180" s="209"/>
      <c r="IX180" s="209"/>
    </row>
    <row r="181" s="209" customFormat="true" ht="17.4" hidden="false" customHeight="false" outlineLevel="0" collapsed="false">
      <c r="A181" s="99"/>
      <c r="B181" s="31"/>
      <c r="C181" s="30"/>
      <c r="D181" s="85" t="s">
        <v>134</v>
      </c>
      <c r="E181" s="217" t="n">
        <f aca="false">IF(AND($F$2="No",$F$3="No"),SUM(J181:K181),IF(AND($F$2="Yes", $F$3="No"), SUM(J181:K181)+Q181, IF(AND($F$2="No", $F$3="Yes"),SUM(J181:K181)+P181, SUM(J181:K181)+Q181+P181)))</f>
        <v>0.0399894869629571</v>
      </c>
      <c r="F181" s="89" t="n">
        <f aca="false">IF(AND($F$2="No",$F$3="No"),SUM(H181:O181),IF(AND($F$2="Yes", $F$3="No"), SUM(H181:O181)+Q181, IF(AND($F$2="No", $F$3="Yes"),SUM(H181:O181)+P181, SUM(H181:O181)+Q181+P181)))</f>
        <v>0.157341821801001</v>
      </c>
      <c r="G181" s="88" t="n">
        <f aca="false">SUM(S181:U181)/(1-'Common input data'!$B$121)</f>
        <v>0.521949900705337</v>
      </c>
      <c r="H181" s="89" t="n">
        <f aca="false">('Input data plant-based products'!$F$59*('Common input data'!$C$76*'Common input data'!B69+'Common input data'!$C$77*'Common input data'!C69))/'Input data plant-based products'!$E$59</f>
        <v>0.0457921573471206</v>
      </c>
      <c r="I181" s="89" t="n">
        <f aca="false">'Common input data'!$B$81</f>
        <v>0.03</v>
      </c>
      <c r="J181" s="89" t="n">
        <v>0</v>
      </c>
      <c r="K181" s="89" t="n">
        <v>0</v>
      </c>
      <c r="L181" s="89" t="n">
        <f aca="false">('Input data plant-based products'!$I$59*'Common input data'!$C$59*'Common input data'!H49)/'Input data plant-based products'!$E$59</f>
        <v>0.0215601774909238</v>
      </c>
      <c r="M181" s="89" t="n">
        <v>0</v>
      </c>
      <c r="N181" s="89" t="n">
        <f aca="false">'Input data plant-based products'!$G$152</f>
        <v>0.02</v>
      </c>
      <c r="O181" s="89" t="n">
        <v>0</v>
      </c>
      <c r="P181" s="89" t="n">
        <f aca="false">'Common input data'!$E$13</f>
        <v>0.0399894869629571</v>
      </c>
      <c r="Q181" s="89" t="n">
        <v>0</v>
      </c>
      <c r="R181" s="89" t="n">
        <v>0</v>
      </c>
      <c r="S181" s="89" t="n">
        <f aca="false">(F181+R181)</f>
        <v>0.157341821801001</v>
      </c>
      <c r="T181" s="89" t="n">
        <f aca="false">'Common input data'!$B$88</f>
        <v>0.05</v>
      </c>
      <c r="U181" s="89" t="n">
        <f aca="false">'Common input data'!B100+'Common input data'!C100</f>
        <v>0.23</v>
      </c>
      <c r="V181" s="309"/>
      <c r="W181" s="92"/>
      <c r="Z181" s="30"/>
    </row>
    <row r="182" s="209" customFormat="true" ht="17.4" hidden="false" customHeight="false" outlineLevel="0" collapsed="false">
      <c r="A182" s="74"/>
      <c r="B182" s="31"/>
      <c r="C182" s="93"/>
      <c r="D182" s="85" t="s">
        <v>135</v>
      </c>
      <c r="E182" s="217" t="n">
        <f aca="false">SUM(J182:K182)</f>
        <v>0</v>
      </c>
      <c r="F182" s="89" t="n">
        <f aca="false">SUM(H182:O182)</f>
        <v>9.55063352997176E-006</v>
      </c>
      <c r="G182" s="88" t="n">
        <f aca="false">SUM(S182:U182)/(1-'Common input data'!$B$121)</f>
        <v>1.13982975653082E-005</v>
      </c>
      <c r="H182" s="89" t="n">
        <f aca="false">('Input data plant-based products'!$F$59*('Common input data'!$C$76*'Common input data'!B70+'Common input data'!$C$77*'Common input data'!C70))/'Input data plant-based products'!$E$59</f>
        <v>2.01904316256555E-010</v>
      </c>
      <c r="I182" s="89" t="n">
        <v>0</v>
      </c>
      <c r="J182" s="89" t="n">
        <v>0</v>
      </c>
      <c r="K182" s="89" t="n">
        <v>0</v>
      </c>
      <c r="L182" s="89" t="n">
        <f aca="false">('Input data plant-based products'!$I$59*'Common input data'!$C$59*'Common input data'!H50)/'Input data plant-based products'!$E$59</f>
        <v>9.55043162565551E-006</v>
      </c>
      <c r="M182" s="89" t="n">
        <v>0</v>
      </c>
      <c r="N182" s="89" t="n">
        <v>0</v>
      </c>
      <c r="O182" s="89" t="n">
        <v>0</v>
      </c>
      <c r="P182" s="89" t="n">
        <v>0</v>
      </c>
      <c r="Q182" s="89" t="n">
        <v>0</v>
      </c>
      <c r="R182" s="89" t="n">
        <v>0</v>
      </c>
      <c r="S182" s="89" t="n">
        <f aca="false">(F182+R182)</f>
        <v>9.55063352997176E-006</v>
      </c>
      <c r="T182" s="89" t="n">
        <v>0</v>
      </c>
      <c r="U182" s="89" t="n">
        <v>0</v>
      </c>
      <c r="V182" s="309"/>
      <c r="W182" s="92"/>
      <c r="Z182" s="30"/>
    </row>
    <row r="183" s="209" customFormat="true" ht="17.4" hidden="false" customHeight="false" outlineLevel="0" collapsed="false">
      <c r="A183" s="100"/>
      <c r="B183" s="101"/>
      <c r="C183" s="87"/>
      <c r="D183" s="31" t="s">
        <v>136</v>
      </c>
      <c r="E183" s="217" t="n">
        <f aca="false">SUM(J183:K183)</f>
        <v>0.000490098800042809</v>
      </c>
      <c r="F183" s="89" t="n">
        <f aca="false">SUM(H183:O183)</f>
        <v>0.000740806103929434</v>
      </c>
      <c r="G183" s="88" t="n">
        <f aca="false">SUM(S183:U183)/(1-'Common input data'!$B$121)</f>
        <v>0.000884122334323229</v>
      </c>
      <c r="H183" s="89" t="n">
        <f aca="false">('Input data plant-based products'!$F$59*('Common input data'!$C$76*'Common input data'!B71+'Common input data'!$C$77*'Common input data'!C71))/'Input data plant-based products'!$E$59</f>
        <v>0.000250127973511474</v>
      </c>
      <c r="I183" s="89" t="n">
        <v>0</v>
      </c>
      <c r="J183" s="89" t="n">
        <f aca="false">(SUM('Input data plant-based products'!F59:H59)*'Input data plant-based products'!$B$114*44/28)/'Input data plant-based products'!E59</f>
        <v>0.00044554436367528</v>
      </c>
      <c r="K183" s="89" t="n">
        <f aca="false">J183*'Input data plant-based products'!$B$115</f>
        <v>4.4554436367528E-005</v>
      </c>
      <c r="L183" s="89" t="n">
        <f aca="false">('Input data plant-based products'!$I$59*'Common input data'!$C$59*'Common input data'!H51)/'Input data plant-based products'!$E$59</f>
        <v>5.79330375151271E-007</v>
      </c>
      <c r="M183" s="89" t="n">
        <v>0</v>
      </c>
      <c r="N183" s="89" t="n">
        <v>0</v>
      </c>
      <c r="O183" s="89" t="n">
        <v>0</v>
      </c>
      <c r="P183" s="89" t="n">
        <v>0</v>
      </c>
      <c r="Q183" s="89" t="n">
        <v>0</v>
      </c>
      <c r="R183" s="89" t="n">
        <v>0</v>
      </c>
      <c r="S183" s="89" t="n">
        <f aca="false">(F183+R183)</f>
        <v>0.000740806103929434</v>
      </c>
      <c r="T183" s="89" t="n">
        <v>0</v>
      </c>
      <c r="U183" s="89" t="n">
        <v>0</v>
      </c>
      <c r="V183" s="309"/>
      <c r="W183" s="92"/>
      <c r="Z183" s="30"/>
    </row>
    <row r="184" s="332" customFormat="true" ht="17.4" hidden="false" customHeight="false" outlineLevel="0" collapsed="false">
      <c r="A184" s="330" t="s">
        <v>141</v>
      </c>
      <c r="B184" s="76" t="s">
        <v>254</v>
      </c>
      <c r="C184" s="84" t="n">
        <f aca="false">'Input data plant-based products'!D60</f>
        <v>0.2</v>
      </c>
      <c r="D184" s="78" t="s">
        <v>133</v>
      </c>
      <c r="E184" s="94" t="n">
        <f aca="false">IF($F$1="GWP100 without fb",E185+E186*'Common input data'!$C$5+E187*'Common input data'!$D$5,IF($F$1="GWP100 with fb",E185+E186*'Common input data'!$C$6+E187*'Common input data'!$D$6,IF($F$1="GTP100 without fb",E185+E186*'Common input data'!$C$7+E187*'Common input data'!$D$7,IF($F$1="GTP100 with fb",E185+E186*'Common input data'!$C$8+E187*'Common input data'!$D$8,E185+E186*'Common input data'!$C$9+E187*'Common input data'!$D$9))))</f>
        <v>0.165685069787259</v>
      </c>
      <c r="F184" s="95" t="n">
        <f aca="false">IF($F$1="GWP100 without fb",F185+F186*'Common input data'!$C$5+F187*'Common input data'!$D$5,IF($F$1="GWP100 with fb",F185+F186*'Common input data'!$C$6+F187*'Common input data'!$D$6,IF($F$1="GTP100 without fb",F185+F186*'Common input data'!$C$7+F187*'Common input data'!$D$7,IF($F$1="GTP100 with fb",F185+F186*'Common input data'!$C$8+F187*'Common input data'!$D$8,F185+F186*'Common input data'!$C$9+F187*'Common input data'!$D$9))))</f>
        <v>0.321847791751005</v>
      </c>
      <c r="G184" s="96" t="n">
        <f aca="false">IF($F$1="GWP100 without fb",G185+G186*'Common input data'!$C$5+G187*'Common input data'!$D$5,IF($F$1="GWP100 with fb",G185+G186*'Common input data'!$C$6+G187*'Common input data'!$D$6,IF($F$1="GTP100 without fb",G185+G186*'Common input data'!$C$7+G187*'Common input data'!$D$7,IF($F$1="GTP100 with fb",G185+G186*'Common input data'!$C$8+G187*'Common input data'!$D$8,G185+G186*'Common input data'!$C$9+G187*'Common input data'!$D$9))))</f>
        <v>0.718281169293478</v>
      </c>
      <c r="H184" s="83"/>
      <c r="I184" s="83"/>
      <c r="J184" s="83"/>
      <c r="K184" s="83"/>
      <c r="L184" s="83"/>
      <c r="M184" s="83"/>
      <c r="N184" s="83"/>
      <c r="O184" s="83"/>
      <c r="P184" s="83"/>
      <c r="Q184" s="83"/>
      <c r="R184" s="83"/>
      <c r="S184" s="83"/>
      <c r="T184" s="83"/>
      <c r="U184" s="83"/>
      <c r="V184" s="309"/>
      <c r="W184" s="92"/>
      <c r="X184" s="209"/>
      <c r="Y184" s="209"/>
      <c r="Z184" s="30"/>
      <c r="AA184" s="209"/>
      <c r="AB184" s="209"/>
      <c r="AC184" s="209"/>
      <c r="AD184" s="209"/>
      <c r="AE184" s="209"/>
      <c r="AF184" s="209"/>
      <c r="AG184" s="209"/>
      <c r="AH184" s="209"/>
      <c r="AI184" s="209"/>
      <c r="AJ184" s="209"/>
      <c r="AK184" s="209"/>
      <c r="AL184" s="209"/>
      <c r="AM184" s="209"/>
      <c r="AN184" s="209"/>
      <c r="AO184" s="209"/>
      <c r="AP184" s="209"/>
      <c r="AQ184" s="209"/>
      <c r="AR184" s="209"/>
      <c r="AS184" s="209"/>
      <c r="AT184" s="209"/>
      <c r="AU184" s="209"/>
      <c r="AV184" s="209"/>
      <c r="AW184" s="209"/>
      <c r="AX184" s="209"/>
      <c r="AY184" s="209"/>
      <c r="AZ184" s="209"/>
      <c r="BA184" s="209"/>
      <c r="BB184" s="209"/>
      <c r="BC184" s="209"/>
      <c r="BD184" s="209"/>
      <c r="BE184" s="209"/>
      <c r="BF184" s="209"/>
      <c r="BG184" s="209"/>
      <c r="BH184" s="209"/>
      <c r="BI184" s="209"/>
      <c r="BJ184" s="209"/>
      <c r="BK184" s="209"/>
      <c r="BL184" s="209"/>
      <c r="BM184" s="209"/>
      <c r="BN184" s="209"/>
      <c r="BO184" s="209"/>
      <c r="BP184" s="209"/>
      <c r="BQ184" s="209"/>
      <c r="BR184" s="209"/>
      <c r="BS184" s="209"/>
      <c r="BT184" s="209"/>
      <c r="BU184" s="209"/>
      <c r="BV184" s="209"/>
      <c r="BW184" s="209"/>
      <c r="BX184" s="209"/>
      <c r="BY184" s="209"/>
      <c r="BZ184" s="209"/>
      <c r="CA184" s="209"/>
      <c r="CB184" s="209"/>
      <c r="CC184" s="209"/>
      <c r="CD184" s="209"/>
      <c r="CE184" s="209"/>
      <c r="CF184" s="209"/>
      <c r="CG184" s="209"/>
      <c r="CH184" s="209"/>
      <c r="CI184" s="209"/>
      <c r="CJ184" s="209"/>
      <c r="CK184" s="209"/>
      <c r="CL184" s="209"/>
      <c r="CM184" s="209"/>
      <c r="CN184" s="209"/>
      <c r="CO184" s="209"/>
      <c r="CP184" s="209"/>
      <c r="CQ184" s="209"/>
      <c r="CR184" s="209"/>
      <c r="CS184" s="209"/>
      <c r="CT184" s="209"/>
      <c r="CU184" s="209"/>
      <c r="CV184" s="209"/>
      <c r="CW184" s="209"/>
      <c r="CX184" s="209"/>
      <c r="CY184" s="209"/>
      <c r="CZ184" s="209"/>
      <c r="DA184" s="209"/>
      <c r="DB184" s="209"/>
      <c r="DC184" s="209"/>
      <c r="DD184" s="209"/>
      <c r="DE184" s="209"/>
      <c r="DF184" s="209"/>
      <c r="DG184" s="209"/>
      <c r="DH184" s="209"/>
      <c r="DI184" s="209"/>
      <c r="DJ184" s="209"/>
      <c r="DK184" s="209"/>
      <c r="DL184" s="209"/>
      <c r="DM184" s="209"/>
      <c r="DN184" s="209"/>
      <c r="DO184" s="209"/>
      <c r="DP184" s="209"/>
      <c r="DQ184" s="209"/>
      <c r="DR184" s="209"/>
      <c r="DS184" s="209"/>
      <c r="DT184" s="209"/>
      <c r="DU184" s="209"/>
      <c r="DV184" s="209"/>
      <c r="DW184" s="209"/>
      <c r="DX184" s="209"/>
      <c r="DY184" s="209"/>
      <c r="DZ184" s="209"/>
      <c r="EA184" s="209"/>
      <c r="EB184" s="209"/>
      <c r="EC184" s="209"/>
      <c r="ED184" s="209"/>
      <c r="EE184" s="209"/>
      <c r="EF184" s="209"/>
      <c r="EG184" s="209"/>
      <c r="EH184" s="209"/>
      <c r="EI184" s="209"/>
      <c r="EJ184" s="209"/>
      <c r="EK184" s="209"/>
      <c r="EL184" s="209"/>
      <c r="EM184" s="209"/>
      <c r="EN184" s="209"/>
      <c r="EO184" s="209"/>
      <c r="EP184" s="209"/>
      <c r="EQ184" s="209"/>
      <c r="ER184" s="209"/>
      <c r="ES184" s="209"/>
      <c r="ET184" s="209"/>
      <c r="EU184" s="209"/>
      <c r="EV184" s="209"/>
      <c r="EW184" s="209"/>
      <c r="EX184" s="209"/>
      <c r="EY184" s="209"/>
      <c r="EZ184" s="209"/>
      <c r="FA184" s="209"/>
      <c r="FB184" s="209"/>
      <c r="FC184" s="209"/>
      <c r="FD184" s="209"/>
      <c r="FE184" s="209"/>
      <c r="FF184" s="209"/>
      <c r="FG184" s="209"/>
      <c r="FH184" s="209"/>
      <c r="FI184" s="209"/>
      <c r="FJ184" s="209"/>
      <c r="FK184" s="209"/>
      <c r="FL184" s="209"/>
      <c r="FM184" s="209"/>
      <c r="FN184" s="209"/>
      <c r="FO184" s="209"/>
      <c r="FP184" s="209"/>
      <c r="FQ184" s="209"/>
      <c r="FR184" s="209"/>
      <c r="FS184" s="209"/>
      <c r="FT184" s="209"/>
      <c r="FU184" s="209"/>
      <c r="FV184" s="209"/>
      <c r="FW184" s="209"/>
      <c r="FX184" s="209"/>
      <c r="FY184" s="209"/>
      <c r="FZ184" s="209"/>
      <c r="GA184" s="209"/>
      <c r="GB184" s="209"/>
      <c r="GC184" s="209"/>
      <c r="GD184" s="209"/>
      <c r="GE184" s="209"/>
      <c r="GF184" s="209"/>
      <c r="GG184" s="209"/>
      <c r="GH184" s="209"/>
      <c r="GI184" s="209"/>
      <c r="GJ184" s="209"/>
      <c r="GK184" s="209"/>
      <c r="GL184" s="209"/>
      <c r="GM184" s="209"/>
      <c r="GN184" s="209"/>
      <c r="GO184" s="209"/>
      <c r="GP184" s="209"/>
      <c r="GQ184" s="209"/>
      <c r="GR184" s="209"/>
      <c r="GS184" s="209"/>
      <c r="GT184" s="209"/>
      <c r="GU184" s="209"/>
      <c r="GV184" s="209"/>
      <c r="GW184" s="209"/>
      <c r="GX184" s="209"/>
      <c r="GY184" s="209"/>
      <c r="GZ184" s="209"/>
      <c r="HA184" s="209"/>
      <c r="HB184" s="209"/>
      <c r="HC184" s="209"/>
      <c r="HD184" s="209"/>
      <c r="HE184" s="209"/>
      <c r="HF184" s="209"/>
      <c r="HG184" s="209"/>
      <c r="HH184" s="209"/>
      <c r="HI184" s="209"/>
      <c r="HJ184" s="209"/>
      <c r="HK184" s="209"/>
      <c r="HL184" s="209"/>
      <c r="HM184" s="209"/>
      <c r="HN184" s="209"/>
      <c r="HO184" s="209"/>
      <c r="HP184" s="209"/>
      <c r="HQ184" s="209"/>
      <c r="HR184" s="209"/>
      <c r="HS184" s="209"/>
      <c r="HT184" s="209"/>
      <c r="HU184" s="209"/>
      <c r="HV184" s="209"/>
      <c r="HW184" s="209"/>
      <c r="HX184" s="209"/>
      <c r="HY184" s="209"/>
      <c r="HZ184" s="209"/>
      <c r="IA184" s="209"/>
      <c r="IB184" s="209"/>
      <c r="IC184" s="209"/>
      <c r="ID184" s="209"/>
      <c r="IE184" s="209"/>
      <c r="IF184" s="209"/>
      <c r="IG184" s="209"/>
      <c r="IH184" s="209"/>
      <c r="II184" s="209"/>
      <c r="IJ184" s="209"/>
      <c r="IK184" s="209"/>
      <c r="IL184" s="209"/>
      <c r="IM184" s="209"/>
      <c r="IN184" s="209"/>
      <c r="IO184" s="209"/>
      <c r="IP184" s="209"/>
      <c r="IQ184" s="209"/>
      <c r="IR184" s="209"/>
      <c r="IS184" s="209"/>
      <c r="IT184" s="209"/>
      <c r="IU184" s="209"/>
      <c r="IV184" s="209"/>
      <c r="IW184" s="209"/>
      <c r="IX184" s="209"/>
    </row>
    <row r="185" s="209" customFormat="true" ht="17.4" hidden="false" customHeight="false" outlineLevel="0" collapsed="false">
      <c r="A185" s="99"/>
      <c r="B185" s="31"/>
      <c r="C185" s="30"/>
      <c r="D185" s="85" t="s">
        <v>134</v>
      </c>
      <c r="E185" s="217" t="n">
        <f aca="false">IF(AND($F$2="No",$F$3="No"),SUM(J185:K185),IF(AND($F$2="Yes", $F$3="No"), SUM(J185:K185)+Q185, IF(AND($F$2="No", $F$3="Yes"),SUM(J185:K185)+P185, SUM(J185:K185)+Q185+P185)))</f>
        <v>0.0399894869629571</v>
      </c>
      <c r="F185" s="89" t="n">
        <f aca="false">IF(AND($F$2="No",$F$3="No"),SUM(H185:O185),IF(AND($F$2="Yes", $F$3="No"), SUM(H185:O185)+Q185, IF(AND($F$2="No", $F$3="Yes"),SUM(H185:O185)+P185, SUM(H185:O185)+Q185+P185)))</f>
        <v>0.143520653268388</v>
      </c>
      <c r="G185" s="88" t="n">
        <f aca="false">SUM(S185:U185)/(1-'Common input data'!$B$121)</f>
        <v>0.505454891118734</v>
      </c>
      <c r="H185" s="87" t="n">
        <f aca="false">('Input data plant-based products'!$F$60*('Common input data'!$C$76*'Common input data'!B69+'Common input data'!$C$77*'Common input data'!C69))/'Input data plant-based products'!$E$60</f>
        <v>0.0320292260755454</v>
      </c>
      <c r="I185" s="89" t="n">
        <f aca="false">'Common input data'!$B$81</f>
        <v>0.03</v>
      </c>
      <c r="J185" s="87" t="n">
        <v>0</v>
      </c>
      <c r="K185" s="89" t="n">
        <v>0</v>
      </c>
      <c r="L185" s="87" t="n">
        <f aca="false">('Input data plant-based products'!$I$60*'Common input data'!$C$59*'Common input data'!H49)/'Input data plant-based products'!$E$60</f>
        <v>0.0215019402298851</v>
      </c>
      <c r="M185" s="89" t="n">
        <v>0</v>
      </c>
      <c r="N185" s="89" t="n">
        <f aca="false">'Input data plant-based products'!$G$152</f>
        <v>0.02</v>
      </c>
      <c r="O185" s="89" t="n">
        <v>0</v>
      </c>
      <c r="P185" s="89" t="n">
        <f aca="false">'Common input data'!$E$13</f>
        <v>0.0399894869629571</v>
      </c>
      <c r="Q185" s="89" t="n">
        <v>0</v>
      </c>
      <c r="R185" s="89" t="n">
        <v>0</v>
      </c>
      <c r="S185" s="89" t="n">
        <f aca="false">(F185+R185)</f>
        <v>0.143520653268388</v>
      </c>
      <c r="T185" s="89" t="n">
        <f aca="false">'Common input data'!$B$88</f>
        <v>0.05</v>
      </c>
      <c r="U185" s="89" t="n">
        <f aca="false">'Common input data'!B102+'Common input data'!C102</f>
        <v>0.23</v>
      </c>
      <c r="V185" s="309"/>
      <c r="W185" s="92"/>
      <c r="Z185" s="30"/>
    </row>
    <row r="186" s="209" customFormat="true" ht="17.4" hidden="false" customHeight="false" outlineLevel="0" collapsed="false">
      <c r="A186" s="74"/>
      <c r="B186" s="31"/>
      <c r="C186" s="93"/>
      <c r="D186" s="85" t="s">
        <v>135</v>
      </c>
      <c r="E186" s="217" t="n">
        <f aca="false">SUM(J186:K186)</f>
        <v>0</v>
      </c>
      <c r="F186" s="89" t="n">
        <f aca="false">SUM(H186:O186)</f>
        <v>9.52477570429885E-006</v>
      </c>
      <c r="G186" s="88" t="n">
        <f aca="false">SUM(S186:U186)/(1-'Common input data'!$B$121)</f>
        <v>1.13674372888159E-005</v>
      </c>
      <c r="H186" s="87" t="n">
        <f aca="false">('Input data plant-based products'!$F$60*('Common input data'!$C$76*'Common input data'!B70+'Common input data'!$C$77*'Common input data'!C70))/'Input data plant-based products'!$E$60</f>
        <v>1.41221540229885E-010</v>
      </c>
      <c r="I186" s="89" t="n">
        <v>0</v>
      </c>
      <c r="J186" s="87" t="n">
        <v>0</v>
      </c>
      <c r="K186" s="89" t="n">
        <v>0</v>
      </c>
      <c r="L186" s="87" t="n">
        <f aca="false">('Input data plant-based products'!$I$60*'Common input data'!$C$59*'Common input data'!H50)/'Input data plant-based products'!$E$60</f>
        <v>9.52463448275862E-006</v>
      </c>
      <c r="M186" s="89" t="n">
        <v>0</v>
      </c>
      <c r="N186" s="89" t="n">
        <v>0</v>
      </c>
      <c r="O186" s="89" t="n">
        <v>0</v>
      </c>
      <c r="P186" s="89" t="n">
        <v>0</v>
      </c>
      <c r="Q186" s="89" t="n">
        <v>0</v>
      </c>
      <c r="R186" s="89" t="n">
        <v>0</v>
      </c>
      <c r="S186" s="89" t="n">
        <f aca="false">(F186+R186)</f>
        <v>9.52477570429885E-006</v>
      </c>
      <c r="T186" s="89" t="n">
        <v>0</v>
      </c>
      <c r="U186" s="89" t="n">
        <v>0</v>
      </c>
      <c r="V186" s="309"/>
      <c r="W186" s="92"/>
      <c r="Z186" s="30"/>
    </row>
    <row r="187" s="209" customFormat="true" ht="17.4" hidden="false" customHeight="false" outlineLevel="0" collapsed="false">
      <c r="A187" s="100"/>
      <c r="B187" s="101"/>
      <c r="C187" s="87"/>
      <c r="D187" s="31" t="s">
        <v>136</v>
      </c>
      <c r="E187" s="219" t="n">
        <f aca="false">SUM(J187:K187)</f>
        <v>0.000421797257799672</v>
      </c>
      <c r="F187" s="126" t="n">
        <f aca="false">SUM(H187:O187)</f>
        <v>0.000597326497008964</v>
      </c>
      <c r="G187" s="106" t="n">
        <f aca="false">SUM(S187:U187)/(1-'Common input data'!$B$121)</f>
        <v>0.000712885185593703</v>
      </c>
      <c r="H187" s="87" t="n">
        <f aca="false">('Input data plant-based products'!$F$60*('Common input data'!$C$76*'Common input data'!B71+'Common input data'!$C$77*'Common input data'!C71))/'Input data plant-based products'!$E$60</f>
        <v>0.000174951473692051</v>
      </c>
      <c r="I187" s="87" t="n">
        <v>0</v>
      </c>
      <c r="J187" s="87" t="n">
        <f aca="false">(SUM('Input data plant-based products'!F60:H60)*'Input data plant-based products'!$B$114*44/28)/'Input data plant-based products'!E60</f>
        <v>0.000383452052545156</v>
      </c>
      <c r="K187" s="89" t="n">
        <f aca="false">J187*'Input data plant-based products'!$B$115</f>
        <v>3.83452052545156E-005</v>
      </c>
      <c r="L187" s="87" t="n">
        <f aca="false">('Input data plant-based products'!$I$60*'Common input data'!$C$59*'Common input data'!H51)/'Input data plant-based products'!$E$60</f>
        <v>5.77765517241379E-007</v>
      </c>
      <c r="M187" s="89" t="n">
        <v>0</v>
      </c>
      <c r="N187" s="89" t="n">
        <v>0</v>
      </c>
      <c r="O187" s="89" t="n">
        <v>0</v>
      </c>
      <c r="P187" s="89" t="n">
        <v>0</v>
      </c>
      <c r="Q187" s="89" t="n">
        <v>0</v>
      </c>
      <c r="R187" s="89" t="n">
        <v>0</v>
      </c>
      <c r="S187" s="89" t="n">
        <f aca="false">(F187+R187)</f>
        <v>0.000597326497008964</v>
      </c>
      <c r="T187" s="89" t="n">
        <v>0</v>
      </c>
      <c r="U187" s="89" t="n">
        <v>0</v>
      </c>
      <c r="V187" s="309"/>
      <c r="W187" s="92"/>
      <c r="Z187" s="30"/>
    </row>
    <row r="188" s="334" customFormat="true" ht="17.4" hidden="false" customHeight="false" outlineLevel="0" collapsed="false">
      <c r="A188" s="107" t="s">
        <v>308</v>
      </c>
      <c r="B188" s="108"/>
      <c r="C188" s="69"/>
      <c r="D188" s="109"/>
      <c r="E188" s="110" t="s">
        <v>309</v>
      </c>
      <c r="F188" s="111" t="s">
        <v>309</v>
      </c>
      <c r="G188" s="112" t="s">
        <v>309</v>
      </c>
      <c r="H188" s="69"/>
      <c r="I188" s="69"/>
      <c r="J188" s="69"/>
      <c r="K188" s="113"/>
      <c r="L188" s="113"/>
      <c r="M188" s="114"/>
      <c r="N188" s="113"/>
      <c r="O188" s="113"/>
      <c r="P188" s="113"/>
      <c r="Q188" s="113"/>
      <c r="R188" s="113"/>
      <c r="S188" s="113"/>
      <c r="T188" s="113"/>
      <c r="U188" s="113"/>
      <c r="V188" s="309"/>
      <c r="W188" s="92"/>
      <c r="X188" s="209"/>
      <c r="Y188" s="209"/>
      <c r="Z188" s="30"/>
      <c r="AA188" s="209"/>
      <c r="AB188" s="209"/>
      <c r="AC188" s="209"/>
      <c r="AD188" s="209"/>
      <c r="AE188" s="209"/>
      <c r="AF188" s="209"/>
      <c r="AG188" s="209"/>
      <c r="AH188" s="209"/>
      <c r="AI188" s="209"/>
      <c r="AJ188" s="209"/>
      <c r="AK188" s="209"/>
      <c r="AL188" s="209"/>
      <c r="AM188" s="209"/>
      <c r="AN188" s="209"/>
      <c r="AO188" s="209"/>
      <c r="AP188" s="209"/>
      <c r="AQ188" s="209"/>
      <c r="AR188" s="209"/>
      <c r="AS188" s="209"/>
      <c r="AT188" s="209"/>
      <c r="AU188" s="209"/>
      <c r="AV188" s="209"/>
      <c r="AW188" s="209"/>
      <c r="AX188" s="209"/>
      <c r="AY188" s="209"/>
      <c r="AZ188" s="209"/>
      <c r="BA188" s="209"/>
      <c r="BB188" s="209"/>
      <c r="BC188" s="209"/>
      <c r="BD188" s="209"/>
      <c r="BE188" s="209"/>
      <c r="BF188" s="209"/>
      <c r="BG188" s="209"/>
      <c r="BH188" s="209"/>
      <c r="BI188" s="209"/>
      <c r="BJ188" s="209"/>
      <c r="BK188" s="209"/>
      <c r="BL188" s="209"/>
      <c r="BM188" s="209"/>
      <c r="BN188" s="209"/>
      <c r="BO188" s="209"/>
      <c r="BP188" s="209"/>
      <c r="BQ188" s="209"/>
      <c r="BR188" s="209"/>
      <c r="BS188" s="209"/>
      <c r="BT188" s="209"/>
      <c r="BU188" s="209"/>
      <c r="BV188" s="209"/>
      <c r="BW188" s="209"/>
      <c r="BX188" s="209"/>
      <c r="BY188" s="209"/>
      <c r="BZ188" s="209"/>
      <c r="CA188" s="209"/>
      <c r="CB188" s="209"/>
      <c r="CC188" s="209"/>
      <c r="CD188" s="209"/>
      <c r="CE188" s="209"/>
      <c r="CF188" s="209"/>
      <c r="CG188" s="209"/>
      <c r="CH188" s="209"/>
      <c r="CI188" s="209"/>
      <c r="CJ188" s="209"/>
      <c r="CK188" s="209"/>
      <c r="CL188" s="209"/>
      <c r="CM188" s="209"/>
      <c r="CN188" s="209"/>
      <c r="CO188" s="209"/>
      <c r="CP188" s="209"/>
      <c r="CQ188" s="209"/>
      <c r="CR188" s="209"/>
      <c r="CS188" s="209"/>
      <c r="CT188" s="209"/>
      <c r="CU188" s="209"/>
      <c r="CV188" s="209"/>
      <c r="CW188" s="209"/>
      <c r="CX188" s="209"/>
      <c r="CY188" s="209"/>
      <c r="CZ188" s="209"/>
      <c r="DA188" s="209"/>
      <c r="DB188" s="209"/>
      <c r="DC188" s="209"/>
      <c r="DD188" s="209"/>
      <c r="DE188" s="209"/>
      <c r="DF188" s="209"/>
      <c r="DG188" s="209"/>
      <c r="DH188" s="209"/>
      <c r="DI188" s="209"/>
      <c r="DJ188" s="209"/>
      <c r="DK188" s="209"/>
      <c r="DL188" s="209"/>
      <c r="DM188" s="209"/>
      <c r="DN188" s="209"/>
      <c r="DO188" s="209"/>
      <c r="DP188" s="209"/>
      <c r="DQ188" s="209"/>
      <c r="DR188" s="209"/>
      <c r="DS188" s="209"/>
      <c r="DT188" s="209"/>
      <c r="DU188" s="209"/>
      <c r="DV188" s="209"/>
      <c r="DW188" s="209"/>
      <c r="DX188" s="209"/>
      <c r="DY188" s="209"/>
      <c r="DZ188" s="209"/>
      <c r="EA188" s="209"/>
      <c r="EB188" s="209"/>
      <c r="EC188" s="209"/>
      <c r="ED188" s="209"/>
      <c r="EE188" s="209"/>
      <c r="EF188" s="209"/>
      <c r="EG188" s="209"/>
      <c r="EH188" s="209"/>
      <c r="EI188" s="209"/>
      <c r="EJ188" s="209"/>
      <c r="EK188" s="209"/>
      <c r="EL188" s="209"/>
      <c r="EM188" s="209"/>
      <c r="EN188" s="209"/>
      <c r="EO188" s="209"/>
      <c r="EP188" s="209"/>
      <c r="EQ188" s="209"/>
      <c r="ER188" s="209"/>
      <c r="ES188" s="209"/>
      <c r="ET188" s="209"/>
      <c r="EU188" s="209"/>
      <c r="EV188" s="209"/>
      <c r="EW188" s="209"/>
      <c r="EX188" s="209"/>
      <c r="EY188" s="209"/>
      <c r="EZ188" s="209"/>
      <c r="FA188" s="209"/>
      <c r="FB188" s="209"/>
      <c r="FC188" s="209"/>
      <c r="FD188" s="209"/>
      <c r="FE188" s="209"/>
      <c r="FF188" s="209"/>
      <c r="FG188" s="209"/>
      <c r="FH188" s="209"/>
      <c r="FI188" s="209"/>
      <c r="FJ188" s="209"/>
      <c r="FK188" s="209"/>
      <c r="FL188" s="209"/>
      <c r="FM188" s="209"/>
      <c r="FN188" s="209"/>
      <c r="FO188" s="209"/>
      <c r="FP188" s="209"/>
      <c r="FQ188" s="209"/>
      <c r="FR188" s="209"/>
      <c r="FS188" s="209"/>
      <c r="FT188" s="209"/>
      <c r="FU188" s="209"/>
      <c r="FV188" s="209"/>
      <c r="FW188" s="209"/>
      <c r="FX188" s="209"/>
      <c r="FY188" s="209"/>
      <c r="FZ188" s="209"/>
      <c r="GA188" s="209"/>
      <c r="GB188" s="209"/>
      <c r="GC188" s="209"/>
      <c r="GD188" s="209"/>
      <c r="GE188" s="209"/>
      <c r="GF188" s="209"/>
      <c r="GG188" s="209"/>
      <c r="GH188" s="209"/>
      <c r="GI188" s="209"/>
      <c r="GJ188" s="209"/>
      <c r="GK188" s="209"/>
      <c r="GL188" s="209"/>
      <c r="GM188" s="209"/>
      <c r="GN188" s="209"/>
      <c r="GO188" s="209"/>
      <c r="GP188" s="209"/>
      <c r="GQ188" s="209"/>
      <c r="GR188" s="209"/>
      <c r="GS188" s="209"/>
      <c r="GT188" s="209"/>
      <c r="GU188" s="209"/>
      <c r="GV188" s="209"/>
      <c r="GW188" s="209"/>
      <c r="GX188" s="209"/>
      <c r="GY188" s="209"/>
      <c r="GZ188" s="209"/>
      <c r="HA188" s="209"/>
      <c r="HB188" s="209"/>
      <c r="HC188" s="209"/>
      <c r="HD188" s="209"/>
      <c r="HE188" s="209"/>
      <c r="HF188" s="209"/>
      <c r="HG188" s="209"/>
      <c r="HH188" s="209"/>
      <c r="HI188" s="209"/>
      <c r="HJ188" s="209"/>
      <c r="HK188" s="209"/>
      <c r="HL188" s="209"/>
      <c r="HM188" s="209"/>
      <c r="HN188" s="209"/>
      <c r="HO188" s="209"/>
      <c r="HP188" s="209"/>
      <c r="HQ188" s="209"/>
      <c r="HR188" s="209"/>
      <c r="HS188" s="209"/>
      <c r="HT188" s="209"/>
      <c r="HU188" s="209"/>
      <c r="HV188" s="209"/>
      <c r="HW188" s="209"/>
      <c r="HX188" s="209"/>
      <c r="HY188" s="209"/>
      <c r="HZ188" s="209"/>
      <c r="IA188" s="209"/>
      <c r="IB188" s="209"/>
      <c r="IC188" s="209"/>
      <c r="ID188" s="209"/>
      <c r="IE188" s="209"/>
      <c r="IF188" s="209"/>
      <c r="IG188" s="209"/>
      <c r="IH188" s="209"/>
      <c r="II188" s="209"/>
      <c r="IJ188" s="209"/>
      <c r="IK188" s="209"/>
      <c r="IL188" s="209"/>
      <c r="IM188" s="209"/>
      <c r="IN188" s="209"/>
      <c r="IO188" s="209"/>
      <c r="IP188" s="209"/>
      <c r="IQ188" s="209"/>
      <c r="IR188" s="209"/>
      <c r="IS188" s="209"/>
      <c r="IT188" s="209"/>
      <c r="IU188" s="209"/>
      <c r="IV188" s="209"/>
      <c r="IW188" s="209"/>
      <c r="IX188" s="209"/>
    </row>
    <row r="189" s="332" customFormat="true" ht="17.4" hidden="false" customHeight="false" outlineLevel="0" collapsed="false">
      <c r="A189" s="330" t="s">
        <v>272</v>
      </c>
      <c r="B189" s="76"/>
      <c r="C189" s="77" t="n">
        <f aca="false">SUM(C193:C204)</f>
        <v>1</v>
      </c>
      <c r="D189" s="78" t="s">
        <v>133</v>
      </c>
      <c r="E189" s="79" t="n">
        <f aca="false">IF($F$1="GWP100 without fb",E190+E191*'Common input data'!$C$5+E192*'Common input data'!$D$5,IF($F$1="GWP100 with fb",E190+E191*'Common input data'!$C$6+E192*'Common input data'!$D$6,IF($F$1="GTP100 without fb",E190+E191*'Common input data'!$C$7+E192*'Common input data'!$D$7,IF($F$1="GTP100 with fb",E190+E191*'Common input data'!$C$8+E192*'Common input data'!$D$8,E190+E191*'Common input data'!$C$9+E192*'Common input data'!$D$9))))</f>
        <v>0.0739819475927595</v>
      </c>
      <c r="F189" s="80" t="n">
        <f aca="false">IF($F$1="GWP100 without fb",F190+F191*'Common input data'!$C$5+F192*'Common input data'!$D$5,IF($F$1="GWP100 with fb",F190+F191*'Common input data'!$C$6+F192*'Common input data'!$D$6,IF($F$1="GTP100 without fb",F190+F191*'Common input data'!$C$7+F192*'Common input data'!$D$7,IF($F$1="GTP100 with fb",F190+F191*'Common input data'!$C$8+F192*'Common input data'!$D$8,F190+F191*'Common input data'!$C$9+F192*'Common input data'!$D$9))))</f>
        <v>0.157816235045353</v>
      </c>
      <c r="G189" s="81" t="n">
        <f aca="false">IF($F$1="GWP100 without fb",G190+G191*'Common input data'!$C$5+G192*'Common input data'!$D$5,IF($F$1="GWP100 with fb",G190+G191*'Common input data'!$C$6+G192*'Common input data'!$D$6,IF($F$1="GTP100 without fb",G190+G191*'Common input data'!$C$7+G192*'Common input data'!$D$7,IF($F$1="GTP100 with fb",G190+G191*'Common input data'!$C$8+G192*'Common input data'!$D$8,G190+G191*'Common input data'!$C$9+G192*'Common input data'!$D$9))))</f>
        <v>0.359012095769606</v>
      </c>
      <c r="H189" s="95"/>
      <c r="I189" s="97"/>
      <c r="J189" s="97"/>
      <c r="K189" s="83"/>
      <c r="L189" s="83"/>
      <c r="M189" s="83"/>
      <c r="N189" s="83"/>
      <c r="O189" s="83"/>
      <c r="P189" s="83"/>
      <c r="Q189" s="83"/>
      <c r="R189" s="83"/>
      <c r="S189" s="83"/>
      <c r="T189" s="83"/>
      <c r="U189" s="83"/>
      <c r="V189" s="309"/>
      <c r="W189" s="92"/>
      <c r="X189" s="209"/>
      <c r="Y189" s="209"/>
      <c r="Z189" s="30"/>
      <c r="AA189" s="209"/>
      <c r="AB189" s="209"/>
      <c r="AC189" s="209"/>
      <c r="AD189" s="209"/>
      <c r="AE189" s="209"/>
      <c r="AF189" s="209"/>
      <c r="AG189" s="209"/>
      <c r="AH189" s="209"/>
      <c r="AI189" s="209"/>
      <c r="AJ189" s="209"/>
      <c r="AK189" s="209"/>
      <c r="AL189" s="209"/>
      <c r="AM189" s="209"/>
      <c r="AN189" s="209"/>
      <c r="AO189" s="209"/>
      <c r="AP189" s="209"/>
      <c r="AQ189" s="209"/>
      <c r="AR189" s="209"/>
      <c r="AS189" s="209"/>
      <c r="AT189" s="209"/>
      <c r="AU189" s="209"/>
      <c r="AV189" s="209"/>
      <c r="AW189" s="209"/>
      <c r="AX189" s="209"/>
      <c r="AY189" s="209"/>
      <c r="AZ189" s="209"/>
      <c r="BA189" s="209"/>
      <c r="BB189" s="209"/>
      <c r="BC189" s="209"/>
      <c r="BD189" s="209"/>
      <c r="BE189" s="209"/>
      <c r="BF189" s="209"/>
      <c r="BG189" s="209"/>
      <c r="BH189" s="209"/>
      <c r="BI189" s="209"/>
      <c r="BJ189" s="209"/>
      <c r="BK189" s="209"/>
      <c r="BL189" s="209"/>
      <c r="BM189" s="209"/>
      <c r="BN189" s="209"/>
      <c r="BO189" s="209"/>
      <c r="BP189" s="209"/>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209"/>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209"/>
      <c r="EC189" s="209"/>
      <c r="ED189" s="209"/>
      <c r="EE189" s="209"/>
      <c r="EF189" s="209"/>
      <c r="EG189" s="209"/>
      <c r="EH189" s="209"/>
      <c r="EI189" s="209"/>
      <c r="EJ189" s="209"/>
      <c r="EK189" s="209"/>
      <c r="EL189" s="209"/>
      <c r="EM189" s="209"/>
      <c r="EN189" s="209"/>
      <c r="EO189" s="209"/>
      <c r="EP189" s="209"/>
      <c r="EQ189" s="209"/>
      <c r="ER189" s="209"/>
      <c r="ES189" s="209"/>
      <c r="ET189" s="209"/>
      <c r="EU189" s="209"/>
      <c r="EV189" s="209"/>
      <c r="EW189" s="209"/>
      <c r="EX189" s="209"/>
      <c r="EY189" s="209"/>
      <c r="EZ189" s="209"/>
      <c r="FA189" s="209"/>
      <c r="FB189" s="209"/>
      <c r="FC189" s="209"/>
      <c r="FD189" s="209"/>
      <c r="FE189" s="209"/>
      <c r="FF189" s="209"/>
      <c r="FG189" s="209"/>
      <c r="FH189" s="209"/>
      <c r="FI189" s="209"/>
      <c r="FJ189" s="209"/>
      <c r="FK189" s="209"/>
      <c r="FL189" s="209"/>
      <c r="FM189" s="209"/>
      <c r="FN189" s="209"/>
      <c r="FO189" s="209"/>
      <c r="FP189" s="209"/>
      <c r="FQ189" s="209"/>
      <c r="FR189" s="209"/>
      <c r="FS189" s="209"/>
      <c r="FT189" s="209"/>
      <c r="FU189" s="209"/>
      <c r="FV189" s="209"/>
      <c r="FW189" s="209"/>
      <c r="FX189" s="209"/>
      <c r="FY189" s="209"/>
      <c r="FZ189" s="209"/>
      <c r="GA189" s="209"/>
      <c r="GB189" s="209"/>
      <c r="GC189" s="209"/>
      <c r="GD189" s="209"/>
      <c r="GE189" s="209"/>
      <c r="GF189" s="209"/>
      <c r="GG189" s="209"/>
      <c r="GH189" s="209"/>
      <c r="GI189" s="209"/>
      <c r="GJ189" s="209"/>
      <c r="GK189" s="209"/>
      <c r="GL189" s="209"/>
      <c r="GM189" s="209"/>
      <c r="GN189" s="209"/>
      <c r="GO189" s="209"/>
      <c r="GP189" s="209"/>
      <c r="GQ189" s="209"/>
      <c r="GR189" s="209"/>
      <c r="GS189" s="209"/>
      <c r="GT189" s="209"/>
      <c r="GU189" s="209"/>
      <c r="GV189" s="209"/>
      <c r="GW189" s="209"/>
      <c r="GX189" s="209"/>
      <c r="GY189" s="209"/>
      <c r="GZ189" s="209"/>
      <c r="HA189" s="209"/>
      <c r="HB189" s="209"/>
      <c r="HC189" s="209"/>
      <c r="HD189" s="209"/>
      <c r="HE189" s="209"/>
      <c r="HF189" s="209"/>
      <c r="HG189" s="209"/>
      <c r="HH189" s="209"/>
      <c r="HI189" s="209"/>
      <c r="HJ189" s="209"/>
      <c r="HK189" s="209"/>
      <c r="HL189" s="209"/>
      <c r="HM189" s="209"/>
      <c r="HN189" s="209"/>
      <c r="HO189" s="209"/>
      <c r="HP189" s="209"/>
      <c r="HQ189" s="209"/>
      <c r="HR189" s="209"/>
      <c r="HS189" s="209"/>
      <c r="HT189" s="209"/>
      <c r="HU189" s="209"/>
      <c r="HV189" s="209"/>
      <c r="HW189" s="209"/>
      <c r="HX189" s="209"/>
      <c r="HY189" s="209"/>
      <c r="HZ189" s="209"/>
      <c r="IA189" s="209"/>
      <c r="IB189" s="209"/>
      <c r="IC189" s="209"/>
      <c r="ID189" s="209"/>
      <c r="IE189" s="209"/>
      <c r="IF189" s="209"/>
      <c r="IG189" s="209"/>
      <c r="IH189" s="209"/>
      <c r="II189" s="209"/>
      <c r="IJ189" s="209"/>
      <c r="IK189" s="209"/>
      <c r="IL189" s="209"/>
      <c r="IM189" s="209"/>
      <c r="IN189" s="209"/>
      <c r="IO189" s="209"/>
      <c r="IP189" s="209"/>
      <c r="IQ189" s="209"/>
      <c r="IR189" s="209"/>
      <c r="IS189" s="209"/>
      <c r="IT189" s="209"/>
      <c r="IU189" s="209"/>
      <c r="IV189" s="209"/>
      <c r="IW189" s="209"/>
      <c r="IX189" s="209"/>
    </row>
    <row r="190" s="209" customFormat="true" ht="17.4" hidden="false" customHeight="false" outlineLevel="0" collapsed="false">
      <c r="A190" s="315"/>
      <c r="B190" s="31"/>
      <c r="C190" s="30"/>
      <c r="D190" s="85" t="s">
        <v>134</v>
      </c>
      <c r="E190" s="217" t="n">
        <f aca="false">E194*$C$193+E198*$C$197+$C$201*E202</f>
        <v>0.0399894869629571</v>
      </c>
      <c r="F190" s="89" t="n">
        <f aca="false">F194*$C$193+F198*$C$197+$C$201*F202</f>
        <v>0.108393757993681</v>
      </c>
      <c r="G190" s="88" t="n">
        <f aca="false">G194*$C$193+G198*$C$197+$C$201*G202</f>
        <v>0.300028354211339</v>
      </c>
      <c r="H190" s="89" t="n">
        <f aca="false">H194*$C$193+H198*$C$197+$C$201*H202</f>
        <v>0.0106238687427903</v>
      </c>
      <c r="I190" s="89" t="n">
        <f aca="false">I194*$C$193+I198*$C$197+$C$201*I202</f>
        <v>0.03</v>
      </c>
      <c r="J190" s="89" t="n">
        <f aca="false">J194*$C$193+J198*$C$197+$C$201*J202</f>
        <v>0</v>
      </c>
      <c r="K190" s="89" t="n">
        <f aca="false">K194*$C$193+K198*$C$197+$C$201*K202</f>
        <v>0</v>
      </c>
      <c r="L190" s="89" t="n">
        <f aca="false">L194*$C$193+L198*$C$197+$C$201*L202</f>
        <v>0.00778040228793385</v>
      </c>
      <c r="M190" s="89" t="n">
        <f aca="false">M194*$C$193+M198*$C$197+$C$201*M202</f>
        <v>0</v>
      </c>
      <c r="N190" s="89" t="n">
        <f aca="false">N194*$C$193+N198*$C$197+$C$201*N202</f>
        <v>0.02</v>
      </c>
      <c r="O190" s="89" t="n">
        <f aca="false">O194*$C$193+O198*$C$197+$C$201*O202</f>
        <v>0</v>
      </c>
      <c r="P190" s="89" t="n">
        <f aca="false">P194*$C$193+P198*$C$197+$C$201*P202</f>
        <v>0.0399894869629571</v>
      </c>
      <c r="Q190" s="89" t="n">
        <f aca="false">Q194*$C$193+Q198*$C$197+$C$201*Q202</f>
        <v>0</v>
      </c>
      <c r="R190" s="89" t="n">
        <f aca="false">R194*$C$193+R198*$C$197+$C$201*R202</f>
        <v>0</v>
      </c>
      <c r="S190" s="89" t="n">
        <f aca="false">S194*$C$193+S198*$C$197+$C$201*S202</f>
        <v>0.108393757993681</v>
      </c>
      <c r="T190" s="89" t="n">
        <f aca="false">T194*$C$193+T198*$C$197+$C$201*T202</f>
        <v>0.05</v>
      </c>
      <c r="U190" s="89" t="n">
        <f aca="false">U194*$C$193+U198*$C$197+$C$201*U202</f>
        <v>0.093</v>
      </c>
      <c r="V190" s="309"/>
      <c r="W190" s="92"/>
      <c r="Z190" s="30"/>
    </row>
    <row r="191" s="209" customFormat="true" ht="17.4" hidden="false" customHeight="false" outlineLevel="0" collapsed="false">
      <c r="A191" s="315"/>
      <c r="B191" s="31"/>
      <c r="C191" s="93"/>
      <c r="D191" s="85" t="s">
        <v>135</v>
      </c>
      <c r="E191" s="217" t="n">
        <f aca="false">E195*$C$193+E199*$C$197+$C$201*E203</f>
        <v>0</v>
      </c>
      <c r="F191" s="89" t="n">
        <f aca="false">F195*$C$193+F199*$C$197+$C$201*F203</f>
        <v>3.44649422737394E-006</v>
      </c>
      <c r="G191" s="88" t="n">
        <f aca="false">G195*$C$193+G199*$C$197+$C$201*G203</f>
        <v>4.11325244942587E-006</v>
      </c>
      <c r="H191" s="89" t="n">
        <f aca="false">H195*$C$193+H199*$C$197+$C$201*H203</f>
        <v>3.8366688803356E-011</v>
      </c>
      <c r="I191" s="89" t="n">
        <f aca="false">I195*$C$193+I199*$C$197+$C$201*I203</f>
        <v>0</v>
      </c>
      <c r="J191" s="89" t="n">
        <f aca="false">J195*$C$193+J199*$C$197+$C$201*J203</f>
        <v>0</v>
      </c>
      <c r="K191" s="89" t="n">
        <f aca="false">K195*$C$193+K199*$C$197+$C$201*K203</f>
        <v>0</v>
      </c>
      <c r="L191" s="89" t="n">
        <f aca="false">L195*$C$193+L199*$C$197+$C$201*L203</f>
        <v>3.44645586068514E-006</v>
      </c>
      <c r="M191" s="89" t="n">
        <f aca="false">M195*$C$193+M199*$C$197+$C$201*M203</f>
        <v>0</v>
      </c>
      <c r="N191" s="89" t="n">
        <f aca="false">N195*$C$193+N199*$C$197+$C$201*N203</f>
        <v>0</v>
      </c>
      <c r="O191" s="89" t="n">
        <f aca="false">O195*$C$193+O199*$C$197+$C$201*O203</f>
        <v>0</v>
      </c>
      <c r="P191" s="89" t="n">
        <f aca="false">P195*$C$193+P199*$C$197+$C$201*P203</f>
        <v>0</v>
      </c>
      <c r="Q191" s="89" t="n">
        <f aca="false">Q195*$C$193+Q199*$C$197+$C$201*Q203</f>
        <v>0</v>
      </c>
      <c r="R191" s="89" t="n">
        <f aca="false">R195*$C$193+R199*$C$197+$C$201*R203</f>
        <v>0</v>
      </c>
      <c r="S191" s="89" t="n">
        <f aca="false">S195*$C$193+S199*$C$197+$C$201*S203</f>
        <v>3.44649422737394E-006</v>
      </c>
      <c r="T191" s="89" t="n">
        <f aca="false">T195*$C$193+T199*$C$197+$C$201*T203</f>
        <v>0</v>
      </c>
      <c r="U191" s="89" t="n">
        <f aca="false">U195*$C$193+U199*$C$197+$C$201*U203</f>
        <v>0</v>
      </c>
      <c r="V191" s="309"/>
      <c r="W191" s="92"/>
      <c r="Z191" s="30"/>
    </row>
    <row r="192" s="209" customFormat="true" ht="17.4" hidden="false" customHeight="false" outlineLevel="0" collapsed="false">
      <c r="A192" s="74"/>
      <c r="B192" s="101"/>
      <c r="C192" s="87"/>
      <c r="D192" s="31" t="s">
        <v>136</v>
      </c>
      <c r="E192" s="217" t="n">
        <f aca="false">E196*$C$193+E200*$C$197+$C$201*E204</f>
        <v>0.000114068659831552</v>
      </c>
      <c r="F192" s="89" t="n">
        <f aca="false">F196*$C$193+F200*$C$197+$C$201*F204</f>
        <v>0.000165454014254836</v>
      </c>
      <c r="G192" s="88" t="n">
        <f aca="false">G196*$C$193+G200*$C$197+$C$201*G204</f>
        <v>0.000197462721392572</v>
      </c>
      <c r="H192" s="89" t="n">
        <f aca="false">H196*$C$193+H200*$C$197+$C$201*H204</f>
        <v>5.1176291980353E-005</v>
      </c>
      <c r="I192" s="89" t="n">
        <f aca="false">I196*$C$193+I200*$C$197+$C$201*I204</f>
        <v>0</v>
      </c>
      <c r="J192" s="89" t="n">
        <f aca="false">J196*$C$193+J200*$C$197+$C$201*J204</f>
        <v>0.000103698781665047</v>
      </c>
      <c r="K192" s="89" t="n">
        <f aca="false">K196*$C$193+K200*$C$197+$C$201*K204</f>
        <v>1.03698781665047E-005</v>
      </c>
      <c r="L192" s="89" t="n">
        <f aca="false">L196*$C$193+L200*$C$197+$C$201*L204</f>
        <v>2.09062442931837E-007</v>
      </c>
      <c r="M192" s="89" t="n">
        <f aca="false">M196*$C$193+M200*$C$197+$C$201*M204</f>
        <v>0</v>
      </c>
      <c r="N192" s="89" t="n">
        <f aca="false">N196*$C$193+N200*$C$197+$C$201*N204</f>
        <v>0</v>
      </c>
      <c r="O192" s="89" t="n">
        <f aca="false">O196*$C$193+O200*$C$197+$C$201*O204</f>
        <v>0</v>
      </c>
      <c r="P192" s="89" t="n">
        <f aca="false">P196*$C$193+P200*$C$197+$C$201*P204</f>
        <v>0</v>
      </c>
      <c r="Q192" s="89" t="n">
        <f aca="false">Q196*$C$193+Q200*$C$197+$C$201*Q204</f>
        <v>0</v>
      </c>
      <c r="R192" s="89" t="n">
        <f aca="false">R196*$C$193+R200*$C$197+$C$201*R204</f>
        <v>0</v>
      </c>
      <c r="S192" s="89" t="n">
        <f aca="false">S196*$C$193+S200*$C$197+$C$201*S204</f>
        <v>0.000165454014254836</v>
      </c>
      <c r="T192" s="89" t="n">
        <f aca="false">T196*$C$193+T200*$C$197+$C$201*T204</f>
        <v>0</v>
      </c>
      <c r="U192" s="89" t="n">
        <f aca="false">U196*$C$193+U200*$C$197+$C$201*U204</f>
        <v>0</v>
      </c>
      <c r="V192" s="309"/>
      <c r="W192" s="92"/>
      <c r="Z192" s="30"/>
    </row>
    <row r="193" s="332" customFormat="true" ht="17.4" hidden="false" customHeight="false" outlineLevel="0" collapsed="false">
      <c r="A193" s="330" t="s">
        <v>137</v>
      </c>
      <c r="B193" s="76" t="s">
        <v>254</v>
      </c>
      <c r="C193" s="84" t="n">
        <f aca="false">'Input data plant-based products'!D51</f>
        <v>0.43</v>
      </c>
      <c r="D193" s="78" t="s">
        <v>133</v>
      </c>
      <c r="E193" s="94" t="n">
        <f aca="false">IF($F$1="GWP100 without fb",E194+E195*'Common input data'!$C$5+E196*'Common input data'!$D$5,IF($F$1="GWP100 with fb",E194+E195*'Common input data'!$C$6+E196*'Common input data'!$D$6,IF($F$1="GTP100 without fb",E194+E195*'Common input data'!$C$7+E196*'Common input data'!$D$7,IF($F$1="GTP100 with fb",E194+E195*'Common input data'!$C$8+E196*'Common input data'!$D$8,E194+E195*'Common input data'!$C$9+E196*'Common input data'!$D$9))))</f>
        <v>0.0762285362017002</v>
      </c>
      <c r="F193" s="95" t="n">
        <f aca="false">IF($F$1="GWP100 without fb",F194+F195*'Common input data'!$C$5+F196*'Common input data'!$D$5,IF($F$1="GWP100 with fb",F194+F195*'Common input data'!$C$6+F196*'Common input data'!$D$6,IF($F$1="GTP100 without fb",F194+F195*'Common input data'!$C$7+F196*'Common input data'!$D$7,IF($F$1="GTP100 with fb",F194+F195*'Common input data'!$C$8+F196*'Common input data'!$D$8,F194+F195*'Common input data'!$C$9+F196*'Common input data'!$D$9))))</f>
        <v>0.160063864515514</v>
      </c>
      <c r="G193" s="96" t="n">
        <f aca="false">IF($F$1="GWP100 without fb",G194+G195*'Common input data'!$C$5+G196*'Common input data'!$D$5,IF($F$1="GWP100 with fb",G194+G195*'Common input data'!$C$6+G196*'Common input data'!$D$6,IF($F$1="GTP100 without fb",G194+G195*'Common input data'!$C$7+G196*'Common input data'!$D$7,IF($F$1="GTP100 with fb",G194+G195*'Common input data'!$C$8+G196*'Common input data'!$D$8,G194+G195*'Common input data'!$C$9+G196*'Common input data'!$D$9))))</f>
        <v>0.286506581352803</v>
      </c>
      <c r="H193" s="83"/>
      <c r="I193" s="83"/>
      <c r="J193" s="83"/>
      <c r="K193" s="83"/>
      <c r="L193" s="83"/>
      <c r="M193" s="83"/>
      <c r="N193" s="83"/>
      <c r="O193" s="83"/>
      <c r="P193" s="83"/>
      <c r="Q193" s="83"/>
      <c r="R193" s="83"/>
      <c r="S193" s="83"/>
      <c r="T193" s="83"/>
      <c r="U193" s="83"/>
      <c r="V193" s="309"/>
      <c r="W193" s="92"/>
      <c r="X193" s="209"/>
      <c r="Y193" s="209"/>
      <c r="Z193" s="30"/>
      <c r="AA193" s="209"/>
      <c r="AB193" s="209"/>
      <c r="AC193" s="209"/>
      <c r="AD193" s="209"/>
      <c r="AE193" s="209"/>
      <c r="AF193" s="209"/>
      <c r="AG193" s="209"/>
      <c r="AH193" s="209"/>
      <c r="AI193" s="209"/>
      <c r="AJ193" s="209"/>
      <c r="AK193" s="209"/>
      <c r="AL193" s="209"/>
      <c r="AM193" s="209"/>
      <c r="AN193" s="209"/>
      <c r="AO193" s="209"/>
      <c r="AP193" s="209"/>
      <c r="AQ193" s="209"/>
      <c r="AR193" s="209"/>
      <c r="AS193" s="209"/>
      <c r="AT193" s="209"/>
      <c r="AU193" s="209"/>
      <c r="AV193" s="209"/>
      <c r="AW193" s="209"/>
      <c r="AX193" s="209"/>
      <c r="AY193" s="209"/>
      <c r="AZ193" s="209"/>
      <c r="BA193" s="209"/>
      <c r="BB193" s="209"/>
      <c r="BC193" s="209"/>
      <c r="BD193" s="209"/>
      <c r="BE193" s="209"/>
      <c r="BF193" s="209"/>
      <c r="BG193" s="209"/>
      <c r="BH193" s="209"/>
      <c r="BI193" s="209"/>
      <c r="BJ193" s="209"/>
      <c r="BK193" s="209"/>
      <c r="BL193" s="209"/>
      <c r="BM193" s="209"/>
      <c r="BN193" s="209"/>
      <c r="BO193" s="209"/>
      <c r="BP193" s="209"/>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209"/>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209"/>
      <c r="EC193" s="209"/>
      <c r="ED193" s="209"/>
      <c r="EE193" s="209"/>
      <c r="EF193" s="209"/>
      <c r="EG193" s="209"/>
      <c r="EH193" s="209"/>
      <c r="EI193" s="209"/>
      <c r="EJ193" s="209"/>
      <c r="EK193" s="209"/>
      <c r="EL193" s="209"/>
      <c r="EM193" s="209"/>
      <c r="EN193" s="209"/>
      <c r="EO193" s="209"/>
      <c r="EP193" s="209"/>
      <c r="EQ193" s="209"/>
      <c r="ER193" s="209"/>
      <c r="ES193" s="209"/>
      <c r="ET193" s="209"/>
      <c r="EU193" s="209"/>
      <c r="EV193" s="209"/>
      <c r="EW193" s="209"/>
      <c r="EX193" s="209"/>
      <c r="EY193" s="209"/>
      <c r="EZ193" s="209"/>
      <c r="FA193" s="209"/>
      <c r="FB193" s="209"/>
      <c r="FC193" s="209"/>
      <c r="FD193" s="209"/>
      <c r="FE193" s="209"/>
      <c r="FF193" s="209"/>
      <c r="FG193" s="209"/>
      <c r="FH193" s="209"/>
      <c r="FI193" s="209"/>
      <c r="FJ193" s="209"/>
      <c r="FK193" s="209"/>
      <c r="FL193" s="209"/>
      <c r="FM193" s="209"/>
      <c r="FN193" s="209"/>
      <c r="FO193" s="209"/>
      <c r="FP193" s="209"/>
      <c r="FQ193" s="209"/>
      <c r="FR193" s="209"/>
      <c r="FS193" s="209"/>
      <c r="FT193" s="209"/>
      <c r="FU193" s="209"/>
      <c r="FV193" s="209"/>
      <c r="FW193" s="209"/>
      <c r="FX193" s="209"/>
      <c r="FY193" s="209"/>
      <c r="FZ193" s="209"/>
      <c r="GA193" s="209"/>
      <c r="GB193" s="209"/>
      <c r="GC193" s="209"/>
      <c r="GD193" s="209"/>
      <c r="GE193" s="209"/>
      <c r="GF193" s="209"/>
      <c r="GG193" s="209"/>
      <c r="GH193" s="209"/>
      <c r="GI193" s="209"/>
      <c r="GJ193" s="209"/>
      <c r="GK193" s="209"/>
      <c r="GL193" s="209"/>
      <c r="GM193" s="209"/>
      <c r="GN193" s="209"/>
      <c r="GO193" s="209"/>
      <c r="GP193" s="209"/>
      <c r="GQ193" s="209"/>
      <c r="GR193" s="209"/>
      <c r="GS193" s="209"/>
      <c r="GT193" s="209"/>
      <c r="GU193" s="209"/>
      <c r="GV193" s="209"/>
      <c r="GW193" s="209"/>
      <c r="GX193" s="209"/>
      <c r="GY193" s="209"/>
      <c r="GZ193" s="209"/>
      <c r="HA193" s="209"/>
      <c r="HB193" s="209"/>
      <c r="HC193" s="209"/>
      <c r="HD193" s="209"/>
      <c r="HE193" s="209"/>
      <c r="HF193" s="209"/>
      <c r="HG193" s="209"/>
      <c r="HH193" s="209"/>
      <c r="HI193" s="209"/>
      <c r="HJ193" s="209"/>
      <c r="HK193" s="209"/>
      <c r="HL193" s="209"/>
      <c r="HM193" s="209"/>
      <c r="HN193" s="209"/>
      <c r="HO193" s="209"/>
      <c r="HP193" s="209"/>
      <c r="HQ193" s="209"/>
      <c r="HR193" s="209"/>
      <c r="HS193" s="209"/>
      <c r="HT193" s="209"/>
      <c r="HU193" s="209"/>
      <c r="HV193" s="209"/>
      <c r="HW193" s="209"/>
      <c r="HX193" s="209"/>
      <c r="HY193" s="209"/>
      <c r="HZ193" s="209"/>
      <c r="IA193" s="209"/>
      <c r="IB193" s="209"/>
      <c r="IC193" s="209"/>
      <c r="ID193" s="209"/>
      <c r="IE193" s="209"/>
      <c r="IF193" s="209"/>
      <c r="IG193" s="209"/>
      <c r="IH193" s="209"/>
      <c r="II193" s="209"/>
      <c r="IJ193" s="209"/>
      <c r="IK193" s="209"/>
      <c r="IL193" s="209"/>
      <c r="IM193" s="209"/>
      <c r="IN193" s="209"/>
      <c r="IO193" s="209"/>
      <c r="IP193" s="209"/>
      <c r="IQ193" s="209"/>
      <c r="IR193" s="209"/>
      <c r="IS193" s="209"/>
      <c r="IT193" s="209"/>
      <c r="IU193" s="209"/>
      <c r="IV193" s="209"/>
      <c r="IW193" s="209"/>
      <c r="IX193" s="209"/>
    </row>
    <row r="194" s="209" customFormat="true" ht="17.4" hidden="false" customHeight="false" outlineLevel="0" collapsed="false">
      <c r="A194" s="315"/>
      <c r="B194" s="31"/>
      <c r="C194" s="30"/>
      <c r="D194" s="85" t="s">
        <v>134</v>
      </c>
      <c r="E194" s="217" t="n">
        <f aca="false">IF(AND($F$2="No",$F$3="No"),SUM(J194:K194),IF(AND($F$2="Yes", $F$3="No"), SUM(J194:K194)+Q194, IF(AND($F$2="No", $F$3="Yes"),SUM(J194:K194)+P194, SUM(J194:K194)+Q194+P194)))</f>
        <v>0.0399894869629571</v>
      </c>
      <c r="F194" s="89" t="n">
        <f aca="false">IF(AND($F$2="No",$F$3="No"),SUM(H194:O194),IF(AND($F$2="Yes", $F$3="No"), SUM(H194:O194)+Q194, IF(AND($F$2="No", $F$3="Yes"),SUM(H194:O194)+P194, SUM(H194:O194)+Q194+P194)))</f>
        <v>0.109853998548842</v>
      </c>
      <c r="G194" s="88" t="n">
        <f aca="false">SUM(S194:U194)/(1-'Common input data'!$B$121)</f>
        <v>0.226583122745962</v>
      </c>
      <c r="H194" s="89" t="n">
        <f aca="false">('Input data plant-based products'!$F$51*('Common input data'!$B$76*'Common input data'!B69+'Common input data'!$B$77*'Common input data'!C69))/'Input data plant-based products'!$E$51</f>
        <v>0.0113807528557261</v>
      </c>
      <c r="I194" s="89" t="n">
        <f aca="false">'Common input data'!$B$81</f>
        <v>0.03</v>
      </c>
      <c r="J194" s="89" t="n">
        <v>0</v>
      </c>
      <c r="K194" s="89" t="n">
        <v>0</v>
      </c>
      <c r="L194" s="89" t="n">
        <f aca="false">('Input data plant-based products'!$I$51*'Common input data'!$C$59*'Common input data'!H49)/'Input data plant-based products'!$E$51</f>
        <v>0.00848375873015873</v>
      </c>
      <c r="M194" s="89" t="n">
        <v>0</v>
      </c>
      <c r="N194" s="89" t="n">
        <f aca="false">'Input data plant-based products'!$G$152</f>
        <v>0.02</v>
      </c>
      <c r="O194" s="89" t="n">
        <v>0</v>
      </c>
      <c r="P194" s="89" t="n">
        <f aca="false">'Common input data'!$E$13</f>
        <v>0.0399894869629571</v>
      </c>
      <c r="Q194" s="89" t="n">
        <v>0</v>
      </c>
      <c r="R194" s="89" t="n">
        <v>0</v>
      </c>
      <c r="S194" s="89" t="n">
        <f aca="false">(F194+R194)</f>
        <v>0.109853998548842</v>
      </c>
      <c r="T194" s="89" t="n">
        <f aca="false">'Common input data'!$B$88</f>
        <v>0.05</v>
      </c>
      <c r="U194" s="89" t="n">
        <f aca="false">'Common input data'!C98</f>
        <v>0.03</v>
      </c>
      <c r="V194" s="309"/>
      <c r="W194" s="92"/>
      <c r="Z194" s="30"/>
    </row>
    <row r="195" s="209" customFormat="true" ht="17.4" hidden="false" customHeight="false" outlineLevel="0" collapsed="false">
      <c r="A195" s="74"/>
      <c r="B195" s="31"/>
      <c r="C195" s="93"/>
      <c r="D195" s="85" t="s">
        <v>135</v>
      </c>
      <c r="E195" s="217" t="n">
        <f aca="false">SUM(J195:K195)</f>
        <v>0</v>
      </c>
      <c r="F195" s="89" t="n">
        <f aca="false">SUM(H195:O195)</f>
        <v>3.75804951655329E-006</v>
      </c>
      <c r="G195" s="88" t="n">
        <f aca="false">SUM(S195:U195)/(1-'Common input data'!$B$121)</f>
        <v>4.48508117502481E-006</v>
      </c>
      <c r="H195" s="89" t="n">
        <f aca="false">('Input data plant-based products'!$F$51*('Common input data'!$B$76*'Common input data'!B70+'Common input data'!$B$77*'Common input data'!C70))/'Input data plant-based products'!$E$51</f>
        <v>3.04689342403628E-011</v>
      </c>
      <c r="I195" s="89" t="n">
        <v>0</v>
      </c>
      <c r="J195" s="89" t="n">
        <v>0</v>
      </c>
      <c r="K195" s="89" t="n">
        <v>0</v>
      </c>
      <c r="L195" s="89" t="n">
        <f aca="false">('Input data plant-based products'!$I$51*'Common input data'!$C$59*'Common input data'!H50)/'Input data plant-based products'!$E$51</f>
        <v>3.75801904761905E-006</v>
      </c>
      <c r="M195" s="89" t="n">
        <v>0</v>
      </c>
      <c r="N195" s="89" t="n">
        <v>0</v>
      </c>
      <c r="O195" s="89" t="n">
        <v>0</v>
      </c>
      <c r="P195" s="89" t="n">
        <v>0</v>
      </c>
      <c r="Q195" s="89" t="n">
        <v>0</v>
      </c>
      <c r="R195" s="89" t="n">
        <v>0</v>
      </c>
      <c r="S195" s="89" t="n">
        <f aca="false">(F195+R195)</f>
        <v>3.75804951655329E-006</v>
      </c>
      <c r="T195" s="89" t="n">
        <v>0</v>
      </c>
      <c r="U195" s="89" t="n">
        <v>0</v>
      </c>
      <c r="V195" s="309"/>
      <c r="W195" s="92"/>
      <c r="Z195" s="30"/>
    </row>
    <row r="196" s="209" customFormat="true" ht="17.4" hidden="false" customHeight="false" outlineLevel="0" collapsed="false">
      <c r="A196" s="100"/>
      <c r="B196" s="101"/>
      <c r="C196" s="87"/>
      <c r="D196" s="31" t="s">
        <v>136</v>
      </c>
      <c r="E196" s="217" t="n">
        <f aca="false">SUM(J196:K196)</f>
        <v>0.000121607547781017</v>
      </c>
      <c r="F196" s="89" t="n">
        <f aca="false">SUM(H196:O196)</f>
        <v>0.000168060712359425</v>
      </c>
      <c r="G196" s="88" t="n">
        <f aca="false">SUM(S196:U196)/(1-'Common input data'!$B$121)</f>
        <v>0.000200573710895603</v>
      </c>
      <c r="H196" s="89" t="n">
        <f aca="false">('Input data plant-based products'!$F$51*('Common input data'!$B$76*'Common input data'!B71+'Common input data'!$B$77*'Common input data'!C71))/'Input data plant-based products'!$E$51</f>
        <v>4.62252026736464E-005</v>
      </c>
      <c r="I196" s="89" t="n">
        <v>0</v>
      </c>
      <c r="J196" s="89" t="n">
        <f aca="false">(SUM('Input data plant-based products'!F51:H51)*'Input data plant-based products'!$B$114*44/28)/'Input data plant-based products'!E51</f>
        <v>0.000110552316164561</v>
      </c>
      <c r="K196" s="89" t="n">
        <f aca="false">J196*'Input data plant-based products'!$B$115</f>
        <v>1.10552316164561E-005</v>
      </c>
      <c r="L196" s="89" t="n">
        <f aca="false">('Input data plant-based products'!$I$51*'Common input data'!$C$59*'Common input data'!H51)/'Input data plant-based products'!$E$51</f>
        <v>2.27961904761905E-007</v>
      </c>
      <c r="M196" s="89" t="n">
        <v>0</v>
      </c>
      <c r="N196" s="89" t="n">
        <v>0</v>
      </c>
      <c r="O196" s="89" t="n">
        <v>0</v>
      </c>
      <c r="P196" s="89" t="n">
        <v>0</v>
      </c>
      <c r="Q196" s="89" t="n">
        <v>0</v>
      </c>
      <c r="R196" s="89" t="n">
        <v>0</v>
      </c>
      <c r="S196" s="89" t="n">
        <f aca="false">(F196+R196)</f>
        <v>0.000168060712359425</v>
      </c>
      <c r="T196" s="89" t="n">
        <v>0</v>
      </c>
      <c r="U196" s="89" t="n">
        <v>0</v>
      </c>
      <c r="V196" s="309"/>
      <c r="W196" s="92"/>
      <c r="Z196" s="30"/>
    </row>
    <row r="197" s="332" customFormat="true" ht="17.4" hidden="false" customHeight="false" outlineLevel="0" collapsed="false">
      <c r="A197" s="330" t="s">
        <v>140</v>
      </c>
      <c r="B197" s="76" t="s">
        <v>254</v>
      </c>
      <c r="C197" s="84" t="n">
        <f aca="false">'Input data plant-based products'!D52</f>
        <v>0.51</v>
      </c>
      <c r="D197" s="78" t="s">
        <v>133</v>
      </c>
      <c r="E197" s="94" t="n">
        <f aca="false">IF($F$1="GWP100 without fb",E198+E199*'Common input data'!$C$5+E200*'Common input data'!$D$5,IF($F$1="GWP100 with fb",E198+E199*'Common input data'!$C$6+E200*'Common input data'!$D$6,IF($F$1="GTP100 without fb",E198+E199*'Common input data'!$C$7+E200*'Common input data'!$D$7,IF($F$1="GTP100 with fb",E198+E199*'Common input data'!$C$8+E200*'Common input data'!$D$8,E198+E199*'Common input data'!$C$9+E200*'Common input data'!$D$9))))</f>
        <v>0.0722871526772428</v>
      </c>
      <c r="F197" s="95" t="n">
        <f aca="false">IF($F$1="GWP100 without fb",F198+F199*'Common input data'!$C$5+F200*'Common input data'!$D$5,IF($F$1="GWP100 with fb",F198+F199*'Common input data'!$C$6+F200*'Common input data'!$D$6,IF($F$1="GTP100 without fb",F198+F199*'Common input data'!$C$7+F200*'Common input data'!$D$7,IF($F$1="GTP100 with fb",F198+F199*'Common input data'!$C$8+F200*'Common input data'!$D$8,F198+F199*'Common input data'!$C$9+F200*'Common input data'!$D$9))))</f>
        <v>0.155448123607791</v>
      </c>
      <c r="G197" s="96" t="n">
        <f aca="false">IF($F$1="GWP100 without fb",G198+G199*'Common input data'!$C$5+G200*'Common input data'!$D$5,IF($F$1="GWP100 with fb",G198+G199*'Common input data'!$C$6+G200*'Common input data'!$D$6,IF($F$1="GTP100 without fb",G198+G199*'Common input data'!$C$7+G200*'Common input data'!$D$7,IF($F$1="GTP100 with fb",G198+G199*'Common input data'!$C$8+G200*'Common input data'!$D$8,G198+G199*'Common input data'!$C$9+G200*'Common input data'!$D$9))))</f>
        <v>0.400343863954876</v>
      </c>
      <c r="H197" s="83"/>
      <c r="I197" s="83"/>
      <c r="J197" s="83"/>
      <c r="K197" s="83"/>
      <c r="L197" s="83"/>
      <c r="M197" s="83"/>
      <c r="N197" s="83"/>
      <c r="O197" s="83"/>
      <c r="P197" s="83"/>
      <c r="Q197" s="83"/>
      <c r="R197" s="83"/>
      <c r="S197" s="83"/>
      <c r="T197" s="83"/>
      <c r="U197" s="83"/>
      <c r="V197" s="309"/>
      <c r="W197" s="92"/>
      <c r="X197" s="209"/>
      <c r="Y197" s="209"/>
      <c r="Z197" s="30"/>
      <c r="AA197" s="209"/>
      <c r="AB197" s="209"/>
      <c r="AC197" s="209"/>
      <c r="AD197" s="209"/>
      <c r="AE197" s="209"/>
      <c r="AF197" s="209"/>
      <c r="AG197" s="209"/>
      <c r="AH197" s="209"/>
      <c r="AI197" s="209"/>
      <c r="AJ197" s="209"/>
      <c r="AK197" s="209"/>
      <c r="AL197" s="209"/>
      <c r="AM197" s="209"/>
      <c r="AN197" s="209"/>
      <c r="AO197" s="209"/>
      <c r="AP197" s="209"/>
      <c r="AQ197" s="209"/>
      <c r="AR197" s="209"/>
      <c r="AS197" s="209"/>
      <c r="AT197" s="209"/>
      <c r="AU197" s="209"/>
      <c r="AV197" s="209"/>
      <c r="AW197" s="209"/>
      <c r="AX197" s="209"/>
      <c r="AY197" s="209"/>
      <c r="AZ197" s="209"/>
      <c r="BA197" s="209"/>
      <c r="BB197" s="209"/>
      <c r="BC197" s="209"/>
      <c r="BD197" s="209"/>
      <c r="BE197" s="209"/>
      <c r="BF197" s="209"/>
      <c r="BG197" s="209"/>
      <c r="BH197" s="209"/>
      <c r="BI197" s="209"/>
      <c r="BJ197" s="209"/>
      <c r="BK197" s="209"/>
      <c r="BL197" s="209"/>
      <c r="BM197" s="209"/>
      <c r="BN197" s="209"/>
      <c r="BO197" s="209"/>
      <c r="BP197" s="209"/>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209"/>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209"/>
      <c r="EC197" s="209"/>
      <c r="ED197" s="209"/>
      <c r="EE197" s="209"/>
      <c r="EF197" s="209"/>
      <c r="EG197" s="209"/>
      <c r="EH197" s="209"/>
      <c r="EI197" s="209"/>
      <c r="EJ197" s="209"/>
      <c r="EK197" s="209"/>
      <c r="EL197" s="209"/>
      <c r="EM197" s="209"/>
      <c r="EN197" s="209"/>
      <c r="EO197" s="209"/>
      <c r="EP197" s="209"/>
      <c r="EQ197" s="209"/>
      <c r="ER197" s="209"/>
      <c r="ES197" s="209"/>
      <c r="ET197" s="209"/>
      <c r="EU197" s="209"/>
      <c r="EV197" s="209"/>
      <c r="EW197" s="209"/>
      <c r="EX197" s="209"/>
      <c r="EY197" s="209"/>
      <c r="EZ197" s="209"/>
      <c r="FA197" s="209"/>
      <c r="FB197" s="209"/>
      <c r="FC197" s="209"/>
      <c r="FD197" s="209"/>
      <c r="FE197" s="209"/>
      <c r="FF197" s="209"/>
      <c r="FG197" s="209"/>
      <c r="FH197" s="209"/>
      <c r="FI197" s="209"/>
      <c r="FJ197" s="209"/>
      <c r="FK197" s="209"/>
      <c r="FL197" s="209"/>
      <c r="FM197" s="209"/>
      <c r="FN197" s="209"/>
      <c r="FO197" s="209"/>
      <c r="FP197" s="209"/>
      <c r="FQ197" s="209"/>
      <c r="FR197" s="209"/>
      <c r="FS197" s="209"/>
      <c r="FT197" s="209"/>
      <c r="FU197" s="209"/>
      <c r="FV197" s="209"/>
      <c r="FW197" s="209"/>
      <c r="FX197" s="209"/>
      <c r="FY197" s="209"/>
      <c r="FZ197" s="209"/>
      <c r="GA197" s="209"/>
      <c r="GB197" s="209"/>
      <c r="GC197" s="209"/>
      <c r="GD197" s="209"/>
      <c r="GE197" s="209"/>
      <c r="GF197" s="209"/>
      <c r="GG197" s="209"/>
      <c r="GH197" s="209"/>
      <c r="GI197" s="209"/>
      <c r="GJ197" s="209"/>
      <c r="GK197" s="209"/>
      <c r="GL197" s="209"/>
      <c r="GM197" s="209"/>
      <c r="GN197" s="209"/>
      <c r="GO197" s="209"/>
      <c r="GP197" s="209"/>
      <c r="GQ197" s="209"/>
      <c r="GR197" s="209"/>
      <c r="GS197" s="209"/>
      <c r="GT197" s="209"/>
      <c r="GU197" s="209"/>
      <c r="GV197" s="209"/>
      <c r="GW197" s="209"/>
      <c r="GX197" s="209"/>
      <c r="GY197" s="209"/>
      <c r="GZ197" s="209"/>
      <c r="HA197" s="209"/>
      <c r="HB197" s="209"/>
      <c r="HC197" s="209"/>
      <c r="HD197" s="209"/>
      <c r="HE197" s="209"/>
      <c r="HF197" s="209"/>
      <c r="HG197" s="209"/>
      <c r="HH197" s="209"/>
      <c r="HI197" s="209"/>
      <c r="HJ197" s="209"/>
      <c r="HK197" s="209"/>
      <c r="HL197" s="209"/>
      <c r="HM197" s="209"/>
      <c r="HN197" s="209"/>
      <c r="HO197" s="209"/>
      <c r="HP197" s="209"/>
      <c r="HQ197" s="209"/>
      <c r="HR197" s="209"/>
      <c r="HS197" s="209"/>
      <c r="HT197" s="209"/>
      <c r="HU197" s="209"/>
      <c r="HV197" s="209"/>
      <c r="HW197" s="209"/>
      <c r="HX197" s="209"/>
      <c r="HY197" s="209"/>
      <c r="HZ197" s="209"/>
      <c r="IA197" s="209"/>
      <c r="IB197" s="209"/>
      <c r="IC197" s="209"/>
      <c r="ID197" s="209"/>
      <c r="IE197" s="209"/>
      <c r="IF197" s="209"/>
      <c r="IG197" s="209"/>
      <c r="IH197" s="209"/>
      <c r="II197" s="209"/>
      <c r="IJ197" s="209"/>
      <c r="IK197" s="209"/>
      <c r="IL197" s="209"/>
      <c r="IM197" s="209"/>
      <c r="IN197" s="209"/>
      <c r="IO197" s="209"/>
      <c r="IP197" s="209"/>
      <c r="IQ197" s="209"/>
      <c r="IR197" s="209"/>
      <c r="IS197" s="209"/>
      <c r="IT197" s="209"/>
      <c r="IU197" s="209"/>
      <c r="IV197" s="209"/>
      <c r="IW197" s="209"/>
      <c r="IX197" s="209"/>
    </row>
    <row r="198" s="209" customFormat="true" ht="17.4" hidden="false" customHeight="false" outlineLevel="0" collapsed="false">
      <c r="A198" s="99"/>
      <c r="B198" s="31"/>
      <c r="C198" s="30"/>
      <c r="D198" s="85" t="s">
        <v>134</v>
      </c>
      <c r="E198" s="217" t="n">
        <f aca="false">IF(AND($F$2="No",$F$3="No"),SUM(J198:K198),IF(AND($F$2="Yes", $F$3="No"), SUM(J198:K198)+Q198, IF(AND($F$2="No", $F$3="Yes"),SUM(J198:K198)+P198, SUM(J198:K198)+Q198+P198)))</f>
        <v>0.0399894869629571</v>
      </c>
      <c r="F198" s="89" t="n">
        <f aca="false">IF(AND($F$2="No",$F$3="No"),SUM(H198:O198),IF(AND($F$2="Yes", $F$3="No"), SUM(H198:O198)+Q198, IF(AND($F$2="No", $F$3="Yes"),SUM(H198:O198)+P198, SUM(H198:O198)+Q198+P198)))</f>
        <v>0.106634805995891</v>
      </c>
      <c r="G198" s="88" t="n">
        <f aca="false">SUM(S198:U198)/(1-'Common input data'!$B$121)</f>
        <v>0.342087129724181</v>
      </c>
      <c r="H198" s="89" t="n">
        <f aca="false">('Input data plant-based products'!$F$52*('Common input data'!$C$76*'Common input data'!B69+'Common input data'!$C$77*'Common input data'!C69))/'Input data plant-based products'!$E$52</f>
        <v>0.0100528859909264</v>
      </c>
      <c r="I198" s="89" t="n">
        <f aca="false">'Common input data'!$B$81</f>
        <v>0.03</v>
      </c>
      <c r="J198" s="89" t="n">
        <v>0</v>
      </c>
      <c r="K198" s="89" t="n">
        <v>0</v>
      </c>
      <c r="L198" s="89" t="n">
        <f aca="false">('Input data plant-based products'!$I$52*'Common input data'!$C$59*'Common input data'!H49)/'Input data plant-based products'!$E$52</f>
        <v>0.00659243304200733</v>
      </c>
      <c r="M198" s="89" t="n">
        <v>0</v>
      </c>
      <c r="N198" s="89" t="n">
        <f aca="false">'Input data plant-based products'!$G$152</f>
        <v>0.02</v>
      </c>
      <c r="O198" s="89" t="n">
        <v>0</v>
      </c>
      <c r="P198" s="89" t="n">
        <f aca="false">'Common input data'!$E$13</f>
        <v>0.0399894869629571</v>
      </c>
      <c r="Q198" s="89" t="n">
        <v>0</v>
      </c>
      <c r="R198" s="89" t="n">
        <v>0</v>
      </c>
      <c r="S198" s="89" t="n">
        <f aca="false">(F198+R198)</f>
        <v>0.106634805995891</v>
      </c>
      <c r="T198" s="89" t="n">
        <f aca="false">'Common input data'!$B$88</f>
        <v>0.05</v>
      </c>
      <c r="U198" s="89" t="n">
        <f aca="false">'Common input data'!B99+'Common input data'!C99</f>
        <v>0.13</v>
      </c>
      <c r="V198" s="309"/>
      <c r="W198" s="92"/>
      <c r="Z198" s="30"/>
    </row>
    <row r="199" s="209" customFormat="true" ht="17.4" hidden="false" customHeight="false" outlineLevel="0" collapsed="false">
      <c r="A199" s="74"/>
      <c r="B199" s="31"/>
      <c r="C199" s="93"/>
      <c r="D199" s="85" t="s">
        <v>135</v>
      </c>
      <c r="E199" s="217" t="n">
        <f aca="false">SUM(J199:K199)</f>
        <v>0</v>
      </c>
      <c r="F199" s="89" t="n">
        <f aca="false">SUM(H199:O199)</f>
        <v>2.92026986735615E-006</v>
      </c>
      <c r="G199" s="88" t="n">
        <f aca="false">SUM(S199:U199)/(1-'Common input data'!$B$121)</f>
        <v>3.48522480887475E-006</v>
      </c>
      <c r="H199" s="89" t="n">
        <f aca="false">('Input data plant-based products'!$F$52*('Common input data'!$C$76*'Common input data'!B70+'Common input data'!$C$77*'Common input data'!C70))/'Input data plant-based products'!$E$52</f>
        <v>4.4324644E-011</v>
      </c>
      <c r="I199" s="89" t="n">
        <v>0</v>
      </c>
      <c r="J199" s="89" t="n">
        <v>0</v>
      </c>
      <c r="K199" s="89" t="n">
        <v>0</v>
      </c>
      <c r="L199" s="89" t="n">
        <f aca="false">('Input data plant-based products'!$I$52*'Common input data'!$C$59*'Common input data'!H50)/'Input data plant-based products'!$E$52</f>
        <v>2.92022554271215E-006</v>
      </c>
      <c r="M199" s="89" t="n">
        <v>0</v>
      </c>
      <c r="N199" s="89" t="n">
        <v>0</v>
      </c>
      <c r="O199" s="89" t="n">
        <v>0</v>
      </c>
      <c r="P199" s="89" t="n">
        <v>0</v>
      </c>
      <c r="Q199" s="89" t="n">
        <v>0</v>
      </c>
      <c r="R199" s="89" t="n">
        <v>0</v>
      </c>
      <c r="S199" s="89" t="n">
        <f aca="false">(F199+R199)</f>
        <v>2.92026986735615E-006</v>
      </c>
      <c r="T199" s="89" t="n">
        <v>0</v>
      </c>
      <c r="U199" s="89" t="n">
        <v>0</v>
      </c>
      <c r="V199" s="309"/>
      <c r="W199" s="92"/>
      <c r="Z199" s="30"/>
    </row>
    <row r="200" s="209" customFormat="true" ht="17.4" hidden="false" customHeight="false" outlineLevel="0" collapsed="false">
      <c r="A200" s="100"/>
      <c r="B200" s="101"/>
      <c r="C200" s="87"/>
      <c r="D200" s="31" t="s">
        <v>136</v>
      </c>
      <c r="E200" s="217" t="n">
        <f aca="false">SUM(J200:K200)</f>
        <v>0.000108381428571429</v>
      </c>
      <c r="F200" s="89" t="n">
        <f aca="false">SUM(H200:O200)</f>
        <v>0.000163469894081912</v>
      </c>
      <c r="G200" s="88" t="n">
        <f aca="false">SUM(S200:U200)/(1-'Common input data'!$B$121)</f>
        <v>0.000195094753648301</v>
      </c>
      <c r="H200" s="89" t="n">
        <f aca="false">('Input data plant-based products'!$F$52*('Common input data'!$C$76*'Common input data'!B71+'Common input data'!$C$77*'Common input data'!C71))/'Input data plant-based products'!$E$52</f>
        <v>5.49113242643596E-005</v>
      </c>
      <c r="I200" s="89" t="n">
        <v>0</v>
      </c>
      <c r="J200" s="89" t="n">
        <f aca="false">(SUM('Input data plant-based products'!F52:H52)*'Input data plant-based products'!$B$114*44/28)/'Input data plant-based products'!E52</f>
        <v>9.85285714285714E-005</v>
      </c>
      <c r="K200" s="89" t="n">
        <f aca="false">J200*'Input data plant-based products'!$B$115</f>
        <v>9.85285714285714E-006</v>
      </c>
      <c r="L200" s="89" t="n">
        <f aca="false">('Input data plant-based products'!$I$52*'Common input data'!$C$59*'Common input data'!H51)/'Input data plant-based products'!$E$52</f>
        <v>1.77141246123485E-007</v>
      </c>
      <c r="M200" s="89" t="n">
        <v>0</v>
      </c>
      <c r="N200" s="89" t="n">
        <v>0</v>
      </c>
      <c r="O200" s="89" t="n">
        <v>0</v>
      </c>
      <c r="P200" s="89" t="n">
        <v>0</v>
      </c>
      <c r="Q200" s="89" t="n">
        <v>0</v>
      </c>
      <c r="R200" s="89" t="n">
        <v>0</v>
      </c>
      <c r="S200" s="89" t="n">
        <f aca="false">(F200+R200)</f>
        <v>0.000163469894081912</v>
      </c>
      <c r="T200" s="89" t="n">
        <v>0</v>
      </c>
      <c r="U200" s="89" t="n">
        <v>0</v>
      </c>
      <c r="V200" s="309"/>
      <c r="W200" s="92"/>
      <c r="Z200" s="30"/>
    </row>
    <row r="201" s="332" customFormat="true" ht="17.4" hidden="false" customHeight="false" outlineLevel="0" collapsed="false">
      <c r="A201" s="330" t="s">
        <v>141</v>
      </c>
      <c r="B201" s="76" t="s">
        <v>254</v>
      </c>
      <c r="C201" s="84" t="n">
        <f aca="false">'Input data plant-based products'!D53</f>
        <v>0.06</v>
      </c>
      <c r="D201" s="78" t="s">
        <v>133</v>
      </c>
      <c r="E201" s="94" t="n">
        <f aca="false">IF($F$1="GWP100 without fb",E202+E203*'Common input data'!$C$5+E204*'Common input data'!$D$5,IF($F$1="GWP100 with fb",E202+E203*'Common input data'!$C$6+E204*'Common input data'!$D$6,IF($F$1="GTP100 without fb",E202+E203*'Common input data'!$C$7+E204*'Common input data'!$D$7,IF($F$1="GTP100 with fb",E202+E203*'Common input data'!$C$8+E204*'Common input data'!$D$8,E202+E203*'Common input data'!$C$9+E204*'Common input data'!$D$9))))</f>
        <v>0.0722871526772428</v>
      </c>
      <c r="F201" s="95" t="n">
        <f aca="false">IF($F$1="GWP100 without fb",F202+F203*'Common input data'!$C$5+F204*'Common input data'!$D$5,IF($F$1="GWP100 with fb",F202+F203*'Common input data'!$C$6+F204*'Common input data'!$D$6,IF($F$1="GTP100 without fb",F202+F203*'Common input data'!$C$7+F204*'Common input data'!$D$7,IF($F$1="GTP100 with fb",F202+F203*'Common input data'!$C$8+F204*'Common input data'!$D$8,F202+F203*'Common input data'!$C$9+F204*'Common input data'!$D$9))))</f>
        <v>0.161837171061819</v>
      </c>
      <c r="G201" s="96" t="n">
        <f aca="false">IF($F$1="GWP100 without fb",G202+G203*'Common input data'!$C$5+G204*'Common input data'!$D$5,IF($F$1="GWP100 with fb",G202+G203*'Common input data'!$C$6+G204*'Common input data'!$D$6,IF($F$1="GTP100 without fb",G202+G203*'Common input data'!$C$7+G204*'Common input data'!$D$7,IF($F$1="GTP100 with fb",G202+G203*'Common input data'!$C$8+G204*'Common input data'!$D$8,G202+G203*'Common input data'!$C$9+G204*'Common input data'!$D$9))))</f>
        <v>0.52731491951524</v>
      </c>
      <c r="H201" s="83"/>
      <c r="I201" s="83"/>
      <c r="J201" s="83"/>
      <c r="K201" s="83"/>
      <c r="L201" s="83"/>
      <c r="M201" s="83"/>
      <c r="N201" s="83"/>
      <c r="O201" s="83"/>
      <c r="P201" s="83"/>
      <c r="Q201" s="83"/>
      <c r="R201" s="83"/>
      <c r="S201" s="83"/>
      <c r="T201" s="83"/>
      <c r="U201" s="83"/>
      <c r="V201" s="309"/>
      <c r="W201" s="92"/>
      <c r="X201" s="209"/>
      <c r="Y201" s="209"/>
      <c r="Z201" s="30"/>
      <c r="AA201" s="209"/>
      <c r="AB201" s="209"/>
      <c r="AC201" s="209"/>
      <c r="AD201" s="209"/>
      <c r="AE201" s="209"/>
      <c r="AF201" s="209"/>
      <c r="AG201" s="209"/>
      <c r="AH201" s="209"/>
      <c r="AI201" s="209"/>
      <c r="AJ201" s="209"/>
      <c r="AK201" s="209"/>
      <c r="AL201" s="209"/>
      <c r="AM201" s="209"/>
      <c r="AN201" s="209"/>
      <c r="AO201" s="209"/>
      <c r="AP201" s="209"/>
      <c r="AQ201" s="209"/>
      <c r="AR201" s="209"/>
      <c r="AS201" s="209"/>
      <c r="AT201" s="209"/>
      <c r="AU201" s="209"/>
      <c r="AV201" s="209"/>
      <c r="AW201" s="209"/>
      <c r="AX201" s="209"/>
      <c r="AY201" s="209"/>
      <c r="AZ201" s="209"/>
      <c r="BA201" s="209"/>
      <c r="BB201" s="209"/>
      <c r="BC201" s="209"/>
      <c r="BD201" s="209"/>
      <c r="BE201" s="209"/>
      <c r="BF201" s="209"/>
      <c r="BG201" s="209"/>
      <c r="BH201" s="209"/>
      <c r="BI201" s="209"/>
      <c r="BJ201" s="209"/>
      <c r="BK201" s="209"/>
      <c r="BL201" s="209"/>
      <c r="BM201" s="209"/>
      <c r="BN201" s="209"/>
      <c r="BO201" s="209"/>
      <c r="BP201" s="209"/>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209"/>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209"/>
      <c r="EC201" s="209"/>
      <c r="ED201" s="209"/>
      <c r="EE201" s="209"/>
      <c r="EF201" s="209"/>
      <c r="EG201" s="209"/>
      <c r="EH201" s="209"/>
      <c r="EI201" s="209"/>
      <c r="EJ201" s="209"/>
      <c r="EK201" s="209"/>
      <c r="EL201" s="209"/>
      <c r="EM201" s="209"/>
      <c r="EN201" s="209"/>
      <c r="EO201" s="209"/>
      <c r="EP201" s="209"/>
      <c r="EQ201" s="209"/>
      <c r="ER201" s="209"/>
      <c r="ES201" s="209"/>
      <c r="ET201" s="209"/>
      <c r="EU201" s="209"/>
      <c r="EV201" s="209"/>
      <c r="EW201" s="209"/>
      <c r="EX201" s="209"/>
      <c r="EY201" s="209"/>
      <c r="EZ201" s="209"/>
      <c r="FA201" s="209"/>
      <c r="FB201" s="209"/>
      <c r="FC201" s="209"/>
      <c r="FD201" s="209"/>
      <c r="FE201" s="209"/>
      <c r="FF201" s="209"/>
      <c r="FG201" s="209"/>
      <c r="FH201" s="209"/>
      <c r="FI201" s="209"/>
      <c r="FJ201" s="209"/>
      <c r="FK201" s="209"/>
      <c r="FL201" s="209"/>
      <c r="FM201" s="209"/>
      <c r="FN201" s="209"/>
      <c r="FO201" s="209"/>
      <c r="FP201" s="209"/>
      <c r="FQ201" s="209"/>
      <c r="FR201" s="209"/>
      <c r="FS201" s="209"/>
      <c r="FT201" s="209"/>
      <c r="FU201" s="209"/>
      <c r="FV201" s="209"/>
      <c r="FW201" s="209"/>
      <c r="FX201" s="209"/>
      <c r="FY201" s="209"/>
      <c r="FZ201" s="209"/>
      <c r="GA201" s="209"/>
      <c r="GB201" s="209"/>
      <c r="GC201" s="209"/>
      <c r="GD201" s="209"/>
      <c r="GE201" s="209"/>
      <c r="GF201" s="209"/>
      <c r="GG201" s="209"/>
      <c r="GH201" s="209"/>
      <c r="GI201" s="209"/>
      <c r="GJ201" s="209"/>
      <c r="GK201" s="209"/>
      <c r="GL201" s="209"/>
      <c r="GM201" s="209"/>
      <c r="GN201" s="209"/>
      <c r="GO201" s="209"/>
      <c r="GP201" s="209"/>
      <c r="GQ201" s="209"/>
      <c r="GR201" s="209"/>
      <c r="GS201" s="209"/>
      <c r="GT201" s="209"/>
      <c r="GU201" s="209"/>
      <c r="GV201" s="209"/>
      <c r="GW201" s="209"/>
      <c r="GX201" s="209"/>
      <c r="GY201" s="209"/>
      <c r="GZ201" s="209"/>
      <c r="HA201" s="209"/>
      <c r="HB201" s="209"/>
      <c r="HC201" s="209"/>
      <c r="HD201" s="209"/>
      <c r="HE201" s="209"/>
      <c r="HF201" s="209"/>
      <c r="HG201" s="209"/>
      <c r="HH201" s="209"/>
      <c r="HI201" s="209"/>
      <c r="HJ201" s="209"/>
      <c r="HK201" s="209"/>
      <c r="HL201" s="209"/>
      <c r="HM201" s="209"/>
      <c r="HN201" s="209"/>
      <c r="HO201" s="209"/>
      <c r="HP201" s="209"/>
      <c r="HQ201" s="209"/>
      <c r="HR201" s="209"/>
      <c r="HS201" s="209"/>
      <c r="HT201" s="209"/>
      <c r="HU201" s="209"/>
      <c r="HV201" s="209"/>
      <c r="HW201" s="209"/>
      <c r="HX201" s="209"/>
      <c r="HY201" s="209"/>
      <c r="HZ201" s="209"/>
      <c r="IA201" s="209"/>
      <c r="IB201" s="209"/>
      <c r="IC201" s="209"/>
      <c r="ID201" s="209"/>
      <c r="IE201" s="209"/>
      <c r="IF201" s="209"/>
      <c r="IG201" s="209"/>
      <c r="IH201" s="209"/>
      <c r="II201" s="209"/>
      <c r="IJ201" s="209"/>
      <c r="IK201" s="209"/>
      <c r="IL201" s="209"/>
      <c r="IM201" s="209"/>
      <c r="IN201" s="209"/>
      <c r="IO201" s="209"/>
      <c r="IP201" s="209"/>
      <c r="IQ201" s="209"/>
      <c r="IR201" s="209"/>
      <c r="IS201" s="209"/>
      <c r="IT201" s="209"/>
      <c r="IU201" s="209"/>
      <c r="IV201" s="209"/>
      <c r="IW201" s="209"/>
      <c r="IX201" s="209"/>
    </row>
    <row r="202" s="209" customFormat="true" ht="17.4" hidden="false" customHeight="false" outlineLevel="0" collapsed="false">
      <c r="A202" s="99"/>
      <c r="B202" s="31"/>
      <c r="C202" s="30"/>
      <c r="D202" s="85" t="s">
        <v>134</v>
      </c>
      <c r="E202" s="217" t="n">
        <f aca="false">IF(AND($F$2="No",$F$3="No"),SUM(J202:K202),IF(AND($F$2="Yes", $F$3="No"), SUM(J202:K202)+Q202, IF(AND($F$2="No", $F$3="Yes"),SUM(J202:K202)+P202, SUM(J202:K202)+Q202+P202)))</f>
        <v>0.0399894869629571</v>
      </c>
      <c r="F202" s="89" t="n">
        <f aca="false">IF(AND($F$2="No",$F$3="No"),SUM(H202:O202),IF(AND($F$2="Yes", $F$3="No"), SUM(H202:O202)+Q202, IF(AND($F$2="No", $F$3="Yes"),SUM(H202:O202)+P202, SUM(H202:O202)+Q202+P202)))</f>
        <v>0.112879792662915</v>
      </c>
      <c r="G202" s="88" t="n">
        <f aca="false">SUM(S202:U202)/(1-'Common input data'!$B$121)</f>
        <v>0.468886254520724</v>
      </c>
      <c r="H202" s="87" t="n">
        <f aca="false">('Input data plant-based products'!$F$53*('Common input data'!$C$76*'Common input data'!B69+'Common input data'!$C$77*'Common input data'!C69))/'Input data plant-based products'!$E$53</f>
        <v>0.0100528859909264</v>
      </c>
      <c r="I202" s="89" t="n">
        <f aca="false">'Common input data'!$B$81</f>
        <v>0.03</v>
      </c>
      <c r="J202" s="87" t="n">
        <v>0</v>
      </c>
      <c r="K202" s="89" t="n">
        <v>0</v>
      </c>
      <c r="L202" s="87" t="n">
        <f aca="false">('Input data plant-based products'!$I$53*'Common input data'!$C$59*'Common input data'!H49)/'Input data plant-based products'!$E$53</f>
        <v>0.012837419709031</v>
      </c>
      <c r="M202" s="89" t="n">
        <v>0</v>
      </c>
      <c r="N202" s="89" t="n">
        <f aca="false">'Input data plant-based products'!$G$152</f>
        <v>0.02</v>
      </c>
      <c r="O202" s="89" t="n">
        <v>0</v>
      </c>
      <c r="P202" s="89" t="n">
        <f aca="false">'Common input data'!$E$13</f>
        <v>0.0399894869629571</v>
      </c>
      <c r="Q202" s="89" t="n">
        <v>0</v>
      </c>
      <c r="R202" s="89" t="n">
        <v>0</v>
      </c>
      <c r="S202" s="89" t="n">
        <f aca="false">(F202+R202)</f>
        <v>0.112879792662915</v>
      </c>
      <c r="T202" s="89" t="n">
        <f aca="false">'Common input data'!$B$88</f>
        <v>0.05</v>
      </c>
      <c r="U202" s="89" t="n">
        <f aca="false">'Common input data'!B102+'Common input data'!C102</f>
        <v>0.23</v>
      </c>
      <c r="V202" s="309"/>
      <c r="W202" s="92"/>
      <c r="Z202" s="30"/>
    </row>
    <row r="203" s="209" customFormat="true" ht="17.4" hidden="false" customHeight="false" outlineLevel="0" collapsed="false">
      <c r="A203" s="74"/>
      <c r="B203" s="31"/>
      <c r="C203" s="93"/>
      <c r="D203" s="85" t="s">
        <v>135</v>
      </c>
      <c r="E203" s="217" t="n">
        <f aca="false">SUM(J203:K203)</f>
        <v>0</v>
      </c>
      <c r="F203" s="89" t="n">
        <f aca="false">SUM(H203:O203)</f>
        <v>5.6865883817398E-006</v>
      </c>
      <c r="G203" s="88" t="n">
        <f aca="false">SUM(S203:U203)/(1-'Common input data'!$B$121)</f>
        <v>6.78671486065139E-006</v>
      </c>
      <c r="H203" s="87" t="n">
        <f aca="false">('Input data plant-based products'!$F$53*('Common input data'!$C$76*'Common input data'!B70+'Common input data'!$C$77*'Common input data'!C70))/'Input data plant-based products'!$E$53</f>
        <v>4.4324644E-011</v>
      </c>
      <c r="I203" s="89" t="n">
        <v>0</v>
      </c>
      <c r="J203" s="87" t="n">
        <v>0</v>
      </c>
      <c r="K203" s="89" t="n">
        <v>0</v>
      </c>
      <c r="L203" s="87" t="n">
        <f aca="false">('Input data plant-based products'!$I$53*'Common input data'!$C$59*'Common input data'!H50)/'Input data plant-based products'!$E$53</f>
        <v>5.6865440570958E-006</v>
      </c>
      <c r="M203" s="89" t="n">
        <v>0</v>
      </c>
      <c r="N203" s="89" t="n">
        <v>0</v>
      </c>
      <c r="O203" s="89" t="n">
        <v>0</v>
      </c>
      <c r="P203" s="89" t="n">
        <v>0</v>
      </c>
      <c r="Q203" s="89" t="n">
        <v>0</v>
      </c>
      <c r="R203" s="89" t="n">
        <v>0</v>
      </c>
      <c r="S203" s="89" t="n">
        <f aca="false">(F203+R203)</f>
        <v>5.6865883817398E-006</v>
      </c>
      <c r="T203" s="89" t="n">
        <v>0</v>
      </c>
      <c r="U203" s="89" t="n">
        <v>0</v>
      </c>
      <c r="V203" s="309"/>
      <c r="W203" s="92"/>
      <c r="Z203" s="30"/>
    </row>
    <row r="204" s="209" customFormat="true" ht="17.4" hidden="false" customHeight="false" outlineLevel="0" collapsed="false">
      <c r="A204" s="100"/>
      <c r="B204" s="101"/>
      <c r="C204" s="87"/>
      <c r="D204" s="31" t="s">
        <v>136</v>
      </c>
      <c r="E204" s="219" t="n">
        <f aca="false">SUM(J204:K204)</f>
        <v>0.000108381428571429</v>
      </c>
      <c r="F204" s="126" t="n">
        <f aca="false">SUM(H204:O204)</f>
        <v>0.000163637699308476</v>
      </c>
      <c r="G204" s="106" t="n">
        <f aca="false">SUM(S204:U204)/(1-'Common input data'!$B$121)</f>
        <v>0.00019529502244716</v>
      </c>
      <c r="H204" s="87" t="n">
        <f aca="false">('Input data plant-based products'!$F$53*('Common input data'!$C$76*'Common input data'!B71+'Common input data'!$C$77*'Common input data'!C71))/'Input data plant-based products'!$E$53</f>
        <v>5.49113242643596E-005</v>
      </c>
      <c r="I204" s="87" t="n">
        <v>0</v>
      </c>
      <c r="J204" s="87" t="n">
        <f aca="false">(SUM('Input data plant-based products'!F53:H53)*'Input data plant-based products'!$B$114*44/28)/'Input data plant-based products'!E53</f>
        <v>9.85285714285715E-005</v>
      </c>
      <c r="K204" s="89" t="n">
        <f aca="false">J204*'Input data plant-based products'!$B$115</f>
        <v>9.85285714285715E-006</v>
      </c>
      <c r="L204" s="87" t="n">
        <f aca="false">('Input data plant-based products'!$I$53*'Common input data'!$C$59*'Common input data'!H51)/'Input data plant-based products'!$E$53</f>
        <v>3.44946472687346E-007</v>
      </c>
      <c r="M204" s="89" t="n">
        <v>0</v>
      </c>
      <c r="N204" s="89" t="n">
        <v>0</v>
      </c>
      <c r="O204" s="89" t="n">
        <v>0</v>
      </c>
      <c r="P204" s="89" t="n">
        <v>0</v>
      </c>
      <c r="Q204" s="89" t="n">
        <v>0</v>
      </c>
      <c r="R204" s="89" t="n">
        <v>0</v>
      </c>
      <c r="S204" s="89" t="n">
        <f aca="false">(F204+R204)</f>
        <v>0.000163637699308476</v>
      </c>
      <c r="T204" s="89" t="n">
        <v>0</v>
      </c>
      <c r="U204" s="89" t="n">
        <v>0</v>
      </c>
      <c r="V204" s="309"/>
      <c r="W204" s="92"/>
      <c r="Z204" s="30"/>
    </row>
    <row r="205" s="334" customFormat="true" ht="17.4" hidden="false" customHeight="false" outlineLevel="0" collapsed="false">
      <c r="A205" s="107" t="s">
        <v>310</v>
      </c>
      <c r="B205" s="108"/>
      <c r="C205" s="69"/>
      <c r="D205" s="109"/>
      <c r="E205" s="110" t="s">
        <v>311</v>
      </c>
      <c r="F205" s="111" t="s">
        <v>311</v>
      </c>
      <c r="G205" s="112" t="s">
        <v>311</v>
      </c>
      <c r="H205" s="69"/>
      <c r="I205" s="69"/>
      <c r="J205" s="69"/>
      <c r="K205" s="113"/>
      <c r="L205" s="113"/>
      <c r="M205" s="114"/>
      <c r="N205" s="113"/>
      <c r="O205" s="113"/>
      <c r="P205" s="113"/>
      <c r="Q205" s="113"/>
      <c r="R205" s="113"/>
      <c r="S205" s="113"/>
      <c r="T205" s="113"/>
      <c r="U205" s="113"/>
      <c r="V205" s="309"/>
      <c r="W205" s="92"/>
      <c r="X205" s="209"/>
      <c r="Y205" s="209"/>
      <c r="Z205" s="30"/>
      <c r="AA205" s="209"/>
      <c r="AB205" s="209"/>
      <c r="AC205" s="209"/>
      <c r="AD205" s="209"/>
      <c r="AE205" s="209"/>
      <c r="AF205" s="209"/>
      <c r="AG205" s="209"/>
      <c r="AH205" s="209"/>
      <c r="AI205" s="209"/>
      <c r="AJ205" s="209"/>
      <c r="AK205" s="209"/>
      <c r="AL205" s="209"/>
      <c r="AM205" s="209"/>
      <c r="AN205" s="209"/>
      <c r="AO205" s="209"/>
      <c r="AP205" s="209"/>
      <c r="AQ205" s="209"/>
      <c r="AR205" s="209"/>
      <c r="AS205" s="209"/>
      <c r="AT205" s="209"/>
      <c r="AU205" s="209"/>
      <c r="AV205" s="209"/>
      <c r="AW205" s="209"/>
      <c r="AX205" s="209"/>
      <c r="AY205" s="209"/>
      <c r="AZ205" s="209"/>
      <c r="BA205" s="209"/>
      <c r="BB205" s="209"/>
      <c r="BC205" s="209"/>
      <c r="BD205" s="209"/>
      <c r="BE205" s="209"/>
      <c r="BF205" s="209"/>
      <c r="BG205" s="209"/>
      <c r="BH205" s="209"/>
      <c r="BI205" s="209"/>
      <c r="BJ205" s="209"/>
      <c r="BK205" s="209"/>
      <c r="BL205" s="209"/>
      <c r="BM205" s="209"/>
      <c r="BN205" s="209"/>
      <c r="BO205" s="209"/>
      <c r="BP205" s="209"/>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209"/>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209"/>
      <c r="EC205" s="209"/>
      <c r="ED205" s="209"/>
      <c r="EE205" s="209"/>
      <c r="EF205" s="209"/>
      <c r="EG205" s="209"/>
      <c r="EH205" s="209"/>
      <c r="EI205" s="209"/>
      <c r="EJ205" s="209"/>
      <c r="EK205" s="209"/>
      <c r="EL205" s="209"/>
      <c r="EM205" s="209"/>
      <c r="EN205" s="209"/>
      <c r="EO205" s="209"/>
      <c r="EP205" s="209"/>
      <c r="EQ205" s="209"/>
      <c r="ER205" s="209"/>
      <c r="ES205" s="209"/>
      <c r="ET205" s="209"/>
      <c r="EU205" s="209"/>
      <c r="EV205" s="209"/>
      <c r="EW205" s="209"/>
      <c r="EX205" s="209"/>
      <c r="EY205" s="209"/>
      <c r="EZ205" s="209"/>
      <c r="FA205" s="209"/>
      <c r="FB205" s="209"/>
      <c r="FC205" s="209"/>
      <c r="FD205" s="209"/>
      <c r="FE205" s="209"/>
      <c r="FF205" s="209"/>
      <c r="FG205" s="209"/>
      <c r="FH205" s="209"/>
      <c r="FI205" s="209"/>
      <c r="FJ205" s="209"/>
      <c r="FK205" s="209"/>
      <c r="FL205" s="209"/>
      <c r="FM205" s="209"/>
      <c r="FN205" s="209"/>
      <c r="FO205" s="209"/>
      <c r="FP205" s="209"/>
      <c r="FQ205" s="209"/>
      <c r="FR205" s="209"/>
      <c r="FS205" s="209"/>
      <c r="FT205" s="209"/>
      <c r="FU205" s="209"/>
      <c r="FV205" s="209"/>
      <c r="FW205" s="209"/>
      <c r="FX205" s="209"/>
      <c r="FY205" s="209"/>
      <c r="FZ205" s="209"/>
      <c r="GA205" s="209"/>
      <c r="GB205" s="209"/>
      <c r="GC205" s="209"/>
      <c r="GD205" s="209"/>
      <c r="GE205" s="209"/>
      <c r="GF205" s="209"/>
      <c r="GG205" s="209"/>
      <c r="GH205" s="209"/>
      <c r="GI205" s="209"/>
      <c r="GJ205" s="209"/>
      <c r="GK205" s="209"/>
      <c r="GL205" s="209"/>
      <c r="GM205" s="209"/>
      <c r="GN205" s="209"/>
      <c r="GO205" s="209"/>
      <c r="GP205" s="209"/>
      <c r="GQ205" s="209"/>
      <c r="GR205" s="209"/>
      <c r="GS205" s="209"/>
      <c r="GT205" s="209"/>
      <c r="GU205" s="209"/>
      <c r="GV205" s="209"/>
      <c r="GW205" s="209"/>
      <c r="GX205" s="209"/>
      <c r="GY205" s="209"/>
      <c r="GZ205" s="209"/>
      <c r="HA205" s="209"/>
      <c r="HB205" s="209"/>
      <c r="HC205" s="209"/>
      <c r="HD205" s="209"/>
      <c r="HE205" s="209"/>
      <c r="HF205" s="209"/>
      <c r="HG205" s="209"/>
      <c r="HH205" s="209"/>
      <c r="HI205" s="209"/>
      <c r="HJ205" s="209"/>
      <c r="HK205" s="209"/>
      <c r="HL205" s="209"/>
      <c r="HM205" s="209"/>
      <c r="HN205" s="209"/>
      <c r="HO205" s="209"/>
      <c r="HP205" s="209"/>
      <c r="HQ205" s="209"/>
      <c r="HR205" s="209"/>
      <c r="HS205" s="209"/>
      <c r="HT205" s="209"/>
      <c r="HU205" s="209"/>
      <c r="HV205" s="209"/>
      <c r="HW205" s="209"/>
      <c r="HX205" s="209"/>
      <c r="HY205" s="209"/>
      <c r="HZ205" s="209"/>
      <c r="IA205" s="209"/>
      <c r="IB205" s="209"/>
      <c r="IC205" s="209"/>
      <c r="ID205" s="209"/>
      <c r="IE205" s="209"/>
      <c r="IF205" s="209"/>
      <c r="IG205" s="209"/>
      <c r="IH205" s="209"/>
      <c r="II205" s="209"/>
      <c r="IJ205" s="209"/>
      <c r="IK205" s="209"/>
      <c r="IL205" s="209"/>
      <c r="IM205" s="209"/>
      <c r="IN205" s="209"/>
      <c r="IO205" s="209"/>
      <c r="IP205" s="209"/>
      <c r="IQ205" s="209"/>
      <c r="IR205" s="209"/>
      <c r="IS205" s="209"/>
      <c r="IT205" s="209"/>
      <c r="IU205" s="209"/>
      <c r="IV205" s="209"/>
      <c r="IW205" s="209"/>
      <c r="IX205" s="209"/>
    </row>
    <row r="206" s="332" customFormat="true" ht="17.4" hidden="false" customHeight="false" outlineLevel="0" collapsed="false">
      <c r="A206" s="330" t="s">
        <v>272</v>
      </c>
      <c r="B206" s="76"/>
      <c r="C206" s="77" t="n">
        <f aca="false">SUM(C210:C225)</f>
        <v>1</v>
      </c>
      <c r="D206" s="78" t="s">
        <v>133</v>
      </c>
      <c r="E206" s="79" t="n">
        <f aca="false">IF($F$1="GWP100 without fb",E207+E208*'Common input data'!$C$5+E209*'Common input data'!$D$5,IF($F$1="GWP100 with fb",E207+E208*'Common input data'!$C$6+E209*'Common input data'!$D$6,IF($F$1="GTP100 without fb",E207+E208*'Common input data'!$C$7+E209*'Common input data'!$D$7,IF($F$1="GTP100 with fb",E207+E208*'Common input data'!$C$8+E209*'Common input data'!$D$8,E207+E208*'Common input data'!$C$9+E209*'Common input data'!$D$9))))</f>
        <v>0.121600710286404</v>
      </c>
      <c r="F206" s="80" t="n">
        <f aca="false">IF($F$1="GWP100 without fb",F207+F208*'Common input data'!$C$5+F209*'Common input data'!$D$5,IF($F$1="GWP100 with fb",F207+F208*'Common input data'!$C$6+F209*'Common input data'!$D$6,IF($F$1="GTP100 without fb",F207+F208*'Common input data'!$C$7+F209*'Common input data'!$D$7,IF($F$1="GTP100 with fb",F207+F208*'Common input data'!$C$8+F209*'Common input data'!$D$8,F207+F208*'Common input data'!$C$9+F209*'Common input data'!$D$9))))</f>
        <v>0.263263019448046</v>
      </c>
      <c r="G206" s="81" t="n">
        <f aca="false">IF($F$1="GWP100 without fb",G207+G208*'Common input data'!$C$5+G209*'Common input data'!$D$5,IF($F$1="GWP100 with fb",G207+G208*'Common input data'!$C$6+G209*'Common input data'!$D$6,IF($F$1="GTP100 without fb",G207+G208*'Common input data'!$C$7+G209*'Common input data'!$D$7,IF($F$1="GTP100 with fb",G207+G208*'Common input data'!$C$8+G209*'Common input data'!$D$8,G207+G208*'Common input data'!$C$9+G209*'Common input data'!$D$9))))</f>
        <v>0.531403531982392</v>
      </c>
      <c r="H206" s="95"/>
      <c r="I206" s="97"/>
      <c r="J206" s="97"/>
      <c r="K206" s="83"/>
      <c r="L206" s="83"/>
      <c r="M206" s="83"/>
      <c r="N206" s="83"/>
      <c r="O206" s="83"/>
      <c r="P206" s="83"/>
      <c r="Q206" s="83"/>
      <c r="R206" s="83"/>
      <c r="S206" s="83"/>
      <c r="T206" s="83"/>
      <c r="U206" s="83"/>
      <c r="V206" s="309"/>
      <c r="W206" s="92"/>
      <c r="X206" s="209"/>
      <c r="Y206" s="209"/>
      <c r="Z206" s="30"/>
      <c r="AA206" s="209"/>
      <c r="AB206" s="209"/>
      <c r="AC206" s="209"/>
      <c r="AD206" s="209"/>
      <c r="AE206" s="209"/>
      <c r="AF206" s="209"/>
      <c r="AG206" s="209"/>
      <c r="AH206" s="209"/>
      <c r="AI206" s="209"/>
      <c r="AJ206" s="209"/>
      <c r="AK206" s="209"/>
      <c r="AL206" s="209"/>
      <c r="AM206" s="209"/>
      <c r="AN206" s="209"/>
      <c r="AO206" s="209"/>
      <c r="AP206" s="209"/>
      <c r="AQ206" s="209"/>
      <c r="AR206" s="209"/>
      <c r="AS206" s="209"/>
      <c r="AT206" s="209"/>
      <c r="AU206" s="209"/>
      <c r="AV206" s="209"/>
      <c r="AW206" s="209"/>
      <c r="AX206" s="209"/>
      <c r="AY206" s="209"/>
      <c r="AZ206" s="209"/>
      <c r="BA206" s="209"/>
      <c r="BB206" s="209"/>
      <c r="BC206" s="209"/>
      <c r="BD206" s="209"/>
      <c r="BE206" s="209"/>
      <c r="BF206" s="209"/>
      <c r="BG206" s="209"/>
      <c r="BH206" s="209"/>
      <c r="BI206" s="209"/>
      <c r="BJ206" s="209"/>
      <c r="BK206" s="209"/>
      <c r="BL206" s="209"/>
      <c r="BM206" s="209"/>
      <c r="BN206" s="209"/>
      <c r="BO206" s="209"/>
      <c r="BP206" s="209"/>
      <c r="BQ206" s="209"/>
      <c r="BR206" s="209"/>
      <c r="BS206" s="209"/>
      <c r="BT206" s="209"/>
      <c r="BU206" s="209"/>
      <c r="BV206" s="209"/>
      <c r="BW206" s="209"/>
      <c r="BX206" s="209"/>
      <c r="BY206" s="209"/>
      <c r="BZ206" s="209"/>
      <c r="CA206" s="209"/>
      <c r="CB206" s="209"/>
      <c r="CC206" s="209"/>
      <c r="CD206" s="209"/>
      <c r="CE206" s="209"/>
      <c r="CF206" s="209"/>
      <c r="CG206" s="209"/>
      <c r="CH206" s="209"/>
      <c r="CI206" s="209"/>
      <c r="CJ206" s="209"/>
      <c r="CK206" s="209"/>
      <c r="CL206" s="209"/>
      <c r="CM206" s="209"/>
      <c r="CN206" s="209"/>
      <c r="CO206" s="209"/>
      <c r="CP206" s="209"/>
      <c r="CQ206" s="209"/>
      <c r="CR206" s="209"/>
      <c r="CS206" s="209"/>
      <c r="CT206" s="209"/>
      <c r="CU206" s="209"/>
      <c r="CV206" s="209"/>
      <c r="CW206" s="209"/>
      <c r="CX206" s="209"/>
      <c r="CY206" s="209"/>
      <c r="CZ206" s="209"/>
      <c r="DA206" s="209"/>
      <c r="DB206" s="209"/>
      <c r="DC206" s="209"/>
      <c r="DD206" s="209"/>
      <c r="DE206" s="209"/>
      <c r="DF206" s="209"/>
      <c r="DG206" s="209"/>
      <c r="DH206" s="209"/>
      <c r="DI206" s="209"/>
      <c r="DJ206" s="209"/>
      <c r="DK206" s="209"/>
      <c r="DL206" s="209"/>
      <c r="DM206" s="209"/>
      <c r="DN206" s="209"/>
      <c r="DO206" s="209"/>
      <c r="DP206" s="209"/>
      <c r="DQ206" s="209"/>
      <c r="DR206" s="209"/>
      <c r="DS206" s="209"/>
      <c r="DT206" s="209"/>
      <c r="DU206" s="209"/>
      <c r="DV206" s="209"/>
      <c r="DW206" s="209"/>
      <c r="DX206" s="209"/>
      <c r="DY206" s="209"/>
      <c r="DZ206" s="209"/>
      <c r="EA206" s="209"/>
      <c r="EB206" s="209"/>
      <c r="EC206" s="209"/>
      <c r="ED206" s="209"/>
      <c r="EE206" s="209"/>
      <c r="EF206" s="209"/>
      <c r="EG206" s="209"/>
      <c r="EH206" s="209"/>
      <c r="EI206" s="209"/>
      <c r="EJ206" s="209"/>
      <c r="EK206" s="209"/>
      <c r="EL206" s="209"/>
      <c r="EM206" s="209"/>
      <c r="EN206" s="209"/>
      <c r="EO206" s="209"/>
      <c r="EP206" s="209"/>
      <c r="EQ206" s="209"/>
      <c r="ER206" s="209"/>
      <c r="ES206" s="209"/>
      <c r="ET206" s="209"/>
      <c r="EU206" s="209"/>
      <c r="EV206" s="209"/>
      <c r="EW206" s="209"/>
      <c r="EX206" s="209"/>
      <c r="EY206" s="209"/>
      <c r="EZ206" s="209"/>
      <c r="FA206" s="209"/>
      <c r="FB206" s="209"/>
      <c r="FC206" s="209"/>
      <c r="FD206" s="209"/>
      <c r="FE206" s="209"/>
      <c r="FF206" s="209"/>
      <c r="FG206" s="209"/>
      <c r="FH206" s="209"/>
      <c r="FI206" s="209"/>
      <c r="FJ206" s="209"/>
      <c r="FK206" s="209"/>
      <c r="FL206" s="209"/>
      <c r="FM206" s="209"/>
      <c r="FN206" s="209"/>
      <c r="FO206" s="209"/>
      <c r="FP206" s="209"/>
      <c r="FQ206" s="209"/>
      <c r="FR206" s="209"/>
      <c r="FS206" s="209"/>
      <c r="FT206" s="209"/>
      <c r="FU206" s="209"/>
      <c r="FV206" s="209"/>
      <c r="FW206" s="209"/>
      <c r="FX206" s="209"/>
      <c r="FY206" s="209"/>
      <c r="FZ206" s="209"/>
      <c r="GA206" s="209"/>
      <c r="GB206" s="209"/>
      <c r="GC206" s="209"/>
      <c r="GD206" s="209"/>
      <c r="GE206" s="209"/>
      <c r="GF206" s="209"/>
      <c r="GG206" s="209"/>
      <c r="GH206" s="209"/>
      <c r="GI206" s="209"/>
      <c r="GJ206" s="209"/>
      <c r="GK206" s="209"/>
      <c r="GL206" s="209"/>
      <c r="GM206" s="209"/>
      <c r="GN206" s="209"/>
      <c r="GO206" s="209"/>
      <c r="GP206" s="209"/>
      <c r="GQ206" s="209"/>
      <c r="GR206" s="209"/>
      <c r="GS206" s="209"/>
      <c r="GT206" s="209"/>
      <c r="GU206" s="209"/>
      <c r="GV206" s="209"/>
      <c r="GW206" s="209"/>
      <c r="GX206" s="209"/>
      <c r="GY206" s="209"/>
      <c r="GZ206" s="209"/>
      <c r="HA206" s="209"/>
      <c r="HB206" s="209"/>
      <c r="HC206" s="209"/>
      <c r="HD206" s="209"/>
      <c r="HE206" s="209"/>
      <c r="HF206" s="209"/>
      <c r="HG206" s="209"/>
      <c r="HH206" s="209"/>
      <c r="HI206" s="209"/>
      <c r="HJ206" s="209"/>
      <c r="HK206" s="209"/>
      <c r="HL206" s="209"/>
      <c r="HM206" s="209"/>
      <c r="HN206" s="209"/>
      <c r="HO206" s="209"/>
      <c r="HP206" s="209"/>
      <c r="HQ206" s="209"/>
      <c r="HR206" s="209"/>
      <c r="HS206" s="209"/>
      <c r="HT206" s="209"/>
      <c r="HU206" s="209"/>
      <c r="HV206" s="209"/>
      <c r="HW206" s="209"/>
      <c r="HX206" s="209"/>
      <c r="HY206" s="209"/>
      <c r="HZ206" s="209"/>
      <c r="IA206" s="209"/>
      <c r="IB206" s="209"/>
      <c r="IC206" s="209"/>
      <c r="ID206" s="209"/>
      <c r="IE206" s="209"/>
      <c r="IF206" s="209"/>
      <c r="IG206" s="209"/>
      <c r="IH206" s="209"/>
      <c r="II206" s="209"/>
      <c r="IJ206" s="209"/>
      <c r="IK206" s="209"/>
      <c r="IL206" s="209"/>
      <c r="IM206" s="209"/>
      <c r="IN206" s="209"/>
      <c r="IO206" s="209"/>
      <c r="IP206" s="209"/>
      <c r="IQ206" s="209"/>
      <c r="IR206" s="209"/>
      <c r="IS206" s="209"/>
      <c r="IT206" s="209"/>
      <c r="IU206" s="209"/>
      <c r="IV206" s="209"/>
      <c r="IW206" s="209"/>
      <c r="IX206" s="209"/>
    </row>
    <row r="207" s="209" customFormat="true" ht="17.4" hidden="false" customHeight="false" outlineLevel="0" collapsed="false">
      <c r="A207" s="315"/>
      <c r="B207" s="31"/>
      <c r="C207" s="30"/>
      <c r="D207" s="85" t="s">
        <v>134</v>
      </c>
      <c r="E207" s="217" t="n">
        <f aca="false">E211*$C$210+E215*$C$214+$C$218*E219+$C$222*E223</f>
        <v>0.0399894869629571</v>
      </c>
      <c r="F207" s="89" t="n">
        <f aca="false">F211*$C$210+F215*$C$214+$C$218*F219+$C$222*F223</f>
        <v>0.139930154204412</v>
      </c>
      <c r="G207" s="88" t="n">
        <f aca="false">G211*$C$210+G215*$C$214+$C$218*G219+$C$222*G223</f>
        <v>0.384210710352562</v>
      </c>
      <c r="H207" s="89" t="n">
        <f aca="false">H211*$C$210+H215*$C$214+$C$218*H219+$C$222*H223</f>
        <v>0.0286663333364972</v>
      </c>
      <c r="I207" s="89" t="n">
        <f aca="false">I211*$C$210+I215*$C$214+$C$218*I219+$C$222*I223</f>
        <v>0.03</v>
      </c>
      <c r="J207" s="89" t="n">
        <f aca="false">J211*$C$210+J215*$C$214+$C$218*J219+$C$222*J223</f>
        <v>0</v>
      </c>
      <c r="K207" s="89" t="n">
        <f aca="false">K211*$C$210+K215*$C$214+$C$218*K219+$C$222*K223</f>
        <v>0</v>
      </c>
      <c r="L207" s="89" t="n">
        <f aca="false">L211*$C$210+L215*$C$214+$C$218*L219+$C$222*L223</f>
        <v>0.0212743339049572</v>
      </c>
      <c r="M207" s="89" t="n">
        <f aca="false">M211*$C$210+M215*$C$214+$C$218*M219+$C$222*M223</f>
        <v>0</v>
      </c>
      <c r="N207" s="89" t="n">
        <f aca="false">N211*$C$210+N215*$C$214+$C$218*N219+$C$222*N223</f>
        <v>0.02</v>
      </c>
      <c r="O207" s="89" t="n">
        <f aca="false">O211*$C$210+O215*$C$214+$C$218*O219+$C$222*O223</f>
        <v>0</v>
      </c>
      <c r="P207" s="89" t="n">
        <f aca="false">P211*$C$210+P215*$C$214+$C$218*P219+$C$222*P223</f>
        <v>0.0399894869629571</v>
      </c>
      <c r="Q207" s="89" t="n">
        <f aca="false">Q211*$C$210+Q215*$C$214+$C$218*Q219+$C$222*Q223</f>
        <v>0</v>
      </c>
      <c r="R207" s="89" t="n">
        <f aca="false">R211*$C$210+R215*$C$214+$C$218*R219+$C$222*R223</f>
        <v>0</v>
      </c>
      <c r="S207" s="89" t="n">
        <f aca="false">S211*$C$210+S215*$C$214+$C$218*S219+$C$222*S223</f>
        <v>0.139930154204412</v>
      </c>
      <c r="T207" s="89" t="n">
        <f aca="false">T211*$C$210+T215*$C$214+$C$218*T219+$C$222*T223</f>
        <v>0.05</v>
      </c>
      <c r="U207" s="89" t="n">
        <f aca="false">U211*$C$210+U215*$C$214+$C$218*U219+$C$222*U223</f>
        <v>0.132</v>
      </c>
      <c r="V207" s="309"/>
      <c r="W207" s="92"/>
      <c r="Z207" s="30"/>
    </row>
    <row r="208" s="209" customFormat="true" ht="17.4" hidden="false" customHeight="false" outlineLevel="0" collapsed="false">
      <c r="A208" s="315"/>
      <c r="B208" s="31"/>
      <c r="C208" s="93"/>
      <c r="D208" s="85" t="s">
        <v>135</v>
      </c>
      <c r="E208" s="217" t="n">
        <f aca="false">E212*$C$210+E216*$C$214+$C$218*E220+$C$222*E224</f>
        <v>0</v>
      </c>
      <c r="F208" s="89" t="n">
        <f aca="false">F212*$C$210+F216*$C$214+$C$218*F220+$C$222*F224</f>
        <v>9.42391641405211E-006</v>
      </c>
      <c r="G208" s="88" t="n">
        <f aca="false">G212*$C$210+G216*$C$214+$C$218*G220+$C$222*G224</f>
        <v>1.12470657764078E-005</v>
      </c>
      <c r="H208" s="89" t="n">
        <f aca="false">H212*$C$210+H216*$C$214+$C$218*H220+$C$222*H224</f>
        <v>1.03858418410742E-010</v>
      </c>
      <c r="I208" s="89" t="n">
        <f aca="false">I212*$C$210+I216*$C$214+$C$218*I220+$C$222*I224</f>
        <v>0</v>
      </c>
      <c r="J208" s="89" t="n">
        <f aca="false">J212*$C$210+J216*$C$214+$C$218*J220+$C$222*J224</f>
        <v>0</v>
      </c>
      <c r="K208" s="89" t="n">
        <f aca="false">K212*$C$210+K216*$C$214+$C$218*K220+$C$222*K224</f>
        <v>0</v>
      </c>
      <c r="L208" s="89" t="n">
        <f aca="false">L212*$C$210+L216*$C$214+$C$218*L220+$C$222*L224</f>
        <v>9.42381255563369E-006</v>
      </c>
      <c r="M208" s="89" t="n">
        <f aca="false">M212*$C$210+M216*$C$214+$C$218*M220+$C$222*M224</f>
        <v>0</v>
      </c>
      <c r="N208" s="89" t="n">
        <f aca="false">N212*$C$210+N216*$C$214+$C$218*N220+$C$222*N224</f>
        <v>0</v>
      </c>
      <c r="O208" s="89" t="n">
        <f aca="false">O212*$C$210+O216*$C$214+$C$218*O220+$C$222*O224</f>
        <v>0</v>
      </c>
      <c r="P208" s="89" t="n">
        <f aca="false">P212*$C$210+P216*$C$214+$C$218*P220+$C$222*P224</f>
        <v>0</v>
      </c>
      <c r="Q208" s="89" t="n">
        <f aca="false">Q212*$C$210+Q216*$C$214+$C$218*Q220+$C$222*Q224</f>
        <v>0</v>
      </c>
      <c r="R208" s="89" t="n">
        <f aca="false">R212*$C$210+R216*$C$214+$C$218*R220+$C$222*R224</f>
        <v>0</v>
      </c>
      <c r="S208" s="89" t="n">
        <f aca="false">S212*$C$210+S216*$C$214+$C$218*S220+$C$222*S224</f>
        <v>9.42391641405211E-006</v>
      </c>
      <c r="T208" s="89" t="n">
        <f aca="false">T212*$C$210+T216*$C$214+$C$218*T220+$C$222*T224</f>
        <v>0</v>
      </c>
      <c r="U208" s="89" t="n">
        <f aca="false">U212*$C$210+U216*$C$214+$C$218*U220+$C$222*U224</f>
        <v>0</v>
      </c>
      <c r="V208" s="309"/>
      <c r="W208" s="92"/>
      <c r="Z208" s="30"/>
    </row>
    <row r="209" s="209" customFormat="true" ht="17.4" hidden="false" customHeight="false" outlineLevel="0" collapsed="false">
      <c r="A209" s="74"/>
      <c r="B209" s="101"/>
      <c r="C209" s="87"/>
      <c r="D209" s="31" t="s">
        <v>136</v>
      </c>
      <c r="E209" s="217" t="n">
        <f aca="false">E213*$C$210+E217*$C$214+$C$218*E221+$C$222*E225</f>
        <v>0.000273863165514922</v>
      </c>
      <c r="F209" s="89" t="n">
        <f aca="false">F213*$C$210+F217*$C$214+$C$218*F221+$C$222*F225</f>
        <v>0.000412793463374352</v>
      </c>
      <c r="G209" s="88" t="n">
        <f aca="false">G213*$C$210+G217*$C$214+$C$218*G221+$C$222*G225</f>
        <v>0.00049265242078333</v>
      </c>
      <c r="H209" s="89" t="n">
        <f aca="false">H213*$C$210+H217*$C$214+$C$218*H221+$C$222*H225</f>
        <v>0.00013835864821288</v>
      </c>
      <c r="I209" s="89" t="n">
        <f aca="false">I213*$C$210+I217*$C$214+$C$218*I221+$C$222*I225</f>
        <v>0</v>
      </c>
      <c r="J209" s="89" t="n">
        <f aca="false">J213*$C$210+J217*$C$214+$C$218*J221+$C$222*J225</f>
        <v>0.000248966514104474</v>
      </c>
      <c r="K209" s="89" t="n">
        <f aca="false">K213*$C$210+K217*$C$214+$C$218*K221+$C$222*K225</f>
        <v>2.48966514104474E-005</v>
      </c>
      <c r="L209" s="89" t="n">
        <f aca="false">L213*$C$210+L217*$C$214+$C$218*L221+$C$222*L225</f>
        <v>5.71649646550483E-007</v>
      </c>
      <c r="M209" s="89" t="n">
        <f aca="false">M213*$C$210+M217*$C$214+$C$218*M221+$C$222*M225</f>
        <v>0</v>
      </c>
      <c r="N209" s="89" t="n">
        <f aca="false">N213*$C$210+N217*$C$214+$C$218*N221+$C$222*N225</f>
        <v>0</v>
      </c>
      <c r="O209" s="89" t="n">
        <f aca="false">O213*$C$210+O217*$C$214+$C$218*O221+$C$222*O225</f>
        <v>0</v>
      </c>
      <c r="P209" s="89" t="n">
        <f aca="false">P213*$C$210+P217*$C$214+$C$218*P221+$C$222*P225</f>
        <v>0</v>
      </c>
      <c r="Q209" s="89" t="n">
        <f aca="false">Q213*$C$210+Q217*$C$214+$C$218*Q221+$C$222*Q225</f>
        <v>0</v>
      </c>
      <c r="R209" s="89" t="n">
        <f aca="false">R213*$C$210+R217*$C$214+$C$218*R221+$C$222*R225</f>
        <v>0</v>
      </c>
      <c r="S209" s="89" t="n">
        <f aca="false">S213*$C$210+S217*$C$214+$C$218*S221+$C$222*S225</f>
        <v>0.000412793463374352</v>
      </c>
      <c r="T209" s="89" t="n">
        <f aca="false">T213*$C$210+T217*$C$214+$C$218*T221+$C$222*T225</f>
        <v>0</v>
      </c>
      <c r="U209" s="89" t="n">
        <f aca="false">U213*$C$210+U217*$C$214+$C$218*U221+$C$222*U225</f>
        <v>0</v>
      </c>
      <c r="V209" s="309"/>
      <c r="W209" s="92"/>
      <c r="Z209" s="30"/>
    </row>
    <row r="210" s="332" customFormat="true" ht="17.4" hidden="false" customHeight="false" outlineLevel="0" collapsed="false">
      <c r="A210" s="330" t="s">
        <v>137</v>
      </c>
      <c r="B210" s="76" t="s">
        <v>254</v>
      </c>
      <c r="C210" s="84" t="n">
        <f aca="false">'Input data plant-based products'!D54</f>
        <v>0.42</v>
      </c>
      <c r="D210" s="78" t="s">
        <v>133</v>
      </c>
      <c r="E210" s="94" t="n">
        <f aca="false">IF($F$1="GWP100 without fb",E211+E212*'Common input data'!$C$5+E213*'Common input data'!$D$5,IF($F$1="GWP100 with fb",E211+E212*'Common input data'!$C$6+E213*'Common input data'!$D$6,IF($F$1="GTP100 without fb",E211+E212*'Common input data'!$C$7+E213*'Common input data'!$D$7,IF($F$1="GTP100 with fb",E211+E212*'Common input data'!$C$8+E213*'Common input data'!$D$8,E211+E212*'Common input data'!$C$9+E213*'Common input data'!$D$9))))</f>
        <v>0.129339557509694</v>
      </c>
      <c r="F210" s="95" t="n">
        <f aca="false">IF($F$1="GWP100 without fb",F211+F212*'Common input data'!$C$5+F213*'Common input data'!$D$5,IF($F$1="GWP100 with fb",F211+F212*'Common input data'!$C$6+F213*'Common input data'!$D$6,IF($F$1="GTP100 without fb",F211+F212*'Common input data'!$C$7+F213*'Common input data'!$D$7,IF($F$1="GTP100 with fb",F211+F212*'Common input data'!$C$8+F213*'Common input data'!$D$8,F211+F212*'Common input data'!$C$9+F213*'Common input data'!$D$9))))</f>
        <v>0.26929889197384</v>
      </c>
      <c r="G210" s="96" t="n">
        <f aca="false">IF($F$1="GWP100 without fb",G211+G212*'Common input data'!$C$5+G213*'Common input data'!$D$5,IF($F$1="GWP100 with fb",G211+G212*'Common input data'!$C$6+G213*'Common input data'!$D$6,IF($F$1="GTP100 without fb",G211+G212*'Common input data'!$C$7+G213*'Common input data'!$D$7,IF($F$1="GTP100 with fb",G211+G212*'Common input data'!$C$8+G213*'Common input data'!$D$8,G211+G212*'Common input data'!$C$9+G213*'Common input data'!$D$9))))</f>
        <v>0.416874199753957</v>
      </c>
      <c r="H210" s="83"/>
      <c r="I210" s="83"/>
      <c r="J210" s="83"/>
      <c r="K210" s="83"/>
      <c r="L210" s="83"/>
      <c r="M210" s="83"/>
      <c r="N210" s="83"/>
      <c r="O210" s="83"/>
      <c r="P210" s="83"/>
      <c r="Q210" s="83"/>
      <c r="R210" s="83"/>
      <c r="S210" s="83"/>
      <c r="T210" s="83"/>
      <c r="U210" s="83"/>
      <c r="V210" s="309"/>
      <c r="W210" s="92"/>
      <c r="X210" s="209"/>
      <c r="Y210" s="209"/>
      <c r="Z210" s="30"/>
      <c r="AA210" s="209"/>
      <c r="AB210" s="209"/>
      <c r="AC210" s="209"/>
      <c r="AD210" s="209"/>
      <c r="AE210" s="209"/>
      <c r="AF210" s="209"/>
      <c r="AG210" s="209"/>
      <c r="AH210" s="209"/>
      <c r="AI210" s="209"/>
      <c r="AJ210" s="209"/>
      <c r="AK210" s="209"/>
      <c r="AL210" s="209"/>
      <c r="AM210" s="209"/>
      <c r="AN210" s="209"/>
      <c r="AO210" s="209"/>
      <c r="AP210" s="209"/>
      <c r="AQ210" s="209"/>
      <c r="AR210" s="209"/>
      <c r="AS210" s="209"/>
      <c r="AT210" s="209"/>
      <c r="AU210" s="209"/>
      <c r="AV210" s="209"/>
      <c r="AW210" s="209"/>
      <c r="AX210" s="209"/>
      <c r="AY210" s="209"/>
      <c r="AZ210" s="209"/>
      <c r="BA210" s="209"/>
      <c r="BB210" s="209"/>
      <c r="BC210" s="209"/>
      <c r="BD210" s="209"/>
      <c r="BE210" s="209"/>
      <c r="BF210" s="209"/>
      <c r="BG210" s="209"/>
      <c r="BH210" s="209"/>
      <c r="BI210" s="209"/>
      <c r="BJ210" s="209"/>
      <c r="BK210" s="209"/>
      <c r="BL210" s="209"/>
      <c r="BM210" s="209"/>
      <c r="BN210" s="209"/>
      <c r="BO210" s="209"/>
      <c r="BP210" s="209"/>
      <c r="BQ210" s="209"/>
      <c r="BR210" s="209"/>
      <c r="BS210" s="209"/>
      <c r="BT210" s="209"/>
      <c r="BU210" s="209"/>
      <c r="BV210" s="209"/>
      <c r="BW210" s="209"/>
      <c r="BX210" s="209"/>
      <c r="BY210" s="209"/>
      <c r="BZ210" s="209"/>
      <c r="CA210" s="209"/>
      <c r="CB210" s="209"/>
      <c r="CC210" s="209"/>
      <c r="CD210" s="209"/>
      <c r="CE210" s="209"/>
      <c r="CF210" s="209"/>
      <c r="CG210" s="209"/>
      <c r="CH210" s="209"/>
      <c r="CI210" s="209"/>
      <c r="CJ210" s="209"/>
      <c r="CK210" s="209"/>
      <c r="CL210" s="209"/>
      <c r="CM210" s="209"/>
      <c r="CN210" s="209"/>
      <c r="CO210" s="209"/>
      <c r="CP210" s="209"/>
      <c r="CQ210" s="209"/>
      <c r="CR210" s="209"/>
      <c r="CS210" s="209"/>
      <c r="CT210" s="209"/>
      <c r="CU210" s="209"/>
      <c r="CV210" s="209"/>
      <c r="CW210" s="209"/>
      <c r="CX210" s="209"/>
      <c r="CY210" s="209"/>
      <c r="CZ210" s="209"/>
      <c r="DA210" s="209"/>
      <c r="DB210" s="209"/>
      <c r="DC210" s="209"/>
      <c r="DD210" s="209"/>
      <c r="DE210" s="209"/>
      <c r="DF210" s="209"/>
      <c r="DG210" s="209"/>
      <c r="DH210" s="209"/>
      <c r="DI210" s="209"/>
      <c r="DJ210" s="209"/>
      <c r="DK210" s="209"/>
      <c r="DL210" s="209"/>
      <c r="DM210" s="209"/>
      <c r="DN210" s="209"/>
      <c r="DO210" s="209"/>
      <c r="DP210" s="209"/>
      <c r="DQ210" s="209"/>
      <c r="DR210" s="209"/>
      <c r="DS210" s="209"/>
      <c r="DT210" s="209"/>
      <c r="DU210" s="209"/>
      <c r="DV210" s="209"/>
      <c r="DW210" s="209"/>
      <c r="DX210" s="209"/>
      <c r="DY210" s="209"/>
      <c r="DZ210" s="209"/>
      <c r="EA210" s="209"/>
      <c r="EB210" s="209"/>
      <c r="EC210" s="209"/>
      <c r="ED210" s="209"/>
      <c r="EE210" s="209"/>
      <c r="EF210" s="209"/>
      <c r="EG210" s="209"/>
      <c r="EH210" s="209"/>
      <c r="EI210" s="209"/>
      <c r="EJ210" s="209"/>
      <c r="EK210" s="209"/>
      <c r="EL210" s="209"/>
      <c r="EM210" s="209"/>
      <c r="EN210" s="209"/>
      <c r="EO210" s="209"/>
      <c r="EP210" s="209"/>
      <c r="EQ210" s="209"/>
      <c r="ER210" s="209"/>
      <c r="ES210" s="209"/>
      <c r="ET210" s="209"/>
      <c r="EU210" s="209"/>
      <c r="EV210" s="209"/>
      <c r="EW210" s="209"/>
      <c r="EX210" s="209"/>
      <c r="EY210" s="209"/>
      <c r="EZ210" s="209"/>
      <c r="FA210" s="209"/>
      <c r="FB210" s="209"/>
      <c r="FC210" s="209"/>
      <c r="FD210" s="209"/>
      <c r="FE210" s="209"/>
      <c r="FF210" s="209"/>
      <c r="FG210" s="209"/>
      <c r="FH210" s="209"/>
      <c r="FI210" s="209"/>
      <c r="FJ210" s="209"/>
      <c r="FK210" s="209"/>
      <c r="FL210" s="209"/>
      <c r="FM210" s="209"/>
      <c r="FN210" s="209"/>
      <c r="FO210" s="209"/>
      <c r="FP210" s="209"/>
      <c r="FQ210" s="209"/>
      <c r="FR210" s="209"/>
      <c r="FS210" s="209"/>
      <c r="FT210" s="209"/>
      <c r="FU210" s="209"/>
      <c r="FV210" s="209"/>
      <c r="FW210" s="209"/>
      <c r="FX210" s="209"/>
      <c r="FY210" s="209"/>
      <c r="FZ210" s="209"/>
      <c r="GA210" s="209"/>
      <c r="GB210" s="209"/>
      <c r="GC210" s="209"/>
      <c r="GD210" s="209"/>
      <c r="GE210" s="209"/>
      <c r="GF210" s="209"/>
      <c r="GG210" s="209"/>
      <c r="GH210" s="209"/>
      <c r="GI210" s="209"/>
      <c r="GJ210" s="209"/>
      <c r="GK210" s="209"/>
      <c r="GL210" s="209"/>
      <c r="GM210" s="209"/>
      <c r="GN210" s="209"/>
      <c r="GO210" s="209"/>
      <c r="GP210" s="209"/>
      <c r="GQ210" s="209"/>
      <c r="GR210" s="209"/>
      <c r="GS210" s="209"/>
      <c r="GT210" s="209"/>
      <c r="GU210" s="209"/>
      <c r="GV210" s="209"/>
      <c r="GW210" s="209"/>
      <c r="GX210" s="209"/>
      <c r="GY210" s="209"/>
      <c r="GZ210" s="209"/>
      <c r="HA210" s="209"/>
      <c r="HB210" s="209"/>
      <c r="HC210" s="209"/>
      <c r="HD210" s="209"/>
      <c r="HE210" s="209"/>
      <c r="HF210" s="209"/>
      <c r="HG210" s="209"/>
      <c r="HH210" s="209"/>
      <c r="HI210" s="209"/>
      <c r="HJ210" s="209"/>
      <c r="HK210" s="209"/>
      <c r="HL210" s="209"/>
      <c r="HM210" s="209"/>
      <c r="HN210" s="209"/>
      <c r="HO210" s="209"/>
      <c r="HP210" s="209"/>
      <c r="HQ210" s="209"/>
      <c r="HR210" s="209"/>
      <c r="HS210" s="209"/>
      <c r="HT210" s="209"/>
      <c r="HU210" s="209"/>
      <c r="HV210" s="209"/>
      <c r="HW210" s="209"/>
      <c r="HX210" s="209"/>
      <c r="HY210" s="209"/>
      <c r="HZ210" s="209"/>
      <c r="IA210" s="209"/>
      <c r="IB210" s="209"/>
      <c r="IC210" s="209"/>
      <c r="ID210" s="209"/>
      <c r="IE210" s="209"/>
      <c r="IF210" s="209"/>
      <c r="IG210" s="209"/>
      <c r="IH210" s="209"/>
      <c r="II210" s="209"/>
      <c r="IJ210" s="209"/>
      <c r="IK210" s="209"/>
      <c r="IL210" s="209"/>
      <c r="IM210" s="209"/>
      <c r="IN210" s="209"/>
      <c r="IO210" s="209"/>
      <c r="IP210" s="209"/>
      <c r="IQ210" s="209"/>
      <c r="IR210" s="209"/>
      <c r="IS210" s="209"/>
      <c r="IT210" s="209"/>
      <c r="IU210" s="209"/>
      <c r="IV210" s="209"/>
      <c r="IW210" s="209"/>
      <c r="IX210" s="209"/>
    </row>
    <row r="211" s="209" customFormat="true" ht="17.4" hidden="false" customHeight="false" outlineLevel="0" collapsed="false">
      <c r="A211" s="315"/>
      <c r="B211" s="31"/>
      <c r="C211" s="30"/>
      <c r="D211" s="85" t="s">
        <v>134</v>
      </c>
      <c r="E211" s="217" t="n">
        <f aca="false">IF(AND($F$2="No",$F$3="No"),SUM(J211:K211),IF(AND($F$2="Yes", $F$3="No"), SUM(J211:K211)+Q211, IF(AND($F$2="No", $F$3="Yes"),SUM(J211:K211)+P211, SUM(J211:K211)+Q211+P211)))</f>
        <v>0.0399894869629571</v>
      </c>
      <c r="F211" s="89" t="n">
        <f aca="false">IF(AND($F$2="No",$F$3="No"),SUM(H211:O211),IF(AND($F$2="Yes", $F$3="No"), SUM(H211:O211)+Q211, IF(AND($F$2="No", $F$3="Yes"),SUM(H211:O211)+P211, SUM(H211:O211)+Q211+P211)))</f>
        <v>0.141965585786261</v>
      </c>
      <c r="G211" s="88" t="n">
        <f aca="false">SUM(S211:U211)/(1-'Common input data'!$B$121)</f>
        <v>0.264907012514931</v>
      </c>
      <c r="H211" s="89" t="n">
        <f aca="false">('Input data plant-based products'!$F$54*('Common input data'!$B$76*'Common input data'!B69+'Common input data'!$B$77*'Common input data'!C69))/'Input data plant-based products'!$E$54</f>
        <v>0.0309809383294765</v>
      </c>
      <c r="I211" s="89" t="n">
        <f aca="false">'Common input data'!$B$81</f>
        <v>0.03</v>
      </c>
      <c r="J211" s="89" t="n">
        <v>0</v>
      </c>
      <c r="K211" s="89" t="n">
        <v>0</v>
      </c>
      <c r="L211" s="89" t="n">
        <f aca="false">('Input data plant-based products'!$I$54*'Common input data'!$C$59*'Common input data'!H49)/'Input data plant-based products'!$E$54</f>
        <v>0.0209951604938272</v>
      </c>
      <c r="M211" s="89" t="n">
        <v>0</v>
      </c>
      <c r="N211" s="89" t="n">
        <f aca="false">'Input data plant-based products'!$G$152</f>
        <v>0.02</v>
      </c>
      <c r="O211" s="89" t="n">
        <v>0</v>
      </c>
      <c r="P211" s="89" t="n">
        <f aca="false">'Common input data'!$E$13</f>
        <v>0.0399894869629571</v>
      </c>
      <c r="Q211" s="89" t="n">
        <v>0</v>
      </c>
      <c r="R211" s="89" t="n">
        <v>0</v>
      </c>
      <c r="S211" s="89" t="n">
        <f aca="false">(F211+R211)</f>
        <v>0.141965585786261</v>
      </c>
      <c r="T211" s="89" t="n">
        <f aca="false">'Common input data'!$B$88</f>
        <v>0.05</v>
      </c>
      <c r="U211" s="89" t="n">
        <f aca="false">'Common input data'!C98</f>
        <v>0.03</v>
      </c>
      <c r="V211" s="309"/>
      <c r="W211" s="92"/>
      <c r="Z211" s="30"/>
    </row>
    <row r="212" s="209" customFormat="true" ht="17.4" hidden="false" customHeight="false" outlineLevel="0" collapsed="false">
      <c r="A212" s="315"/>
      <c r="B212" s="31"/>
      <c r="C212" s="93"/>
      <c r="D212" s="85" t="s">
        <v>135</v>
      </c>
      <c r="E212" s="217" t="n">
        <f aca="false">SUM(J212:K212)</f>
        <v>0</v>
      </c>
      <c r="F212" s="89" t="n">
        <f aca="false">SUM(H212:O212)</f>
        <v>9.30023109135803E-006</v>
      </c>
      <c r="G212" s="88" t="n">
        <f aca="false">SUM(S212:U212)/(1-'Common input data'!$B$121)</f>
        <v>1.10994523109655E-005</v>
      </c>
      <c r="H212" s="89" t="n">
        <f aca="false">('Input data plant-based products'!$F$54*('Common input data'!$B$76*'Common input data'!B70+'Common input data'!$B$77*'Common input data'!C70))/'Input data plant-based products'!$E$54</f>
        <v>8.29432098765432E-011</v>
      </c>
      <c r="I212" s="89" t="n">
        <v>0</v>
      </c>
      <c r="J212" s="89" t="n">
        <v>0</v>
      </c>
      <c r="K212" s="89" t="n">
        <v>0</v>
      </c>
      <c r="L212" s="89" t="n">
        <f aca="false">('Input data plant-based products'!$I$54*'Common input data'!$C$59*'Common input data'!H50)/'Input data plant-based products'!$E$54</f>
        <v>9.30014814814815E-006</v>
      </c>
      <c r="M212" s="89" t="n">
        <v>0</v>
      </c>
      <c r="N212" s="89" t="n">
        <v>0</v>
      </c>
      <c r="O212" s="89" t="n">
        <v>0</v>
      </c>
      <c r="P212" s="89" t="n">
        <v>0</v>
      </c>
      <c r="Q212" s="89" t="n">
        <v>0</v>
      </c>
      <c r="R212" s="89" t="n">
        <v>0</v>
      </c>
      <c r="S212" s="89" t="n">
        <f aca="false">(F212+R212)</f>
        <v>9.30023109135803E-006</v>
      </c>
      <c r="T212" s="89" t="n">
        <v>0</v>
      </c>
      <c r="U212" s="89" t="n">
        <v>0</v>
      </c>
      <c r="V212" s="309"/>
      <c r="W212" s="92"/>
      <c r="Z212" s="30"/>
    </row>
    <row r="213" s="209" customFormat="true" ht="17.4" hidden="false" customHeight="false" outlineLevel="0" collapsed="false">
      <c r="A213" s="74"/>
      <c r="B213" s="101"/>
      <c r="C213" s="87"/>
      <c r="D213" s="31" t="s">
        <v>136</v>
      </c>
      <c r="E213" s="217" t="n">
        <f aca="false">SUM(J213:K213)</f>
        <v>0.000299832451499118</v>
      </c>
      <c r="F213" s="89" t="n">
        <f aca="false">SUM(H213:O213)</f>
        <v>0.000426231873592193</v>
      </c>
      <c r="G213" s="88" t="n">
        <f aca="false">SUM(S213:U213)/(1-'Common input data'!$B$121)</f>
        <v>0.000508690623692795</v>
      </c>
      <c r="H213" s="89" t="n">
        <f aca="false">('Input data plant-based products'!$F$54*('Common input data'!$B$76*'Common input data'!B71+'Common input data'!$B$77*'Common input data'!C71))/'Input data plant-based products'!$E$54</f>
        <v>0.000125835273944926</v>
      </c>
      <c r="I213" s="89" t="n">
        <v>0</v>
      </c>
      <c r="J213" s="89" t="n">
        <f aca="false">(SUM('Input data plant-based products'!F54:H54)*'Input data plant-based products'!$B$114*44/28)/'Input data plant-based products'!E54</f>
        <v>0.000272574955908289</v>
      </c>
      <c r="K213" s="89" t="n">
        <f aca="false">J213*'Input data plant-based products'!$B$115</f>
        <v>2.72574955908289E-005</v>
      </c>
      <c r="L213" s="89" t="n">
        <f aca="false">('Input data plant-based products'!$I$54*'Common input data'!$C$59*'Common input data'!H51)/'Input data plant-based products'!$E$54</f>
        <v>5.64148148148148E-007</v>
      </c>
      <c r="M213" s="89" t="n">
        <v>0</v>
      </c>
      <c r="N213" s="89" t="n">
        <v>0</v>
      </c>
      <c r="O213" s="89" t="n">
        <v>0</v>
      </c>
      <c r="P213" s="89" t="n">
        <v>0</v>
      </c>
      <c r="Q213" s="89" t="n">
        <v>0</v>
      </c>
      <c r="R213" s="89" t="n">
        <v>0</v>
      </c>
      <c r="S213" s="89" t="n">
        <f aca="false">(F213+R213)</f>
        <v>0.000426231873592193</v>
      </c>
      <c r="T213" s="89" t="n">
        <v>0</v>
      </c>
      <c r="U213" s="89" t="n">
        <v>0</v>
      </c>
      <c r="V213" s="309"/>
      <c r="W213" s="92"/>
      <c r="Z213" s="30"/>
    </row>
    <row r="214" s="332" customFormat="true" ht="17.4" hidden="false" customHeight="false" outlineLevel="0" collapsed="false">
      <c r="A214" s="330" t="s">
        <v>285</v>
      </c>
      <c r="B214" s="76" t="s">
        <v>254</v>
      </c>
      <c r="C214" s="84" t="n">
        <f aca="false">'Input data plant-based products'!D55</f>
        <v>0.27</v>
      </c>
      <c r="D214" s="78" t="s">
        <v>133</v>
      </c>
      <c r="E214" s="94" t="n">
        <f aca="false">IF($F$1="GWP100 without fb",E215+E216*'Common input data'!$C$5+E217*'Common input data'!$D$5,IF($F$1="GWP100 with fb",E215+E216*'Common input data'!$C$6+E217*'Common input data'!$D$6,IF($F$1="GTP100 without fb",E215+E216*'Common input data'!$C$7+E217*'Common input data'!$D$7,IF($F$1="GTP100 with fb",E215+E216*'Common input data'!$C$8+E217*'Common input data'!$D$8,E215+E216*'Common input data'!$C$9+E217*'Common input data'!$D$9))))</f>
        <v>0.111258441141321</v>
      </c>
      <c r="F214" s="95" t="n">
        <f aca="false">IF($F$1="GWP100 without fb",F215+F216*'Common input data'!$C$5+F217*'Common input data'!$D$5,IF($F$1="GWP100 with fb",F215+F216*'Common input data'!$C$6+F217*'Common input data'!$D$6,IF($F$1="GTP100 without fb",F215+F216*'Common input data'!$C$7+F217*'Common input data'!$D$7,IF($F$1="GTP100 with fb",F215+F216*'Common input data'!$C$8+F217*'Common input data'!$D$8,F215+F216*'Common input data'!$C$9+F217*'Common input data'!$D$9))))</f>
        <v>0.248730432321602</v>
      </c>
      <c r="G214" s="96" t="n">
        <f aca="false">IF($F$1="GWP100 without fb",G215+G216*'Common input data'!$C$5+G217*'Common input data'!$D$5,IF($F$1="GWP100 with fb",G215+G216*'Common input data'!$C$6+G217*'Common input data'!$D$6,IF($F$1="GTP100 without fb",G215+G216*'Common input data'!$C$7+G217*'Common input data'!$D$7,IF($F$1="GTP100 with fb",G215+G216*'Common input data'!$C$8+G217*'Common input data'!$D$8,G215+G216*'Common input data'!$C$9+G217*'Common input data'!$D$9))))</f>
        <v>0.631018537202055</v>
      </c>
      <c r="H214" s="83"/>
      <c r="I214" s="83"/>
      <c r="J214" s="83"/>
      <c r="K214" s="83"/>
      <c r="L214" s="83"/>
      <c r="M214" s="83"/>
      <c r="N214" s="83"/>
      <c r="O214" s="83"/>
      <c r="P214" s="83"/>
      <c r="Q214" s="83"/>
      <c r="R214" s="83"/>
      <c r="S214" s="83"/>
      <c r="T214" s="83"/>
      <c r="U214" s="83"/>
      <c r="V214" s="309"/>
      <c r="W214" s="92"/>
      <c r="X214" s="209"/>
      <c r="Y214" s="209"/>
      <c r="Z214" s="30"/>
      <c r="AA214" s="209"/>
      <c r="AB214" s="209"/>
      <c r="AC214" s="209"/>
      <c r="AD214" s="209"/>
      <c r="AE214" s="209"/>
      <c r="AF214" s="209"/>
      <c r="AG214" s="209"/>
      <c r="AH214" s="209"/>
      <c r="AI214" s="209"/>
      <c r="AJ214" s="209"/>
      <c r="AK214" s="209"/>
      <c r="AL214" s="209"/>
      <c r="AM214" s="209"/>
      <c r="AN214" s="209"/>
      <c r="AO214" s="209"/>
      <c r="AP214" s="209"/>
      <c r="AQ214" s="209"/>
      <c r="AR214" s="209"/>
      <c r="AS214" s="209"/>
      <c r="AT214" s="209"/>
      <c r="AU214" s="209"/>
      <c r="AV214" s="209"/>
      <c r="AW214" s="209"/>
      <c r="AX214" s="209"/>
      <c r="AY214" s="209"/>
      <c r="AZ214" s="209"/>
      <c r="BA214" s="209"/>
      <c r="BB214" s="209"/>
      <c r="BC214" s="209"/>
      <c r="BD214" s="209"/>
      <c r="BE214" s="209"/>
      <c r="BF214" s="209"/>
      <c r="BG214" s="209"/>
      <c r="BH214" s="209"/>
      <c r="BI214" s="209"/>
      <c r="BJ214" s="209"/>
      <c r="BK214" s="209"/>
      <c r="BL214" s="209"/>
      <c r="BM214" s="209"/>
      <c r="BN214" s="209"/>
      <c r="BO214" s="209"/>
      <c r="BP214" s="209"/>
      <c r="BQ214" s="209"/>
      <c r="BR214" s="209"/>
      <c r="BS214" s="209"/>
      <c r="BT214" s="209"/>
      <c r="BU214" s="209"/>
      <c r="BV214" s="209"/>
      <c r="BW214" s="209"/>
      <c r="BX214" s="209"/>
      <c r="BY214" s="209"/>
      <c r="BZ214" s="209"/>
      <c r="CA214" s="209"/>
      <c r="CB214" s="209"/>
      <c r="CC214" s="209"/>
      <c r="CD214" s="209"/>
      <c r="CE214" s="209"/>
      <c r="CF214" s="209"/>
      <c r="CG214" s="209"/>
      <c r="CH214" s="209"/>
      <c r="CI214" s="209"/>
      <c r="CJ214" s="209"/>
      <c r="CK214" s="209"/>
      <c r="CL214" s="209"/>
      <c r="CM214" s="209"/>
      <c r="CN214" s="209"/>
      <c r="CO214" s="209"/>
      <c r="CP214" s="209"/>
      <c r="CQ214" s="209"/>
      <c r="CR214" s="209"/>
      <c r="CS214" s="209"/>
      <c r="CT214" s="209"/>
      <c r="CU214" s="209"/>
      <c r="CV214" s="209"/>
      <c r="CW214" s="209"/>
      <c r="CX214" s="209"/>
      <c r="CY214" s="209"/>
      <c r="CZ214" s="209"/>
      <c r="DA214" s="209"/>
      <c r="DB214" s="209"/>
      <c r="DC214" s="209"/>
      <c r="DD214" s="209"/>
      <c r="DE214" s="209"/>
      <c r="DF214" s="209"/>
      <c r="DG214" s="209"/>
      <c r="DH214" s="209"/>
      <c r="DI214" s="209"/>
      <c r="DJ214" s="209"/>
      <c r="DK214" s="209"/>
      <c r="DL214" s="209"/>
      <c r="DM214" s="209"/>
      <c r="DN214" s="209"/>
      <c r="DO214" s="209"/>
      <c r="DP214" s="209"/>
      <c r="DQ214" s="209"/>
      <c r="DR214" s="209"/>
      <c r="DS214" s="209"/>
      <c r="DT214" s="209"/>
      <c r="DU214" s="209"/>
      <c r="DV214" s="209"/>
      <c r="DW214" s="209"/>
      <c r="DX214" s="209"/>
      <c r="DY214" s="209"/>
      <c r="DZ214" s="209"/>
      <c r="EA214" s="209"/>
      <c r="EB214" s="209"/>
      <c r="EC214" s="209"/>
      <c r="ED214" s="209"/>
      <c r="EE214" s="209"/>
      <c r="EF214" s="209"/>
      <c r="EG214" s="209"/>
      <c r="EH214" s="209"/>
      <c r="EI214" s="209"/>
      <c r="EJ214" s="209"/>
      <c r="EK214" s="209"/>
      <c r="EL214" s="209"/>
      <c r="EM214" s="209"/>
      <c r="EN214" s="209"/>
      <c r="EO214" s="209"/>
      <c r="EP214" s="209"/>
      <c r="EQ214" s="209"/>
      <c r="ER214" s="209"/>
      <c r="ES214" s="209"/>
      <c r="ET214" s="209"/>
      <c r="EU214" s="209"/>
      <c r="EV214" s="209"/>
      <c r="EW214" s="209"/>
      <c r="EX214" s="209"/>
      <c r="EY214" s="209"/>
      <c r="EZ214" s="209"/>
      <c r="FA214" s="209"/>
      <c r="FB214" s="209"/>
      <c r="FC214" s="209"/>
      <c r="FD214" s="209"/>
      <c r="FE214" s="209"/>
      <c r="FF214" s="209"/>
      <c r="FG214" s="209"/>
      <c r="FH214" s="209"/>
      <c r="FI214" s="209"/>
      <c r="FJ214" s="209"/>
      <c r="FK214" s="209"/>
      <c r="FL214" s="209"/>
      <c r="FM214" s="209"/>
      <c r="FN214" s="209"/>
      <c r="FO214" s="209"/>
      <c r="FP214" s="209"/>
      <c r="FQ214" s="209"/>
      <c r="FR214" s="209"/>
      <c r="FS214" s="209"/>
      <c r="FT214" s="209"/>
      <c r="FU214" s="209"/>
      <c r="FV214" s="209"/>
      <c r="FW214" s="209"/>
      <c r="FX214" s="209"/>
      <c r="FY214" s="209"/>
      <c r="FZ214" s="209"/>
      <c r="GA214" s="209"/>
      <c r="GB214" s="209"/>
      <c r="GC214" s="209"/>
      <c r="GD214" s="209"/>
      <c r="GE214" s="209"/>
      <c r="GF214" s="209"/>
      <c r="GG214" s="209"/>
      <c r="GH214" s="209"/>
      <c r="GI214" s="209"/>
      <c r="GJ214" s="209"/>
      <c r="GK214" s="209"/>
      <c r="GL214" s="209"/>
      <c r="GM214" s="209"/>
      <c r="GN214" s="209"/>
      <c r="GO214" s="209"/>
      <c r="GP214" s="209"/>
      <c r="GQ214" s="209"/>
      <c r="GR214" s="209"/>
      <c r="GS214" s="209"/>
      <c r="GT214" s="209"/>
      <c r="GU214" s="209"/>
      <c r="GV214" s="209"/>
      <c r="GW214" s="209"/>
      <c r="GX214" s="209"/>
      <c r="GY214" s="209"/>
      <c r="GZ214" s="209"/>
      <c r="HA214" s="209"/>
      <c r="HB214" s="209"/>
      <c r="HC214" s="209"/>
      <c r="HD214" s="209"/>
      <c r="HE214" s="209"/>
      <c r="HF214" s="209"/>
      <c r="HG214" s="209"/>
      <c r="HH214" s="209"/>
      <c r="HI214" s="209"/>
      <c r="HJ214" s="209"/>
      <c r="HK214" s="209"/>
      <c r="HL214" s="209"/>
      <c r="HM214" s="209"/>
      <c r="HN214" s="209"/>
      <c r="HO214" s="209"/>
      <c r="HP214" s="209"/>
      <c r="HQ214" s="209"/>
      <c r="HR214" s="209"/>
      <c r="HS214" s="209"/>
      <c r="HT214" s="209"/>
      <c r="HU214" s="209"/>
      <c r="HV214" s="209"/>
      <c r="HW214" s="209"/>
      <c r="HX214" s="209"/>
      <c r="HY214" s="209"/>
      <c r="HZ214" s="209"/>
      <c r="IA214" s="209"/>
      <c r="IB214" s="209"/>
      <c r="IC214" s="209"/>
      <c r="ID214" s="209"/>
      <c r="IE214" s="209"/>
      <c r="IF214" s="209"/>
      <c r="IG214" s="209"/>
      <c r="IH214" s="209"/>
      <c r="II214" s="209"/>
      <c r="IJ214" s="209"/>
      <c r="IK214" s="209"/>
      <c r="IL214" s="209"/>
      <c r="IM214" s="209"/>
      <c r="IN214" s="209"/>
      <c r="IO214" s="209"/>
      <c r="IP214" s="209"/>
      <c r="IQ214" s="209"/>
      <c r="IR214" s="209"/>
      <c r="IS214" s="209"/>
      <c r="IT214" s="209"/>
      <c r="IU214" s="209"/>
      <c r="IV214" s="209"/>
      <c r="IW214" s="209"/>
      <c r="IX214" s="209"/>
    </row>
    <row r="215" s="209" customFormat="true" ht="17.4" hidden="false" customHeight="false" outlineLevel="0" collapsed="false">
      <c r="A215" s="315"/>
      <c r="B215" s="31"/>
      <c r="C215" s="30"/>
      <c r="D215" s="85" t="s">
        <v>134</v>
      </c>
      <c r="E215" s="217" t="n">
        <f aca="false">IF(AND($F$2="No",$F$3="No"),SUM(J215:K215),IF(AND($F$2="Yes", $F$3="No"), SUM(J215:K215)+Q215, IF(AND($F$2="No", $F$3="Yes"),SUM(J215:K215)+P215, SUM(J215:K215)+Q215+P215)))</f>
        <v>0.0399894869629571</v>
      </c>
      <c r="F215" s="89" t="n">
        <f aca="false">IF(AND($F$2="No",$F$3="No"),SUM(H215:O215),IF(AND($F$2="Yes", $F$3="No"), SUM(H215:O215)+Q215, IF(AND($F$2="No", $F$3="Yes"),SUM(H215:O215)+P215, SUM(H215:O215)+Q215+P215)))</f>
        <v>0.13644338757547</v>
      </c>
      <c r="G215" s="88" t="n">
        <f aca="false">SUM(S215:U215)/(1-'Common input data'!$B$121)</f>
        <v>0.497008458736687</v>
      </c>
      <c r="H215" s="89" t="n">
        <f aca="false">('Input data plant-based products'!$F$55*('Common input data'!$C$76*'Common input data'!B69+'Common input data'!$C$77*'Common input data'!C69))/'Input data plant-based products'!$E$55</f>
        <v>0.024893723121589</v>
      </c>
      <c r="I215" s="89" t="n">
        <f aca="false">'Common input data'!$B$81</f>
        <v>0.03</v>
      </c>
      <c r="J215" s="89" t="n">
        <v>0</v>
      </c>
      <c r="K215" s="89" t="n">
        <v>0</v>
      </c>
      <c r="L215" s="89" t="n">
        <f aca="false">('Input data plant-based products'!$I$55*'Common input data'!$C$59*'Common input data'!H49)/'Input data plant-based products'!$E$55</f>
        <v>0.0215601774909238</v>
      </c>
      <c r="M215" s="89" t="n">
        <v>0</v>
      </c>
      <c r="N215" s="89" t="n">
        <f aca="false">'Input data plant-based products'!$G$152</f>
        <v>0.02</v>
      </c>
      <c r="O215" s="89" t="n">
        <v>0</v>
      </c>
      <c r="P215" s="89" t="n">
        <f aca="false">'Common input data'!$E$13</f>
        <v>0.0399894869629571</v>
      </c>
      <c r="Q215" s="89" t="n">
        <v>0</v>
      </c>
      <c r="R215" s="89" t="n">
        <v>0</v>
      </c>
      <c r="S215" s="89" t="n">
        <f aca="false">(F215+R215)</f>
        <v>0.13644338757547</v>
      </c>
      <c r="T215" s="89" t="n">
        <f aca="false">'Common input data'!$B$88</f>
        <v>0.05</v>
      </c>
      <c r="U215" s="89" t="n">
        <f aca="false">'Common input data'!B100+'Common input data'!C100</f>
        <v>0.23</v>
      </c>
      <c r="V215" s="309"/>
      <c r="W215" s="92"/>
      <c r="Z215" s="30"/>
    </row>
    <row r="216" s="209" customFormat="true" ht="17.4" hidden="false" customHeight="false" outlineLevel="0" collapsed="false">
      <c r="A216" s="315"/>
      <c r="B216" s="31"/>
      <c r="C216" s="93"/>
      <c r="D216" s="85" t="s">
        <v>135</v>
      </c>
      <c r="E216" s="217" t="n">
        <f aca="false">SUM(J216:K216)</f>
        <v>0</v>
      </c>
      <c r="F216" s="89" t="n">
        <f aca="false">SUM(H216:O216)</f>
        <v>9.55054138572005E-006</v>
      </c>
      <c r="G216" s="88" t="n">
        <f aca="false">SUM(S216:U216)/(1-'Common input data'!$B$121)</f>
        <v>1.13981875948443E-005</v>
      </c>
      <c r="H216" s="89" t="n">
        <f aca="false">('Input data plant-based products'!$F$55*('Common input data'!$C$76*'Common input data'!B70+'Common input data'!$C$77*'Common input data'!C70))/'Input data plant-based products'!$E$55</f>
        <v>1.09760064542154E-010</v>
      </c>
      <c r="I216" s="89" t="n">
        <v>0</v>
      </c>
      <c r="J216" s="89" t="n">
        <v>0</v>
      </c>
      <c r="K216" s="89" t="n">
        <v>0</v>
      </c>
      <c r="L216" s="89" t="n">
        <f aca="false">('Input data plant-based products'!$I$55*'Common input data'!$C$59*'Common input data'!H50)/'Input data plant-based products'!$E$55</f>
        <v>9.55043162565551E-006</v>
      </c>
      <c r="M216" s="89" t="n">
        <v>0</v>
      </c>
      <c r="N216" s="89" t="n">
        <v>0</v>
      </c>
      <c r="O216" s="89" t="n">
        <v>0</v>
      </c>
      <c r="P216" s="89" t="n">
        <v>0</v>
      </c>
      <c r="Q216" s="89" t="n">
        <v>0</v>
      </c>
      <c r="R216" s="89" t="n">
        <v>0</v>
      </c>
      <c r="S216" s="89" t="n">
        <f aca="false">(F216+R216)</f>
        <v>9.55054138572005E-006</v>
      </c>
      <c r="T216" s="89" t="n">
        <v>0</v>
      </c>
      <c r="U216" s="89" t="n">
        <v>0</v>
      </c>
      <c r="V216" s="309"/>
      <c r="W216" s="92"/>
      <c r="Z216" s="30"/>
    </row>
    <row r="217" s="209" customFormat="true" ht="17.4" hidden="false" customHeight="false" outlineLevel="0" collapsed="false">
      <c r="A217" s="74"/>
      <c r="B217" s="101"/>
      <c r="C217" s="87"/>
      <c r="D217" s="31" t="s">
        <v>136</v>
      </c>
      <c r="E217" s="217" t="n">
        <f aca="false">SUM(J217:K217)</f>
        <v>0.000239157564356925</v>
      </c>
      <c r="F217" s="89" t="n">
        <f aca="false">SUM(H217:O217)</f>
        <v>0.000375712504493347</v>
      </c>
      <c r="G217" s="88" t="n">
        <f aca="false">SUM(S217:U217)/(1-'Common input data'!$B$121)</f>
        <v>0.000448397785527327</v>
      </c>
      <c r="H217" s="89" t="n">
        <f aca="false">('Input data plant-based products'!$F$55*('Common input data'!$C$76*'Common input data'!B71+'Common input data'!$C$77*'Common input data'!C71))/'Input data plant-based products'!$E$55</f>
        <v>0.000135975609761271</v>
      </c>
      <c r="I217" s="89" t="n">
        <v>0</v>
      </c>
      <c r="J217" s="89" t="n">
        <f aca="false">(SUM('Input data plant-based products'!F55:H55)*'Input data plant-based products'!$B$114*44/28)/'Input data plant-based products'!E55</f>
        <v>0.000217415967597204</v>
      </c>
      <c r="K217" s="89" t="n">
        <f aca="false">J217*'Input data plant-based products'!$B$115</f>
        <v>2.17415967597204E-005</v>
      </c>
      <c r="L217" s="89" t="n">
        <f aca="false">('Input data plant-based products'!$I$55*'Common input data'!$C$59*'Common input data'!H51)/'Input data plant-based products'!$E$55</f>
        <v>5.79330375151271E-007</v>
      </c>
      <c r="M217" s="89" t="n">
        <v>0</v>
      </c>
      <c r="N217" s="89" t="n">
        <v>0</v>
      </c>
      <c r="O217" s="89" t="n">
        <v>0</v>
      </c>
      <c r="P217" s="89" t="n">
        <v>0</v>
      </c>
      <c r="Q217" s="89" t="n">
        <v>0</v>
      </c>
      <c r="R217" s="89" t="n">
        <v>0</v>
      </c>
      <c r="S217" s="89" t="n">
        <f aca="false">(F217+R217)</f>
        <v>0.000375712504493347</v>
      </c>
      <c r="T217" s="89" t="n">
        <v>0</v>
      </c>
      <c r="U217" s="89" t="n">
        <v>0</v>
      </c>
      <c r="V217" s="309"/>
      <c r="W217" s="92"/>
      <c r="Z217" s="30"/>
    </row>
    <row r="218" s="332" customFormat="true" ht="17.4" hidden="false" customHeight="false" outlineLevel="0" collapsed="false">
      <c r="A218" s="330" t="s">
        <v>312</v>
      </c>
      <c r="B218" s="76" t="s">
        <v>254</v>
      </c>
      <c r="C218" s="84" t="n">
        <f aca="false">'Input data plant-based products'!D56</f>
        <v>0.14</v>
      </c>
      <c r="D218" s="78" t="s">
        <v>133</v>
      </c>
      <c r="E218" s="94" t="n">
        <f aca="false">IF($F$1="GWP100 without fb",E219+E220*'Common input data'!$C$5+E221*'Common input data'!$D$5,IF($F$1="GWP100 with fb",E219+E220*'Common input data'!$C$6+E221*'Common input data'!$D$6,IF($F$1="GTP100 without fb",E219+E220*'Common input data'!$C$7+E221*'Common input data'!$D$7,IF($F$1="GTP100 with fb",E219+E220*'Common input data'!$C$8+E221*'Common input data'!$D$8,E219+E220*'Common input data'!$C$9+E221*'Common input data'!$D$9))))</f>
        <v>0.120135942264227</v>
      </c>
      <c r="F218" s="95" t="n">
        <f aca="false">IF($F$1="GWP100 without fb",F219+F220*'Common input data'!$C$5+F221*'Common input data'!$D$5,IF($F$1="GWP100 with fb",F219+F220*'Common input data'!$C$6+F221*'Common input data'!$D$6,IF($F$1="GTP100 without fb",F219+F220*'Common input data'!$C$7+F221*'Common input data'!$D$7,IF($F$1="GTP100 with fb",F219+F220*'Common input data'!$C$8+F221*'Common input data'!$D$8,F219+F220*'Common input data'!$C$9+F221*'Common input data'!$D$9))))</f>
        <v>0.26764976628605</v>
      </c>
      <c r="G218" s="96" t="n">
        <f aca="false">IF($F$1="GWP100 without fb",G219+G220*'Common input data'!$C$5+G221*'Common input data'!$D$5,IF($F$1="GWP100 with fb",G219+G220*'Common input data'!$C$6+G221*'Common input data'!$D$6,IF($F$1="GTP100 without fb",G219+G220*'Common input data'!$C$7+G221*'Common input data'!$D$7,IF($F$1="GTP100 with fb",G219+G220*'Common input data'!$C$8+G221*'Common input data'!$D$8,G219+G220*'Common input data'!$C$9+G221*'Common input data'!$D$9))))</f>
        <v>0.534252018481979</v>
      </c>
      <c r="H218" s="83"/>
      <c r="I218" s="83"/>
      <c r="J218" s="83"/>
      <c r="K218" s="83"/>
      <c r="L218" s="83"/>
      <c r="M218" s="83"/>
      <c r="N218" s="83"/>
      <c r="O218" s="83"/>
      <c r="P218" s="83"/>
      <c r="Q218" s="83"/>
      <c r="R218" s="83"/>
      <c r="S218" s="83"/>
      <c r="T218" s="83"/>
      <c r="U218" s="83"/>
      <c r="V218" s="309"/>
      <c r="W218" s="92"/>
      <c r="X218" s="209"/>
      <c r="Y218" s="209"/>
      <c r="Z218" s="30"/>
      <c r="AA218" s="209"/>
      <c r="AB218" s="209"/>
      <c r="AC218" s="209"/>
      <c r="AD218" s="209"/>
      <c r="AE218" s="209"/>
      <c r="AF218" s="209"/>
      <c r="AG218" s="209"/>
      <c r="AH218" s="209"/>
      <c r="AI218" s="209"/>
      <c r="AJ218" s="209"/>
      <c r="AK218" s="209"/>
      <c r="AL218" s="209"/>
      <c r="AM218" s="209"/>
      <c r="AN218" s="209"/>
      <c r="AO218" s="209"/>
      <c r="AP218" s="209"/>
      <c r="AQ218" s="209"/>
      <c r="AR218" s="209"/>
      <c r="AS218" s="209"/>
      <c r="AT218" s="209"/>
      <c r="AU218" s="209"/>
      <c r="AV218" s="209"/>
      <c r="AW218" s="209"/>
      <c r="AX218" s="209"/>
      <c r="AY218" s="209"/>
      <c r="AZ218" s="209"/>
      <c r="BA218" s="209"/>
      <c r="BB218" s="209"/>
      <c r="BC218" s="209"/>
      <c r="BD218" s="209"/>
      <c r="BE218" s="209"/>
      <c r="BF218" s="209"/>
      <c r="BG218" s="209"/>
      <c r="BH218" s="209"/>
      <c r="BI218" s="209"/>
      <c r="BJ218" s="209"/>
      <c r="BK218" s="209"/>
      <c r="BL218" s="209"/>
      <c r="BM218" s="209"/>
      <c r="BN218" s="209"/>
      <c r="BO218" s="209"/>
      <c r="BP218" s="209"/>
      <c r="BQ218" s="209"/>
      <c r="BR218" s="209"/>
      <c r="BS218" s="209"/>
      <c r="BT218" s="209"/>
      <c r="BU218" s="209"/>
      <c r="BV218" s="209"/>
      <c r="BW218" s="209"/>
      <c r="BX218" s="209"/>
      <c r="BY218" s="209"/>
      <c r="BZ218" s="209"/>
      <c r="CA218" s="209"/>
      <c r="CB218" s="209"/>
      <c r="CC218" s="209"/>
      <c r="CD218" s="209"/>
      <c r="CE218" s="209"/>
      <c r="CF218" s="209"/>
      <c r="CG218" s="209"/>
      <c r="CH218" s="209"/>
      <c r="CI218" s="209"/>
      <c r="CJ218" s="209"/>
      <c r="CK218" s="209"/>
      <c r="CL218" s="209"/>
      <c r="CM218" s="209"/>
      <c r="CN218" s="209"/>
      <c r="CO218" s="209"/>
      <c r="CP218" s="209"/>
      <c r="CQ218" s="209"/>
      <c r="CR218" s="209"/>
      <c r="CS218" s="209"/>
      <c r="CT218" s="209"/>
      <c r="CU218" s="209"/>
      <c r="CV218" s="209"/>
      <c r="CW218" s="209"/>
      <c r="CX218" s="209"/>
      <c r="CY218" s="209"/>
      <c r="CZ218" s="209"/>
      <c r="DA218" s="209"/>
      <c r="DB218" s="209"/>
      <c r="DC218" s="209"/>
      <c r="DD218" s="209"/>
      <c r="DE218" s="209"/>
      <c r="DF218" s="209"/>
      <c r="DG218" s="209"/>
      <c r="DH218" s="209"/>
      <c r="DI218" s="209"/>
      <c r="DJ218" s="209"/>
      <c r="DK218" s="209"/>
      <c r="DL218" s="209"/>
      <c r="DM218" s="209"/>
      <c r="DN218" s="209"/>
      <c r="DO218" s="209"/>
      <c r="DP218" s="209"/>
      <c r="DQ218" s="209"/>
      <c r="DR218" s="209"/>
      <c r="DS218" s="209"/>
      <c r="DT218" s="209"/>
      <c r="DU218" s="209"/>
      <c r="DV218" s="209"/>
      <c r="DW218" s="209"/>
      <c r="DX218" s="209"/>
      <c r="DY218" s="209"/>
      <c r="DZ218" s="209"/>
      <c r="EA218" s="209"/>
      <c r="EB218" s="209"/>
      <c r="EC218" s="209"/>
      <c r="ED218" s="209"/>
      <c r="EE218" s="209"/>
      <c r="EF218" s="209"/>
      <c r="EG218" s="209"/>
      <c r="EH218" s="209"/>
      <c r="EI218" s="209"/>
      <c r="EJ218" s="209"/>
      <c r="EK218" s="209"/>
      <c r="EL218" s="209"/>
      <c r="EM218" s="209"/>
      <c r="EN218" s="209"/>
      <c r="EO218" s="209"/>
      <c r="EP218" s="209"/>
      <c r="EQ218" s="209"/>
      <c r="ER218" s="209"/>
      <c r="ES218" s="209"/>
      <c r="ET218" s="209"/>
      <c r="EU218" s="209"/>
      <c r="EV218" s="209"/>
      <c r="EW218" s="209"/>
      <c r="EX218" s="209"/>
      <c r="EY218" s="209"/>
      <c r="EZ218" s="209"/>
      <c r="FA218" s="209"/>
      <c r="FB218" s="209"/>
      <c r="FC218" s="209"/>
      <c r="FD218" s="209"/>
      <c r="FE218" s="209"/>
      <c r="FF218" s="209"/>
      <c r="FG218" s="209"/>
      <c r="FH218" s="209"/>
      <c r="FI218" s="209"/>
      <c r="FJ218" s="209"/>
      <c r="FK218" s="209"/>
      <c r="FL218" s="209"/>
      <c r="FM218" s="209"/>
      <c r="FN218" s="209"/>
      <c r="FO218" s="209"/>
      <c r="FP218" s="209"/>
      <c r="FQ218" s="209"/>
      <c r="FR218" s="209"/>
      <c r="FS218" s="209"/>
      <c r="FT218" s="209"/>
      <c r="FU218" s="209"/>
      <c r="FV218" s="209"/>
      <c r="FW218" s="209"/>
      <c r="FX218" s="209"/>
      <c r="FY218" s="209"/>
      <c r="FZ218" s="209"/>
      <c r="GA218" s="209"/>
      <c r="GB218" s="209"/>
      <c r="GC218" s="209"/>
      <c r="GD218" s="209"/>
      <c r="GE218" s="209"/>
      <c r="GF218" s="209"/>
      <c r="GG218" s="209"/>
      <c r="GH218" s="209"/>
      <c r="GI218" s="209"/>
      <c r="GJ218" s="209"/>
      <c r="GK218" s="209"/>
      <c r="GL218" s="209"/>
      <c r="GM218" s="209"/>
      <c r="GN218" s="209"/>
      <c r="GO218" s="209"/>
      <c r="GP218" s="209"/>
      <c r="GQ218" s="209"/>
      <c r="GR218" s="209"/>
      <c r="GS218" s="209"/>
      <c r="GT218" s="209"/>
      <c r="GU218" s="209"/>
      <c r="GV218" s="209"/>
      <c r="GW218" s="209"/>
      <c r="GX218" s="209"/>
      <c r="GY218" s="209"/>
      <c r="GZ218" s="209"/>
      <c r="HA218" s="209"/>
      <c r="HB218" s="209"/>
      <c r="HC218" s="209"/>
      <c r="HD218" s="209"/>
      <c r="HE218" s="209"/>
      <c r="HF218" s="209"/>
      <c r="HG218" s="209"/>
      <c r="HH218" s="209"/>
      <c r="HI218" s="209"/>
      <c r="HJ218" s="209"/>
      <c r="HK218" s="209"/>
      <c r="HL218" s="209"/>
      <c r="HM218" s="209"/>
      <c r="HN218" s="209"/>
      <c r="HO218" s="209"/>
      <c r="HP218" s="209"/>
      <c r="HQ218" s="209"/>
      <c r="HR218" s="209"/>
      <c r="HS218" s="209"/>
      <c r="HT218" s="209"/>
      <c r="HU218" s="209"/>
      <c r="HV218" s="209"/>
      <c r="HW218" s="209"/>
      <c r="HX218" s="209"/>
      <c r="HY218" s="209"/>
      <c r="HZ218" s="209"/>
      <c r="IA218" s="209"/>
      <c r="IB218" s="209"/>
      <c r="IC218" s="209"/>
      <c r="ID218" s="209"/>
      <c r="IE218" s="209"/>
      <c r="IF218" s="209"/>
      <c r="IG218" s="209"/>
      <c r="IH218" s="209"/>
      <c r="II218" s="209"/>
      <c r="IJ218" s="209"/>
      <c r="IK218" s="209"/>
      <c r="IL218" s="209"/>
      <c r="IM218" s="209"/>
      <c r="IN218" s="209"/>
      <c r="IO218" s="209"/>
      <c r="IP218" s="209"/>
      <c r="IQ218" s="209"/>
      <c r="IR218" s="209"/>
      <c r="IS218" s="209"/>
      <c r="IT218" s="209"/>
      <c r="IU218" s="209"/>
      <c r="IV218" s="209"/>
      <c r="IW218" s="209"/>
      <c r="IX218" s="209"/>
    </row>
    <row r="219" s="209" customFormat="true" ht="17.4" hidden="false" customHeight="false" outlineLevel="0" collapsed="false">
      <c r="A219" s="74"/>
      <c r="B219" s="31"/>
      <c r="C219" s="30"/>
      <c r="D219" s="85" t="s">
        <v>134</v>
      </c>
      <c r="E219" s="217" t="n">
        <f aca="false">IF(AND($F$2="No",$F$3="No"),SUM(J219:K219),IF(AND($F$2="Yes", $F$3="No"), SUM(J219:K219)+Q219, IF(AND($F$2="No", $F$3="Yes"),SUM(J219:K219)+P219, SUM(J219:K219)+Q219+P219)))</f>
        <v>0.0399894869629571</v>
      </c>
      <c r="F219" s="89" t="n">
        <f aca="false">IF(AND($F$2="No",$F$3="No"),SUM(H219:O219),IF(AND($F$2="Yes", $F$3="No"), SUM(H219:O219)+Q219, IF(AND($F$2="No", $F$3="Yes"),SUM(H219:O219)+P219, SUM(H219:O219)+Q219+P219)))</f>
        <v>0.140096318317982</v>
      </c>
      <c r="G219" s="88" t="n">
        <f aca="false">SUM(S219:U219)/(1-'Common input data'!$B$121)</f>
        <v>0.382022100868817</v>
      </c>
      <c r="H219" s="87" t="n">
        <f aca="false">('Input data plant-based products'!$F$56*('Common input data'!$C$76*'Common input data'!B69+'Common input data'!$C$77*'Common input data'!C69))/'Input data plant-based products'!$E$56</f>
        <v>0.0288226260984541</v>
      </c>
      <c r="I219" s="89" t="n">
        <f aca="false">'Common input data'!$B$81</f>
        <v>0.03</v>
      </c>
      <c r="J219" s="87" t="n">
        <v>0</v>
      </c>
      <c r="K219" s="89" t="n">
        <v>0</v>
      </c>
      <c r="L219" s="87" t="n">
        <f aca="false">('Input data plant-based products'!$I$56*'Common input data'!$C$59*'Common input data'!H49)/'Input data plant-based products'!$E$56</f>
        <v>0.0212842052565707</v>
      </c>
      <c r="M219" s="89" t="n">
        <v>0</v>
      </c>
      <c r="N219" s="89" t="n">
        <f aca="false">'Input data plant-based products'!$G$152</f>
        <v>0.02</v>
      </c>
      <c r="O219" s="89" t="n">
        <v>0</v>
      </c>
      <c r="P219" s="89" t="n">
        <f aca="false">'Common input data'!$E$13</f>
        <v>0.0399894869629571</v>
      </c>
      <c r="Q219" s="89" t="n">
        <v>0</v>
      </c>
      <c r="R219" s="89" t="n">
        <v>0</v>
      </c>
      <c r="S219" s="89" t="n">
        <f aca="false">(F219+R219)</f>
        <v>0.140096318317982</v>
      </c>
      <c r="T219" s="89" t="n">
        <f aca="false">'Common input data'!$B$88</f>
        <v>0.05</v>
      </c>
      <c r="U219" s="89" t="n">
        <f aca="false">'Common input data'!B99+'Common input data'!C99</f>
        <v>0.13</v>
      </c>
      <c r="V219" s="309"/>
      <c r="W219" s="92"/>
      <c r="Z219" s="30"/>
    </row>
    <row r="220" s="209" customFormat="true" ht="17.4" hidden="false" customHeight="false" outlineLevel="0" collapsed="false">
      <c r="A220" s="74"/>
      <c r="B220" s="31"/>
      <c r="C220" s="93"/>
      <c r="D220" s="85" t="s">
        <v>135</v>
      </c>
      <c r="E220" s="217" t="n">
        <f aca="false">SUM(J220:K220)</f>
        <v>0</v>
      </c>
      <c r="F220" s="89" t="n">
        <f aca="false">SUM(H220:O220)</f>
        <v>9.42831231471157E-006</v>
      </c>
      <c r="G220" s="88" t="n">
        <f aca="false">SUM(S220:U220)/(1-'Common input data'!$B$121)</f>
        <v>1.12523121073059E-005</v>
      </c>
      <c r="H220" s="87" t="n">
        <f aca="false">('Input data plant-based products'!$F$56*('Common input data'!$C$76*'Common input data'!B70+'Common input data'!$C$77*'Common input data'!C70))/'Input data plant-based products'!$E$56</f>
        <v>1.27083172147002E-010</v>
      </c>
      <c r="I220" s="89" t="n">
        <v>0</v>
      </c>
      <c r="J220" s="87" t="n">
        <v>0</v>
      </c>
      <c r="K220" s="89" t="n">
        <v>0</v>
      </c>
      <c r="L220" s="87" t="n">
        <f aca="false">('Input data plant-based products'!$I$56*'Common input data'!$C$59*'Common input data'!H50)/'Input data plant-based products'!$E$56</f>
        <v>9.42818523153943E-006</v>
      </c>
      <c r="M220" s="89" t="n">
        <v>0</v>
      </c>
      <c r="N220" s="89" t="n">
        <v>0</v>
      </c>
      <c r="O220" s="89" t="n">
        <v>0</v>
      </c>
      <c r="P220" s="89" t="n">
        <v>0</v>
      </c>
      <c r="Q220" s="89" t="n">
        <v>0</v>
      </c>
      <c r="R220" s="89" t="n">
        <v>0</v>
      </c>
      <c r="S220" s="89" t="n">
        <f aca="false">(F220+R220)</f>
        <v>9.42831231471157E-006</v>
      </c>
      <c r="T220" s="89" t="n">
        <v>0</v>
      </c>
      <c r="U220" s="89" t="n">
        <v>0</v>
      </c>
      <c r="V220" s="309"/>
      <c r="W220" s="92"/>
      <c r="Z220" s="30"/>
    </row>
    <row r="221" s="209" customFormat="true" ht="17.4" hidden="false" customHeight="false" outlineLevel="0" collapsed="false">
      <c r="A221" s="74"/>
      <c r="B221" s="101"/>
      <c r="C221" s="87"/>
      <c r="D221" s="31" t="s">
        <v>136</v>
      </c>
      <c r="E221" s="217" t="n">
        <f aca="false">SUM(J221:K221)</f>
        <v>0.000268947836581441</v>
      </c>
      <c r="F221" s="89" t="n">
        <f aca="false">SUM(H221:O221)</f>
        <v>0.000426955991105262</v>
      </c>
      <c r="G221" s="88" t="n">
        <f aca="false">SUM(S221:U221)/(1-'Common input data'!$B$121)</f>
        <v>0.000509554828864138</v>
      </c>
      <c r="H221" s="87" t="n">
        <f aca="false">('Input data plant-based products'!$F$56*('Common input data'!$C$76*'Common input data'!B71+'Common input data'!$C$77*'Common input data'!C71))/'Input data plant-based products'!$E$56</f>
        <v>0.000157436239630203</v>
      </c>
      <c r="I221" s="87" t="n">
        <v>0</v>
      </c>
      <c r="J221" s="87" t="n">
        <f aca="false">(SUM('Input data plant-based products'!F56:H56)*'Input data plant-based products'!$B$114*44/28)/'Input data plant-based products'!E56</f>
        <v>0.000244498033255855</v>
      </c>
      <c r="K221" s="89" t="n">
        <f aca="false">J221*'Input data plant-based products'!$B$115</f>
        <v>2.44498033255856E-005</v>
      </c>
      <c r="L221" s="87" t="n">
        <f aca="false">('Input data plant-based products'!$I$56*'Common input data'!$C$59*'Common input data'!H51)/'Input data plant-based products'!$E$56</f>
        <v>5.71914893617021E-007</v>
      </c>
      <c r="M221" s="89" t="n">
        <v>0</v>
      </c>
      <c r="N221" s="89" t="n">
        <v>0</v>
      </c>
      <c r="O221" s="89" t="n">
        <v>0</v>
      </c>
      <c r="P221" s="89" t="n">
        <v>0</v>
      </c>
      <c r="Q221" s="89" t="n">
        <v>0</v>
      </c>
      <c r="R221" s="89" t="n">
        <v>0</v>
      </c>
      <c r="S221" s="89" t="n">
        <f aca="false">(F221+R221)</f>
        <v>0.000426955991105262</v>
      </c>
      <c r="T221" s="89" t="n">
        <v>0</v>
      </c>
      <c r="U221" s="89" t="n">
        <v>0</v>
      </c>
      <c r="V221" s="309"/>
      <c r="W221" s="92"/>
      <c r="Z221" s="30"/>
    </row>
    <row r="222" s="332" customFormat="true" ht="17.4" hidden="false" customHeight="false" outlineLevel="0" collapsed="false">
      <c r="A222" s="330" t="s">
        <v>141</v>
      </c>
      <c r="B222" s="76" t="s">
        <v>254</v>
      </c>
      <c r="C222" s="84" t="n">
        <f aca="false">'Input data plant-based products'!D57</f>
        <v>0.17</v>
      </c>
      <c r="D222" s="78" t="s">
        <v>133</v>
      </c>
      <c r="E222" s="94" t="n">
        <f aca="false">IF($F$1="GWP100 without fb",E223+E224*'Common input data'!$C$5+E225*'Common input data'!$D$5,IF($F$1="GWP100 with fb",E223+E224*'Common input data'!$C$6+E225*'Common input data'!$D$6,IF($F$1="GTP100 without fb",E223+E224*'Common input data'!$C$7+E225*'Common input data'!$D$7,IF($F$1="GTP100 with fb",E223+E224*'Common input data'!$C$8+E225*'Common input data'!$D$8,E223+E224*'Common input data'!$C$9+E225*'Common input data'!$D$9))))</f>
        <v>0.120113441806964</v>
      </c>
      <c r="F222" s="95" t="n">
        <f aca="false">IF($F$1="GWP100 without fb",F223+F224*'Common input data'!$C$5+F225*'Common input data'!$D$5,IF($F$1="GWP100 with fb",F223+F224*'Common input data'!$C$6+F225*'Common input data'!$D$6,IF($F$1="GTP100 without fb",F223+F224*'Common input data'!$C$7+F225*'Common input data'!$D$7,IF($F$1="GTP100 with fb",F223+F224*'Common input data'!$C$8+F225*'Common input data'!$D$8,F223+F224*'Common input data'!$C$9+F225*'Common input data'!$D$9))))</f>
        <v>0.26781941654208</v>
      </c>
      <c r="G222" s="96" t="n">
        <f aca="false">IF($F$1="GWP100 without fb",G223+G224*'Common input data'!$C$5+G225*'Common input data'!$D$5,IF($F$1="GWP100 with fb",G223+G224*'Common input data'!$C$6+G225*'Common input data'!$D$6,IF($F$1="GTP100 without fb",G223+G224*'Common input data'!$C$7+G225*'Common input data'!$D$7,IF($F$1="GTP100 with fb",G223+G224*'Common input data'!$C$8+G225*'Common input data'!$D$8,G223+G224*'Common input data'!$C$9+G225*'Common input data'!$D$9))))</f>
        <v>0.653800473257048</v>
      </c>
      <c r="H222" s="83"/>
      <c r="I222" s="83"/>
      <c r="J222" s="83"/>
      <c r="K222" s="83"/>
      <c r="L222" s="83"/>
      <c r="M222" s="83"/>
      <c r="N222" s="83"/>
      <c r="O222" s="83"/>
      <c r="P222" s="83"/>
      <c r="Q222" s="83"/>
      <c r="R222" s="83"/>
      <c r="S222" s="83"/>
      <c r="T222" s="83"/>
      <c r="U222" s="83"/>
      <c r="V222" s="309"/>
      <c r="W222" s="92"/>
      <c r="X222" s="209"/>
      <c r="Y222" s="209"/>
      <c r="Z222" s="30"/>
      <c r="AA222" s="209"/>
      <c r="AB222" s="209"/>
      <c r="AC222" s="209"/>
      <c r="AD222" s="209"/>
      <c r="AE222" s="209"/>
      <c r="AF222" s="209"/>
      <c r="AG222" s="209"/>
      <c r="AH222" s="209"/>
      <c r="AI222" s="209"/>
      <c r="AJ222" s="209"/>
      <c r="AK222" s="209"/>
      <c r="AL222" s="209"/>
      <c r="AM222" s="209"/>
      <c r="AN222" s="209"/>
      <c r="AO222" s="209"/>
      <c r="AP222" s="209"/>
      <c r="AQ222" s="209"/>
      <c r="AR222" s="209"/>
      <c r="AS222" s="209"/>
      <c r="AT222" s="209"/>
      <c r="AU222" s="209"/>
      <c r="AV222" s="209"/>
      <c r="AW222" s="209"/>
      <c r="AX222" s="209"/>
      <c r="AY222" s="209"/>
      <c r="AZ222" s="209"/>
      <c r="BA222" s="209"/>
      <c r="BB222" s="209"/>
      <c r="BC222" s="209"/>
      <c r="BD222" s="209"/>
      <c r="BE222" s="209"/>
      <c r="BF222" s="209"/>
      <c r="BG222" s="209"/>
      <c r="BH222" s="209"/>
      <c r="BI222" s="209"/>
      <c r="BJ222" s="209"/>
      <c r="BK222" s="209"/>
      <c r="BL222" s="209"/>
      <c r="BM222" s="209"/>
      <c r="BN222" s="209"/>
      <c r="BO222" s="209"/>
      <c r="BP222" s="209"/>
      <c r="BQ222" s="209"/>
      <c r="BR222" s="209"/>
      <c r="BS222" s="209"/>
      <c r="BT222" s="209"/>
      <c r="BU222" s="209"/>
      <c r="BV222" s="209"/>
      <c r="BW222" s="209"/>
      <c r="BX222" s="209"/>
      <c r="BY222" s="209"/>
      <c r="BZ222" s="209"/>
      <c r="CA222" s="209"/>
      <c r="CB222" s="209"/>
      <c r="CC222" s="209"/>
      <c r="CD222" s="209"/>
      <c r="CE222" s="209"/>
      <c r="CF222" s="209"/>
      <c r="CG222" s="209"/>
      <c r="CH222" s="209"/>
      <c r="CI222" s="209"/>
      <c r="CJ222" s="209"/>
      <c r="CK222" s="209"/>
      <c r="CL222" s="209"/>
      <c r="CM222" s="209"/>
      <c r="CN222" s="209"/>
      <c r="CO222" s="209"/>
      <c r="CP222" s="209"/>
      <c r="CQ222" s="209"/>
      <c r="CR222" s="209"/>
      <c r="CS222" s="209"/>
      <c r="CT222" s="209"/>
      <c r="CU222" s="209"/>
      <c r="CV222" s="209"/>
      <c r="CW222" s="209"/>
      <c r="CX222" s="209"/>
      <c r="CY222" s="209"/>
      <c r="CZ222" s="209"/>
      <c r="DA222" s="209"/>
      <c r="DB222" s="209"/>
      <c r="DC222" s="209"/>
      <c r="DD222" s="209"/>
      <c r="DE222" s="209"/>
      <c r="DF222" s="209"/>
      <c r="DG222" s="209"/>
      <c r="DH222" s="209"/>
      <c r="DI222" s="209"/>
      <c r="DJ222" s="209"/>
      <c r="DK222" s="209"/>
      <c r="DL222" s="209"/>
      <c r="DM222" s="209"/>
      <c r="DN222" s="209"/>
      <c r="DO222" s="209"/>
      <c r="DP222" s="209"/>
      <c r="DQ222" s="209"/>
      <c r="DR222" s="209"/>
      <c r="DS222" s="209"/>
      <c r="DT222" s="209"/>
      <c r="DU222" s="209"/>
      <c r="DV222" s="209"/>
      <c r="DW222" s="209"/>
      <c r="DX222" s="209"/>
      <c r="DY222" s="209"/>
      <c r="DZ222" s="209"/>
      <c r="EA222" s="209"/>
      <c r="EB222" s="209"/>
      <c r="EC222" s="209"/>
      <c r="ED222" s="209"/>
      <c r="EE222" s="209"/>
      <c r="EF222" s="209"/>
      <c r="EG222" s="209"/>
      <c r="EH222" s="209"/>
      <c r="EI222" s="209"/>
      <c r="EJ222" s="209"/>
      <c r="EK222" s="209"/>
      <c r="EL222" s="209"/>
      <c r="EM222" s="209"/>
      <c r="EN222" s="209"/>
      <c r="EO222" s="209"/>
      <c r="EP222" s="209"/>
      <c r="EQ222" s="209"/>
      <c r="ER222" s="209"/>
      <c r="ES222" s="209"/>
      <c r="ET222" s="209"/>
      <c r="EU222" s="209"/>
      <c r="EV222" s="209"/>
      <c r="EW222" s="209"/>
      <c r="EX222" s="209"/>
      <c r="EY222" s="209"/>
      <c r="EZ222" s="209"/>
      <c r="FA222" s="209"/>
      <c r="FB222" s="209"/>
      <c r="FC222" s="209"/>
      <c r="FD222" s="209"/>
      <c r="FE222" s="209"/>
      <c r="FF222" s="209"/>
      <c r="FG222" s="209"/>
      <c r="FH222" s="209"/>
      <c r="FI222" s="209"/>
      <c r="FJ222" s="209"/>
      <c r="FK222" s="209"/>
      <c r="FL222" s="209"/>
      <c r="FM222" s="209"/>
      <c r="FN222" s="209"/>
      <c r="FO222" s="209"/>
      <c r="FP222" s="209"/>
      <c r="FQ222" s="209"/>
      <c r="FR222" s="209"/>
      <c r="FS222" s="209"/>
      <c r="FT222" s="209"/>
      <c r="FU222" s="209"/>
      <c r="FV222" s="209"/>
      <c r="FW222" s="209"/>
      <c r="FX222" s="209"/>
      <c r="FY222" s="209"/>
      <c r="FZ222" s="209"/>
      <c r="GA222" s="209"/>
      <c r="GB222" s="209"/>
      <c r="GC222" s="209"/>
      <c r="GD222" s="209"/>
      <c r="GE222" s="209"/>
      <c r="GF222" s="209"/>
      <c r="GG222" s="209"/>
      <c r="GH222" s="209"/>
      <c r="GI222" s="209"/>
      <c r="GJ222" s="209"/>
      <c r="GK222" s="209"/>
      <c r="GL222" s="209"/>
      <c r="GM222" s="209"/>
      <c r="GN222" s="209"/>
      <c r="GO222" s="209"/>
      <c r="GP222" s="209"/>
      <c r="GQ222" s="209"/>
      <c r="GR222" s="209"/>
      <c r="GS222" s="209"/>
      <c r="GT222" s="209"/>
      <c r="GU222" s="209"/>
      <c r="GV222" s="209"/>
      <c r="GW222" s="209"/>
      <c r="GX222" s="209"/>
      <c r="GY222" s="209"/>
      <c r="GZ222" s="209"/>
      <c r="HA222" s="209"/>
      <c r="HB222" s="209"/>
      <c r="HC222" s="209"/>
      <c r="HD222" s="209"/>
      <c r="HE222" s="209"/>
      <c r="HF222" s="209"/>
      <c r="HG222" s="209"/>
      <c r="HH222" s="209"/>
      <c r="HI222" s="209"/>
      <c r="HJ222" s="209"/>
      <c r="HK222" s="209"/>
      <c r="HL222" s="209"/>
      <c r="HM222" s="209"/>
      <c r="HN222" s="209"/>
      <c r="HO222" s="209"/>
      <c r="HP222" s="209"/>
      <c r="HQ222" s="209"/>
      <c r="HR222" s="209"/>
      <c r="HS222" s="209"/>
      <c r="HT222" s="209"/>
      <c r="HU222" s="209"/>
      <c r="HV222" s="209"/>
      <c r="HW222" s="209"/>
      <c r="HX222" s="209"/>
      <c r="HY222" s="209"/>
      <c r="HZ222" s="209"/>
      <c r="IA222" s="209"/>
      <c r="IB222" s="209"/>
      <c r="IC222" s="209"/>
      <c r="ID222" s="209"/>
      <c r="IE222" s="209"/>
      <c r="IF222" s="209"/>
      <c r="IG222" s="209"/>
      <c r="IH222" s="209"/>
      <c r="II222" s="209"/>
      <c r="IJ222" s="209"/>
      <c r="IK222" s="209"/>
      <c r="IL222" s="209"/>
      <c r="IM222" s="209"/>
      <c r="IN222" s="209"/>
      <c r="IO222" s="209"/>
      <c r="IP222" s="209"/>
      <c r="IQ222" s="209"/>
      <c r="IR222" s="209"/>
      <c r="IS222" s="209"/>
      <c r="IT222" s="209"/>
      <c r="IU222" s="209"/>
      <c r="IV222" s="209"/>
      <c r="IW222" s="209"/>
      <c r="IX222" s="209"/>
    </row>
    <row r="223" s="209" customFormat="true" ht="17.4" hidden="false" customHeight="false" outlineLevel="0" collapsed="false">
      <c r="A223" s="99"/>
      <c r="B223" s="31"/>
      <c r="C223" s="30"/>
      <c r="D223" s="85" t="s">
        <v>134</v>
      </c>
      <c r="E223" s="217" t="n">
        <f aca="false">IF(AND($F$2="No",$F$3="No"),SUM(J223:K223),IF(AND($F$2="Yes", $F$3="No"), SUM(J223:K223)+Q223, IF(AND($F$2="No", $F$3="Yes"),SUM(J223:K223)+P223, SUM(J223:K223)+Q223+P223)))</f>
        <v>0.0399894869629571</v>
      </c>
      <c r="F223" s="89" t="n">
        <f aca="false">IF(AND($F$2="No",$F$3="No"),SUM(H223:O223),IF(AND($F$2="Yes", $F$3="No"), SUM(H223:O223)+Q223, IF(AND($F$2="No", $F$3="Yes"),SUM(H223:O223)+P223, SUM(H223:O223)+Q223+P223)))</f>
        <v>0.14030240567228</v>
      </c>
      <c r="G223" s="88" t="n">
        <f aca="false">SUM(S223:U223)/(1-'Common input data'!$B$121)</f>
        <v>0.501614041857358</v>
      </c>
      <c r="H223" s="87" t="n">
        <f aca="false">('Input data plant-based products'!$F$57*('Common input data'!$C$76*'Common input data'!B69+'Common input data'!$C$77*'Common input data'!C69))/'Input data plant-based products'!$E$57</f>
        <v>0.028810978479438</v>
      </c>
      <c r="I223" s="89" t="n">
        <f aca="false">'Common input data'!$B$81</f>
        <v>0.03</v>
      </c>
      <c r="J223" s="87" t="n">
        <v>0</v>
      </c>
      <c r="K223" s="89" t="n">
        <v>0</v>
      </c>
      <c r="L223" s="87" t="n">
        <f aca="false">('Input data plant-based products'!$I$57*'Common input data'!$C$59*'Common input data'!H49)/'Input data plant-based products'!$E$57</f>
        <v>0.0215019402298851</v>
      </c>
      <c r="M223" s="89" t="n">
        <v>0</v>
      </c>
      <c r="N223" s="89" t="n">
        <f aca="false">'Input data plant-based products'!$G$152</f>
        <v>0.02</v>
      </c>
      <c r="O223" s="89" t="n">
        <v>0</v>
      </c>
      <c r="P223" s="89" t="n">
        <f aca="false">'Common input data'!$E$13</f>
        <v>0.0399894869629571</v>
      </c>
      <c r="Q223" s="89" t="n">
        <v>0</v>
      </c>
      <c r="R223" s="89" t="n">
        <v>0</v>
      </c>
      <c r="S223" s="89" t="n">
        <f aca="false">(F223+R223)</f>
        <v>0.14030240567228</v>
      </c>
      <c r="T223" s="89" t="n">
        <f aca="false">'Common input data'!$B$88</f>
        <v>0.05</v>
      </c>
      <c r="U223" s="87" t="n">
        <f aca="false">'Common input data'!B102+'Common input data'!C102</f>
        <v>0.23</v>
      </c>
      <c r="V223" s="309"/>
      <c r="W223" s="92"/>
      <c r="Z223" s="30"/>
    </row>
    <row r="224" s="209" customFormat="true" ht="17.4" hidden="false" customHeight="false" outlineLevel="0" collapsed="false">
      <c r="A224" s="74"/>
      <c r="B224" s="31"/>
      <c r="C224" s="93"/>
      <c r="D224" s="85" t="s">
        <v>135</v>
      </c>
      <c r="E224" s="217" t="n">
        <f aca="false">SUM(J224:K224)</f>
        <v>0</v>
      </c>
      <c r="F224" s="89" t="n">
        <f aca="false">SUM(H224:O224)</f>
        <v>9.52476151457471E-006</v>
      </c>
      <c r="G224" s="88" t="n">
        <f aca="false">SUM(S224:U224)/(1-'Common input data'!$B$121)</f>
        <v>1.136742035395E-005</v>
      </c>
      <c r="H224" s="87" t="n">
        <f aca="false">('Input data plant-based products'!$F$57*('Common input data'!$C$76*'Common input data'!B70+'Common input data'!$C$77*'Common input data'!C70))/'Input data plant-based products'!$E$57</f>
        <v>1.27031816091954E-010</v>
      </c>
      <c r="I224" s="87" t="n">
        <v>0</v>
      </c>
      <c r="J224" s="87" t="n">
        <v>0</v>
      </c>
      <c r="K224" s="87" t="n">
        <v>0</v>
      </c>
      <c r="L224" s="87" t="n">
        <f aca="false">('Input data plant-based products'!$I$57*'Common input data'!$C$59*'Common input data'!H50)/'Input data plant-based products'!$E$57</f>
        <v>9.52463448275862E-006</v>
      </c>
      <c r="M224" s="89" t="n">
        <v>0</v>
      </c>
      <c r="N224" s="89" t="n">
        <v>0</v>
      </c>
      <c r="O224" s="89" t="n">
        <v>0</v>
      </c>
      <c r="P224" s="89" t="n">
        <v>0</v>
      </c>
      <c r="Q224" s="89" t="n">
        <v>0</v>
      </c>
      <c r="R224" s="89" t="n">
        <v>0</v>
      </c>
      <c r="S224" s="89" t="n">
        <f aca="false">(F224+R224)</f>
        <v>9.52476151457471E-006</v>
      </c>
      <c r="T224" s="89" t="n">
        <v>0</v>
      </c>
      <c r="U224" s="89" t="n">
        <v>0</v>
      </c>
      <c r="V224" s="309"/>
      <c r="W224" s="92"/>
      <c r="Z224" s="30"/>
    </row>
    <row r="225" s="209" customFormat="true" ht="17.4" hidden="false" customHeight="false" outlineLevel="0" collapsed="false">
      <c r="A225" s="100"/>
      <c r="B225" s="101"/>
      <c r="C225" s="87"/>
      <c r="D225" s="31" t="s">
        <v>136</v>
      </c>
      <c r="E225" s="219" t="n">
        <f aca="false">SUM(J225:K225)</f>
        <v>0.000268872331691297</v>
      </c>
      <c r="F225" s="126" t="n">
        <f aca="false">SUM(H225:O225)</f>
        <v>0.000426822714692297</v>
      </c>
      <c r="G225" s="106" t="n">
        <f aca="false">SUM(S225:U225)/(1-'Common input data'!$B$121)</f>
        <v>0.000509395768817636</v>
      </c>
      <c r="H225" s="87" t="n">
        <f aca="false">('Input data plant-based products'!$F$57*('Common input data'!$C$76*'Common input data'!B71+'Common input data'!$C$77*'Common input data'!C71))/'Input data plant-based products'!$E$57</f>
        <v>0.000157372617483759</v>
      </c>
      <c r="I225" s="87" t="n">
        <v>0</v>
      </c>
      <c r="J225" s="87" t="n">
        <f aca="false">(SUM('Input data plant-based products'!F57:H57)*'Input data plant-based products'!$B$114*44/28)/'Input data plant-based products'!E57</f>
        <v>0.000244429392446634</v>
      </c>
      <c r="K225" s="89" t="n">
        <f aca="false">J225*'Input data plant-based products'!$B$115</f>
        <v>2.44429392446634E-005</v>
      </c>
      <c r="L225" s="87" t="n">
        <f aca="false">('Input data plant-based products'!$I$57*'Common input data'!$C$59*'Common input data'!H51)/'Input data plant-based products'!$E$57</f>
        <v>5.77765517241379E-007</v>
      </c>
      <c r="M225" s="89" t="n">
        <v>0</v>
      </c>
      <c r="N225" s="89" t="n">
        <v>0</v>
      </c>
      <c r="O225" s="89" t="n">
        <v>0</v>
      </c>
      <c r="P225" s="89" t="n">
        <v>0</v>
      </c>
      <c r="Q225" s="89" t="n">
        <v>0</v>
      </c>
      <c r="R225" s="89" t="n">
        <v>0</v>
      </c>
      <c r="S225" s="89" t="n">
        <f aca="false">(F225+R225)</f>
        <v>0.000426822714692297</v>
      </c>
      <c r="T225" s="89" t="n">
        <v>0</v>
      </c>
      <c r="U225" s="89" t="n">
        <v>0</v>
      </c>
      <c r="V225" s="309"/>
      <c r="W225" s="92"/>
      <c r="Z225" s="30"/>
    </row>
    <row r="226" s="334" customFormat="true" ht="17.4" hidden="false" customHeight="false" outlineLevel="0" collapsed="false">
      <c r="A226" s="107" t="s">
        <v>313</v>
      </c>
      <c r="B226" s="108"/>
      <c r="C226" s="69"/>
      <c r="D226" s="109"/>
      <c r="E226" s="110" t="s">
        <v>314</v>
      </c>
      <c r="F226" s="111" t="s">
        <v>314</v>
      </c>
      <c r="G226" s="112" t="s">
        <v>314</v>
      </c>
      <c r="H226" s="69"/>
      <c r="I226" s="69"/>
      <c r="J226" s="69"/>
      <c r="K226" s="113"/>
      <c r="L226" s="113"/>
      <c r="M226" s="114"/>
      <c r="N226" s="113"/>
      <c r="O226" s="113"/>
      <c r="P226" s="113"/>
      <c r="Q226" s="113"/>
      <c r="R226" s="113"/>
      <c r="S226" s="113"/>
      <c r="T226" s="113"/>
      <c r="U226" s="113"/>
      <c r="V226" s="309"/>
      <c r="W226" s="92"/>
      <c r="X226" s="209"/>
      <c r="Y226" s="209"/>
      <c r="Z226" s="30"/>
      <c r="AA226" s="209"/>
      <c r="AB226" s="209"/>
      <c r="AC226" s="209"/>
      <c r="AD226" s="209"/>
      <c r="AE226" s="209"/>
      <c r="AF226" s="209"/>
      <c r="AG226" s="209"/>
      <c r="AH226" s="209"/>
      <c r="AI226" s="209"/>
      <c r="AJ226" s="209"/>
      <c r="AK226" s="209"/>
      <c r="AL226" s="209"/>
      <c r="AM226" s="209"/>
      <c r="AN226" s="209"/>
      <c r="AO226" s="209"/>
      <c r="AP226" s="209"/>
      <c r="AQ226" s="209"/>
      <c r="AR226" s="209"/>
      <c r="AS226" s="209"/>
      <c r="AT226" s="209"/>
      <c r="AU226" s="209"/>
      <c r="AV226" s="209"/>
      <c r="AW226" s="209"/>
      <c r="AX226" s="209"/>
      <c r="AY226" s="209"/>
      <c r="AZ226" s="209"/>
      <c r="BA226" s="209"/>
      <c r="BB226" s="209"/>
      <c r="BC226" s="209"/>
      <c r="BD226" s="209"/>
      <c r="BE226" s="209"/>
      <c r="BF226" s="209"/>
      <c r="BG226" s="209"/>
      <c r="BH226" s="209"/>
      <c r="BI226" s="209"/>
      <c r="BJ226" s="209"/>
      <c r="BK226" s="209"/>
      <c r="BL226" s="209"/>
      <c r="BM226" s="209"/>
      <c r="BN226" s="209"/>
      <c r="BO226" s="209"/>
      <c r="BP226" s="209"/>
      <c r="BQ226" s="209"/>
      <c r="BR226" s="209"/>
      <c r="BS226" s="209"/>
      <c r="BT226" s="209"/>
      <c r="BU226" s="209"/>
      <c r="BV226" s="209"/>
      <c r="BW226" s="209"/>
      <c r="BX226" s="209"/>
      <c r="BY226" s="209"/>
      <c r="BZ226" s="209"/>
      <c r="CA226" s="209"/>
      <c r="CB226" s="209"/>
      <c r="CC226" s="209"/>
      <c r="CD226" s="209"/>
      <c r="CE226" s="209"/>
      <c r="CF226" s="209"/>
      <c r="CG226" s="209"/>
      <c r="CH226" s="209"/>
      <c r="CI226" s="209"/>
      <c r="CJ226" s="209"/>
      <c r="CK226" s="209"/>
      <c r="CL226" s="209"/>
      <c r="CM226" s="209"/>
      <c r="CN226" s="209"/>
      <c r="CO226" s="209"/>
      <c r="CP226" s="209"/>
      <c r="CQ226" s="209"/>
      <c r="CR226" s="209"/>
      <c r="CS226" s="209"/>
      <c r="CT226" s="209"/>
      <c r="CU226" s="209"/>
      <c r="CV226" s="209"/>
      <c r="CW226" s="209"/>
      <c r="CX226" s="209"/>
      <c r="CY226" s="209"/>
      <c r="CZ226" s="209"/>
      <c r="DA226" s="209"/>
      <c r="DB226" s="209"/>
      <c r="DC226" s="209"/>
      <c r="DD226" s="209"/>
      <c r="DE226" s="209"/>
      <c r="DF226" s="209"/>
      <c r="DG226" s="209"/>
      <c r="DH226" s="209"/>
      <c r="DI226" s="209"/>
      <c r="DJ226" s="209"/>
      <c r="DK226" s="209"/>
      <c r="DL226" s="209"/>
      <c r="DM226" s="209"/>
      <c r="DN226" s="209"/>
      <c r="DO226" s="209"/>
      <c r="DP226" s="209"/>
      <c r="DQ226" s="209"/>
      <c r="DR226" s="209"/>
      <c r="DS226" s="209"/>
      <c r="DT226" s="209"/>
      <c r="DU226" s="209"/>
      <c r="DV226" s="209"/>
      <c r="DW226" s="209"/>
      <c r="DX226" s="209"/>
      <c r="DY226" s="209"/>
      <c r="DZ226" s="209"/>
      <c r="EA226" s="209"/>
      <c r="EB226" s="209"/>
      <c r="EC226" s="209"/>
      <c r="ED226" s="209"/>
      <c r="EE226" s="209"/>
      <c r="EF226" s="209"/>
      <c r="EG226" s="209"/>
      <c r="EH226" s="209"/>
      <c r="EI226" s="209"/>
      <c r="EJ226" s="209"/>
      <c r="EK226" s="209"/>
      <c r="EL226" s="209"/>
      <c r="EM226" s="209"/>
      <c r="EN226" s="209"/>
      <c r="EO226" s="209"/>
      <c r="EP226" s="209"/>
      <c r="EQ226" s="209"/>
      <c r="ER226" s="209"/>
      <c r="ES226" s="209"/>
      <c r="ET226" s="209"/>
      <c r="EU226" s="209"/>
      <c r="EV226" s="209"/>
      <c r="EW226" s="209"/>
      <c r="EX226" s="209"/>
      <c r="EY226" s="209"/>
      <c r="EZ226" s="209"/>
      <c r="FA226" s="209"/>
      <c r="FB226" s="209"/>
      <c r="FC226" s="209"/>
      <c r="FD226" s="209"/>
      <c r="FE226" s="209"/>
      <c r="FF226" s="209"/>
      <c r="FG226" s="209"/>
      <c r="FH226" s="209"/>
      <c r="FI226" s="209"/>
      <c r="FJ226" s="209"/>
      <c r="FK226" s="209"/>
      <c r="FL226" s="209"/>
      <c r="FM226" s="209"/>
      <c r="FN226" s="209"/>
      <c r="FO226" s="209"/>
      <c r="FP226" s="209"/>
      <c r="FQ226" s="209"/>
      <c r="FR226" s="209"/>
      <c r="FS226" s="209"/>
      <c r="FT226" s="209"/>
      <c r="FU226" s="209"/>
      <c r="FV226" s="209"/>
      <c r="FW226" s="209"/>
      <c r="FX226" s="209"/>
      <c r="FY226" s="209"/>
      <c r="FZ226" s="209"/>
      <c r="GA226" s="209"/>
      <c r="GB226" s="209"/>
      <c r="GC226" s="209"/>
      <c r="GD226" s="209"/>
      <c r="GE226" s="209"/>
      <c r="GF226" s="209"/>
      <c r="GG226" s="209"/>
      <c r="GH226" s="209"/>
      <c r="GI226" s="209"/>
      <c r="GJ226" s="209"/>
      <c r="GK226" s="209"/>
      <c r="GL226" s="209"/>
      <c r="GM226" s="209"/>
      <c r="GN226" s="209"/>
      <c r="GO226" s="209"/>
      <c r="GP226" s="209"/>
      <c r="GQ226" s="209"/>
      <c r="GR226" s="209"/>
      <c r="GS226" s="209"/>
      <c r="GT226" s="209"/>
      <c r="GU226" s="209"/>
      <c r="GV226" s="209"/>
      <c r="GW226" s="209"/>
      <c r="GX226" s="209"/>
      <c r="GY226" s="209"/>
      <c r="GZ226" s="209"/>
      <c r="HA226" s="209"/>
      <c r="HB226" s="209"/>
      <c r="HC226" s="209"/>
      <c r="HD226" s="209"/>
      <c r="HE226" s="209"/>
      <c r="HF226" s="209"/>
      <c r="HG226" s="209"/>
      <c r="HH226" s="209"/>
      <c r="HI226" s="209"/>
      <c r="HJ226" s="209"/>
      <c r="HK226" s="209"/>
      <c r="HL226" s="209"/>
      <c r="HM226" s="209"/>
      <c r="HN226" s="209"/>
      <c r="HO226" s="209"/>
      <c r="HP226" s="209"/>
      <c r="HQ226" s="209"/>
      <c r="HR226" s="209"/>
      <c r="HS226" s="209"/>
      <c r="HT226" s="209"/>
      <c r="HU226" s="209"/>
      <c r="HV226" s="209"/>
      <c r="HW226" s="209"/>
      <c r="HX226" s="209"/>
      <c r="HY226" s="209"/>
      <c r="HZ226" s="209"/>
      <c r="IA226" s="209"/>
      <c r="IB226" s="209"/>
      <c r="IC226" s="209"/>
      <c r="ID226" s="209"/>
      <c r="IE226" s="209"/>
      <c r="IF226" s="209"/>
      <c r="IG226" s="209"/>
      <c r="IH226" s="209"/>
      <c r="II226" s="209"/>
      <c r="IJ226" s="209"/>
      <c r="IK226" s="209"/>
      <c r="IL226" s="209"/>
      <c r="IM226" s="209"/>
      <c r="IN226" s="209"/>
      <c r="IO226" s="209"/>
      <c r="IP226" s="209"/>
      <c r="IQ226" s="209"/>
      <c r="IR226" s="209"/>
      <c r="IS226" s="209"/>
      <c r="IT226" s="209"/>
      <c r="IU226" s="209"/>
      <c r="IV226" s="209"/>
      <c r="IW226" s="209"/>
      <c r="IX226" s="209"/>
    </row>
    <row r="227" s="332" customFormat="true" ht="17.4" hidden="false" customHeight="false" outlineLevel="0" collapsed="false">
      <c r="A227" s="75" t="s">
        <v>137</v>
      </c>
      <c r="B227" s="76" t="s">
        <v>254</v>
      </c>
      <c r="C227" s="77" t="n">
        <f aca="false">'Input data plant-based products'!D38</f>
        <v>1</v>
      </c>
      <c r="D227" s="78" t="s">
        <v>133</v>
      </c>
      <c r="E227" s="79" t="n">
        <f aca="false">IF($F$1="GWP100 without fb",E228+E229*'Common input data'!$C$5+E230*'Common input data'!$D$5,IF($F$1="GWP100 with fb",E228+E229*'Common input data'!$C$6+E230*'Common input data'!$D$6,IF($F$1="GTP100 without fb",E228+E229*'Common input data'!$C$7+E230*'Common input data'!$D$7,IF($F$1="GTP100 with fb",E228+E229*'Common input data'!$C$8+E230*'Common input data'!$D$8,E228+E229*'Common input data'!$C$9+E230*'Common input data'!$D$9))))</f>
        <v>0.364488231973379</v>
      </c>
      <c r="F227" s="80" t="n">
        <f aca="false">IF($F$1="GWP100 without fb",F228+F229*'Common input data'!$C$5+F230*'Common input data'!$D$5,IF($F$1="GWP100 with fb",F228+F229*'Common input data'!$C$6+F230*'Common input data'!$D$6,IF($F$1="GTP100 without fb",F228+F229*'Common input data'!$C$7+F230*'Common input data'!$D$7,IF($F$1="GTP100 with fb",F228+F229*'Common input data'!$C$8+F230*'Common input data'!$D$8,F228+F229*'Common input data'!$C$9+F230*'Common input data'!$D$9))))</f>
        <v>0.49501934148737</v>
      </c>
      <c r="G227" s="81" t="n">
        <f aca="false">IF($F$1="GWP100 without fb",G228+G229*'Common input data'!$C$5+G230*'Common input data'!$D$5,IF($F$1="GWP100 with fb",G228+G229*'Common input data'!$C$6+G230*'Common input data'!$D$6,IF($F$1="GTP100 without fb",G228+G229*'Common input data'!$C$7+G230*'Common input data'!$D$7,IF($F$1="GTP100 with fb",G228+G229*'Common input data'!$C$8+G230*'Common input data'!$D$8,G228+G229*'Common input data'!$C$9+G230*'Common input data'!$D$9))))</f>
        <v>0.617573224523137</v>
      </c>
      <c r="H227" s="95"/>
      <c r="I227" s="97"/>
      <c r="J227" s="97"/>
      <c r="K227" s="83"/>
      <c r="L227" s="83"/>
      <c r="M227" s="83"/>
      <c r="N227" s="83"/>
      <c r="O227" s="83"/>
      <c r="P227" s="83"/>
      <c r="Q227" s="83"/>
      <c r="R227" s="83"/>
      <c r="S227" s="83"/>
      <c r="T227" s="83"/>
      <c r="U227" s="83"/>
      <c r="V227" s="309"/>
      <c r="W227" s="92"/>
      <c r="X227" s="209"/>
      <c r="Y227" s="209"/>
      <c r="Z227" s="30"/>
      <c r="AA227" s="209"/>
      <c r="AB227" s="209"/>
      <c r="AC227" s="209"/>
      <c r="AD227" s="209"/>
      <c r="AE227" s="209"/>
      <c r="AF227" s="209"/>
      <c r="AG227" s="209"/>
      <c r="AH227" s="209"/>
      <c r="AI227" s="209"/>
      <c r="AJ227" s="209"/>
      <c r="AK227" s="209"/>
      <c r="AL227" s="209"/>
      <c r="AM227" s="209"/>
      <c r="AN227" s="209"/>
      <c r="AO227" s="209"/>
      <c r="AP227" s="209"/>
      <c r="AQ227" s="209"/>
      <c r="AR227" s="209"/>
      <c r="AS227" s="209"/>
      <c r="AT227" s="209"/>
      <c r="AU227" s="209"/>
      <c r="AV227" s="209"/>
      <c r="AW227" s="209"/>
      <c r="AX227" s="209"/>
      <c r="AY227" s="209"/>
      <c r="AZ227" s="209"/>
      <c r="BA227" s="209"/>
      <c r="BB227" s="209"/>
      <c r="BC227" s="209"/>
      <c r="BD227" s="209"/>
      <c r="BE227" s="209"/>
      <c r="BF227" s="209"/>
      <c r="BG227" s="209"/>
      <c r="BH227" s="209"/>
      <c r="BI227" s="209"/>
      <c r="BJ227" s="209"/>
      <c r="BK227" s="209"/>
      <c r="BL227" s="209"/>
      <c r="BM227" s="209"/>
      <c r="BN227" s="209"/>
      <c r="BO227" s="209"/>
      <c r="BP227" s="209"/>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209"/>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209"/>
      <c r="EC227" s="209"/>
      <c r="ED227" s="209"/>
      <c r="EE227" s="209"/>
      <c r="EF227" s="209"/>
      <c r="EG227" s="209"/>
      <c r="EH227" s="209"/>
      <c r="EI227" s="209"/>
      <c r="EJ227" s="209"/>
      <c r="EK227" s="209"/>
      <c r="EL227" s="209"/>
      <c r="EM227" s="209"/>
      <c r="EN227" s="209"/>
      <c r="EO227" s="209"/>
      <c r="EP227" s="209"/>
      <c r="EQ227" s="209"/>
      <c r="ER227" s="209"/>
      <c r="ES227" s="209"/>
      <c r="ET227" s="209"/>
      <c r="EU227" s="209"/>
      <c r="EV227" s="209"/>
      <c r="EW227" s="209"/>
      <c r="EX227" s="209"/>
      <c r="EY227" s="209"/>
      <c r="EZ227" s="209"/>
      <c r="FA227" s="209"/>
      <c r="FB227" s="209"/>
      <c r="FC227" s="209"/>
      <c r="FD227" s="209"/>
      <c r="FE227" s="209"/>
      <c r="FF227" s="209"/>
      <c r="FG227" s="209"/>
      <c r="FH227" s="209"/>
      <c r="FI227" s="209"/>
      <c r="FJ227" s="209"/>
      <c r="FK227" s="209"/>
      <c r="FL227" s="209"/>
      <c r="FM227" s="209"/>
      <c r="FN227" s="209"/>
      <c r="FO227" s="209"/>
      <c r="FP227" s="209"/>
      <c r="FQ227" s="209"/>
      <c r="FR227" s="209"/>
      <c r="FS227" s="209"/>
      <c r="FT227" s="209"/>
      <c r="FU227" s="209"/>
      <c r="FV227" s="209"/>
      <c r="FW227" s="209"/>
      <c r="FX227" s="209"/>
      <c r="FY227" s="209"/>
      <c r="FZ227" s="209"/>
      <c r="GA227" s="209"/>
      <c r="GB227" s="209"/>
      <c r="GC227" s="209"/>
      <c r="GD227" s="209"/>
      <c r="GE227" s="209"/>
      <c r="GF227" s="209"/>
      <c r="GG227" s="209"/>
      <c r="GH227" s="209"/>
      <c r="GI227" s="209"/>
      <c r="GJ227" s="209"/>
      <c r="GK227" s="209"/>
      <c r="GL227" s="209"/>
      <c r="GM227" s="209"/>
      <c r="GN227" s="209"/>
      <c r="GO227" s="209"/>
      <c r="GP227" s="209"/>
      <c r="GQ227" s="209"/>
      <c r="GR227" s="209"/>
      <c r="GS227" s="209"/>
      <c r="GT227" s="209"/>
      <c r="GU227" s="209"/>
      <c r="GV227" s="209"/>
      <c r="GW227" s="209"/>
      <c r="GX227" s="209"/>
      <c r="GY227" s="209"/>
      <c r="GZ227" s="209"/>
      <c r="HA227" s="209"/>
      <c r="HB227" s="209"/>
      <c r="HC227" s="209"/>
      <c r="HD227" s="209"/>
      <c r="HE227" s="209"/>
      <c r="HF227" s="209"/>
      <c r="HG227" s="209"/>
      <c r="HH227" s="209"/>
      <c r="HI227" s="209"/>
      <c r="HJ227" s="209"/>
      <c r="HK227" s="209"/>
      <c r="HL227" s="209"/>
      <c r="HM227" s="209"/>
      <c r="HN227" s="209"/>
      <c r="HO227" s="209"/>
      <c r="HP227" s="209"/>
      <c r="HQ227" s="209"/>
      <c r="HR227" s="209"/>
      <c r="HS227" s="209"/>
      <c r="HT227" s="209"/>
      <c r="HU227" s="209"/>
      <c r="HV227" s="209"/>
      <c r="HW227" s="209"/>
      <c r="HX227" s="209"/>
      <c r="HY227" s="209"/>
      <c r="HZ227" s="209"/>
      <c r="IA227" s="209"/>
      <c r="IB227" s="209"/>
      <c r="IC227" s="209"/>
      <c r="ID227" s="209"/>
      <c r="IE227" s="209"/>
      <c r="IF227" s="209"/>
      <c r="IG227" s="209"/>
      <c r="IH227" s="209"/>
      <c r="II227" s="209"/>
      <c r="IJ227" s="209"/>
      <c r="IK227" s="209"/>
      <c r="IL227" s="209"/>
      <c r="IM227" s="209"/>
      <c r="IN227" s="209"/>
      <c r="IO227" s="209"/>
      <c r="IP227" s="209"/>
      <c r="IQ227" s="209"/>
      <c r="IR227" s="209"/>
      <c r="IS227" s="209"/>
      <c r="IT227" s="209"/>
      <c r="IU227" s="209"/>
      <c r="IV227" s="209"/>
      <c r="IW227" s="209"/>
      <c r="IX227" s="209"/>
    </row>
    <row r="228" s="209" customFormat="true" ht="17.4" hidden="false" customHeight="false" outlineLevel="0" collapsed="false">
      <c r="A228" s="99"/>
      <c r="B228" s="31"/>
      <c r="C228" s="30"/>
      <c r="D228" s="85" t="s">
        <v>134</v>
      </c>
      <c r="E228" s="217" t="n">
        <f aca="false">IF(AND($F$2="No",$F$3="No"),SUM(J228:K228),IF(AND($F$2="Yes", $F$3="No"), (SUM(J228:K228)+Q228), IF(AND($F$2="No", $F$3="Yes"),(SUM(J228:K228)+P228), (SUM(J228:K228)+Q228+P228))))</f>
        <v>0.238291206237002</v>
      </c>
      <c r="F228" s="89" t="n">
        <f aca="false">IF(AND($F$2="No",$F$3="No"),SUM(H228:O228),IF(AND($F$2="Yes", $F$3="No"), (SUM(H228:O228)+Q228), IF(AND($F$2="No", $F$3="Yes"),(SUM(H228:O228)+P228), (SUM(H228:O228)+Q228+P228))))</f>
        <v>0.367006493424042</v>
      </c>
      <c r="G228" s="88" t="n">
        <f aca="false">SUM(S228:U228)/(1-'Common input data'!$B$124)</f>
        <v>0.480086879882334</v>
      </c>
      <c r="H228" s="87" t="n">
        <v>0</v>
      </c>
      <c r="I228" s="87" t="n">
        <f aca="false">'Common input data'!B81</f>
        <v>0.03</v>
      </c>
      <c r="J228" s="87" t="n">
        <v>0</v>
      </c>
      <c r="K228" s="87" t="n">
        <v>0</v>
      </c>
      <c r="L228" s="87" t="n">
        <f aca="false">('Input data plant-based products'!$I$38*'Common input data'!$C$59*'Common input data'!H49)/'Input data plant-based products'!$E$38</f>
        <v>0.0787152871870398</v>
      </c>
      <c r="M228" s="87" t="n">
        <v>0</v>
      </c>
      <c r="N228" s="87" t="n">
        <f aca="false">'Input data plant-based products'!G152</f>
        <v>0.02</v>
      </c>
      <c r="O228" s="87" t="n">
        <v>0</v>
      </c>
      <c r="P228" s="87" t="n">
        <f aca="false">'Common input data'!C13</f>
        <v>0.238291206237002</v>
      </c>
      <c r="Q228" s="87" t="n">
        <v>0</v>
      </c>
      <c r="R228" s="87" t="n">
        <v>0</v>
      </c>
      <c r="S228" s="89" t="n">
        <f aca="false">(F228+R228)</f>
        <v>0.367006493424042</v>
      </c>
      <c r="T228" s="89" t="n">
        <f aca="false">'Common input data'!B88</f>
        <v>0.05</v>
      </c>
      <c r="U228" s="89" t="n">
        <f aca="false">'Common input data'!C98</f>
        <v>0.03</v>
      </c>
      <c r="V228" s="309"/>
      <c r="W228" s="92"/>
      <c r="Z228" s="30"/>
    </row>
    <row r="229" s="209" customFormat="true" ht="17.4" hidden="false" customHeight="false" outlineLevel="0" collapsed="false">
      <c r="A229" s="99"/>
      <c r="B229" s="31"/>
      <c r="C229" s="93"/>
      <c r="D229" s="85" t="s">
        <v>135</v>
      </c>
      <c r="E229" s="86" t="n">
        <f aca="false">SUM(J229:K229)</f>
        <v>0</v>
      </c>
      <c r="F229" s="87" t="n">
        <f aca="false">SUM(H229:O229)</f>
        <v>3.48682179675994E-005</v>
      </c>
      <c r="G229" s="88" t="n">
        <f aca="false">SUM(S229:U229)/(1-'Common input data'!$B$124)</f>
        <v>3.74486147682024E-005</v>
      </c>
      <c r="H229" s="87" t="n">
        <v>0</v>
      </c>
      <c r="I229" s="87" t="n">
        <v>0</v>
      </c>
      <c r="J229" s="87" t="n">
        <v>0</v>
      </c>
      <c r="K229" s="87" t="n">
        <v>0</v>
      </c>
      <c r="L229" s="87" t="n">
        <f aca="false">('Input data plant-based products'!$I$38*'Common input data'!$C$59*'Common input data'!H50)/'Input data plant-based products'!$E$38</f>
        <v>3.48682179675994E-005</v>
      </c>
      <c r="M229" s="87" t="n">
        <v>0</v>
      </c>
      <c r="N229" s="87" t="n">
        <v>0</v>
      </c>
      <c r="O229" s="87" t="n">
        <v>0</v>
      </c>
      <c r="P229" s="87" t="n">
        <v>0</v>
      </c>
      <c r="Q229" s="87" t="n">
        <v>0</v>
      </c>
      <c r="R229" s="87" t="n">
        <v>0</v>
      </c>
      <c r="S229" s="89" t="n">
        <f aca="false">(F229+R229)</f>
        <v>3.48682179675994E-005</v>
      </c>
      <c r="T229" s="89" t="n">
        <v>0</v>
      </c>
      <c r="U229" s="89" t="n">
        <v>0</v>
      </c>
      <c r="V229" s="309"/>
      <c r="W229" s="92"/>
      <c r="Z229" s="30"/>
    </row>
    <row r="230" s="209" customFormat="true" ht="17.4" hidden="false" customHeight="false" outlineLevel="0" collapsed="false">
      <c r="A230" s="100"/>
      <c r="B230" s="101"/>
      <c r="C230" s="87"/>
      <c r="D230" s="31" t="s">
        <v>136</v>
      </c>
      <c r="E230" s="104" t="n">
        <f aca="false">SUM(J230:K230)</f>
        <v>0.000423479952135493</v>
      </c>
      <c r="F230" s="105" t="n">
        <f aca="false">SUM(H230:O230)</f>
        <v>0.000425595062592047</v>
      </c>
      <c r="G230" s="106" t="n">
        <f aca="false">SUM(S230:U230)/(1-'Common input data'!$B$124)</f>
        <v>0.000457090911874779</v>
      </c>
      <c r="H230" s="87" t="n">
        <v>0</v>
      </c>
      <c r="I230" s="87" t="n">
        <v>0</v>
      </c>
      <c r="J230" s="87" t="n">
        <f aca="false">(SUM('Input data plant-based products'!F38:H38)*'Input data plant-based products'!B114*44/28)/'Input data plant-based products'!E38</f>
        <v>0.00038498177466863</v>
      </c>
      <c r="K230" s="87" t="n">
        <f aca="false">J230*'Input data plant-based products'!B115</f>
        <v>3.8498177466863E-005</v>
      </c>
      <c r="L230" s="87" t="n">
        <f aca="false">('Input data plant-based products'!$I$38*'Common input data'!$C$59*'Common input data'!H51)/'Input data plant-based products'!$E$38</f>
        <v>2.11511045655376E-006</v>
      </c>
      <c r="M230" s="87" t="n">
        <v>0</v>
      </c>
      <c r="N230" s="87" t="n">
        <v>0</v>
      </c>
      <c r="O230" s="87" t="n">
        <v>0</v>
      </c>
      <c r="P230" s="87" t="n">
        <v>0</v>
      </c>
      <c r="Q230" s="87" t="n">
        <v>0</v>
      </c>
      <c r="R230" s="87" t="n">
        <v>0</v>
      </c>
      <c r="S230" s="89" t="n">
        <f aca="false">(F230+R230)</f>
        <v>0.000425595062592047</v>
      </c>
      <c r="T230" s="89" t="n">
        <v>0</v>
      </c>
      <c r="U230" s="89" t="n">
        <v>0</v>
      </c>
      <c r="V230" s="309"/>
      <c r="W230" s="92"/>
      <c r="Z230" s="30"/>
    </row>
    <row r="231" s="332" customFormat="true" ht="17.4" hidden="false" customHeight="false" outlineLevel="0" collapsed="false">
      <c r="A231" s="107" t="s">
        <v>315</v>
      </c>
      <c r="B231" s="108"/>
      <c r="C231" s="69"/>
      <c r="D231" s="109"/>
      <c r="E231" s="110" t="s">
        <v>316</v>
      </c>
      <c r="F231" s="111" t="s">
        <v>316</v>
      </c>
      <c r="G231" s="112" t="s">
        <v>316</v>
      </c>
      <c r="H231" s="69"/>
      <c r="I231" s="69"/>
      <c r="J231" s="69"/>
      <c r="K231" s="113"/>
      <c r="L231" s="113"/>
      <c r="M231" s="114"/>
      <c r="N231" s="113"/>
      <c r="O231" s="113"/>
      <c r="P231" s="113"/>
      <c r="Q231" s="113"/>
      <c r="R231" s="113"/>
      <c r="S231" s="113"/>
      <c r="T231" s="113"/>
      <c r="U231" s="113"/>
      <c r="V231" s="309"/>
      <c r="W231" s="92"/>
      <c r="X231" s="209"/>
      <c r="Y231" s="209"/>
      <c r="Z231" s="30"/>
      <c r="AA231" s="209"/>
      <c r="AB231" s="209"/>
      <c r="AC231" s="209"/>
      <c r="AD231" s="209"/>
      <c r="AE231" s="209"/>
      <c r="AF231" s="209"/>
      <c r="AG231" s="209"/>
      <c r="AH231" s="209"/>
      <c r="AI231" s="209"/>
      <c r="AJ231" s="209"/>
      <c r="AK231" s="209"/>
      <c r="AL231" s="209"/>
      <c r="AM231" s="209"/>
      <c r="AN231" s="209"/>
      <c r="AO231" s="209"/>
      <c r="AP231" s="209"/>
      <c r="AQ231" s="209"/>
      <c r="AR231" s="209"/>
      <c r="AS231" s="209"/>
      <c r="AT231" s="209"/>
      <c r="AU231" s="209"/>
      <c r="AV231" s="209"/>
      <c r="AW231" s="209"/>
      <c r="AX231" s="209"/>
      <c r="AY231" s="209"/>
      <c r="AZ231" s="209"/>
      <c r="BA231" s="209"/>
      <c r="BB231" s="209"/>
      <c r="BC231" s="209"/>
      <c r="BD231" s="209"/>
      <c r="BE231" s="209"/>
      <c r="BF231" s="209"/>
      <c r="BG231" s="209"/>
      <c r="BH231" s="209"/>
      <c r="BI231" s="209"/>
      <c r="BJ231" s="209"/>
      <c r="BK231" s="209"/>
      <c r="BL231" s="209"/>
      <c r="BM231" s="209"/>
      <c r="BN231" s="209"/>
      <c r="BO231" s="209"/>
      <c r="BP231" s="209"/>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209"/>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209"/>
      <c r="EC231" s="209"/>
      <c r="ED231" s="209"/>
      <c r="EE231" s="209"/>
      <c r="EF231" s="209"/>
      <c r="EG231" s="209"/>
      <c r="EH231" s="209"/>
      <c r="EI231" s="209"/>
      <c r="EJ231" s="209"/>
      <c r="EK231" s="209"/>
      <c r="EL231" s="209"/>
      <c r="EM231" s="209"/>
      <c r="EN231" s="209"/>
      <c r="EO231" s="209"/>
      <c r="EP231" s="209"/>
      <c r="EQ231" s="209"/>
      <c r="ER231" s="209"/>
      <c r="ES231" s="209"/>
      <c r="ET231" s="209"/>
      <c r="EU231" s="209"/>
      <c r="EV231" s="209"/>
      <c r="EW231" s="209"/>
      <c r="EX231" s="209"/>
      <c r="EY231" s="209"/>
      <c r="EZ231" s="209"/>
      <c r="FA231" s="209"/>
      <c r="FB231" s="209"/>
      <c r="FC231" s="209"/>
      <c r="FD231" s="209"/>
      <c r="FE231" s="209"/>
      <c r="FF231" s="209"/>
      <c r="FG231" s="209"/>
      <c r="FH231" s="209"/>
      <c r="FI231" s="209"/>
      <c r="FJ231" s="209"/>
      <c r="FK231" s="209"/>
      <c r="FL231" s="209"/>
      <c r="FM231" s="209"/>
      <c r="FN231" s="209"/>
      <c r="FO231" s="209"/>
      <c r="FP231" s="209"/>
      <c r="FQ231" s="209"/>
      <c r="FR231" s="209"/>
      <c r="FS231" s="209"/>
      <c r="FT231" s="209"/>
      <c r="FU231" s="209"/>
      <c r="FV231" s="209"/>
      <c r="FW231" s="209"/>
      <c r="FX231" s="209"/>
      <c r="FY231" s="209"/>
      <c r="FZ231" s="209"/>
      <c r="GA231" s="209"/>
      <c r="GB231" s="209"/>
      <c r="GC231" s="209"/>
      <c r="GD231" s="209"/>
      <c r="GE231" s="209"/>
      <c r="GF231" s="209"/>
      <c r="GG231" s="209"/>
      <c r="GH231" s="209"/>
      <c r="GI231" s="209"/>
      <c r="GJ231" s="209"/>
      <c r="GK231" s="209"/>
      <c r="GL231" s="209"/>
      <c r="GM231" s="209"/>
      <c r="GN231" s="209"/>
      <c r="GO231" s="209"/>
      <c r="GP231" s="209"/>
      <c r="GQ231" s="209"/>
      <c r="GR231" s="209"/>
      <c r="GS231" s="209"/>
      <c r="GT231" s="209"/>
      <c r="GU231" s="209"/>
      <c r="GV231" s="209"/>
      <c r="GW231" s="209"/>
      <c r="GX231" s="209"/>
      <c r="GY231" s="209"/>
      <c r="GZ231" s="209"/>
      <c r="HA231" s="209"/>
      <c r="HB231" s="209"/>
      <c r="HC231" s="209"/>
      <c r="HD231" s="209"/>
      <c r="HE231" s="209"/>
      <c r="HF231" s="209"/>
      <c r="HG231" s="209"/>
      <c r="HH231" s="209"/>
      <c r="HI231" s="209"/>
      <c r="HJ231" s="209"/>
      <c r="HK231" s="209"/>
      <c r="HL231" s="209"/>
      <c r="HM231" s="209"/>
      <c r="HN231" s="209"/>
      <c r="HO231" s="209"/>
      <c r="HP231" s="209"/>
      <c r="HQ231" s="209"/>
      <c r="HR231" s="209"/>
      <c r="HS231" s="209"/>
      <c r="HT231" s="209"/>
      <c r="HU231" s="209"/>
      <c r="HV231" s="209"/>
      <c r="HW231" s="209"/>
      <c r="HX231" s="209"/>
      <c r="HY231" s="209"/>
      <c r="HZ231" s="209"/>
      <c r="IA231" s="209"/>
      <c r="IB231" s="209"/>
      <c r="IC231" s="209"/>
      <c r="ID231" s="209"/>
      <c r="IE231" s="209"/>
      <c r="IF231" s="209"/>
      <c r="IG231" s="209"/>
      <c r="IH231" s="209"/>
      <c r="II231" s="209"/>
      <c r="IJ231" s="209"/>
      <c r="IK231" s="209"/>
      <c r="IL231" s="209"/>
      <c r="IM231" s="209"/>
      <c r="IN231" s="209"/>
      <c r="IO231" s="209"/>
      <c r="IP231" s="209"/>
      <c r="IQ231" s="209"/>
      <c r="IR231" s="209"/>
      <c r="IS231" s="209"/>
      <c r="IT231" s="209"/>
      <c r="IU231" s="209"/>
      <c r="IV231" s="209"/>
      <c r="IW231" s="209"/>
      <c r="IX231" s="209"/>
    </row>
    <row r="232" s="209" customFormat="true" ht="17.4" hidden="false" customHeight="false" outlineLevel="0" collapsed="false">
      <c r="A232" s="330" t="s">
        <v>272</v>
      </c>
      <c r="B232" s="76"/>
      <c r="C232" s="77" t="n">
        <f aca="false">SUM(C236:C247)</f>
        <v>1</v>
      </c>
      <c r="D232" s="78" t="s">
        <v>133</v>
      </c>
      <c r="E232" s="79" t="n">
        <f aca="false">IF($F$1="GWP100 without fb",E233+E234*'Common input data'!$C$5+E235*'Common input data'!$D$5,IF($F$1="GWP100 with fb",E233+E234*'Common input data'!$C$6+E235*'Common input data'!$D$6,IF($F$1="GTP100 without fb",E233+E234*'Common input data'!$C$7+E235*'Common input data'!$D$7,IF($F$1="GTP100 with fb",E233+E234*'Common input data'!$C$8+E235*'Common input data'!$D$8,E233+E234*'Common input data'!$C$9+E235*'Common input data'!$D$9))))</f>
        <v>0.482008736635087</v>
      </c>
      <c r="F232" s="80" t="n">
        <f aca="false">IF($F$1="GWP100 without fb",F233+F234*'Common input data'!$C$5+F235*'Common input data'!$D$5,IF($F$1="GWP100 with fb",F233+F234*'Common input data'!$C$6+F235*'Common input data'!$D$6,IF($F$1="GTP100 without fb",F233+F234*'Common input data'!$C$7+F235*'Common input data'!$D$7,IF($F$1="GTP100 with fb",F233+F234*'Common input data'!$C$8+F235*'Common input data'!$D$8,F233+F234*'Common input data'!$C$9+F235*'Common input data'!$D$9))))</f>
        <v>0.830863705799456</v>
      </c>
      <c r="G232" s="81" t="n">
        <f aca="false">IF($F$1="GWP100 without fb",G233+G234*'Common input data'!$C$5+G235*'Common input data'!$D$5,IF($F$1="GWP100 with fb",G233+G234*'Common input data'!$C$6+G235*'Common input data'!$D$6,IF($F$1="GTP100 without fb",G233+G234*'Common input data'!$C$7+G235*'Common input data'!$D$7,IF($F$1="GTP100 with fb",G233+G234*'Common input data'!$C$8+G235*'Common input data'!$D$8,G233+G234*'Common input data'!$C$9+G235*'Common input data'!$D$9))))</f>
        <v>1.15989039136556</v>
      </c>
      <c r="H232" s="95"/>
      <c r="I232" s="97"/>
      <c r="J232" s="97"/>
      <c r="K232" s="83"/>
      <c r="L232" s="83"/>
      <c r="M232" s="83"/>
      <c r="N232" s="83"/>
      <c r="O232" s="83"/>
      <c r="P232" s="83"/>
      <c r="Q232" s="83"/>
      <c r="R232" s="83"/>
      <c r="S232" s="83"/>
      <c r="T232" s="83"/>
      <c r="U232" s="83"/>
      <c r="V232" s="309"/>
      <c r="W232" s="92"/>
      <c r="Z232" s="30"/>
    </row>
    <row r="233" s="209" customFormat="true" ht="17.4" hidden="false" customHeight="false" outlineLevel="0" collapsed="false">
      <c r="A233" s="315"/>
      <c r="B233" s="31"/>
      <c r="C233" s="30"/>
      <c r="D233" s="85" t="s">
        <v>134</v>
      </c>
      <c r="E233" s="217" t="n">
        <f aca="false">E237*$C$236+E241*$C$240+E245*$C$244</f>
        <v>0.248915654922728</v>
      </c>
      <c r="F233" s="89" t="n">
        <f aca="false">F237*$C$236+F241*$C$240+F245*$C$244</f>
        <v>0.522572895279964</v>
      </c>
      <c r="G233" s="88" t="n">
        <f aca="false">G237*$C$236+G241*$C$240+G245*$C$244</f>
        <v>0.82215998165561</v>
      </c>
      <c r="H233" s="89" t="n">
        <f aca="false">H237*$C$236+H241*$C$240+H245*$C$244</f>
        <v>0.0452750963769186</v>
      </c>
      <c r="I233" s="89" t="n">
        <f aca="false">I237*$C$236+I241*$C$240+I245*$C$244</f>
        <v>0.03</v>
      </c>
      <c r="J233" s="89" t="n">
        <f aca="false">J237*$C$236+J241*$C$240+J245*$C$244</f>
        <v>0</v>
      </c>
      <c r="K233" s="89" t="n">
        <f aca="false">K237*$C$236+K241*$C$240+K245*$C$244</f>
        <v>0</v>
      </c>
      <c r="L233" s="89" t="n">
        <f aca="false">L237*$C$236+L241*$C$240+L245*$C$244</f>
        <v>0.123826620413849</v>
      </c>
      <c r="M233" s="89" t="n">
        <f aca="false">M237*$C$236+M241*$C$240+M245*$C$244</f>
        <v>0</v>
      </c>
      <c r="N233" s="89" t="n">
        <f aca="false">N237*$C$236+N241*$C$240+N245*$C$244</f>
        <v>0.02</v>
      </c>
      <c r="O233" s="89" t="n">
        <f aca="false">O237*$C$236+O241*$C$240+O245*$C$244</f>
        <v>0.0428750316</v>
      </c>
      <c r="P233" s="89" t="n">
        <f aca="false">P237*$C$236+P241*$C$240+P245*$C$244</f>
        <v>0.238291206237002</v>
      </c>
      <c r="Q233" s="89" t="n">
        <f aca="false">Q237*$C$236+Q241*$C$240+Q245*$C$244</f>
        <v>0</v>
      </c>
      <c r="R233" s="89" t="n">
        <f aca="false">R237*$C$236+R241*$C$240+R245*$C$244</f>
        <v>0</v>
      </c>
      <c r="S233" s="89" t="n">
        <f aca="false">S237*$C$236+S241*$C$240+S245*$C$244</f>
        <v>0.522572895279964</v>
      </c>
      <c r="T233" s="89" t="n">
        <f aca="false">T237*$C$236+T241*$C$240+T245*$C$244</f>
        <v>0.05</v>
      </c>
      <c r="U233" s="89" t="n">
        <f aca="false">U237*$C$236+U241*$C$240+U245*$C$244</f>
        <v>0.177</v>
      </c>
      <c r="V233" s="309"/>
      <c r="W233" s="92"/>
      <c r="Z233" s="30"/>
    </row>
    <row r="234" s="209" customFormat="true" ht="17.4" hidden="false" customHeight="false" outlineLevel="0" collapsed="false">
      <c r="A234" s="315"/>
      <c r="B234" s="31"/>
      <c r="C234" s="93"/>
      <c r="D234" s="85" t="s">
        <v>135</v>
      </c>
      <c r="E234" s="217" t="n">
        <f aca="false">E238*$C$236+E242*$C$240+E246*$C$244</f>
        <v>0</v>
      </c>
      <c r="F234" s="89" t="n">
        <f aca="false">F238*$C$236+F242*$C$240+F246*$C$244</f>
        <v>7.21058638021267E-005</v>
      </c>
      <c r="G234" s="88" t="n">
        <f aca="false">G238*$C$236+G242*$C$240+G246*$C$244</f>
        <v>7.92120774646076E-005</v>
      </c>
      <c r="H234" s="89" t="n">
        <f aca="false">H238*$C$236+H242*$C$240+H246*$C$244</f>
        <v>1.77047269696082E-010</v>
      </c>
      <c r="I234" s="89" t="n">
        <f aca="false">I238*$C$236+I242*$C$240+I246*$C$244</f>
        <v>0</v>
      </c>
      <c r="J234" s="89" t="n">
        <f aca="false">J238*$C$236+J242*$C$240+J246*$C$244</f>
        <v>0</v>
      </c>
      <c r="K234" s="89" t="n">
        <f aca="false">K238*$C$236+K242*$C$240+K246*$C$244</f>
        <v>0</v>
      </c>
      <c r="L234" s="89" t="n">
        <f aca="false">L238*$C$236+L242*$C$240+L246*$C$244</f>
        <v>5.48510174462297E-005</v>
      </c>
      <c r="M234" s="89" t="n">
        <f aca="false">M238*$C$236+M242*$C$240+M246*$C$244</f>
        <v>0</v>
      </c>
      <c r="N234" s="89" t="n">
        <f aca="false">N238*$C$236+N242*$C$240+N246*$C$244</f>
        <v>0</v>
      </c>
      <c r="O234" s="89" t="n">
        <f aca="false">O238*$C$236+O242*$C$240+O246*$C$244</f>
        <v>1.417698E-005</v>
      </c>
      <c r="P234" s="89" t="n">
        <f aca="false">P238*$C$236+P242*$C$240+P246*$C$244</f>
        <v>0</v>
      </c>
      <c r="Q234" s="89" t="n">
        <f aca="false">Q238*$C$236+Q242*$C$240+Q246*$C$244</f>
        <v>0</v>
      </c>
      <c r="R234" s="89" t="n">
        <f aca="false">R238*$C$236+R242*$C$240+R246*$C$244</f>
        <v>0</v>
      </c>
      <c r="S234" s="89" t="n">
        <f aca="false">S238*$C$236+S242*$C$240+S246*$C$244</f>
        <v>7.21058638021267E-005</v>
      </c>
      <c r="T234" s="89" t="n">
        <f aca="false">T238*$C$236+T242*$C$240+T246*$C$244</f>
        <v>0</v>
      </c>
      <c r="U234" s="89" t="n">
        <f aca="false">U238*$C$236+U242*$C$240+U246*$C$244</f>
        <v>0</v>
      </c>
      <c r="V234" s="309"/>
      <c r="W234" s="92"/>
      <c r="Z234" s="30"/>
    </row>
    <row r="235" s="332" customFormat="true" ht="17.4" hidden="false" customHeight="false" outlineLevel="0" collapsed="false">
      <c r="A235" s="74"/>
      <c r="B235" s="101"/>
      <c r="C235" s="87"/>
      <c r="D235" s="31" t="s">
        <v>136</v>
      </c>
      <c r="E235" s="217" t="n">
        <f aca="false">E239*$C$236+E243*$C$240+E247*$C$244</f>
        <v>0.000782191549370332</v>
      </c>
      <c r="F235" s="89" t="n">
        <f aca="false">F239*$C$236+F243*$C$240+F247*$C$244</f>
        <v>0.0010263060776853</v>
      </c>
      <c r="G235" s="88" t="n">
        <f aca="false">G239*$C$236+G243*$C$240+G247*$C$244</f>
        <v>0.00112428590294012</v>
      </c>
      <c r="H235" s="89" t="n">
        <f aca="false">H239*$C$236+H243*$C$240+H247*$C$244</f>
        <v>0.000229046126616392</v>
      </c>
      <c r="I235" s="89" t="n">
        <f aca="false">I239*$C$236+I243*$C$240+I247*$C$244</f>
        <v>0</v>
      </c>
      <c r="J235" s="89" t="n">
        <f aca="false">J239*$C$236+J243*$C$240+J247*$C$244</f>
        <v>0.000680732113365533</v>
      </c>
      <c r="K235" s="89" t="n">
        <f aca="false">K239*$C$236+K243*$C$240+K247*$C$244</f>
        <v>6.80732113365533E-005</v>
      </c>
      <c r="L235" s="89" t="n">
        <f aca="false">L239*$C$236+L243*$C$240+L247*$C$244</f>
        <v>3.32726956854917E-006</v>
      </c>
      <c r="M235" s="89" t="n">
        <f aca="false">M239*$C$236+M243*$C$240+M247*$C$244</f>
        <v>0</v>
      </c>
      <c r="N235" s="89" t="n">
        <f aca="false">N239*$C$236+N243*$C$240+N247*$C$244</f>
        <v>0</v>
      </c>
      <c r="O235" s="89" t="n">
        <f aca="false">O239*$C$236+O243*$C$240+O247*$C$244</f>
        <v>1.32160958E-006</v>
      </c>
      <c r="P235" s="89" t="n">
        <f aca="false">P239*$C$236+P243*$C$240+P247*$C$244</f>
        <v>0</v>
      </c>
      <c r="Q235" s="89" t="n">
        <f aca="false">Q239*$C$236+Q243*$C$240+Q247*$C$244</f>
        <v>0</v>
      </c>
      <c r="R235" s="89" t="n">
        <f aca="false">R239*$C$236+R243*$C$240+R247*$C$244</f>
        <v>0</v>
      </c>
      <c r="S235" s="89" t="n">
        <f aca="false">S239*$C$236+S243*$C$240+S247*$C$244</f>
        <v>0.0010263060776853</v>
      </c>
      <c r="T235" s="89" t="n">
        <f aca="false">T239*$C$236+T243*$C$240+T247*$C$244</f>
        <v>0</v>
      </c>
      <c r="U235" s="89" t="n">
        <f aca="false">U239*$C$236+U243*$C$240+U247*$C$244</f>
        <v>0</v>
      </c>
      <c r="V235" s="309"/>
      <c r="W235" s="92"/>
      <c r="X235" s="209"/>
      <c r="Y235" s="209"/>
      <c r="Z235" s="30"/>
      <c r="AA235" s="209"/>
      <c r="AB235" s="209"/>
      <c r="AC235" s="209"/>
      <c r="AD235" s="209"/>
      <c r="AE235" s="209"/>
      <c r="AF235" s="209"/>
      <c r="AG235" s="209"/>
      <c r="AH235" s="209"/>
      <c r="AI235" s="209"/>
      <c r="AJ235" s="209"/>
      <c r="AK235" s="209"/>
      <c r="AL235" s="209"/>
      <c r="AM235" s="209"/>
      <c r="AN235" s="209"/>
      <c r="AO235" s="209"/>
      <c r="AP235" s="209"/>
      <c r="AQ235" s="209"/>
      <c r="AR235" s="209"/>
      <c r="AS235" s="209"/>
      <c r="AT235" s="209"/>
      <c r="AU235" s="209"/>
      <c r="AV235" s="209"/>
      <c r="AW235" s="209"/>
      <c r="AX235" s="209"/>
      <c r="AY235" s="209"/>
      <c r="AZ235" s="209"/>
      <c r="BA235" s="209"/>
      <c r="BB235" s="209"/>
      <c r="BC235" s="209"/>
      <c r="BD235" s="209"/>
      <c r="BE235" s="209"/>
      <c r="BF235" s="209"/>
      <c r="BG235" s="209"/>
      <c r="BH235" s="209"/>
      <c r="BI235" s="209"/>
      <c r="BJ235" s="209"/>
      <c r="BK235" s="209"/>
      <c r="BL235" s="209"/>
      <c r="BM235" s="209"/>
      <c r="BN235" s="209"/>
      <c r="BO235" s="209"/>
      <c r="BP235" s="209"/>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209"/>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209"/>
      <c r="EC235" s="209"/>
      <c r="ED235" s="209"/>
      <c r="EE235" s="209"/>
      <c r="EF235" s="209"/>
      <c r="EG235" s="209"/>
      <c r="EH235" s="209"/>
      <c r="EI235" s="209"/>
      <c r="EJ235" s="209"/>
      <c r="EK235" s="209"/>
      <c r="EL235" s="209"/>
      <c r="EM235" s="209"/>
      <c r="EN235" s="209"/>
      <c r="EO235" s="209"/>
      <c r="EP235" s="209"/>
      <c r="EQ235" s="209"/>
      <c r="ER235" s="209"/>
      <c r="ES235" s="209"/>
      <c r="ET235" s="209"/>
      <c r="EU235" s="209"/>
      <c r="EV235" s="209"/>
      <c r="EW235" s="209"/>
      <c r="EX235" s="209"/>
      <c r="EY235" s="209"/>
      <c r="EZ235" s="209"/>
      <c r="FA235" s="209"/>
      <c r="FB235" s="209"/>
      <c r="FC235" s="209"/>
      <c r="FD235" s="209"/>
      <c r="FE235" s="209"/>
      <c r="FF235" s="209"/>
      <c r="FG235" s="209"/>
      <c r="FH235" s="209"/>
      <c r="FI235" s="209"/>
      <c r="FJ235" s="209"/>
      <c r="FK235" s="209"/>
      <c r="FL235" s="209"/>
      <c r="FM235" s="209"/>
      <c r="FN235" s="209"/>
      <c r="FO235" s="209"/>
      <c r="FP235" s="209"/>
      <c r="FQ235" s="209"/>
      <c r="FR235" s="209"/>
      <c r="FS235" s="209"/>
      <c r="FT235" s="209"/>
      <c r="FU235" s="209"/>
      <c r="FV235" s="209"/>
      <c r="FW235" s="209"/>
      <c r="FX235" s="209"/>
      <c r="FY235" s="209"/>
      <c r="FZ235" s="209"/>
      <c r="GA235" s="209"/>
      <c r="GB235" s="209"/>
      <c r="GC235" s="209"/>
      <c r="GD235" s="209"/>
      <c r="GE235" s="209"/>
      <c r="GF235" s="209"/>
      <c r="GG235" s="209"/>
      <c r="GH235" s="209"/>
      <c r="GI235" s="209"/>
      <c r="GJ235" s="209"/>
      <c r="GK235" s="209"/>
      <c r="GL235" s="209"/>
      <c r="GM235" s="209"/>
      <c r="GN235" s="209"/>
      <c r="GO235" s="209"/>
      <c r="GP235" s="209"/>
      <c r="GQ235" s="209"/>
      <c r="GR235" s="209"/>
      <c r="GS235" s="209"/>
      <c r="GT235" s="209"/>
      <c r="GU235" s="209"/>
      <c r="GV235" s="209"/>
      <c r="GW235" s="209"/>
      <c r="GX235" s="209"/>
      <c r="GY235" s="209"/>
      <c r="GZ235" s="209"/>
      <c r="HA235" s="209"/>
      <c r="HB235" s="209"/>
      <c r="HC235" s="209"/>
      <c r="HD235" s="209"/>
      <c r="HE235" s="209"/>
      <c r="HF235" s="209"/>
      <c r="HG235" s="209"/>
      <c r="HH235" s="209"/>
      <c r="HI235" s="209"/>
      <c r="HJ235" s="209"/>
      <c r="HK235" s="209"/>
      <c r="HL235" s="209"/>
      <c r="HM235" s="209"/>
      <c r="HN235" s="209"/>
      <c r="HO235" s="209"/>
      <c r="HP235" s="209"/>
      <c r="HQ235" s="209"/>
      <c r="HR235" s="209"/>
      <c r="HS235" s="209"/>
      <c r="HT235" s="209"/>
      <c r="HU235" s="209"/>
      <c r="HV235" s="209"/>
      <c r="HW235" s="209"/>
      <c r="HX235" s="209"/>
      <c r="HY235" s="209"/>
      <c r="HZ235" s="209"/>
      <c r="IA235" s="209"/>
      <c r="IB235" s="209"/>
      <c r="IC235" s="209"/>
      <c r="ID235" s="209"/>
      <c r="IE235" s="209"/>
      <c r="IF235" s="209"/>
      <c r="IG235" s="209"/>
      <c r="IH235" s="209"/>
      <c r="II235" s="209"/>
      <c r="IJ235" s="209"/>
      <c r="IK235" s="209"/>
      <c r="IL235" s="209"/>
      <c r="IM235" s="209"/>
      <c r="IN235" s="209"/>
      <c r="IO235" s="209"/>
      <c r="IP235" s="209"/>
      <c r="IQ235" s="209"/>
      <c r="IR235" s="209"/>
      <c r="IS235" s="209"/>
      <c r="IT235" s="209"/>
      <c r="IU235" s="209"/>
      <c r="IV235" s="209"/>
      <c r="IW235" s="209"/>
      <c r="IX235" s="209"/>
    </row>
    <row r="236" s="209" customFormat="true" ht="17.4" hidden="false" customHeight="false" outlineLevel="0" collapsed="false">
      <c r="A236" s="330" t="s">
        <v>137</v>
      </c>
      <c r="B236" s="76" t="s">
        <v>254</v>
      </c>
      <c r="C236" s="84" t="n">
        <f aca="false">'Input data plant-based products'!D40</f>
        <v>0.6</v>
      </c>
      <c r="D236" s="78" t="s">
        <v>133</v>
      </c>
      <c r="E236" s="94" t="n">
        <f aca="false">IF($F$1="GWP100 without fb",E237+E238*'Common input data'!$C$5+E239*'Common input data'!$D$5,IF($F$1="GWP100 with fb",E237+E238*'Common input data'!$C$6+E239*'Common input data'!$D$6,IF($F$1="GTP100 without fb",E237+E238*'Common input data'!$C$7+E239*'Common input data'!$D$7,IF($F$1="GTP100 with fb",E237+E238*'Common input data'!$C$8+E239*'Common input data'!$D$8,E237+E238*'Common input data'!$C$9+E239*'Common input data'!$D$9))))</f>
        <v>0.401112536070281</v>
      </c>
      <c r="F236" s="95" t="n">
        <f aca="false">IF($F$1="GWP100 without fb",F237+F238*'Common input data'!$C$5+F239*'Common input data'!$D$5,IF($F$1="GWP100 with fb",F237+F238*'Common input data'!$C$6+F239*'Common input data'!$D$6,IF($F$1="GTP100 without fb",F237+F238*'Common input data'!$C$7+F239*'Common input data'!$D$7,IF($F$1="GTP100 with fb",F237+F238*'Common input data'!$C$8+F239*'Common input data'!$D$8,F237+F238*'Common input data'!$C$9+F239*'Common input data'!$D$9))))</f>
        <v>0.67662020135656</v>
      </c>
      <c r="G236" s="96" t="n">
        <f aca="false">IF($F$1="GWP100 without fb",G237+G238*'Common input data'!$C$5+G239*'Common input data'!$D$5,IF($F$1="GWP100 with fb",G237+G238*'Common input data'!$C$6+G239*'Common input data'!$D$6,IF($F$1="GTP100 without fb",G237+G238*'Common input data'!$C$7+G239*'Common input data'!$D$7,IF($F$1="GTP100 with fb",G237+G238*'Common input data'!$C$8+G239*'Common input data'!$D$8,G237+G238*'Common input data'!$C$9+G239*'Common input data'!$D$9))))</f>
        <v>0.812613322331835</v>
      </c>
      <c r="H236" s="83"/>
      <c r="I236" s="83"/>
      <c r="J236" s="83"/>
      <c r="K236" s="83"/>
      <c r="L236" s="83"/>
      <c r="M236" s="83"/>
      <c r="N236" s="83"/>
      <c r="O236" s="83"/>
      <c r="P236" s="83"/>
      <c r="Q236" s="83"/>
      <c r="R236" s="83"/>
      <c r="S236" s="83"/>
      <c r="T236" s="83"/>
      <c r="U236" s="83"/>
      <c r="V236" s="309"/>
      <c r="W236" s="92"/>
      <c r="Z236" s="30"/>
    </row>
    <row r="237" s="209" customFormat="true" ht="17.4" hidden="false" customHeight="false" outlineLevel="0" collapsed="false">
      <c r="A237" s="315"/>
      <c r="B237" s="31"/>
      <c r="C237" s="30"/>
      <c r="D237" s="85" t="s">
        <v>134</v>
      </c>
      <c r="E237" s="217" t="n">
        <f aca="false">IF(AND($F$2="No",$F$3="No"),SUM(J237:K237)*'Input data plant-based products'!O$121,IF(AND($F$2="Yes", $F$3="No"), (SUM(J237:K237)+Q237)*'Input data plant-based products'!O$121, IF(AND($F$2="No", $F$3="Yes"),(SUM(J237:K237)+P237)*'Input data plant-based products'!O$121, (SUM(J237:K237)+Q237+P237)*'Input data plant-based products'!O$121)))</f>
        <v>0.248915654922728</v>
      </c>
      <c r="F237" s="89" t="n">
        <f aca="false">IF(AND($F$2="No",$F$3="No"),SUM(H237:O237)*'Input data plant-based products'!O$121,IF(AND($F$2="Yes", $F$3="No"), (SUM(H237:O237)+Q237)*'Input data plant-based products'!O$121, IF(AND($F$2="No", $F$3="Yes"),(SUM(H237:O237)+P237)*'Input data plant-based products'!O$121, (SUM(H237:O237)+Q237+P237)*'Input data plant-based products'!O$121)))</f>
        <v>0.475102212302857</v>
      </c>
      <c r="G237" s="88" t="n">
        <f aca="false">SUM(S237:U237)/(1-'Common input data'!B124)</f>
        <v>0.596182142856375</v>
      </c>
      <c r="H237" s="89" t="n">
        <f aca="false">('Input data plant-based products'!$F$40*('Common input data'!$B$76*'Common input data'!B69+'Common input data'!$B$77*'Common input data'!C69))/'Input data plant-based products'!$E$40</f>
        <v>0.0365542464646721</v>
      </c>
      <c r="I237" s="89" t="n">
        <f aca="false">'Common input data'!$B$81</f>
        <v>0.03</v>
      </c>
      <c r="J237" s="89" t="n">
        <v>0</v>
      </c>
      <c r="K237" s="89" t="n">
        <v>0</v>
      </c>
      <c r="L237" s="89" t="n">
        <f aca="false">('Input data plant-based products'!$I$40*'Common input data'!$C$59*'Common input data'!H49)/'Input data plant-based products'!$E$40</f>
        <v>0.0908309586370362</v>
      </c>
      <c r="M237" s="89" t="n">
        <v>0</v>
      </c>
      <c r="N237" s="89" t="n">
        <f aca="false">'Input data plant-based products'!$G$152</f>
        <v>0.02</v>
      </c>
      <c r="O237" s="89" t="n">
        <f aca="false">'Input data plant-based products'!$B$121*'Common input data'!$B$59*'Common input data'!B49+'Input data plant-based products'!C120*'Common input data'!B63</f>
        <v>0.039147048</v>
      </c>
      <c r="P237" s="89" t="n">
        <f aca="false">'Common input data'!$C$13</f>
        <v>0.238291206237002</v>
      </c>
      <c r="Q237" s="89" t="n">
        <v>0</v>
      </c>
      <c r="R237" s="89" t="n">
        <v>0</v>
      </c>
      <c r="S237" s="89" t="n">
        <f aca="false">(F237+R237)</f>
        <v>0.475102212302857</v>
      </c>
      <c r="T237" s="89" t="n">
        <f aca="false">'Common input data'!$B$88</f>
        <v>0.05</v>
      </c>
      <c r="U237" s="89" t="n">
        <f aca="false">'Common input data'!C98</f>
        <v>0.03</v>
      </c>
      <c r="V237" s="309"/>
      <c r="W237" s="92"/>
      <c r="Z237" s="30"/>
    </row>
    <row r="238" s="209" customFormat="true" ht="17.4" hidden="false" customHeight="false" outlineLevel="0" collapsed="false">
      <c r="A238" s="74"/>
      <c r="B238" s="31"/>
      <c r="C238" s="93"/>
      <c r="D238" s="85" t="s">
        <v>135</v>
      </c>
      <c r="E238" s="217" t="n">
        <f aca="false">SUM(J238:K238)*'Input data plant-based products'!O$121</f>
        <v>0</v>
      </c>
      <c r="F238" s="89" t="n">
        <f aca="false">SUM(H238:O238)*'Input data plant-based products'!$O$121</f>
        <v>5.68381482711058E-005</v>
      </c>
      <c r="G238" s="88" t="n">
        <f aca="false">SUM(S238:U238)/(1-'Common input data'!B124)</f>
        <v>6.10444135894895E-005</v>
      </c>
      <c r="H238" s="89" t="n">
        <f aca="false">('Input data plant-based products'!$F$40*('Common input data'!$B$76*'Common input data'!B70+'Common input data'!$B$77*'Common input data'!C70))/'Input data plant-based products'!$E$40</f>
        <v>9.7864257826997E-011</v>
      </c>
      <c r="I238" s="89" t="n">
        <v>0</v>
      </c>
      <c r="J238" s="89" t="n">
        <v>0</v>
      </c>
      <c r="K238" s="89" t="n">
        <v>0</v>
      </c>
      <c r="L238" s="89" t="n">
        <f aca="false">('Input data plant-based products'!$I$40*'Common input data'!$C$59*'Common input data'!H50)/'Input data plant-based products'!$E$40</f>
        <v>4.02350518830812E-005</v>
      </c>
      <c r="M238" s="89" t="n">
        <v>0</v>
      </c>
      <c r="N238" s="89" t="n">
        <v>0</v>
      </c>
      <c r="O238" s="89" t="n">
        <f aca="false">'Input data plant-based products'!$B$121*'Common input data'!$B$59*'Common input data'!B50</f>
        <v>1.417698E-005</v>
      </c>
      <c r="P238" s="89" t="n">
        <v>0</v>
      </c>
      <c r="Q238" s="89" t="n">
        <v>0</v>
      </c>
      <c r="R238" s="89" t="n">
        <v>0</v>
      </c>
      <c r="S238" s="89" t="n">
        <f aca="false">(F238+R238)</f>
        <v>5.68381482711058E-005</v>
      </c>
      <c r="T238" s="89" t="n">
        <v>0</v>
      </c>
      <c r="U238" s="89" t="n">
        <v>0</v>
      </c>
      <c r="V238" s="309"/>
      <c r="W238" s="92"/>
      <c r="Z238" s="30"/>
    </row>
    <row r="239" s="332" customFormat="true" ht="17.4" hidden="false" customHeight="false" outlineLevel="0" collapsed="false">
      <c r="A239" s="100"/>
      <c r="B239" s="101"/>
      <c r="C239" s="87"/>
      <c r="D239" s="31" t="s">
        <v>136</v>
      </c>
      <c r="E239" s="217" t="n">
        <f aca="false">SUM(J239:K239)*'Input data plant-based products'!O$121</f>
        <v>0.000510727789085748</v>
      </c>
      <c r="F239" s="89" t="n">
        <f aca="false">SUM(H239:O239)*'Input data plant-based products'!$O$121</f>
        <v>0.000669749973196261</v>
      </c>
      <c r="G239" s="88" t="n">
        <f aca="false">SUM(S239:U239)/(1-'Common input data'!B124)</f>
        <v>0.000719314326890662</v>
      </c>
      <c r="H239" s="89" t="n">
        <f aca="false">('Input data plant-based products'!$F$40*('Common input data'!$B$76*'Common input data'!B71+'Common input data'!$B$77*'Common input data'!C71))/'Input data plant-based products'!$E$40</f>
        <v>0.000148472379009771</v>
      </c>
      <c r="I239" s="89" t="n">
        <v>0</v>
      </c>
      <c r="J239" s="89" t="n">
        <f aca="false">(SUM('Input data plant-based products'!F40:H40)*'Input data plant-based products'!$B$114*44/28)/'Input data plant-based products'!E40</f>
        <v>0.00044448039294048</v>
      </c>
      <c r="K239" s="89" t="n">
        <f aca="false">J239*'Input data plant-based products'!$B$115</f>
        <v>4.4448039294048E-005</v>
      </c>
      <c r="L239" s="89" t="n">
        <f aca="false">('Input data plant-based products'!$I$40*'Common input data'!$C$59*'Common input data'!H51)/'Input data plant-based products'!$E$40</f>
        <v>2.44066327212268E-006</v>
      </c>
      <c r="M239" s="89" t="n">
        <v>0</v>
      </c>
      <c r="N239" s="89" t="n">
        <v>0</v>
      </c>
      <c r="O239" s="89" t="n">
        <f aca="false">'Input data plant-based products'!$B$121*'Common input data'!$B$59*'Common input data'!B51</f>
        <v>1.32160958E-006</v>
      </c>
      <c r="P239" s="89" t="n">
        <v>0</v>
      </c>
      <c r="Q239" s="89" t="n">
        <v>0</v>
      </c>
      <c r="R239" s="89" t="n">
        <v>0</v>
      </c>
      <c r="S239" s="89" t="n">
        <f aca="false">(F239+R239)</f>
        <v>0.000669749973196261</v>
      </c>
      <c r="T239" s="89" t="n">
        <v>0</v>
      </c>
      <c r="U239" s="89" t="n">
        <v>0</v>
      </c>
      <c r="V239" s="309"/>
      <c r="W239" s="92"/>
      <c r="X239" s="209"/>
      <c r="Y239" s="209"/>
      <c r="Z239" s="30"/>
      <c r="AA239" s="209"/>
      <c r="AB239" s="209"/>
      <c r="AC239" s="209"/>
      <c r="AD239" s="209"/>
      <c r="AE239" s="209"/>
      <c r="AF239" s="209"/>
      <c r="AG239" s="209"/>
      <c r="AH239" s="209"/>
      <c r="AI239" s="209"/>
      <c r="AJ239" s="209"/>
      <c r="AK239" s="209"/>
      <c r="AL239" s="209"/>
      <c r="AM239" s="209"/>
      <c r="AN239" s="209"/>
      <c r="AO239" s="209"/>
      <c r="AP239" s="209"/>
      <c r="AQ239" s="209"/>
      <c r="AR239" s="209"/>
      <c r="AS239" s="209"/>
      <c r="AT239" s="209"/>
      <c r="AU239" s="209"/>
      <c r="AV239" s="209"/>
      <c r="AW239" s="209"/>
      <c r="AX239" s="209"/>
      <c r="AY239" s="209"/>
      <c r="AZ239" s="209"/>
      <c r="BA239" s="209"/>
      <c r="BB239" s="209"/>
      <c r="BC239" s="209"/>
      <c r="BD239" s="209"/>
      <c r="BE239" s="209"/>
      <c r="BF239" s="209"/>
      <c r="BG239" s="209"/>
      <c r="BH239" s="209"/>
      <c r="BI239" s="209"/>
      <c r="BJ239" s="209"/>
      <c r="BK239" s="209"/>
      <c r="BL239" s="209"/>
      <c r="BM239" s="209"/>
      <c r="BN239" s="209"/>
      <c r="BO239" s="209"/>
      <c r="BP239" s="209"/>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209"/>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209"/>
      <c r="EC239" s="209"/>
      <c r="ED239" s="209"/>
      <c r="EE239" s="209"/>
      <c r="EF239" s="209"/>
      <c r="EG239" s="209"/>
      <c r="EH239" s="209"/>
      <c r="EI239" s="209"/>
      <c r="EJ239" s="209"/>
      <c r="EK239" s="209"/>
      <c r="EL239" s="209"/>
      <c r="EM239" s="209"/>
      <c r="EN239" s="209"/>
      <c r="EO239" s="209"/>
      <c r="EP239" s="209"/>
      <c r="EQ239" s="209"/>
      <c r="ER239" s="209"/>
      <c r="ES239" s="209"/>
      <c r="ET239" s="209"/>
      <c r="EU239" s="209"/>
      <c r="EV239" s="209"/>
      <c r="EW239" s="209"/>
      <c r="EX239" s="209"/>
      <c r="EY239" s="209"/>
      <c r="EZ239" s="209"/>
      <c r="FA239" s="209"/>
      <c r="FB239" s="209"/>
      <c r="FC239" s="209"/>
      <c r="FD239" s="209"/>
      <c r="FE239" s="209"/>
      <c r="FF239" s="209"/>
      <c r="FG239" s="209"/>
      <c r="FH239" s="209"/>
      <c r="FI239" s="209"/>
      <c r="FJ239" s="209"/>
      <c r="FK239" s="209"/>
      <c r="FL239" s="209"/>
      <c r="FM239" s="209"/>
      <c r="FN239" s="209"/>
      <c r="FO239" s="209"/>
      <c r="FP239" s="209"/>
      <c r="FQ239" s="209"/>
      <c r="FR239" s="209"/>
      <c r="FS239" s="209"/>
      <c r="FT239" s="209"/>
      <c r="FU239" s="209"/>
      <c r="FV239" s="209"/>
      <c r="FW239" s="209"/>
      <c r="FX239" s="209"/>
      <c r="FY239" s="209"/>
      <c r="FZ239" s="209"/>
      <c r="GA239" s="209"/>
      <c r="GB239" s="209"/>
      <c r="GC239" s="209"/>
      <c r="GD239" s="209"/>
      <c r="GE239" s="209"/>
      <c r="GF239" s="209"/>
      <c r="GG239" s="209"/>
      <c r="GH239" s="209"/>
      <c r="GI239" s="209"/>
      <c r="GJ239" s="209"/>
      <c r="GK239" s="209"/>
      <c r="GL239" s="209"/>
      <c r="GM239" s="209"/>
      <c r="GN239" s="209"/>
      <c r="GO239" s="209"/>
      <c r="GP239" s="209"/>
      <c r="GQ239" s="209"/>
      <c r="GR239" s="209"/>
      <c r="GS239" s="209"/>
      <c r="GT239" s="209"/>
      <c r="GU239" s="209"/>
      <c r="GV239" s="209"/>
      <c r="GW239" s="209"/>
      <c r="GX239" s="209"/>
      <c r="GY239" s="209"/>
      <c r="GZ239" s="209"/>
      <c r="HA239" s="209"/>
      <c r="HB239" s="209"/>
      <c r="HC239" s="209"/>
      <c r="HD239" s="209"/>
      <c r="HE239" s="209"/>
      <c r="HF239" s="209"/>
      <c r="HG239" s="209"/>
      <c r="HH239" s="209"/>
      <c r="HI239" s="209"/>
      <c r="HJ239" s="209"/>
      <c r="HK239" s="209"/>
      <c r="HL239" s="209"/>
      <c r="HM239" s="209"/>
      <c r="HN239" s="209"/>
      <c r="HO239" s="209"/>
      <c r="HP239" s="209"/>
      <c r="HQ239" s="209"/>
      <c r="HR239" s="209"/>
      <c r="HS239" s="209"/>
      <c r="HT239" s="209"/>
      <c r="HU239" s="209"/>
      <c r="HV239" s="209"/>
      <c r="HW239" s="209"/>
      <c r="HX239" s="209"/>
      <c r="HY239" s="209"/>
      <c r="HZ239" s="209"/>
      <c r="IA239" s="209"/>
      <c r="IB239" s="209"/>
      <c r="IC239" s="209"/>
      <c r="ID239" s="209"/>
      <c r="IE239" s="209"/>
      <c r="IF239" s="209"/>
      <c r="IG239" s="209"/>
      <c r="IH239" s="209"/>
      <c r="II239" s="209"/>
      <c r="IJ239" s="209"/>
      <c r="IK239" s="209"/>
      <c r="IL239" s="209"/>
      <c r="IM239" s="209"/>
      <c r="IN239" s="209"/>
      <c r="IO239" s="209"/>
      <c r="IP239" s="209"/>
      <c r="IQ239" s="209"/>
      <c r="IR239" s="209"/>
      <c r="IS239" s="209"/>
      <c r="IT239" s="209"/>
      <c r="IU239" s="209"/>
      <c r="IV239" s="209"/>
      <c r="IW239" s="209"/>
      <c r="IX239" s="209"/>
    </row>
    <row r="240" s="209" customFormat="true" ht="17.4" hidden="false" customHeight="false" outlineLevel="0" collapsed="false">
      <c r="A240" s="330" t="s">
        <v>317</v>
      </c>
      <c r="B240" s="76" t="s">
        <v>254</v>
      </c>
      <c r="C240" s="84" t="n">
        <f aca="false">'Input data plant-based products'!D41</f>
        <v>0.13</v>
      </c>
      <c r="D240" s="78" t="s">
        <v>133</v>
      </c>
      <c r="E240" s="94" t="n">
        <f aca="false">IF($F$1="GWP100 without fb",E241+E242*'Common input data'!$C$5+E243*'Common input data'!$D$5,IF($F$1="GWP100 with fb",E241+E242*'Common input data'!$C$6+E243*'Common input data'!$D$6,IF($F$1="GTP100 without fb",E241+E242*'Common input data'!$C$7+E243*'Common input data'!$D$7,IF($F$1="GTP100 with fb",E241+E242*'Common input data'!$C$8+E243*'Common input data'!$D$8,E241+E242*'Common input data'!$C$9+E243*'Common input data'!$D$9))))</f>
        <v>0.674894356228622</v>
      </c>
      <c r="F240" s="95" t="n">
        <f aca="false">IF($F$1="GWP100 without fb",F241+F242*'Common input data'!$C$5+F243*'Common input data'!$D$5,IF($F$1="GWP100 with fb",F241+F242*'Common input data'!$C$6+F243*'Common input data'!$D$6,IF($F$1="GTP100 without fb",F241+F242*'Common input data'!$C$7+F243*'Common input data'!$D$7,IF($F$1="GTP100 with fb",F241+F242*'Common input data'!$C$8+F243*'Common input data'!$D$8,F241+F242*'Common input data'!$C$9+F243*'Common input data'!$D$9))))</f>
        <v>1.04008633193623</v>
      </c>
      <c r="G240" s="96" t="n">
        <f aca="false">IF($F$1="GWP100 without fb",G241+G242*'Common input data'!$C$5+G243*'Common input data'!$D$5,IF($F$1="GWP100 with fb",G241+G242*'Common input data'!$C$6+G243*'Common input data'!$D$6,IF($F$1="GTP100 without fb",G241+G242*'Common input data'!$C$7+G243*'Common input data'!$D$7,IF($F$1="GTP100 with fb",G241+G242*'Common input data'!$C$8+G243*'Common input data'!$D$8,G241+G242*'Common input data'!$C$9+G243*'Common input data'!$D$9))))</f>
        <v>1.52517877545925</v>
      </c>
      <c r="H240" s="83"/>
      <c r="I240" s="83"/>
      <c r="J240" s="83"/>
      <c r="K240" s="83"/>
      <c r="L240" s="83"/>
      <c r="M240" s="83"/>
      <c r="N240" s="83"/>
      <c r="O240" s="83"/>
      <c r="P240" s="83"/>
      <c r="Q240" s="83"/>
      <c r="R240" s="83"/>
      <c r="S240" s="83"/>
      <c r="T240" s="83"/>
      <c r="U240" s="83"/>
      <c r="V240" s="309"/>
      <c r="W240" s="92"/>
      <c r="Z240" s="30"/>
    </row>
    <row r="241" s="209" customFormat="true" ht="17.4" hidden="false" customHeight="false" outlineLevel="0" collapsed="false">
      <c r="A241" s="99"/>
      <c r="B241" s="31"/>
      <c r="C241" s="30"/>
      <c r="D241" s="85" t="s">
        <v>134</v>
      </c>
      <c r="E241" s="217" t="n">
        <f aca="false">IF(AND($F$2="No",$F$3="No"),SUM(J241:K241)*'Input data plant-based products'!O$121,IF(AND($F$2="Yes", $F$3="No"), (SUM(J241:K241)+Q241)*'Input data plant-based products'!O$121, IF(AND($F$2="No", $F$3="Yes"),(SUM(J241:K241)+P241)*'Input data plant-based products'!O$121, (SUM(J241:K241)+Q241+P241)*'Input data plant-based products'!O$121)))</f>
        <v>0.248915654922728</v>
      </c>
      <c r="F241" s="89" t="n">
        <f aca="false">IF(AND($F$2="No",$F$3="No"),SUM(H241:O241)*'Input data plant-based products'!O$121,IF(AND($F$2="Yes", $F$3="No"), (SUM(H241:O241)+Q241)*'Input data plant-based products'!O$121, IF(AND($F$2="No", $F$3="Yes"),(SUM(H241:O241)+P241)*'Input data plant-based products'!O$121, (SUM(H241:O241)+Q241+P241)*'Input data plant-based products'!O$121)))</f>
        <v>0.498709113351189</v>
      </c>
      <c r="G241" s="88" t="n">
        <f aca="false">SUM(S241:U241)/(1-'Common input data'!B124)</f>
        <v>0.943737334376394</v>
      </c>
      <c r="H241" s="89" t="n">
        <f aca="false">('Input data plant-based products'!$F$41*('Common input data'!$C$76*'Common input data'!B69+'Common input data'!$C$77*'Common input data'!C69))/'Input data plant-based products'!$E$41</f>
        <v>0.0661957826736476</v>
      </c>
      <c r="I241" s="89" t="n">
        <f aca="false">'Common input data'!$B$81</f>
        <v>0.03</v>
      </c>
      <c r="J241" s="89" t="n">
        <v>0</v>
      </c>
      <c r="K241" s="89" t="n">
        <v>0</v>
      </c>
      <c r="L241" s="89" t="n">
        <f aca="false">('Input data plant-based products'!$I$41*'Common input data'!$C$59*'Common input data'!H49)/'Input data plant-based products'!$E$41</f>
        <v>0.080066311846281</v>
      </c>
      <c r="M241" s="89" t="n">
        <v>0</v>
      </c>
      <c r="N241" s="89" t="n">
        <f aca="false">'Input data plant-based products'!$G$152</f>
        <v>0.02</v>
      </c>
      <c r="O241" s="89" t="n">
        <f aca="false">'Input data plant-based products'!$B$121*'Common input data'!$B$59*'Common input data'!B49+'Input data plant-based products'!C120*'Common input data'!C63</f>
        <v>0.042869448</v>
      </c>
      <c r="P241" s="89" t="n">
        <f aca="false">'Common input data'!$C$13</f>
        <v>0.238291206237002</v>
      </c>
      <c r="Q241" s="89" t="n">
        <v>0</v>
      </c>
      <c r="R241" s="89" t="n">
        <v>0</v>
      </c>
      <c r="S241" s="89" t="n">
        <f aca="false">(F241+R241)</f>
        <v>0.498709113351189</v>
      </c>
      <c r="T241" s="89" t="n">
        <f aca="false">'Common input data'!$B$88</f>
        <v>0.05</v>
      </c>
      <c r="U241" s="89" t="n">
        <f aca="false">'Common input data'!B101+'Common input data'!C101</f>
        <v>0.33</v>
      </c>
      <c r="V241" s="309"/>
      <c r="W241" s="92"/>
      <c r="Z241" s="30"/>
    </row>
    <row r="242" s="209" customFormat="true" ht="17.4" hidden="false" customHeight="false" outlineLevel="0" collapsed="false">
      <c r="A242" s="74"/>
      <c r="B242" s="31"/>
      <c r="C242" s="93"/>
      <c r="D242" s="85" t="s">
        <v>135</v>
      </c>
      <c r="E242" s="217" t="n">
        <f aca="false">SUM(J242:K242)*'Input data plant-based products'!O$121</f>
        <v>0</v>
      </c>
      <c r="F242" s="89" t="n">
        <f aca="false">SUM(H242:O242)*'Input data plant-based products'!$O$121</f>
        <v>5.18573726445176E-005</v>
      </c>
      <c r="G242" s="88" t="n">
        <f aca="false">SUM(S242:U242)/(1-'Common input data'!B124)</f>
        <v>5.56950393295181E-005</v>
      </c>
      <c r="H242" s="89" t="n">
        <f aca="false">('Input data plant-based products'!$F$41*('Common input data'!$C$76*'Common input data'!B70+'Common input data'!$C$77*'Common input data'!C70))/'Input data plant-based products'!$E$41</f>
        <v>2.91866883197429E-010</v>
      </c>
      <c r="I242" s="89" t="n">
        <v>0</v>
      </c>
      <c r="J242" s="89" t="n">
        <v>0</v>
      </c>
      <c r="K242" s="89" t="n">
        <v>0</v>
      </c>
      <c r="L242" s="89" t="n">
        <f aca="false">('Input data plant-based products'!$I$41*'Common input data'!$C$59*'Common input data'!H50)/'Input data plant-based products'!$E$41</f>
        <v>3.54666763354904E-005</v>
      </c>
      <c r="M242" s="89" t="n">
        <v>0</v>
      </c>
      <c r="N242" s="89" t="n">
        <v>0</v>
      </c>
      <c r="O242" s="89" t="n">
        <f aca="false">'Input data plant-based products'!$B$121*'Common input data'!$B$59*'Common input data'!B50</f>
        <v>1.417698E-005</v>
      </c>
      <c r="P242" s="89" t="n">
        <v>0</v>
      </c>
      <c r="Q242" s="89" t="n">
        <v>0</v>
      </c>
      <c r="R242" s="89" t="n">
        <v>0</v>
      </c>
      <c r="S242" s="89" t="n">
        <f aca="false">(F242+R242)</f>
        <v>5.18573726445176E-005</v>
      </c>
      <c r="T242" s="89" t="n">
        <v>0</v>
      </c>
      <c r="U242" s="89" t="n">
        <v>0</v>
      </c>
      <c r="V242" s="309"/>
      <c r="W242" s="92"/>
      <c r="Z242" s="30"/>
    </row>
    <row r="243" s="332" customFormat="true" ht="17.4" hidden="false" customHeight="false" outlineLevel="0" collapsed="false">
      <c r="A243" s="100"/>
      <c r="B243" s="101"/>
      <c r="C243" s="87"/>
      <c r="D243" s="31" t="s">
        <v>136</v>
      </c>
      <c r="E243" s="217" t="n">
        <f aca="false">SUM(J243:K243)*'Input data plant-based products'!O$121</f>
        <v>0.00142945872921441</v>
      </c>
      <c r="F243" s="89" t="n">
        <f aca="false">SUM(H243:O243)*'Input data plant-based products'!$O$121</f>
        <v>0.00181078546280243</v>
      </c>
      <c r="G243" s="88" t="n">
        <f aca="false">SUM(S243:U243)/(1-'Common input data'!B124)</f>
        <v>0.00194479130787131</v>
      </c>
      <c r="H243" s="89" t="n">
        <f aca="false">('Input data plant-based products'!$F$41*('Common input data'!$C$76*'Common input data'!B71+'Common input data'!$C$77*'Common input data'!C71))/'Input data plant-based products'!$E$41</f>
        <v>0.000361577569924352</v>
      </c>
      <c r="I243" s="89" t="n">
        <v>0</v>
      </c>
      <c r="J243" s="89" t="n">
        <f aca="false">(SUM('Input data plant-based products'!F41:H41)*'Input data plant-based products'!$B$114*44/28)/'Input data plant-based products'!E41</f>
        <v>0.00124404113351808</v>
      </c>
      <c r="K243" s="89" t="n">
        <f aca="false">J243*'Input data plant-based products'!$B$115</f>
        <v>0.000124404113351808</v>
      </c>
      <c r="L243" s="89" t="n">
        <f aca="false">('Input data plant-based products'!$I$41*'Common input data'!$C$59*'Common input data'!H51)/'Input data plant-based products'!$E$41</f>
        <v>2.15141301589058E-006</v>
      </c>
      <c r="M243" s="89" t="n">
        <v>0</v>
      </c>
      <c r="N243" s="89" t="n">
        <v>0</v>
      </c>
      <c r="O243" s="89" t="n">
        <f aca="false">'Input data plant-based products'!$B$121*'Common input data'!$B$59*'Common input data'!B51</f>
        <v>1.32160958E-006</v>
      </c>
      <c r="P243" s="89" t="n">
        <v>0</v>
      </c>
      <c r="Q243" s="89" t="n">
        <v>0</v>
      </c>
      <c r="R243" s="89" t="n">
        <v>0</v>
      </c>
      <c r="S243" s="89" t="n">
        <f aca="false">(F243+R243)</f>
        <v>0.00181078546280243</v>
      </c>
      <c r="T243" s="89" t="n">
        <v>0</v>
      </c>
      <c r="U243" s="89" t="n">
        <v>0</v>
      </c>
      <c r="V243" s="309"/>
      <c r="W243" s="92"/>
      <c r="X243" s="209"/>
      <c r="Y243" s="209"/>
      <c r="Z243" s="30"/>
      <c r="AA243" s="209"/>
      <c r="AB243" s="209"/>
      <c r="AC243" s="209"/>
      <c r="AD243" s="209"/>
      <c r="AE243" s="209"/>
      <c r="AF243" s="209"/>
      <c r="AG243" s="209"/>
      <c r="AH243" s="209"/>
      <c r="AI243" s="209"/>
      <c r="AJ243" s="209"/>
      <c r="AK243" s="209"/>
      <c r="AL243" s="209"/>
      <c r="AM243" s="209"/>
      <c r="AN243" s="209"/>
      <c r="AO243" s="209"/>
      <c r="AP243" s="209"/>
      <c r="AQ243" s="209"/>
      <c r="AR243" s="209"/>
      <c r="AS243" s="209"/>
      <c r="AT243" s="209"/>
      <c r="AU243" s="209"/>
      <c r="AV243" s="209"/>
      <c r="AW243" s="209"/>
      <c r="AX243" s="209"/>
      <c r="AY243" s="209"/>
      <c r="AZ243" s="209"/>
      <c r="BA243" s="209"/>
      <c r="BB243" s="209"/>
      <c r="BC243" s="209"/>
      <c r="BD243" s="209"/>
      <c r="BE243" s="209"/>
      <c r="BF243" s="209"/>
      <c r="BG243" s="209"/>
      <c r="BH243" s="209"/>
      <c r="BI243" s="209"/>
      <c r="BJ243" s="209"/>
      <c r="BK243" s="209"/>
      <c r="BL243" s="209"/>
      <c r="BM243" s="209"/>
      <c r="BN243" s="209"/>
      <c r="BO243" s="209"/>
      <c r="BP243" s="209"/>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209"/>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209"/>
      <c r="EC243" s="209"/>
      <c r="ED243" s="209"/>
      <c r="EE243" s="209"/>
      <c r="EF243" s="209"/>
      <c r="EG243" s="209"/>
      <c r="EH243" s="209"/>
      <c r="EI243" s="209"/>
      <c r="EJ243" s="209"/>
      <c r="EK243" s="209"/>
      <c r="EL243" s="209"/>
      <c r="EM243" s="209"/>
      <c r="EN243" s="209"/>
      <c r="EO243" s="209"/>
      <c r="EP243" s="209"/>
      <c r="EQ243" s="209"/>
      <c r="ER243" s="209"/>
      <c r="ES243" s="209"/>
      <c r="ET243" s="209"/>
      <c r="EU243" s="209"/>
      <c r="EV243" s="209"/>
      <c r="EW243" s="209"/>
      <c r="EX243" s="209"/>
      <c r="EY243" s="209"/>
      <c r="EZ243" s="209"/>
      <c r="FA243" s="209"/>
      <c r="FB243" s="209"/>
      <c r="FC243" s="209"/>
      <c r="FD243" s="209"/>
      <c r="FE243" s="209"/>
      <c r="FF243" s="209"/>
      <c r="FG243" s="209"/>
      <c r="FH243" s="209"/>
      <c r="FI243" s="209"/>
      <c r="FJ243" s="209"/>
      <c r="FK243" s="209"/>
      <c r="FL243" s="209"/>
      <c r="FM243" s="209"/>
      <c r="FN243" s="209"/>
      <c r="FO243" s="209"/>
      <c r="FP243" s="209"/>
      <c r="FQ243" s="209"/>
      <c r="FR243" s="209"/>
      <c r="FS243" s="209"/>
      <c r="FT243" s="209"/>
      <c r="FU243" s="209"/>
      <c r="FV243" s="209"/>
      <c r="FW243" s="209"/>
      <c r="FX243" s="209"/>
      <c r="FY243" s="209"/>
      <c r="FZ243" s="209"/>
      <c r="GA243" s="209"/>
      <c r="GB243" s="209"/>
      <c r="GC243" s="209"/>
      <c r="GD243" s="209"/>
      <c r="GE243" s="209"/>
      <c r="GF243" s="209"/>
      <c r="GG243" s="209"/>
      <c r="GH243" s="209"/>
      <c r="GI243" s="209"/>
      <c r="GJ243" s="209"/>
      <c r="GK243" s="209"/>
      <c r="GL243" s="209"/>
      <c r="GM243" s="209"/>
      <c r="GN243" s="209"/>
      <c r="GO243" s="209"/>
      <c r="GP243" s="209"/>
      <c r="GQ243" s="209"/>
      <c r="GR243" s="209"/>
      <c r="GS243" s="209"/>
      <c r="GT243" s="209"/>
      <c r="GU243" s="209"/>
      <c r="GV243" s="209"/>
      <c r="GW243" s="209"/>
      <c r="GX243" s="209"/>
      <c r="GY243" s="209"/>
      <c r="GZ243" s="209"/>
      <c r="HA243" s="209"/>
      <c r="HB243" s="209"/>
      <c r="HC243" s="209"/>
      <c r="HD243" s="209"/>
      <c r="HE243" s="209"/>
      <c r="HF243" s="209"/>
      <c r="HG243" s="209"/>
      <c r="HH243" s="209"/>
      <c r="HI243" s="209"/>
      <c r="HJ243" s="209"/>
      <c r="HK243" s="209"/>
      <c r="HL243" s="209"/>
      <c r="HM243" s="209"/>
      <c r="HN243" s="209"/>
      <c r="HO243" s="209"/>
      <c r="HP243" s="209"/>
      <c r="HQ243" s="209"/>
      <c r="HR243" s="209"/>
      <c r="HS243" s="209"/>
      <c r="HT243" s="209"/>
      <c r="HU243" s="209"/>
      <c r="HV243" s="209"/>
      <c r="HW243" s="209"/>
      <c r="HX243" s="209"/>
      <c r="HY243" s="209"/>
      <c r="HZ243" s="209"/>
      <c r="IA243" s="209"/>
      <c r="IB243" s="209"/>
      <c r="IC243" s="209"/>
      <c r="ID243" s="209"/>
      <c r="IE243" s="209"/>
      <c r="IF243" s="209"/>
      <c r="IG243" s="209"/>
      <c r="IH243" s="209"/>
      <c r="II243" s="209"/>
      <c r="IJ243" s="209"/>
      <c r="IK243" s="209"/>
      <c r="IL243" s="209"/>
      <c r="IM243" s="209"/>
      <c r="IN243" s="209"/>
      <c r="IO243" s="209"/>
      <c r="IP243" s="209"/>
      <c r="IQ243" s="209"/>
      <c r="IR243" s="209"/>
      <c r="IS243" s="209"/>
      <c r="IT243" s="209"/>
      <c r="IU243" s="209"/>
      <c r="IV243" s="209"/>
      <c r="IW243" s="209"/>
      <c r="IX243" s="209"/>
    </row>
    <row r="244" s="209" customFormat="true" ht="17.4" hidden="false" customHeight="false" outlineLevel="0" collapsed="false">
      <c r="A244" s="330" t="s">
        <v>171</v>
      </c>
      <c r="B244" s="76" t="s">
        <v>254</v>
      </c>
      <c r="C244" s="84" t="n">
        <f aca="false">'Input data plant-based products'!D42</f>
        <v>0.27</v>
      </c>
      <c r="D244" s="78" t="s">
        <v>133</v>
      </c>
      <c r="E244" s="94" t="n">
        <f aca="false">IF($F$1="GWP100 without fb",E245+E246*'Common input data'!$C$5+E247*'Common input data'!$D$5,IF($F$1="GWP100 with fb",E245+E246*'Common input data'!$C$6+E247*'Common input data'!$D$6,IF($F$1="GTP100 without fb",E245+E246*'Common input data'!$C$7+E247*'Common input data'!$D$7,IF($F$1="GTP100 with fb",E245+E246*'Common input data'!$C$8+E247*'Common input data'!$D$8,E245+E246*'Common input data'!$C$9+E247*'Common input data'!$D$9))))</f>
        <v>0.568907217345176</v>
      </c>
      <c r="F244" s="95" t="n">
        <f aca="false">IF($F$1="GWP100 without fb",F245+F246*'Common input data'!$C$5+F247*'Common input data'!$D$5,IF($F$1="GWP100 with fb",F245+F246*'Common input data'!$C$6+F247*'Common input data'!$D$6,IF($F$1="GTP100 without fb",F245+F246*'Common input data'!$C$7+F247*'Common input data'!$D$7,IF($F$1="GTP100 with fb",F245+F246*'Common input data'!$C$8+F247*'Common input data'!$D$8,F245+F246*'Common input data'!$C$9+F247*'Common input data'!$D$9))))</f>
        <v>1.07289022901411</v>
      </c>
      <c r="G244" s="96" t="n">
        <f aca="false">IF($F$1="GWP100 without fb",G245+G246*'Common input data'!$C$5+G247*'Common input data'!$D$5,IF($F$1="GWP100 with fb",G245+G246*'Common input data'!$C$6+G247*'Common input data'!$D$6,IF($F$1="GTP100 without fb",G245+G246*'Common input data'!$C$7+G247*'Common input data'!$D$7,IF($F$1="GTP100 with fb",G245+G246*'Common input data'!$C$8+G247*'Common input data'!$D$8,G245+G246*'Common input data'!$C$9+G247*'Common input data'!$D$9))))</f>
        <v>1.75573761909911</v>
      </c>
      <c r="H244" s="83"/>
      <c r="I244" s="83"/>
      <c r="J244" s="83"/>
      <c r="K244" s="83"/>
      <c r="L244" s="83"/>
      <c r="M244" s="83"/>
      <c r="N244" s="83"/>
      <c r="O244" s="83"/>
      <c r="P244" s="83"/>
      <c r="Q244" s="83"/>
      <c r="R244" s="83"/>
      <c r="S244" s="83"/>
      <c r="T244" s="83"/>
      <c r="U244" s="83"/>
      <c r="V244" s="309"/>
      <c r="W244" s="92"/>
      <c r="Z244" s="30"/>
    </row>
    <row r="245" s="209" customFormat="true" ht="17.4" hidden="false" customHeight="false" outlineLevel="0" collapsed="false">
      <c r="A245" s="99"/>
      <c r="B245" s="31"/>
      <c r="C245" s="30"/>
      <c r="D245" s="85" t="s">
        <v>134</v>
      </c>
      <c r="E245" s="217" t="n">
        <f aca="false">IF(AND($F$2="No",$F$3="No"),SUM(J245:K245)*'Input data plant-based products'!O$121,IF(AND($F$2="Yes", $F$3="No"), (SUM(J245:K245)+Q245)*'Input data plant-based products'!O$121, IF(AND($F$2="No", $F$3="Yes"),(SUM(J245:K245)+P245)*'Input data plant-based products'!O$121, (SUM(J245:K245)+Q245+P245)*'Input data plant-based products'!O$121)))</f>
        <v>0.248915654922728</v>
      </c>
      <c r="F245" s="89" t="n">
        <f aca="false">IF(AND($F$2="No",$F$3="No"),SUM(H245:O245)*'Input data plant-based products'!O$121,IF(AND($F$2="Yes", $F$3="No"), (SUM(H245:O245)+Q245)*'Input data plant-based products'!O$121, IF(AND($F$2="No", $F$3="Yes"),(SUM(H245:O245)+P245)*'Input data plant-based products'!O$121, (SUM(H245:O245)+Q245+P245)*'Input data plant-based products'!O$121)))</f>
        <v>0.639553270972574</v>
      </c>
      <c r="G245" s="88" t="n">
        <f aca="false">SUM(S245:U245)/(1-'Common input data'!H124)</f>
        <v>1.26579571286242</v>
      </c>
      <c r="H245" s="89" t="n">
        <f aca="false">('Input data plant-based products'!$F$42*('Common input data'!$D$76*'Common input data'!B69+'Common input data'!$D$77*'Common input data'!C69))/'Input data plant-based products'!$E$42</f>
        <v>0.0545818398168189</v>
      </c>
      <c r="I245" s="89" t="n">
        <f aca="false">'Common input data'!$B$81</f>
        <v>0.03</v>
      </c>
      <c r="J245" s="89" t="n">
        <v>0</v>
      </c>
      <c r="K245" s="89" t="n">
        <v>0</v>
      </c>
      <c r="L245" s="89" t="n">
        <f aca="false">('Input data plant-based products'!$I$42*'Common input data'!$C$59*'Common input data'!H49)/'Input data plant-based products'!$E$42</f>
        <v>0.218220091450412</v>
      </c>
      <c r="M245" s="89" t="n">
        <v>0</v>
      </c>
      <c r="N245" s="89" t="n">
        <f aca="false">'Input data plant-based products'!$G$152</f>
        <v>0.02</v>
      </c>
      <c r="O245" s="89" t="n">
        <f aca="false">'Input data plant-based products'!$B$121*'Common input data'!$B$59*'Common input data'!B49+'Input data plant-based products'!C120*'Common input data'!K63</f>
        <v>0.051162128</v>
      </c>
      <c r="P245" s="89" t="n">
        <f aca="false">'Common input data'!$C$13</f>
        <v>0.238291206237002</v>
      </c>
      <c r="Q245" s="89" t="n">
        <v>0</v>
      </c>
      <c r="R245" s="89" t="n">
        <v>0</v>
      </c>
      <c r="S245" s="89" t="n">
        <f aca="false">(F245+R245)</f>
        <v>0.639553270972574</v>
      </c>
      <c r="T245" s="89" t="n">
        <f aca="false">'Common input data'!$B$88</f>
        <v>0.05</v>
      </c>
      <c r="U245" s="89" t="n">
        <f aca="false">'Common input data'!B108+'Common input data'!C108</f>
        <v>0.43</v>
      </c>
      <c r="V245" s="309"/>
      <c r="W245" s="92"/>
      <c r="Z245" s="30"/>
    </row>
    <row r="246" s="209" customFormat="true" ht="17.4" hidden="false" customHeight="false" outlineLevel="0" collapsed="false">
      <c r="A246" s="74"/>
      <c r="B246" s="31"/>
      <c r="C246" s="93"/>
      <c r="D246" s="85" t="s">
        <v>135</v>
      </c>
      <c r="E246" s="217" t="n">
        <f aca="false">SUM(J246:K246)*'Input data plant-based products'!O$121</f>
        <v>0</v>
      </c>
      <c r="F246" s="89" t="n">
        <f aca="false">SUM(H246:O246)*'Input data plant-based products'!$O$121</f>
        <v>0.000115783394058059</v>
      </c>
      <c r="G246" s="88" t="n">
        <f aca="false">SUM(S246:U246)/(1-'Common input data'!H124)</f>
        <v>0.000130907682215098</v>
      </c>
      <c r="H246" s="89" t="n">
        <f aca="false">('Input data plant-based products'!$F$42*('Common input data'!$D$76*'Common input data'!B70+'Common input data'!$D$77*'Common input data'!C70))/'Input data plant-based products'!$E$42</f>
        <v>2.9772600068229E-010</v>
      </c>
      <c r="I246" s="89" t="n">
        <v>0</v>
      </c>
      <c r="J246" s="89" t="n">
        <v>0</v>
      </c>
      <c r="K246" s="89" t="n">
        <v>0</v>
      </c>
      <c r="L246" s="89" t="n">
        <f aca="false">('Input data plant-based products'!$I$42*'Common input data'!$C$59*'Common input data'!H50)/'Input data plant-based products'!$E$42</f>
        <v>9.6664142195434E-005</v>
      </c>
      <c r="M246" s="89" t="n">
        <v>0</v>
      </c>
      <c r="N246" s="89" t="n">
        <v>0</v>
      </c>
      <c r="O246" s="89" t="n">
        <f aca="false">'Input data plant-based products'!$B$121*'Common input data'!$B$59*'Common input data'!B50</f>
        <v>1.417698E-005</v>
      </c>
      <c r="P246" s="89" t="n">
        <v>0</v>
      </c>
      <c r="Q246" s="89" t="n">
        <v>0</v>
      </c>
      <c r="R246" s="89" t="n">
        <v>0</v>
      </c>
      <c r="S246" s="89" t="n">
        <f aca="false">(F246+R246)</f>
        <v>0.000115783394058059</v>
      </c>
      <c r="T246" s="89" t="n">
        <v>0</v>
      </c>
      <c r="U246" s="318" t="n">
        <v>0</v>
      </c>
      <c r="V246" s="309"/>
      <c r="W246" s="92"/>
      <c r="Z246" s="30"/>
    </row>
    <row r="247" s="332" customFormat="true" ht="18" hidden="false" customHeight="false" outlineLevel="0" collapsed="false">
      <c r="A247" s="250"/>
      <c r="B247" s="251"/>
      <c r="C247" s="105"/>
      <c r="D247" s="125" t="s">
        <v>136</v>
      </c>
      <c r="E247" s="226" t="n">
        <f aca="false">SUM(J247:K247)*'Input data plant-based products'!O$121</f>
        <v>0.00107379718933707</v>
      </c>
      <c r="F247" s="227" t="n">
        <f aca="false">SUM(H247:O247)*'Input data plant-based products'!$O$121</f>
        <v>0.00144094068001196</v>
      </c>
      <c r="G247" s="200" t="n">
        <f aca="false">SUM(S247:U247)/(1-'Common input data'!H124)</f>
        <v>0.00162916458067575</v>
      </c>
      <c r="H247" s="126" t="n">
        <f aca="false">('Input data plant-based products'!$F$42*('Common input data'!$D$76*'Common input data'!B71+'Common input data'!$D$77*'Common input data'!C71))/'Input data plant-based products'!$E$42</f>
        <v>0.000344287463408755</v>
      </c>
      <c r="I247" s="126" t="n">
        <v>0</v>
      </c>
      <c r="J247" s="126" t="n">
        <f aca="false">(SUM('Input data plant-based products'!F42:H42)*'Input data plant-based products'!$B$114*44/28)/'Input data plant-based products'!E42</f>
        <v>0.000934513074977385</v>
      </c>
      <c r="K247" s="126" t="n">
        <f aca="false">J247*'Input data plant-based products'!$B$115</f>
        <v>9.34513074977385E-005</v>
      </c>
      <c r="L247" s="126" t="n">
        <f aca="false">('Input data plant-based products'!$I$42*'Common input data'!$C$59*'Common input data'!H51)/'Input data plant-based products'!$E$42</f>
        <v>5.86365893781402E-006</v>
      </c>
      <c r="M247" s="126" t="n">
        <v>0</v>
      </c>
      <c r="N247" s="126" t="n">
        <v>0</v>
      </c>
      <c r="O247" s="126" t="n">
        <f aca="false">'Input data plant-based products'!$B$121*'Common input data'!$B$59*'Common input data'!B51</f>
        <v>1.32160958E-006</v>
      </c>
      <c r="P247" s="126" t="n">
        <v>0</v>
      </c>
      <c r="Q247" s="126" t="n">
        <v>0</v>
      </c>
      <c r="R247" s="126" t="n">
        <v>0</v>
      </c>
      <c r="S247" s="126" t="n">
        <f aca="false">(F247+R247)</f>
        <v>0.00144094068001196</v>
      </c>
      <c r="T247" s="126" t="n">
        <v>0</v>
      </c>
      <c r="U247" s="337" t="n">
        <v>0</v>
      </c>
      <c r="V247" s="309"/>
      <c r="W247" s="92"/>
      <c r="X247" s="209"/>
      <c r="Y247" s="209"/>
      <c r="Z247" s="30"/>
      <c r="AA247" s="209"/>
      <c r="AB247" s="209"/>
      <c r="AC247" s="209"/>
      <c r="AD247" s="209"/>
      <c r="AE247" s="209"/>
      <c r="AF247" s="209"/>
      <c r="AG247" s="209"/>
      <c r="AH247" s="209"/>
      <c r="AI247" s="209"/>
      <c r="AJ247" s="209"/>
      <c r="AK247" s="209"/>
      <c r="AL247" s="209"/>
      <c r="AM247" s="209"/>
      <c r="AN247" s="209"/>
      <c r="AO247" s="209"/>
      <c r="AP247" s="209"/>
      <c r="AQ247" s="209"/>
      <c r="AR247" s="209"/>
      <c r="AS247" s="209"/>
      <c r="AT247" s="209"/>
      <c r="AU247" s="209"/>
      <c r="AV247" s="209"/>
      <c r="AW247" s="209"/>
      <c r="AX247" s="209"/>
      <c r="AY247" s="209"/>
      <c r="AZ247" s="209"/>
      <c r="BA247" s="209"/>
      <c r="BB247" s="209"/>
      <c r="BC247" s="209"/>
      <c r="BD247" s="209"/>
      <c r="BE247" s="209"/>
      <c r="BF247" s="209"/>
      <c r="BG247" s="209"/>
      <c r="BH247" s="209"/>
      <c r="BI247" s="209"/>
      <c r="BJ247" s="209"/>
      <c r="BK247" s="209"/>
      <c r="BL247" s="209"/>
      <c r="BM247" s="209"/>
      <c r="BN247" s="209"/>
      <c r="BO247" s="209"/>
      <c r="BP247" s="209"/>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209"/>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209"/>
      <c r="EC247" s="209"/>
      <c r="ED247" s="209"/>
      <c r="EE247" s="209"/>
      <c r="EF247" s="209"/>
      <c r="EG247" s="209"/>
      <c r="EH247" s="209"/>
      <c r="EI247" s="209"/>
      <c r="EJ247" s="209"/>
      <c r="EK247" s="209"/>
      <c r="EL247" s="209"/>
      <c r="EM247" s="209"/>
      <c r="EN247" s="209"/>
      <c r="EO247" s="209"/>
      <c r="EP247" s="209"/>
      <c r="EQ247" s="209"/>
      <c r="ER247" s="209"/>
      <c r="ES247" s="209"/>
      <c r="ET247" s="209"/>
      <c r="EU247" s="209"/>
      <c r="EV247" s="209"/>
      <c r="EW247" s="209"/>
      <c r="EX247" s="209"/>
      <c r="EY247" s="209"/>
      <c r="EZ247" s="209"/>
      <c r="FA247" s="209"/>
      <c r="FB247" s="209"/>
      <c r="FC247" s="209"/>
      <c r="FD247" s="209"/>
      <c r="FE247" s="209"/>
      <c r="FF247" s="209"/>
      <c r="FG247" s="209"/>
      <c r="FH247" s="209"/>
      <c r="FI247" s="209"/>
      <c r="FJ247" s="209"/>
      <c r="FK247" s="209"/>
      <c r="FL247" s="209"/>
      <c r="FM247" s="209"/>
      <c r="FN247" s="209"/>
      <c r="FO247" s="209"/>
      <c r="FP247" s="209"/>
      <c r="FQ247" s="209"/>
      <c r="FR247" s="209"/>
      <c r="FS247" s="209"/>
      <c r="FT247" s="209"/>
      <c r="FU247" s="209"/>
      <c r="FV247" s="209"/>
      <c r="FW247" s="209"/>
      <c r="FX247" s="209"/>
      <c r="FY247" s="209"/>
      <c r="FZ247" s="209"/>
      <c r="GA247" s="209"/>
      <c r="GB247" s="209"/>
      <c r="GC247" s="209"/>
      <c r="GD247" s="209"/>
      <c r="GE247" s="209"/>
      <c r="GF247" s="209"/>
      <c r="GG247" s="209"/>
      <c r="GH247" s="209"/>
      <c r="GI247" s="209"/>
      <c r="GJ247" s="209"/>
      <c r="GK247" s="209"/>
      <c r="GL247" s="209"/>
      <c r="GM247" s="209"/>
      <c r="GN247" s="209"/>
      <c r="GO247" s="209"/>
      <c r="GP247" s="209"/>
      <c r="GQ247" s="209"/>
      <c r="GR247" s="209"/>
      <c r="GS247" s="209"/>
      <c r="GT247" s="209"/>
      <c r="GU247" s="209"/>
      <c r="GV247" s="209"/>
      <c r="GW247" s="209"/>
      <c r="GX247" s="209"/>
      <c r="GY247" s="209"/>
      <c r="GZ247" s="209"/>
      <c r="HA247" s="209"/>
      <c r="HB247" s="209"/>
      <c r="HC247" s="209"/>
      <c r="HD247" s="209"/>
      <c r="HE247" s="209"/>
      <c r="HF247" s="209"/>
      <c r="HG247" s="209"/>
      <c r="HH247" s="209"/>
      <c r="HI247" s="209"/>
      <c r="HJ247" s="209"/>
      <c r="HK247" s="209"/>
      <c r="HL247" s="209"/>
      <c r="HM247" s="209"/>
      <c r="HN247" s="209"/>
      <c r="HO247" s="209"/>
      <c r="HP247" s="209"/>
      <c r="HQ247" s="209"/>
      <c r="HR247" s="209"/>
      <c r="HS247" s="209"/>
      <c r="HT247" s="209"/>
      <c r="HU247" s="209"/>
      <c r="HV247" s="209"/>
      <c r="HW247" s="209"/>
      <c r="HX247" s="209"/>
      <c r="HY247" s="209"/>
      <c r="HZ247" s="209"/>
      <c r="IA247" s="209"/>
      <c r="IB247" s="209"/>
      <c r="IC247" s="209"/>
      <c r="ID247" s="209"/>
      <c r="IE247" s="209"/>
      <c r="IF247" s="209"/>
      <c r="IG247" s="209"/>
      <c r="IH247" s="209"/>
      <c r="II247" s="209"/>
      <c r="IJ247" s="209"/>
      <c r="IK247" s="209"/>
      <c r="IL247" s="209"/>
      <c r="IM247" s="209"/>
      <c r="IN247" s="209"/>
      <c r="IO247" s="209"/>
      <c r="IP247" s="209"/>
      <c r="IQ247" s="209"/>
      <c r="IR247" s="209"/>
      <c r="IS247" s="209"/>
      <c r="IT247" s="209"/>
      <c r="IU247" s="209"/>
      <c r="IV247" s="209"/>
      <c r="IW247" s="209"/>
      <c r="IX247" s="209"/>
    </row>
  </sheetData>
  <dataValidations count="2">
    <dataValidation allowBlank="true" operator="between" showDropDown="false" showErrorMessage="true" showInputMessage="true" sqref="F2:F3" type="list">
      <formula1>"Yes,No"</formula1>
      <formula2>0</formula2>
    </dataValidation>
    <dataValidation allowBlank="true" operator="between" showDropDown="false" showErrorMessage="true" showInputMessage="true" sqref="F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4B183"/>
    <pageSetUpPr fitToPage="false"/>
  </sheetPr>
  <dimension ref="A1:IX20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90234375" defaultRowHeight="14.4" zeroHeight="false" outlineLevelRow="0" outlineLevelCol="0"/>
  <cols>
    <col collapsed="false" customWidth="true" hidden="false" outlineLevel="0" max="1" min="1" style="30" width="52.89"/>
    <col collapsed="false" customWidth="true" hidden="false" outlineLevel="0" max="2" min="2" style="30" width="37.66"/>
    <col collapsed="false" customWidth="true" hidden="false" outlineLevel="0" max="3" min="3" style="30" width="19.89"/>
    <col collapsed="false" customWidth="true" hidden="false" outlineLevel="0" max="4" min="4" style="30" width="27.99"/>
    <col collapsed="false" customWidth="true" hidden="false" outlineLevel="0" max="7" min="5" style="30" width="38.89"/>
    <col collapsed="false" customWidth="true" hidden="false" outlineLevel="0" max="8" min="8" style="30" width="34.44"/>
    <col collapsed="false" customWidth="true" hidden="false" outlineLevel="0" max="9" min="9" style="30" width="35.44"/>
    <col collapsed="false" customWidth="true" hidden="false" outlineLevel="0" max="10" min="10" style="30" width="18.44"/>
    <col collapsed="false" customWidth="true" hidden="false" outlineLevel="0" max="11" min="11" style="30" width="23.11"/>
    <col collapsed="false" customWidth="true" hidden="false" outlineLevel="0" max="12" min="12" style="30" width="19"/>
    <col collapsed="false" customWidth="true" hidden="false" outlineLevel="0" max="13" min="13" style="30" width="29.33"/>
    <col collapsed="false" customWidth="true" hidden="false" outlineLevel="0" max="17" min="14" style="30" width="28.66"/>
    <col collapsed="false" customWidth="true" hidden="false" outlineLevel="0" max="18" min="18" style="30" width="27.66"/>
    <col collapsed="false" customWidth="true" hidden="false" outlineLevel="0" max="19" min="19" style="30" width="27.11"/>
    <col collapsed="false" customWidth="true" hidden="false" outlineLevel="0" max="20" min="20" style="30" width="19"/>
    <col collapsed="false" customWidth="true" hidden="false" outlineLevel="0" max="21" min="21" style="30" width="22.33"/>
    <col collapsed="false" customWidth="false" hidden="false" outlineLevel="0" max="26" min="22" style="30" width="8.89"/>
    <col collapsed="false" customWidth="true" hidden="false" outlineLevel="0" max="27" min="27" style="30" width="39.66"/>
    <col collapsed="false" customWidth="false" hidden="false" outlineLevel="0" max="31" min="28" style="30" width="8.89"/>
    <col collapsed="false" customWidth="true" hidden="false" outlineLevel="0" max="32" min="32" style="30" width="33.89"/>
    <col collapsed="false" customWidth="true" hidden="false" outlineLevel="0" max="33" min="33" style="30" width="27.66"/>
    <col collapsed="false" customWidth="true" hidden="false" outlineLevel="0" max="34" min="34" style="30" width="19"/>
    <col collapsed="false" customWidth="true" hidden="false" outlineLevel="0" max="35" min="35" style="30" width="17.67"/>
    <col collapsed="false" customWidth="false" hidden="false" outlineLevel="0" max="36" min="36" style="30" width="8.89"/>
    <col collapsed="false" customWidth="true" hidden="false" outlineLevel="0" max="37" min="37" style="30" width="28.66"/>
    <col collapsed="false" customWidth="true" hidden="false" outlineLevel="0" max="38" min="38" style="30" width="27.66"/>
    <col collapsed="false" customWidth="false" hidden="false" outlineLevel="0" max="1025" min="39" style="30" width="8.89"/>
  </cols>
  <sheetData>
    <row r="1" customFormat="false" ht="31.2" hidden="false" customHeight="false" outlineLevel="0" collapsed="false">
      <c r="A1" s="32" t="s">
        <v>16</v>
      </c>
      <c r="E1" s="33" t="s">
        <v>104</v>
      </c>
      <c r="F1" s="34" t="s">
        <v>105</v>
      </c>
    </row>
    <row r="2" customFormat="false" ht="17.4" hidden="false" customHeight="false" outlineLevel="0" collapsed="false">
      <c r="E2" s="33" t="s">
        <v>106</v>
      </c>
      <c r="F2" s="34" t="s">
        <v>107</v>
      </c>
      <c r="G2" s="33"/>
      <c r="I2" s="92"/>
      <c r="J2" s="117"/>
      <c r="K2" s="92"/>
      <c r="L2" s="92"/>
      <c r="M2" s="92"/>
      <c r="N2" s="92"/>
      <c r="O2" s="92"/>
      <c r="P2" s="92"/>
      <c r="Q2" s="92"/>
      <c r="R2" s="92"/>
      <c r="S2" s="92"/>
      <c r="T2" s="92"/>
      <c r="U2" s="92"/>
      <c r="V2" s="19"/>
    </row>
    <row r="3" customFormat="false" ht="69.6" hidden="false" customHeight="false" outlineLevel="0" collapsed="false">
      <c r="E3" s="38" t="s">
        <v>108</v>
      </c>
      <c r="F3" s="34" t="s">
        <v>107</v>
      </c>
      <c r="G3" s="33"/>
      <c r="H3" s="37"/>
    </row>
    <row r="4" customFormat="false" ht="18" hidden="false" customHeight="false" outlineLevel="0" collapsed="false">
      <c r="G4" s="33"/>
    </row>
    <row r="5" customFormat="false" ht="17.4" hidden="false" customHeight="false" outlineLevel="0" collapsed="false">
      <c r="A5" s="49"/>
      <c r="B5" s="42"/>
      <c r="C5" s="42"/>
      <c r="D5" s="42"/>
      <c r="E5" s="43" t="s">
        <v>109</v>
      </c>
      <c r="F5" s="44"/>
      <c r="G5" s="45"/>
      <c r="H5" s="204"/>
      <c r="I5" s="204"/>
      <c r="J5" s="206" t="s">
        <v>119</v>
      </c>
      <c r="K5" s="341"/>
      <c r="L5" s="342"/>
      <c r="M5" s="342"/>
      <c r="N5" s="342"/>
      <c r="O5" s="342"/>
      <c r="P5" s="342"/>
      <c r="Q5" s="342"/>
      <c r="R5" s="342"/>
      <c r="S5" s="342"/>
      <c r="T5" s="342"/>
      <c r="U5" s="342"/>
      <c r="V5" s="74"/>
    </row>
    <row r="6" s="310" customFormat="true" ht="34.8" hidden="false" customHeight="false" outlineLevel="0" collapsed="false">
      <c r="A6" s="207"/>
      <c r="B6" s="54" t="s">
        <v>112</v>
      </c>
      <c r="C6" s="55" t="s">
        <v>238</v>
      </c>
      <c r="D6" s="55" t="s">
        <v>114</v>
      </c>
      <c r="E6" s="56" t="s">
        <v>115</v>
      </c>
      <c r="F6" s="57" t="s">
        <v>116</v>
      </c>
      <c r="G6" s="58" t="s">
        <v>117</v>
      </c>
      <c r="H6" s="55" t="s">
        <v>239</v>
      </c>
      <c r="I6" s="55" t="s">
        <v>240</v>
      </c>
      <c r="J6" s="60" t="s">
        <v>120</v>
      </c>
      <c r="K6" s="59" t="s">
        <v>121</v>
      </c>
      <c r="L6" s="55" t="s">
        <v>241</v>
      </c>
      <c r="M6" s="55" t="s">
        <v>242</v>
      </c>
      <c r="N6" s="55" t="s">
        <v>243</v>
      </c>
      <c r="O6" s="55" t="s">
        <v>244</v>
      </c>
      <c r="P6" s="55" t="s">
        <v>123</v>
      </c>
      <c r="Q6" s="55" t="s">
        <v>124</v>
      </c>
      <c r="R6" s="55" t="s">
        <v>245</v>
      </c>
      <c r="S6" s="55" t="s">
        <v>127</v>
      </c>
      <c r="T6" s="55" t="s">
        <v>128</v>
      </c>
      <c r="U6" s="55" t="s">
        <v>129</v>
      </c>
      <c r="V6" s="309"/>
      <c r="W6" s="92"/>
      <c r="X6" s="209"/>
      <c r="Y6" s="209"/>
      <c r="Z6" s="30"/>
      <c r="AA6" s="209"/>
      <c r="AB6" s="209"/>
      <c r="AC6" s="209"/>
      <c r="AD6" s="209"/>
      <c r="AE6" s="209"/>
      <c r="AF6" s="209"/>
      <c r="AG6" s="209"/>
      <c r="AH6" s="209"/>
      <c r="AI6" s="209"/>
      <c r="AJ6" s="209"/>
      <c r="AK6" s="209"/>
      <c r="AL6" s="209"/>
      <c r="AM6" s="209"/>
      <c r="AN6" s="209"/>
      <c r="AO6" s="209"/>
      <c r="AP6" s="209"/>
      <c r="AQ6" s="209"/>
      <c r="AR6" s="209"/>
      <c r="AS6" s="209"/>
      <c r="AT6" s="209"/>
      <c r="AU6" s="209"/>
      <c r="AV6" s="209"/>
      <c r="AW6" s="209"/>
      <c r="AX6" s="209"/>
      <c r="AY6" s="209"/>
      <c r="AZ6" s="209"/>
      <c r="BA6" s="209"/>
      <c r="BB6" s="209"/>
      <c r="BC6" s="209"/>
      <c r="BD6" s="209"/>
      <c r="BE6" s="209"/>
      <c r="BF6" s="209"/>
      <c r="BG6" s="209"/>
      <c r="BH6" s="209"/>
      <c r="BI6" s="209"/>
      <c r="BJ6" s="209"/>
      <c r="BK6" s="209"/>
      <c r="BL6" s="209"/>
      <c r="BM6" s="209"/>
      <c r="BN6" s="209"/>
      <c r="BO6" s="209"/>
      <c r="BP6" s="209"/>
      <c r="BQ6" s="209"/>
      <c r="BR6" s="209"/>
      <c r="BS6" s="209"/>
      <c r="BT6" s="209"/>
      <c r="BU6" s="209"/>
      <c r="BV6" s="209"/>
      <c r="BW6" s="209"/>
      <c r="BX6" s="209"/>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c r="DI6" s="209"/>
      <c r="DJ6" s="209"/>
      <c r="DK6" s="209"/>
      <c r="DL6" s="209"/>
      <c r="DM6" s="209"/>
      <c r="DN6" s="209"/>
      <c r="DO6" s="209"/>
      <c r="DP6" s="209"/>
      <c r="DQ6" s="209"/>
      <c r="DR6" s="209"/>
      <c r="DS6" s="209"/>
      <c r="DT6" s="209"/>
      <c r="DU6" s="209"/>
      <c r="DV6" s="209"/>
      <c r="DW6" s="209"/>
      <c r="DX6" s="209"/>
      <c r="DY6" s="209"/>
      <c r="DZ6" s="209"/>
      <c r="EA6" s="209"/>
      <c r="EB6" s="209"/>
      <c r="EC6" s="209"/>
      <c r="ED6" s="209"/>
      <c r="EE6" s="209"/>
      <c r="EF6" s="209"/>
      <c r="EG6" s="209"/>
      <c r="EH6" s="209"/>
      <c r="EI6" s="209"/>
      <c r="EJ6" s="209"/>
      <c r="EK6" s="209"/>
      <c r="EL6" s="209"/>
      <c r="EM6" s="209"/>
      <c r="EN6" s="209"/>
      <c r="EO6" s="209"/>
      <c r="EP6" s="209"/>
      <c r="EQ6" s="209"/>
      <c r="ER6" s="209"/>
      <c r="ES6" s="209"/>
      <c r="ET6" s="209"/>
      <c r="EU6" s="209"/>
      <c r="EV6" s="209"/>
      <c r="EW6" s="209"/>
      <c r="EX6" s="209"/>
      <c r="EY6" s="209"/>
      <c r="EZ6" s="209"/>
      <c r="FA6" s="209"/>
      <c r="FB6" s="209"/>
      <c r="FC6" s="209"/>
      <c r="FD6" s="209"/>
      <c r="FE6" s="209"/>
      <c r="FF6" s="209"/>
      <c r="FG6" s="209"/>
      <c r="FH6" s="209"/>
      <c r="FI6" s="209"/>
      <c r="FJ6" s="209"/>
      <c r="FK6" s="209"/>
      <c r="FL6" s="209"/>
      <c r="FM6" s="209"/>
      <c r="FN6" s="209"/>
      <c r="FO6" s="209"/>
      <c r="FP6" s="209"/>
      <c r="FQ6" s="209"/>
      <c r="FR6" s="209"/>
      <c r="FS6" s="209"/>
      <c r="FT6" s="209"/>
      <c r="FU6" s="209"/>
      <c r="FV6" s="209"/>
      <c r="FW6" s="209"/>
      <c r="FX6" s="209"/>
      <c r="FY6" s="209"/>
      <c r="FZ6" s="209"/>
      <c r="GA6" s="209"/>
      <c r="GB6" s="209"/>
      <c r="GC6" s="209"/>
      <c r="GD6" s="209"/>
      <c r="GE6" s="209"/>
      <c r="GF6" s="209"/>
      <c r="GG6" s="209"/>
      <c r="GH6" s="209"/>
      <c r="GI6" s="209"/>
      <c r="GJ6" s="209"/>
      <c r="GK6" s="209"/>
      <c r="GL6" s="209"/>
      <c r="GM6" s="209"/>
      <c r="GN6" s="209"/>
      <c r="GO6" s="209"/>
      <c r="GP6" s="209"/>
      <c r="GQ6" s="209"/>
      <c r="GR6" s="209"/>
      <c r="GS6" s="209"/>
      <c r="GT6" s="209"/>
      <c r="GU6" s="209"/>
      <c r="GV6" s="209"/>
      <c r="GW6" s="209"/>
      <c r="GX6" s="209"/>
      <c r="GY6" s="209"/>
      <c r="GZ6" s="209"/>
      <c r="HA6" s="209"/>
      <c r="HB6" s="209"/>
      <c r="HC6" s="209"/>
      <c r="HD6" s="209"/>
      <c r="HE6" s="209"/>
      <c r="HF6" s="209"/>
      <c r="HG6" s="209"/>
      <c r="HH6" s="209"/>
      <c r="HI6" s="209"/>
      <c r="HJ6" s="209"/>
      <c r="HK6" s="209"/>
      <c r="HL6" s="209"/>
      <c r="HM6" s="209"/>
      <c r="HN6" s="209"/>
      <c r="HO6" s="209"/>
      <c r="HP6" s="209"/>
      <c r="HQ6" s="209"/>
      <c r="HR6" s="209"/>
      <c r="HS6" s="209"/>
      <c r="HT6" s="209"/>
      <c r="HU6" s="209"/>
      <c r="HV6" s="209"/>
      <c r="HW6" s="209"/>
      <c r="HX6" s="209"/>
      <c r="HY6" s="209"/>
      <c r="HZ6" s="209"/>
      <c r="IA6" s="209"/>
      <c r="IB6" s="209"/>
      <c r="IC6" s="209"/>
      <c r="ID6" s="209"/>
      <c r="IE6" s="209"/>
      <c r="IF6" s="209"/>
      <c r="IG6" s="209"/>
      <c r="IH6" s="209"/>
      <c r="II6" s="209"/>
      <c r="IJ6" s="209"/>
      <c r="IK6" s="209"/>
      <c r="IL6" s="209"/>
      <c r="IM6" s="209"/>
      <c r="IN6" s="209"/>
      <c r="IO6" s="209"/>
      <c r="IP6" s="209"/>
      <c r="IQ6" s="209"/>
      <c r="IR6" s="209"/>
      <c r="IS6" s="209"/>
      <c r="IT6" s="209"/>
      <c r="IU6" s="209"/>
      <c r="IV6" s="209"/>
      <c r="IW6" s="209"/>
      <c r="IX6" s="209"/>
    </row>
    <row r="7" s="334" customFormat="true" ht="17.4" hidden="false" customHeight="false" outlineLevel="0" collapsed="false">
      <c r="A7" s="107" t="s">
        <v>318</v>
      </c>
      <c r="B7" s="108"/>
      <c r="C7" s="69"/>
      <c r="D7" s="109"/>
      <c r="E7" s="66" t="s">
        <v>319</v>
      </c>
      <c r="F7" s="67" t="s">
        <v>319</v>
      </c>
      <c r="G7" s="68" t="s">
        <v>319</v>
      </c>
      <c r="H7" s="69"/>
      <c r="I7" s="69"/>
      <c r="J7" s="69"/>
      <c r="K7" s="113"/>
      <c r="L7" s="113"/>
      <c r="M7" s="114"/>
      <c r="N7" s="113"/>
      <c r="O7" s="113"/>
      <c r="P7" s="113"/>
      <c r="Q7" s="113"/>
      <c r="R7" s="113"/>
      <c r="S7" s="113"/>
      <c r="T7" s="113"/>
      <c r="U7" s="113"/>
      <c r="V7" s="309"/>
      <c r="W7" s="92"/>
      <c r="X7" s="209"/>
      <c r="Y7" s="209"/>
      <c r="Z7" s="30"/>
      <c r="AA7" s="209"/>
      <c r="AB7" s="209"/>
      <c r="AC7" s="209"/>
      <c r="AD7" s="209"/>
      <c r="AE7" s="209"/>
      <c r="AF7" s="209"/>
      <c r="AG7" s="209"/>
      <c r="AH7" s="209"/>
      <c r="AI7" s="209"/>
      <c r="AJ7" s="209"/>
      <c r="AK7" s="209"/>
      <c r="AL7" s="209"/>
      <c r="AM7" s="209"/>
      <c r="AN7" s="209"/>
      <c r="AO7" s="209"/>
      <c r="AP7" s="209"/>
      <c r="AQ7" s="209"/>
      <c r="AR7" s="209"/>
      <c r="AS7" s="209"/>
      <c r="AT7" s="209"/>
      <c r="AU7" s="209"/>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c r="EO7" s="209"/>
      <c r="EP7" s="209"/>
      <c r="EQ7" s="209"/>
      <c r="ER7" s="209"/>
      <c r="ES7" s="209"/>
      <c r="ET7" s="209"/>
      <c r="EU7" s="209"/>
      <c r="EV7" s="209"/>
      <c r="EW7" s="209"/>
      <c r="EX7" s="209"/>
      <c r="EY7" s="209"/>
      <c r="EZ7" s="209"/>
      <c r="FA7" s="209"/>
      <c r="FB7" s="209"/>
      <c r="FC7" s="209"/>
      <c r="FD7" s="209"/>
      <c r="FE7" s="209"/>
      <c r="FF7" s="209"/>
      <c r="FG7" s="209"/>
      <c r="FH7" s="209"/>
      <c r="FI7" s="209"/>
      <c r="FJ7" s="209"/>
      <c r="FK7" s="209"/>
      <c r="FL7" s="209"/>
      <c r="FM7" s="209"/>
      <c r="FN7" s="209"/>
      <c r="FO7" s="209"/>
      <c r="FP7" s="209"/>
      <c r="FQ7" s="209"/>
      <c r="FR7" s="209"/>
      <c r="FS7" s="209"/>
      <c r="FT7" s="209"/>
      <c r="FU7" s="209"/>
      <c r="FV7" s="209"/>
      <c r="FW7" s="209"/>
      <c r="FX7" s="209"/>
      <c r="FY7" s="209"/>
      <c r="FZ7" s="209"/>
      <c r="GA7" s="209"/>
      <c r="GB7" s="209"/>
      <c r="GC7" s="209"/>
      <c r="GD7" s="209"/>
      <c r="GE7" s="209"/>
      <c r="GF7" s="209"/>
      <c r="GG7" s="209"/>
      <c r="GH7" s="209"/>
      <c r="GI7" s="209"/>
      <c r="GJ7" s="209"/>
      <c r="GK7" s="209"/>
      <c r="GL7" s="209"/>
      <c r="GM7" s="209"/>
      <c r="GN7" s="209"/>
      <c r="GO7" s="209"/>
      <c r="GP7" s="209"/>
      <c r="GQ7" s="209"/>
      <c r="GR7" s="209"/>
      <c r="GS7" s="209"/>
      <c r="GT7" s="209"/>
      <c r="GU7" s="209"/>
      <c r="GV7" s="209"/>
      <c r="GW7" s="209"/>
      <c r="GX7" s="209"/>
      <c r="GY7" s="209"/>
      <c r="GZ7" s="209"/>
      <c r="HA7" s="209"/>
      <c r="HB7" s="209"/>
      <c r="HC7" s="209"/>
      <c r="HD7" s="209"/>
      <c r="HE7" s="209"/>
      <c r="HF7" s="209"/>
      <c r="HG7" s="209"/>
      <c r="HH7" s="209"/>
      <c r="HI7" s="209"/>
      <c r="HJ7" s="209"/>
      <c r="HK7" s="209"/>
      <c r="HL7" s="209"/>
      <c r="HM7" s="209"/>
      <c r="HN7" s="209"/>
      <c r="HO7" s="209"/>
      <c r="HP7" s="209"/>
      <c r="HQ7" s="209"/>
      <c r="HR7" s="209"/>
      <c r="HS7" s="209"/>
      <c r="HT7" s="209"/>
      <c r="HU7" s="209"/>
      <c r="HV7" s="209"/>
      <c r="HW7" s="209"/>
      <c r="HX7" s="209"/>
      <c r="HY7" s="209"/>
      <c r="HZ7" s="209"/>
      <c r="IA7" s="209"/>
      <c r="IB7" s="209"/>
      <c r="IC7" s="209"/>
      <c r="ID7" s="209"/>
      <c r="IE7" s="209"/>
      <c r="IF7" s="209"/>
      <c r="IG7" s="209"/>
      <c r="IH7" s="209"/>
      <c r="II7" s="209"/>
      <c r="IJ7" s="209"/>
      <c r="IK7" s="209"/>
      <c r="IL7" s="209"/>
      <c r="IM7" s="209"/>
      <c r="IN7" s="209"/>
      <c r="IO7" s="209"/>
      <c r="IP7" s="209"/>
      <c r="IQ7" s="209"/>
      <c r="IR7" s="209"/>
      <c r="IS7" s="209"/>
      <c r="IT7" s="209"/>
      <c r="IU7" s="209"/>
      <c r="IV7" s="209"/>
      <c r="IW7" s="209"/>
      <c r="IX7" s="209"/>
    </row>
    <row r="8" s="332" customFormat="true" ht="17.4" hidden="false" customHeight="false" outlineLevel="0" collapsed="false">
      <c r="A8" s="330" t="s">
        <v>272</v>
      </c>
      <c r="B8" s="76"/>
      <c r="C8" s="188" t="n">
        <f aca="false">SUM(C12:C23)</f>
        <v>1</v>
      </c>
      <c r="D8" s="78" t="s">
        <v>133</v>
      </c>
      <c r="E8" s="79" t="n">
        <f aca="false">IF($F$1="GWP100 without fb",E9+E10*'Common input data'!$C$5+E11*'Common input data'!$D$5,IF($F$1="GWP100 with fb",E9+E10*'Common input data'!$C$6+E11*'Common input data'!$D$6,IF($F$1="GTP100 without fb",E9+E10*'Common input data'!$C$7+E11*'Common input data'!$D$7,IF($F$1="GTP100 with fb",E9+E10*'Common input data'!$C$8+E11*'Common input data'!$D$8,E9+E10*'Common input data'!$C$9+E11*'Common input data'!$D$9))))</f>
        <v>-0.0819349628195135</v>
      </c>
      <c r="F8" s="80" t="n">
        <f aca="false">IF($F$1="GWP100 without fb",F9+F10*'Common input data'!$C$5+F11*'Common input data'!$D$5,IF($F$1="GWP100 with fb",F9+F10*'Common input data'!$C$6+F11*'Common input data'!$D$6,IF($F$1="GTP100 without fb",F9+F10*'Common input data'!$C$7+F11*'Common input data'!$D$7,IF($F$1="GTP100 with fb",F9+F10*'Common input data'!$C$8+F11*'Common input data'!$D$8,F9+F10*'Common input data'!$C$9+F11*'Common input data'!$D$9))))</f>
        <v>0.0717487305487176</v>
      </c>
      <c r="G8" s="81" t="n">
        <f aca="false">IF($F$1="GWP100 without fb",G9+G10*'Common input data'!$C$5+G11*'Common input data'!$D$5,IF($F$1="GWP100 with fb",G9+G10*'Common input data'!$C$6+G11*'Common input data'!$D$6,IF($F$1="GTP100 without fb",G9+G10*'Common input data'!$C$7+G11*'Common input data'!$D$7,IF($F$1="GTP100 with fb",G9+G10*'Common input data'!$C$8+G11*'Common input data'!$D$8,G9+G10*'Common input data'!$C$9+G11*'Common input data'!$D$9))))</f>
        <v>0.369672670424535</v>
      </c>
      <c r="H8" s="95"/>
      <c r="I8" s="97"/>
      <c r="J8" s="97"/>
      <c r="K8" s="83"/>
      <c r="L8" s="83"/>
      <c r="M8" s="83"/>
      <c r="N8" s="83"/>
      <c r="O8" s="83"/>
      <c r="P8" s="83"/>
      <c r="Q8" s="83"/>
      <c r="R8" s="83"/>
      <c r="S8" s="83"/>
      <c r="T8" s="83"/>
      <c r="U8" s="83"/>
      <c r="V8" s="309"/>
      <c r="W8" s="92"/>
      <c r="X8" s="209"/>
      <c r="Y8" s="209"/>
      <c r="Z8" s="30"/>
      <c r="AA8" s="209"/>
      <c r="AB8" s="209"/>
      <c r="AC8" s="209"/>
      <c r="AD8" s="209"/>
      <c r="AE8" s="209"/>
      <c r="AF8" s="209"/>
      <c r="AG8" s="209"/>
      <c r="AH8" s="209"/>
      <c r="AI8" s="209"/>
      <c r="AJ8" s="209"/>
      <c r="AK8" s="209"/>
      <c r="AL8" s="209"/>
      <c r="AM8" s="209"/>
      <c r="AN8" s="209"/>
      <c r="AO8" s="209"/>
      <c r="AP8" s="209"/>
      <c r="AQ8" s="209"/>
      <c r="AR8" s="209"/>
      <c r="AS8" s="209"/>
      <c r="AT8" s="209"/>
      <c r="AU8" s="209"/>
      <c r="AV8" s="209"/>
      <c r="AW8" s="209"/>
      <c r="AX8" s="209"/>
      <c r="AY8" s="209"/>
      <c r="AZ8" s="209"/>
      <c r="BA8" s="209"/>
      <c r="BB8" s="209"/>
      <c r="BC8" s="209"/>
      <c r="BD8" s="209"/>
      <c r="BE8" s="209"/>
      <c r="BF8" s="209"/>
      <c r="BG8" s="209"/>
      <c r="BH8" s="209"/>
      <c r="BI8" s="209"/>
      <c r="BJ8" s="209"/>
      <c r="BK8" s="209"/>
      <c r="BL8" s="209"/>
      <c r="BM8" s="209"/>
      <c r="BN8" s="209"/>
      <c r="BO8" s="209"/>
      <c r="BP8" s="209"/>
      <c r="BQ8" s="209"/>
      <c r="BR8" s="209"/>
      <c r="BS8" s="209"/>
      <c r="BT8" s="209"/>
      <c r="BU8" s="209"/>
      <c r="BV8" s="209"/>
      <c r="BW8" s="209"/>
      <c r="BX8" s="209"/>
      <c r="BY8" s="209"/>
      <c r="BZ8" s="209"/>
      <c r="CA8" s="209"/>
      <c r="CB8" s="209"/>
      <c r="CC8" s="209"/>
      <c r="CD8" s="209"/>
      <c r="CE8" s="209"/>
      <c r="CF8" s="209"/>
      <c r="CG8" s="209"/>
      <c r="CH8" s="209"/>
      <c r="CI8" s="209"/>
      <c r="CJ8" s="209"/>
      <c r="CK8" s="209"/>
      <c r="CL8" s="209"/>
      <c r="CM8" s="209"/>
      <c r="CN8" s="209"/>
      <c r="CO8" s="209"/>
      <c r="CP8" s="209"/>
      <c r="CQ8" s="209"/>
      <c r="CR8" s="209"/>
      <c r="CS8" s="209"/>
      <c r="CT8" s="209"/>
      <c r="CU8" s="209"/>
      <c r="CV8" s="209"/>
      <c r="CW8" s="209"/>
      <c r="CX8" s="209"/>
      <c r="CY8" s="209"/>
      <c r="CZ8" s="209"/>
      <c r="DA8" s="209"/>
      <c r="DB8" s="209"/>
      <c r="DC8" s="209"/>
      <c r="DD8" s="209"/>
      <c r="DE8" s="209"/>
      <c r="DF8" s="209"/>
      <c r="DG8" s="209"/>
      <c r="DH8" s="209"/>
      <c r="DI8" s="209"/>
      <c r="DJ8" s="209"/>
      <c r="DK8" s="209"/>
      <c r="DL8" s="209"/>
      <c r="DM8" s="209"/>
      <c r="DN8" s="209"/>
      <c r="DO8" s="209"/>
      <c r="DP8" s="209"/>
      <c r="DQ8" s="209"/>
      <c r="DR8" s="209"/>
      <c r="DS8" s="209"/>
      <c r="DT8" s="209"/>
      <c r="DU8" s="209"/>
      <c r="DV8" s="209"/>
      <c r="DW8" s="209"/>
      <c r="DX8" s="209"/>
      <c r="DY8" s="209"/>
      <c r="DZ8" s="209"/>
      <c r="EA8" s="209"/>
      <c r="EB8" s="209"/>
      <c r="EC8" s="209"/>
      <c r="ED8" s="209"/>
      <c r="EE8" s="209"/>
      <c r="EF8" s="209"/>
      <c r="EG8" s="209"/>
      <c r="EH8" s="209"/>
      <c r="EI8" s="209"/>
      <c r="EJ8" s="209"/>
      <c r="EK8" s="209"/>
      <c r="EL8" s="209"/>
      <c r="EM8" s="209"/>
      <c r="EN8" s="209"/>
      <c r="EO8" s="209"/>
      <c r="EP8" s="209"/>
      <c r="EQ8" s="209"/>
      <c r="ER8" s="209"/>
      <c r="ES8" s="209"/>
      <c r="ET8" s="209"/>
      <c r="EU8" s="209"/>
      <c r="EV8" s="209"/>
      <c r="EW8" s="209"/>
      <c r="EX8" s="209"/>
      <c r="EY8" s="209"/>
      <c r="EZ8" s="209"/>
      <c r="FA8" s="209"/>
      <c r="FB8" s="209"/>
      <c r="FC8" s="209"/>
      <c r="FD8" s="209"/>
      <c r="FE8" s="209"/>
      <c r="FF8" s="209"/>
      <c r="FG8" s="209"/>
      <c r="FH8" s="209"/>
      <c r="FI8" s="209"/>
      <c r="FJ8" s="209"/>
      <c r="FK8" s="209"/>
      <c r="FL8" s="209"/>
      <c r="FM8" s="209"/>
      <c r="FN8" s="209"/>
      <c r="FO8" s="209"/>
      <c r="FP8" s="209"/>
      <c r="FQ8" s="209"/>
      <c r="FR8" s="209"/>
      <c r="FS8" s="209"/>
      <c r="FT8" s="209"/>
      <c r="FU8" s="209"/>
      <c r="FV8" s="209"/>
      <c r="FW8" s="209"/>
      <c r="FX8" s="209"/>
      <c r="FY8" s="209"/>
      <c r="FZ8" s="209"/>
      <c r="GA8" s="209"/>
      <c r="GB8" s="209"/>
      <c r="GC8" s="209"/>
      <c r="GD8" s="209"/>
      <c r="GE8" s="209"/>
      <c r="GF8" s="209"/>
      <c r="GG8" s="209"/>
      <c r="GH8" s="209"/>
      <c r="GI8" s="209"/>
      <c r="GJ8" s="209"/>
      <c r="GK8" s="209"/>
      <c r="GL8" s="209"/>
      <c r="GM8" s="209"/>
      <c r="GN8" s="209"/>
      <c r="GO8" s="209"/>
      <c r="GP8" s="209"/>
      <c r="GQ8" s="209"/>
      <c r="GR8" s="209"/>
      <c r="GS8" s="209"/>
      <c r="GT8" s="209"/>
      <c r="GU8" s="209"/>
      <c r="GV8" s="209"/>
      <c r="GW8" s="209"/>
      <c r="GX8" s="209"/>
      <c r="GY8" s="209"/>
      <c r="GZ8" s="209"/>
      <c r="HA8" s="209"/>
      <c r="HB8" s="209"/>
      <c r="HC8" s="209"/>
      <c r="HD8" s="209"/>
      <c r="HE8" s="209"/>
      <c r="HF8" s="209"/>
      <c r="HG8" s="209"/>
      <c r="HH8" s="209"/>
      <c r="HI8" s="209"/>
      <c r="HJ8" s="209"/>
      <c r="HK8" s="209"/>
      <c r="HL8" s="209"/>
      <c r="HM8" s="209"/>
      <c r="HN8" s="209"/>
      <c r="HO8" s="209"/>
      <c r="HP8" s="209"/>
      <c r="HQ8" s="209"/>
      <c r="HR8" s="209"/>
      <c r="HS8" s="209"/>
      <c r="HT8" s="209"/>
      <c r="HU8" s="209"/>
      <c r="HV8" s="209"/>
      <c r="HW8" s="209"/>
      <c r="HX8" s="209"/>
      <c r="HY8" s="209"/>
      <c r="HZ8" s="209"/>
      <c r="IA8" s="209"/>
      <c r="IB8" s="209"/>
      <c r="IC8" s="209"/>
      <c r="ID8" s="209"/>
      <c r="IE8" s="209"/>
      <c r="IF8" s="209"/>
      <c r="IG8" s="209"/>
      <c r="IH8" s="209"/>
      <c r="II8" s="209"/>
      <c r="IJ8" s="209"/>
      <c r="IK8" s="209"/>
      <c r="IL8" s="209"/>
      <c r="IM8" s="209"/>
      <c r="IN8" s="209"/>
      <c r="IO8" s="209"/>
      <c r="IP8" s="209"/>
      <c r="IQ8" s="209"/>
      <c r="IR8" s="209"/>
      <c r="IS8" s="209"/>
      <c r="IT8" s="209"/>
      <c r="IU8" s="209"/>
      <c r="IV8" s="209"/>
      <c r="IW8" s="209"/>
      <c r="IX8" s="209"/>
    </row>
    <row r="9" s="209" customFormat="true" ht="17.4" hidden="false" customHeight="false" outlineLevel="0" collapsed="false">
      <c r="A9" s="315"/>
      <c r="B9" s="31"/>
      <c r="C9" s="30"/>
      <c r="D9" s="85" t="s">
        <v>134</v>
      </c>
      <c r="E9" s="217" t="n">
        <f aca="false">E13*$C$12+E17*$C$16+$C$20*E21</f>
        <v>-0.0911390481413813</v>
      </c>
      <c r="F9" s="89" t="n">
        <f aca="false">F13*$C$12+F17*$C$16+$C$20*F21</f>
        <v>0.0541103530204893</v>
      </c>
      <c r="G9" s="88" t="n">
        <f aca="false">G13*$C$12+G17*$C$16+$C$20*G21</f>
        <v>0.348621975200488</v>
      </c>
      <c r="H9" s="89" t="n">
        <f aca="false">H13*$C$12+H17*$C$16+$C$20*H21</f>
        <v>0.00467797345996108</v>
      </c>
      <c r="I9" s="89" t="n">
        <f aca="false">I13*$C$12+I17*$C$16+$C$20*I21</f>
        <v>0.03</v>
      </c>
      <c r="J9" s="89" t="n">
        <f aca="false">J13*$C$12+J17*$C$16+$C$20*J21</f>
        <v>0</v>
      </c>
      <c r="K9" s="89" t="n">
        <f aca="false">K13*$C$12+K17*$C$16+$C$20*K21</f>
        <v>0</v>
      </c>
      <c r="L9" s="89" t="n">
        <f aca="false">L13*$C$12+L17*$C$16+$C$20*L21</f>
        <v>0.0605714277019095</v>
      </c>
      <c r="M9" s="89" t="n">
        <f aca="false">M13*$C$12+M17*$C$16+$C$20*M21</f>
        <v>0</v>
      </c>
      <c r="N9" s="89" t="n">
        <f aca="false">N13*$C$12+N17*$C$16+$C$20*N21</f>
        <v>0.05</v>
      </c>
      <c r="O9" s="89" t="n">
        <f aca="false">O13*$C$12+O17*$C$16+$C$20*O21</f>
        <v>0</v>
      </c>
      <c r="P9" s="89" t="n">
        <f aca="false">P13*$C$12+P17*$C$16+$C$20*P21</f>
        <v>-0.0911390481413813</v>
      </c>
      <c r="Q9" s="89" t="n">
        <f aca="false">Q13*$C$12+Q17*$C$16+$C$20*Q21</f>
        <v>0</v>
      </c>
      <c r="R9" s="89" t="n">
        <f aca="false">R13*$C$12+R17*$C$16+$C$20*R21</f>
        <v>0</v>
      </c>
      <c r="S9" s="89" t="n">
        <f aca="false">S13*$C$12+S17*$C$16+$C$20*S21</f>
        <v>0.0541103530204893</v>
      </c>
      <c r="T9" s="89" t="n">
        <f aca="false">T13*$C$12+T17*$C$16+$C$20*T21</f>
        <v>0.05</v>
      </c>
      <c r="U9" s="89" t="n">
        <f aca="false">U13*$C$12+U17*$C$16+$C$20*U21</f>
        <v>0.188</v>
      </c>
      <c r="V9" s="309"/>
      <c r="W9" s="92"/>
      <c r="Z9" s="30"/>
    </row>
    <row r="10" s="209" customFormat="true" ht="17.4" hidden="false" customHeight="false" outlineLevel="0" collapsed="false">
      <c r="A10" s="315"/>
      <c r="B10" s="31"/>
      <c r="C10" s="93"/>
      <c r="D10" s="85" t="s">
        <v>135</v>
      </c>
      <c r="E10" s="217" t="n">
        <f aca="false">E14*$C$12+E18*$C$16+$C$20*E22</f>
        <v>0</v>
      </c>
      <c r="F10" s="89" t="n">
        <f aca="false">F14*$C$12+F18*$C$16+$C$20*F22</f>
        <v>2.68311182505054E-005</v>
      </c>
      <c r="G10" s="88" t="n">
        <f aca="false">G14*$C$12+G18*$C$16+$C$20*G22</f>
        <v>3.20218620963187E-005</v>
      </c>
      <c r="H10" s="89" t="n">
        <f aca="false">H14*$C$12+H18*$C$16+$C$20*H22</f>
        <v>1.8229230209605E-011</v>
      </c>
      <c r="I10" s="89" t="n">
        <f aca="false">I14*$C$12+I18*$C$16+$C$20*I22</f>
        <v>0</v>
      </c>
      <c r="J10" s="89" t="n">
        <f aca="false">J14*$C$12+J18*$C$16+$C$20*J22</f>
        <v>0</v>
      </c>
      <c r="K10" s="89" t="n">
        <f aca="false">K14*$C$12+K18*$C$16+$C$20*K22</f>
        <v>0</v>
      </c>
      <c r="L10" s="89" t="n">
        <f aca="false">L14*$C$12+L18*$C$16+$C$20*L22</f>
        <v>2.68311000212752E-005</v>
      </c>
      <c r="M10" s="89" t="n">
        <f aca="false">M14*$C$12+M18*$C$16+$C$20*M22</f>
        <v>0</v>
      </c>
      <c r="N10" s="89" t="n">
        <f aca="false">N14*$C$12+N18*$C$16+$C$20*N22</f>
        <v>0</v>
      </c>
      <c r="O10" s="89" t="n">
        <f aca="false">O14*$C$12+O18*$C$16+$C$20*O22</f>
        <v>0</v>
      </c>
      <c r="P10" s="89" t="n">
        <f aca="false">P14*$C$12+P18*$C$16+$C$20*P22</f>
        <v>0</v>
      </c>
      <c r="Q10" s="89" t="n">
        <f aca="false">Q14*$C$12+Q18*$C$16+$C$20*Q22</f>
        <v>0</v>
      </c>
      <c r="R10" s="89" t="n">
        <f aca="false">R14*$C$12+R18*$C$16+$C$20*R22</f>
        <v>0</v>
      </c>
      <c r="S10" s="89" t="n">
        <f aca="false">S14*$C$12+S18*$C$16+$C$20*S22</f>
        <v>2.68311182505054E-005</v>
      </c>
      <c r="T10" s="89" t="n">
        <f aca="false">T14*$C$12+T18*$C$16+$C$20*T22</f>
        <v>0</v>
      </c>
      <c r="U10" s="89" t="n">
        <f aca="false">U14*$C$12+U18*$C$16+$C$20*U22</f>
        <v>0</v>
      </c>
      <c r="V10" s="309"/>
      <c r="W10" s="92"/>
      <c r="Z10" s="30"/>
    </row>
    <row r="11" s="209" customFormat="true" ht="17.4" hidden="false" customHeight="false" outlineLevel="0" collapsed="false">
      <c r="A11" s="74"/>
      <c r="B11" s="101"/>
      <c r="C11" s="87"/>
      <c r="D11" s="31" t="s">
        <v>136</v>
      </c>
      <c r="E11" s="217" t="n">
        <f aca="false">E15*$C$12+E19*$C$16+$C$20*E23</f>
        <v>3.08861923552612E-005</v>
      </c>
      <c r="F11" s="89" t="n">
        <f aca="false">F15*$C$12+F19*$C$16+$C$20*F23</f>
        <v>5.61279178111112E-005</v>
      </c>
      <c r="G11" s="88" t="n">
        <f aca="false">G15*$C$12+G19*$C$16+$C$20*G23</f>
        <v>6.69864158146691E-005</v>
      </c>
      <c r="H11" s="89" t="n">
        <f aca="false">H15*$C$12+H19*$C$16+$C$20*H23</f>
        <v>2.36141475776638E-005</v>
      </c>
      <c r="I11" s="89" t="n">
        <f aca="false">I15*$C$12+I19*$C$16+$C$20*I23</f>
        <v>0</v>
      </c>
      <c r="J11" s="89" t="n">
        <f aca="false">J15*$C$12+J19*$C$16+$C$20*J23</f>
        <v>2.80783566866011E-005</v>
      </c>
      <c r="K11" s="89" t="n">
        <f aca="false">K15*$C$12+K19*$C$16+$C$20*K23</f>
        <v>2.80783566866011E-006</v>
      </c>
      <c r="L11" s="89" t="n">
        <f aca="false">L15*$C$12+L19*$C$16+$C$20*L23</f>
        <v>1.62757787818619E-006</v>
      </c>
      <c r="M11" s="89" t="n">
        <f aca="false">M15*$C$12+M19*$C$16+$C$20*M23</f>
        <v>0</v>
      </c>
      <c r="N11" s="89" t="n">
        <f aca="false">N15*$C$12+N19*$C$16+$C$20*N23</f>
        <v>0</v>
      </c>
      <c r="O11" s="89" t="n">
        <f aca="false">O15*$C$12+O19*$C$16+$C$20*O23</f>
        <v>0</v>
      </c>
      <c r="P11" s="89" t="n">
        <f aca="false">P15*$C$12+P19*$C$16+$C$20*P23</f>
        <v>0</v>
      </c>
      <c r="Q11" s="89" t="n">
        <f aca="false">Q15*$C$12+Q19*$C$16+$C$20*Q23</f>
        <v>0</v>
      </c>
      <c r="R11" s="89" t="n">
        <f aca="false">R15*$C$12+R19*$C$16+$C$20*R23</f>
        <v>0</v>
      </c>
      <c r="S11" s="89" t="n">
        <f aca="false">S15*$C$12+S19*$C$16+$C$20*S23</f>
        <v>5.61279178111112E-005</v>
      </c>
      <c r="T11" s="89" t="n">
        <f aca="false">T15*$C$12+T19*$C$16+$C$20*T23</f>
        <v>0</v>
      </c>
      <c r="U11" s="89" t="n">
        <f aca="false">U15*$C$12+U19*$C$16+$C$20*U23</f>
        <v>0</v>
      </c>
      <c r="V11" s="309"/>
      <c r="W11" s="92"/>
      <c r="Z11" s="30"/>
    </row>
    <row r="12" s="332" customFormat="true" ht="17.4" hidden="false" customHeight="false" outlineLevel="0" collapsed="false">
      <c r="A12" s="330" t="s">
        <v>137</v>
      </c>
      <c r="B12" s="76" t="s">
        <v>254</v>
      </c>
      <c r="C12" s="84" t="n">
        <f aca="false">'Input data plant-based products'!D66</f>
        <v>0.21</v>
      </c>
      <c r="D12" s="78" t="s">
        <v>133</v>
      </c>
      <c r="E12" s="94" t="n">
        <f aca="false">IF($F$1="GWP100 without fb",E13+E14*'Common input data'!$C$5+E15*'Common input data'!$D$5,IF($F$1="GWP100 with fb",E13+E14*'Common input data'!$C$6+E15*'Common input data'!$D$6,IF($F$1="GTP100 without fb",E13+E14*'Common input data'!$C$7+E15*'Common input data'!$D$7,IF($F$1="GTP100 with fb",E13+E14*'Common input data'!$C$8+E15*'Common input data'!$D$8,E13+E14*'Common input data'!$C$9+E15*'Common input data'!$D$9))))</f>
        <v>-0.0776126766311153</v>
      </c>
      <c r="F12" s="95" t="n">
        <f aca="false">IF($F$1="GWP100 without fb",F13+F14*'Common input data'!$C$5+F15*'Common input data'!$D$5,IF($F$1="GWP100 with fb",F13+F14*'Common input data'!$C$6+F15*'Common input data'!$D$6,IF($F$1="GTP100 without fb",F13+F14*'Common input data'!$C$7+F15*'Common input data'!$D$7,IF($F$1="GTP100 with fb",F13+F14*'Common input data'!$C$8+F15*'Common input data'!$D$8,F13+F14*'Common input data'!$C$9+F15*'Common input data'!$D$9))))</f>
        <v>0.0887456759978053</v>
      </c>
      <c r="G12" s="96" t="n">
        <f aca="false">IF($F$1="GWP100 without fb",G13+G14*'Common input data'!$C$5+G15*'Common input data'!$D$5,IF($F$1="GWP100 with fb",G13+G14*'Common input data'!$C$6+G15*'Common input data'!$D$6,IF($F$1="GTP100 without fb",G13+G14*'Common input data'!$C$7+G15*'Common input data'!$D$7,IF($F$1="GTP100 with fb",G13+G14*'Common input data'!$C$8+G15*'Common input data'!$D$8,G13+G14*'Common input data'!$C$9+G15*'Common input data'!$D$9))))</f>
        <v>0.201391187489922</v>
      </c>
      <c r="H12" s="83"/>
      <c r="I12" s="83"/>
      <c r="J12" s="83"/>
      <c r="K12" s="83"/>
      <c r="L12" s="83"/>
      <c r="M12" s="83"/>
      <c r="N12" s="83"/>
      <c r="O12" s="83"/>
      <c r="P12" s="83"/>
      <c r="Q12" s="83"/>
      <c r="R12" s="83"/>
      <c r="S12" s="83"/>
      <c r="T12" s="83"/>
      <c r="U12" s="83"/>
      <c r="V12" s="309"/>
      <c r="W12" s="92"/>
      <c r="X12" s="209"/>
      <c r="Y12" s="209"/>
      <c r="Z12" s="30"/>
      <c r="AA12" s="209"/>
      <c r="AB12" s="209"/>
      <c r="AC12" s="209"/>
      <c r="AD12" s="209"/>
      <c r="AE12" s="209"/>
      <c r="AF12" s="209"/>
      <c r="AG12" s="209"/>
      <c r="AH12" s="209"/>
      <c r="AI12" s="209"/>
      <c r="AJ12" s="209"/>
      <c r="AK12" s="209"/>
      <c r="AL12" s="209"/>
      <c r="AM12" s="209"/>
      <c r="AN12" s="209"/>
      <c r="AO12" s="209"/>
      <c r="AP12" s="209"/>
      <c r="AQ12" s="209"/>
      <c r="AR12" s="209"/>
      <c r="AS12" s="209"/>
      <c r="AT12" s="209"/>
      <c r="AU12" s="209"/>
      <c r="AV12" s="209"/>
      <c r="AW12" s="209"/>
      <c r="AX12" s="209"/>
      <c r="AY12" s="209"/>
      <c r="AZ12" s="209"/>
      <c r="BA12" s="209"/>
      <c r="BB12" s="209"/>
      <c r="BC12" s="209"/>
      <c r="BD12" s="209"/>
      <c r="BE12" s="209"/>
      <c r="BF12" s="209"/>
      <c r="BG12" s="209"/>
      <c r="BH12" s="209"/>
      <c r="BI12" s="209"/>
      <c r="BJ12" s="209"/>
      <c r="BK12" s="209"/>
      <c r="BL12" s="209"/>
      <c r="BM12" s="209"/>
      <c r="BN12" s="209"/>
      <c r="BO12" s="209"/>
      <c r="BP12" s="209"/>
      <c r="BQ12" s="209"/>
      <c r="BR12" s="209"/>
      <c r="BS12" s="209"/>
      <c r="BT12" s="209"/>
      <c r="BU12" s="209"/>
      <c r="BV12" s="209"/>
      <c r="BW12" s="209"/>
      <c r="BX12" s="209"/>
      <c r="BY12" s="209"/>
      <c r="BZ12" s="209"/>
      <c r="CA12" s="209"/>
      <c r="CB12" s="209"/>
      <c r="CC12" s="209"/>
      <c r="CD12" s="209"/>
      <c r="CE12" s="209"/>
      <c r="CF12" s="209"/>
      <c r="CG12" s="209"/>
      <c r="CH12" s="209"/>
      <c r="CI12" s="209"/>
      <c r="CJ12" s="209"/>
      <c r="CK12" s="209"/>
      <c r="CL12" s="209"/>
      <c r="CM12" s="209"/>
      <c r="CN12" s="209"/>
      <c r="CO12" s="209"/>
      <c r="CP12" s="209"/>
      <c r="CQ12" s="209"/>
      <c r="CR12" s="209"/>
      <c r="CS12" s="209"/>
      <c r="CT12" s="209"/>
      <c r="CU12" s="209"/>
      <c r="CV12" s="209"/>
      <c r="CW12" s="209"/>
      <c r="CX12" s="209"/>
      <c r="CY12" s="209"/>
      <c r="CZ12" s="209"/>
      <c r="DA12" s="209"/>
      <c r="DB12" s="209"/>
      <c r="DC12" s="209"/>
      <c r="DD12" s="209"/>
      <c r="DE12" s="209"/>
      <c r="DF12" s="209"/>
      <c r="DG12" s="209"/>
      <c r="DH12" s="209"/>
      <c r="DI12" s="209"/>
      <c r="DJ12" s="209"/>
      <c r="DK12" s="209"/>
      <c r="DL12" s="209"/>
      <c r="DM12" s="209"/>
      <c r="DN12" s="209"/>
      <c r="DO12" s="209"/>
      <c r="DP12" s="209"/>
      <c r="DQ12" s="209"/>
      <c r="DR12" s="209"/>
      <c r="DS12" s="209"/>
      <c r="DT12" s="209"/>
      <c r="DU12" s="209"/>
      <c r="DV12" s="209"/>
      <c r="DW12" s="209"/>
      <c r="DX12" s="209"/>
      <c r="DY12" s="209"/>
      <c r="DZ12" s="209"/>
      <c r="EA12" s="209"/>
      <c r="EB12" s="209"/>
      <c r="EC12" s="209"/>
      <c r="ED12" s="209"/>
      <c r="EE12" s="209"/>
      <c r="EF12" s="209"/>
      <c r="EG12" s="209"/>
      <c r="EH12" s="209"/>
      <c r="EI12" s="209"/>
      <c r="EJ12" s="209"/>
      <c r="EK12" s="209"/>
      <c r="EL12" s="209"/>
      <c r="EM12" s="209"/>
      <c r="EN12" s="209"/>
      <c r="EO12" s="209"/>
      <c r="EP12" s="209"/>
      <c r="EQ12" s="209"/>
      <c r="ER12" s="209"/>
      <c r="ES12" s="209"/>
      <c r="ET12" s="209"/>
      <c r="EU12" s="209"/>
      <c r="EV12" s="209"/>
      <c r="EW12" s="209"/>
      <c r="EX12" s="209"/>
      <c r="EY12" s="209"/>
      <c r="EZ12" s="209"/>
      <c r="FA12" s="209"/>
      <c r="FB12" s="209"/>
      <c r="FC12" s="209"/>
      <c r="FD12" s="209"/>
      <c r="FE12" s="209"/>
      <c r="FF12" s="209"/>
      <c r="FG12" s="209"/>
      <c r="FH12" s="209"/>
      <c r="FI12" s="209"/>
      <c r="FJ12" s="209"/>
      <c r="FK12" s="209"/>
      <c r="FL12" s="209"/>
      <c r="FM12" s="209"/>
      <c r="FN12" s="209"/>
      <c r="FO12" s="209"/>
      <c r="FP12" s="209"/>
      <c r="FQ12" s="209"/>
      <c r="FR12" s="209"/>
      <c r="FS12" s="209"/>
      <c r="FT12" s="209"/>
      <c r="FU12" s="209"/>
      <c r="FV12" s="209"/>
      <c r="FW12" s="209"/>
      <c r="FX12" s="209"/>
      <c r="FY12" s="209"/>
      <c r="FZ12" s="209"/>
      <c r="GA12" s="209"/>
      <c r="GB12" s="209"/>
      <c r="GC12" s="209"/>
      <c r="GD12" s="209"/>
      <c r="GE12" s="209"/>
      <c r="GF12" s="209"/>
      <c r="GG12" s="209"/>
      <c r="GH12" s="209"/>
      <c r="GI12" s="209"/>
      <c r="GJ12" s="209"/>
      <c r="GK12" s="209"/>
      <c r="GL12" s="209"/>
      <c r="GM12" s="209"/>
      <c r="GN12" s="209"/>
      <c r="GO12" s="209"/>
      <c r="GP12" s="209"/>
      <c r="GQ12" s="209"/>
      <c r="GR12" s="209"/>
      <c r="GS12" s="209"/>
      <c r="GT12" s="209"/>
      <c r="GU12" s="209"/>
      <c r="GV12" s="209"/>
      <c r="GW12" s="209"/>
      <c r="GX12" s="209"/>
      <c r="GY12" s="209"/>
      <c r="GZ12" s="209"/>
      <c r="HA12" s="209"/>
      <c r="HB12" s="209"/>
      <c r="HC12" s="209"/>
      <c r="HD12" s="209"/>
      <c r="HE12" s="209"/>
      <c r="HF12" s="209"/>
      <c r="HG12" s="209"/>
      <c r="HH12" s="209"/>
      <c r="HI12" s="209"/>
      <c r="HJ12" s="209"/>
      <c r="HK12" s="209"/>
      <c r="HL12" s="209"/>
      <c r="HM12" s="209"/>
      <c r="HN12" s="209"/>
      <c r="HO12" s="209"/>
      <c r="HP12" s="209"/>
      <c r="HQ12" s="209"/>
      <c r="HR12" s="209"/>
      <c r="HS12" s="209"/>
      <c r="HT12" s="209"/>
      <c r="HU12" s="209"/>
      <c r="HV12" s="209"/>
      <c r="HW12" s="209"/>
      <c r="HX12" s="209"/>
      <c r="HY12" s="209"/>
      <c r="HZ12" s="209"/>
      <c r="IA12" s="209"/>
      <c r="IB12" s="209"/>
      <c r="IC12" s="209"/>
      <c r="ID12" s="209"/>
      <c r="IE12" s="209"/>
      <c r="IF12" s="209"/>
      <c r="IG12" s="209"/>
      <c r="IH12" s="209"/>
      <c r="II12" s="209"/>
      <c r="IJ12" s="209"/>
      <c r="IK12" s="209"/>
      <c r="IL12" s="209"/>
      <c r="IM12" s="209"/>
      <c r="IN12" s="209"/>
      <c r="IO12" s="209"/>
      <c r="IP12" s="209"/>
      <c r="IQ12" s="209"/>
      <c r="IR12" s="209"/>
      <c r="IS12" s="209"/>
      <c r="IT12" s="209"/>
      <c r="IU12" s="209"/>
      <c r="IV12" s="209"/>
      <c r="IW12" s="209"/>
      <c r="IX12" s="209"/>
    </row>
    <row r="13" s="209" customFormat="true" ht="17.4" hidden="false" customHeight="false" outlineLevel="0" collapsed="false">
      <c r="A13" s="315"/>
      <c r="B13" s="31"/>
      <c r="C13" s="30"/>
      <c r="D13" s="85" t="s">
        <v>134</v>
      </c>
      <c r="E13" s="217" t="n">
        <f aca="false">IF(AND($F$2="No",$F$3="No"),SUM(J13:K13),IF(AND($F$2="Yes", $F$3="No"), SUM(J13:K13)+Q13, IF(AND($F$2="No", $F$3="Yes"),SUM(J13:K13)+P13, SUM(J13:K13)+Q13+P13)))</f>
        <v>-0.0911390481413813</v>
      </c>
      <c r="F13" s="89" t="n">
        <f aca="false">IF(AND($F$2="No",$F$3="No"),SUM(H13:O13),IF(AND($F$2="Yes", $F$3="No"), SUM(H13:O13)+Q13, IF(AND($F$2="No", $F$3="Yes"),SUM(H13:O13)+P13, SUM(H13:O13)+Q13+P13)))</f>
        <v>0.0656245814443655</v>
      </c>
      <c r="G13" s="88" t="n">
        <f aca="false">SUM(S13:U13)/(1-'Common input data'!$B$121)</f>
        <v>0.173797089681782</v>
      </c>
      <c r="H13" s="89" t="n">
        <f aca="false">('Input data plant-based products'!$F$66*('Common input data'!$B$76*'Common input data'!B69+'Common input data'!$B$77*'Common input data'!C69))/'Input data plant-based products'!$E$66</f>
        <v>0.00658957344990033</v>
      </c>
      <c r="I13" s="89" t="n">
        <f aca="false">'Common input data'!$B$81</f>
        <v>0.03</v>
      </c>
      <c r="J13" s="89" t="n">
        <v>0</v>
      </c>
      <c r="K13" s="89" t="n">
        <v>0</v>
      </c>
      <c r="L13" s="89" t="n">
        <f aca="false">('Input data plant-based products'!$I$66*'Common input data'!$C$59*'Common input data'!H49)/'Input data plant-based products'!$E$66</f>
        <v>0.0701740561358464</v>
      </c>
      <c r="M13" s="89" t="n">
        <v>0</v>
      </c>
      <c r="N13" s="89" t="n">
        <f aca="false">'Input data plant-based products'!F$152</f>
        <v>0.05</v>
      </c>
      <c r="O13" s="89" t="n">
        <v>0</v>
      </c>
      <c r="P13" s="89" t="n">
        <f aca="false">'Common input data'!$F$13</f>
        <v>-0.0911390481413813</v>
      </c>
      <c r="Q13" s="89" t="n">
        <v>0</v>
      </c>
      <c r="R13" s="89" t="n">
        <v>0</v>
      </c>
      <c r="S13" s="89" t="n">
        <f aca="false">F13+R13</f>
        <v>0.0656245814443655</v>
      </c>
      <c r="T13" s="89" t="n">
        <f aca="false">'Common input data'!$B$88</f>
        <v>0.05</v>
      </c>
      <c r="U13" s="89" t="n">
        <f aca="false">'Common input data'!C98</f>
        <v>0.03</v>
      </c>
      <c r="V13" s="309"/>
      <c r="W13" s="92"/>
      <c r="Z13" s="30"/>
    </row>
    <row r="14" s="209" customFormat="true" ht="17.4" hidden="false" customHeight="false" outlineLevel="0" collapsed="false">
      <c r="A14" s="74"/>
      <c r="B14" s="31"/>
      <c r="C14" s="93"/>
      <c r="D14" s="85" t="s">
        <v>135</v>
      </c>
      <c r="E14" s="217" t="n">
        <f aca="false">SUM(J14:K14)</f>
        <v>0</v>
      </c>
      <c r="F14" s="89" t="n">
        <f aca="false">SUM(H14:O14)</f>
        <v>3.10847582615394E-005</v>
      </c>
      <c r="G14" s="88" t="n">
        <f aca="false">SUM(S14:U14)/(1-'Common input data'!$B$121)</f>
        <v>3.70984106236297E-005</v>
      </c>
      <c r="H14" s="89" t="n">
        <f aca="false">('Input data plant-based products'!$F$66*('Common input data'!$B$76*'Common input data'!B70+'Common input data'!$B$77*'Common input data'!C70))/'Input data plant-based products'!$E$66</f>
        <v>1.76418276244383E-011</v>
      </c>
      <c r="I14" s="89" t="n">
        <v>0</v>
      </c>
      <c r="J14" s="89" t="n">
        <v>0</v>
      </c>
      <c r="K14" s="89" t="n">
        <v>0</v>
      </c>
      <c r="L14" s="89" t="n">
        <f aca="false">('Input data plant-based products'!$I$66*'Common input data'!$C$59*'Common input data'!H50)/'Input data plant-based products'!$E$66</f>
        <v>3.10847406197117E-005</v>
      </c>
      <c r="M14" s="89" t="n">
        <v>0</v>
      </c>
      <c r="N14" s="89" t="n">
        <v>0</v>
      </c>
      <c r="O14" s="89" t="n">
        <v>0</v>
      </c>
      <c r="P14" s="89" t="n">
        <v>0</v>
      </c>
      <c r="Q14" s="89" t="n">
        <v>0</v>
      </c>
      <c r="R14" s="89" t="n">
        <v>0</v>
      </c>
      <c r="S14" s="89" t="n">
        <f aca="false">F14+R14</f>
        <v>3.10847582615394E-005</v>
      </c>
      <c r="T14" s="89" t="n">
        <v>0</v>
      </c>
      <c r="U14" s="89" t="n">
        <v>0</v>
      </c>
      <c r="V14" s="309"/>
      <c r="W14" s="92"/>
      <c r="Z14" s="30"/>
    </row>
    <row r="15" s="209" customFormat="true" ht="17.4" hidden="false" customHeight="false" outlineLevel="0" collapsed="false">
      <c r="A15" s="100"/>
      <c r="B15" s="101"/>
      <c r="C15" s="87"/>
      <c r="D15" s="31" t="s">
        <v>136</v>
      </c>
      <c r="E15" s="217" t="n">
        <f aca="false">SUM(J15:K15)</f>
        <v>4.53905084237114E-005</v>
      </c>
      <c r="F15" s="89" t="n">
        <f aca="false">SUM(H15:O15)</f>
        <v>7.40409824582132E-005</v>
      </c>
      <c r="G15" s="88" t="n">
        <f aca="false">SUM(S15:U15)/(1-'Common input data'!$B$121)</f>
        <v>8.83649390836773E-005</v>
      </c>
      <c r="H15" s="89" t="n">
        <f aca="false">('Input data plant-based products'!$F$66*('Common input data'!$B$76*'Common input data'!B71+'Common input data'!$B$77*'Common input data'!C71))/'Input data plant-based products'!$E$66</f>
        <v>2.67648697863837E-005</v>
      </c>
      <c r="I15" s="89" t="n">
        <v>0</v>
      </c>
      <c r="J15" s="89" t="n">
        <f aca="false">(SUM('Input data plant-based products'!F66:H66)*'Input data plant-based products'!$B$114*44/28)/'Input data plant-based products'!E66</f>
        <v>4.12640985670104E-005</v>
      </c>
      <c r="K15" s="89" t="n">
        <f aca="false">J15*'Input data plant-based products'!$B$115</f>
        <v>4.12640985670104E-006</v>
      </c>
      <c r="L15" s="89" t="n">
        <f aca="false">('Input data plant-based products'!$I$66*'Common input data'!$C$59*'Common input data'!H51)/'Input data plant-based products'!$E$66</f>
        <v>1.88560424811811E-006</v>
      </c>
      <c r="M15" s="89" t="n">
        <v>0</v>
      </c>
      <c r="N15" s="89" t="n">
        <v>0</v>
      </c>
      <c r="O15" s="89" t="n">
        <v>0</v>
      </c>
      <c r="P15" s="89" t="n">
        <v>0</v>
      </c>
      <c r="Q15" s="89" t="n">
        <v>0</v>
      </c>
      <c r="R15" s="89" t="n">
        <v>0</v>
      </c>
      <c r="S15" s="89" t="n">
        <f aca="false">F15+R15</f>
        <v>7.40409824582132E-005</v>
      </c>
      <c r="T15" s="89" t="n">
        <v>0</v>
      </c>
      <c r="U15" s="89" t="n">
        <v>0</v>
      </c>
      <c r="V15" s="309"/>
      <c r="W15" s="92"/>
      <c r="Z15" s="30"/>
    </row>
    <row r="16" s="332" customFormat="true" ht="17.4" hidden="false" customHeight="false" outlineLevel="0" collapsed="false">
      <c r="A16" s="330" t="s">
        <v>274</v>
      </c>
      <c r="B16" s="76" t="s">
        <v>254</v>
      </c>
      <c r="C16" s="84" t="n">
        <f aca="false">'Input data plant-based products'!D67</f>
        <v>0.3</v>
      </c>
      <c r="D16" s="78" t="s">
        <v>133</v>
      </c>
      <c r="E16" s="94" t="n">
        <f aca="false">IF($F$1="GWP100 without fb",E17+E18*'Common input data'!$C$5+E19*'Common input data'!$D$5,IF($F$1="GWP100 with fb",E17+E18*'Common input data'!$C$6+E19*'Common input data'!$D$6,IF($F$1="GTP100 without fb",E17+E18*'Common input data'!$C$7+E19*'Common input data'!$D$7,IF($F$1="GTP100 with fb",E17+E18*'Common input data'!$C$8+E19*'Common input data'!$D$8,E17+E18*'Common input data'!$C$9+E19*'Common input data'!$D$9))))</f>
        <v>-0.0847360579219198</v>
      </c>
      <c r="F16" s="95" t="n">
        <f aca="false">IF($F$1="GWP100 without fb",F17+F18*'Common input data'!$C$5+F19*'Common input data'!$D$5,IF($F$1="GWP100 with fb",F17+F18*'Common input data'!$C$6+F19*'Common input data'!$D$6,IF($F$1="GTP100 without fb",F17+F18*'Common input data'!$C$7+F19*'Common input data'!$D$7,IF($F$1="GTP100 with fb",F17+F18*'Common input data'!$C$8+F19*'Common input data'!$D$8,F17+F18*'Common input data'!$C$9+F19*'Common input data'!$D$9))))</f>
        <v>0.0339602788483385</v>
      </c>
      <c r="G16" s="96" t="n">
        <f aca="false">IF($F$1="GWP100 without fb",G17+G18*'Common input data'!$C$5+G19*'Common input data'!$D$5,IF($F$1="GWP100 with fb",G17+G18*'Common input data'!$C$6+G19*'Common input data'!$D$6,IF($F$1="GTP100 without fb",G17+G18*'Common input data'!$C$7+G19*'Common input data'!$D$7,IF($F$1="GTP100 with fb",G17+G18*'Common input data'!$C$8+G19*'Common input data'!$D$8,G17+G18*'Common input data'!$C$9+G19*'Common input data'!$D$9))))</f>
        <v>0.374698984184674</v>
      </c>
      <c r="H16" s="83"/>
      <c r="I16" s="83"/>
      <c r="J16" s="83"/>
      <c r="K16" s="83"/>
      <c r="L16" s="83"/>
      <c r="M16" s="83"/>
      <c r="N16" s="83"/>
      <c r="O16" s="83"/>
      <c r="P16" s="83"/>
      <c r="Q16" s="83"/>
      <c r="R16" s="83"/>
      <c r="S16" s="83"/>
      <c r="T16" s="83"/>
      <c r="U16" s="83"/>
      <c r="V16" s="309"/>
      <c r="W16" s="92"/>
      <c r="X16" s="209"/>
      <c r="Y16" s="209"/>
      <c r="Z16" s="30"/>
      <c r="AA16" s="209"/>
      <c r="AB16" s="209"/>
      <c r="AC16" s="209"/>
      <c r="AD16" s="209"/>
      <c r="AE16" s="209"/>
      <c r="AF16" s="209"/>
      <c r="AG16" s="209"/>
      <c r="AH16" s="209"/>
      <c r="AI16" s="209"/>
      <c r="AJ16" s="209"/>
      <c r="AK16" s="209"/>
      <c r="AL16" s="209"/>
      <c r="AM16" s="209"/>
      <c r="AN16" s="209"/>
      <c r="AO16" s="209"/>
      <c r="AP16" s="209"/>
      <c r="AQ16" s="209"/>
      <c r="AR16" s="209"/>
      <c r="AS16" s="209"/>
      <c r="AT16" s="209"/>
      <c r="AU16" s="209"/>
      <c r="AV16" s="209"/>
      <c r="AW16" s="209"/>
      <c r="AX16" s="209"/>
      <c r="AY16" s="209"/>
      <c r="AZ16" s="209"/>
      <c r="BA16" s="209"/>
      <c r="BB16" s="209"/>
      <c r="BC16" s="209"/>
      <c r="BD16" s="209"/>
      <c r="BE16" s="209"/>
      <c r="BF16" s="209"/>
      <c r="BG16" s="209"/>
      <c r="BH16" s="209"/>
      <c r="BI16" s="209"/>
      <c r="BJ16" s="209"/>
      <c r="BK16" s="209"/>
      <c r="BL16" s="209"/>
      <c r="BM16" s="209"/>
      <c r="BN16" s="209"/>
      <c r="BO16" s="209"/>
      <c r="BP16" s="209"/>
      <c r="BQ16" s="209"/>
      <c r="BR16" s="209"/>
      <c r="BS16" s="209"/>
      <c r="BT16" s="209"/>
      <c r="BU16" s="209"/>
      <c r="BV16" s="209"/>
      <c r="BW16" s="209"/>
      <c r="BX16" s="209"/>
      <c r="BY16" s="209"/>
      <c r="BZ16" s="209"/>
      <c r="CA16" s="209"/>
      <c r="CB16" s="209"/>
      <c r="CC16" s="209"/>
      <c r="CD16" s="209"/>
      <c r="CE16" s="209"/>
      <c r="CF16" s="209"/>
      <c r="CG16" s="209"/>
      <c r="CH16" s="209"/>
      <c r="CI16" s="209"/>
      <c r="CJ16" s="209"/>
      <c r="CK16" s="209"/>
      <c r="CL16" s="209"/>
      <c r="CM16" s="209"/>
      <c r="CN16" s="209"/>
      <c r="CO16" s="209"/>
      <c r="CP16" s="209"/>
      <c r="CQ16" s="209"/>
      <c r="CR16" s="209"/>
      <c r="CS16" s="209"/>
      <c r="CT16" s="209"/>
      <c r="CU16" s="209"/>
      <c r="CV16" s="209"/>
      <c r="CW16" s="209"/>
      <c r="CX16" s="209"/>
      <c r="CY16" s="209"/>
      <c r="CZ16" s="209"/>
      <c r="DA16" s="209"/>
      <c r="DB16" s="209"/>
      <c r="DC16" s="209"/>
      <c r="DD16" s="209"/>
      <c r="DE16" s="209"/>
      <c r="DF16" s="209"/>
      <c r="DG16" s="209"/>
      <c r="DH16" s="209"/>
      <c r="DI16" s="209"/>
      <c r="DJ16" s="209"/>
      <c r="DK16" s="209"/>
      <c r="DL16" s="209"/>
      <c r="DM16" s="209"/>
      <c r="DN16" s="209"/>
      <c r="DO16" s="209"/>
      <c r="DP16" s="209"/>
      <c r="DQ16" s="209"/>
      <c r="DR16" s="209"/>
      <c r="DS16" s="209"/>
      <c r="DT16" s="209"/>
      <c r="DU16" s="209"/>
      <c r="DV16" s="209"/>
      <c r="DW16" s="209"/>
      <c r="DX16" s="209"/>
      <c r="DY16" s="209"/>
      <c r="DZ16" s="209"/>
      <c r="EA16" s="209"/>
      <c r="EB16" s="209"/>
      <c r="EC16" s="209"/>
      <c r="ED16" s="209"/>
      <c r="EE16" s="209"/>
      <c r="EF16" s="209"/>
      <c r="EG16" s="209"/>
      <c r="EH16" s="209"/>
      <c r="EI16" s="209"/>
      <c r="EJ16" s="209"/>
      <c r="EK16" s="209"/>
      <c r="EL16" s="209"/>
      <c r="EM16" s="209"/>
      <c r="EN16" s="209"/>
      <c r="EO16" s="209"/>
      <c r="EP16" s="209"/>
      <c r="EQ16" s="209"/>
      <c r="ER16" s="209"/>
      <c r="ES16" s="209"/>
      <c r="ET16" s="209"/>
      <c r="EU16" s="209"/>
      <c r="EV16" s="209"/>
      <c r="EW16" s="209"/>
      <c r="EX16" s="209"/>
      <c r="EY16" s="209"/>
      <c r="EZ16" s="209"/>
      <c r="FA16" s="209"/>
      <c r="FB16" s="209"/>
      <c r="FC16" s="209"/>
      <c r="FD16" s="209"/>
      <c r="FE16" s="209"/>
      <c r="FF16" s="209"/>
      <c r="FG16" s="209"/>
      <c r="FH16" s="209"/>
      <c r="FI16" s="209"/>
      <c r="FJ16" s="209"/>
      <c r="FK16" s="209"/>
      <c r="FL16" s="209"/>
      <c r="FM16" s="209"/>
      <c r="FN16" s="209"/>
      <c r="FO16" s="209"/>
      <c r="FP16" s="209"/>
      <c r="FQ16" s="209"/>
      <c r="FR16" s="209"/>
      <c r="FS16" s="209"/>
      <c r="FT16" s="209"/>
      <c r="FU16" s="209"/>
      <c r="FV16" s="209"/>
      <c r="FW16" s="209"/>
      <c r="FX16" s="209"/>
      <c r="FY16" s="209"/>
      <c r="FZ16" s="209"/>
      <c r="GA16" s="209"/>
      <c r="GB16" s="209"/>
      <c r="GC16" s="209"/>
      <c r="GD16" s="209"/>
      <c r="GE16" s="209"/>
      <c r="GF16" s="209"/>
      <c r="GG16" s="209"/>
      <c r="GH16" s="209"/>
      <c r="GI16" s="209"/>
      <c r="GJ16" s="209"/>
      <c r="GK16" s="209"/>
      <c r="GL16" s="209"/>
      <c r="GM16" s="209"/>
      <c r="GN16" s="209"/>
      <c r="GO16" s="209"/>
      <c r="GP16" s="209"/>
      <c r="GQ16" s="209"/>
      <c r="GR16" s="209"/>
      <c r="GS16" s="209"/>
      <c r="GT16" s="209"/>
      <c r="GU16" s="209"/>
      <c r="GV16" s="209"/>
      <c r="GW16" s="209"/>
      <c r="GX16" s="209"/>
      <c r="GY16" s="209"/>
      <c r="GZ16" s="209"/>
      <c r="HA16" s="209"/>
      <c r="HB16" s="209"/>
      <c r="HC16" s="209"/>
      <c r="HD16" s="209"/>
      <c r="HE16" s="209"/>
      <c r="HF16" s="209"/>
      <c r="HG16" s="209"/>
      <c r="HH16" s="209"/>
      <c r="HI16" s="209"/>
      <c r="HJ16" s="209"/>
      <c r="HK16" s="209"/>
      <c r="HL16" s="209"/>
      <c r="HM16" s="209"/>
      <c r="HN16" s="209"/>
      <c r="HO16" s="209"/>
      <c r="HP16" s="209"/>
      <c r="HQ16" s="209"/>
      <c r="HR16" s="209"/>
      <c r="HS16" s="209"/>
      <c r="HT16" s="209"/>
      <c r="HU16" s="209"/>
      <c r="HV16" s="209"/>
      <c r="HW16" s="209"/>
      <c r="HX16" s="209"/>
      <c r="HY16" s="209"/>
      <c r="HZ16" s="209"/>
      <c r="IA16" s="209"/>
      <c r="IB16" s="209"/>
      <c r="IC16" s="209"/>
      <c r="ID16" s="209"/>
      <c r="IE16" s="209"/>
      <c r="IF16" s="209"/>
      <c r="IG16" s="209"/>
      <c r="IH16" s="209"/>
      <c r="II16" s="209"/>
      <c r="IJ16" s="209"/>
      <c r="IK16" s="209"/>
      <c r="IL16" s="209"/>
      <c r="IM16" s="209"/>
      <c r="IN16" s="209"/>
      <c r="IO16" s="209"/>
      <c r="IP16" s="209"/>
      <c r="IQ16" s="209"/>
      <c r="IR16" s="209"/>
      <c r="IS16" s="209"/>
      <c r="IT16" s="209"/>
      <c r="IU16" s="209"/>
      <c r="IV16" s="209"/>
      <c r="IW16" s="209"/>
      <c r="IX16" s="209"/>
    </row>
    <row r="17" s="209" customFormat="true" ht="17.4" hidden="false" customHeight="false" outlineLevel="0" collapsed="false">
      <c r="A17" s="99"/>
      <c r="B17" s="31"/>
      <c r="C17" s="30"/>
      <c r="D17" s="85" t="s">
        <v>134</v>
      </c>
      <c r="E17" s="217" t="n">
        <f aca="false">IF(AND($F$2="No",$F$3="No"),SUM(J17:K17),IF(AND($F$2="Yes", $F$3="No"), SUM(J17:K17)+Q17, IF(AND($F$2="No", $F$3="Yes"),SUM(J17:K17)+P17, SUM(J17:K17)+Q17+P17)))</f>
        <v>-0.0911390481413813</v>
      </c>
      <c r="F17" s="89" t="n">
        <f aca="false">IF(AND($F$2="No",$F$3="No"),SUM(H17:O17),IF(AND($F$2="Yes", $F$3="No"), SUM(H17:O17)+Q17, IF(AND($F$2="No", $F$3="Yes"),SUM(H17:O17)+P17, SUM(H17:O17)+Q17+P17)))</f>
        <v>0.0214858451881751</v>
      </c>
      <c r="G17" s="88" t="n">
        <f aca="false">SUM(S17:U17)/(1-'Common input data'!$B$121)</f>
        <v>0.359811248583572</v>
      </c>
      <c r="H17" s="89" t="n">
        <f aca="false">('Input data plant-based products'!$F$67*('Common input data'!$C$76*'Common input data'!B69+'Common input data'!$C$77*'Common input data'!C69))/'Input data plant-based products'!$E$67</f>
        <v>0.00331458111136923</v>
      </c>
      <c r="I17" s="89" t="n">
        <f aca="false">'Common input data'!$B$81</f>
        <v>0.03</v>
      </c>
      <c r="J17" s="89" t="n">
        <v>0</v>
      </c>
      <c r="K17" s="89" t="n">
        <v>0</v>
      </c>
      <c r="L17" s="89" t="n">
        <f aca="false">('Input data plant-based products'!$I$67*'Common input data'!$C$59*'Common input data'!H49)/'Input data plant-based products'!$E$67</f>
        <v>0.0293103122181871</v>
      </c>
      <c r="M17" s="89" t="n">
        <v>0</v>
      </c>
      <c r="N17" s="89" t="n">
        <f aca="false">'Input data plant-based products'!F$152</f>
        <v>0.05</v>
      </c>
      <c r="O17" s="89" t="n">
        <v>0</v>
      </c>
      <c r="P17" s="89" t="n">
        <f aca="false">'Common input data'!$F$13</f>
        <v>-0.0911390481413813</v>
      </c>
      <c r="Q17" s="89" t="n">
        <v>0</v>
      </c>
      <c r="R17" s="89" t="n">
        <v>0</v>
      </c>
      <c r="S17" s="89" t="n">
        <f aca="false">F17+R17</f>
        <v>0.0214858451881751</v>
      </c>
      <c r="T17" s="89" t="n">
        <f aca="false">'Common input data'!$B$88</f>
        <v>0.05</v>
      </c>
      <c r="U17" s="89" t="n">
        <f aca="false">'Common input data'!B100+'Common input data'!C100</f>
        <v>0.23</v>
      </c>
      <c r="V17" s="309"/>
      <c r="W17" s="92"/>
      <c r="Z17" s="30"/>
    </row>
    <row r="18" s="209" customFormat="true" ht="17.4" hidden="false" customHeight="false" outlineLevel="0" collapsed="false">
      <c r="A18" s="74"/>
      <c r="B18" s="31"/>
      <c r="C18" s="93"/>
      <c r="D18" s="85" t="s">
        <v>135</v>
      </c>
      <c r="E18" s="217" t="n">
        <f aca="false">SUM(J18:K18)</f>
        <v>0</v>
      </c>
      <c r="F18" s="89" t="n">
        <f aca="false">SUM(H18:O18)</f>
        <v>1.29834945920495E-005</v>
      </c>
      <c r="G18" s="88" t="n">
        <f aca="false">SUM(S18:U18)/(1-'Common input data'!$B$121)</f>
        <v>1.549527937946E-005</v>
      </c>
      <c r="H18" s="89" t="n">
        <f aca="false">('Input data plant-based products'!$F$67*('Common input data'!$C$76*'Common input data'!B70+'Common input data'!$C$77*'Common input data'!C70))/'Input data plant-based products'!$E$67</f>
        <v>1.46144726900485E-011</v>
      </c>
      <c r="I18" s="89" t="n">
        <v>0</v>
      </c>
      <c r="J18" s="89" t="n">
        <v>0</v>
      </c>
      <c r="K18" s="89" t="n">
        <v>0</v>
      </c>
      <c r="L18" s="89" t="n">
        <f aca="false">('Input data plant-based products'!$I$67*'Common input data'!$C$59*'Common input data'!H50)/'Input data plant-based products'!$E$67</f>
        <v>1.29834799775768E-005</v>
      </c>
      <c r="M18" s="89" t="n">
        <v>0</v>
      </c>
      <c r="N18" s="89" t="n">
        <v>0</v>
      </c>
      <c r="O18" s="89" t="n">
        <v>0</v>
      </c>
      <c r="P18" s="89" t="n">
        <v>0</v>
      </c>
      <c r="Q18" s="89" t="n">
        <v>0</v>
      </c>
      <c r="R18" s="89" t="n">
        <v>0</v>
      </c>
      <c r="S18" s="89" t="n">
        <f aca="false">F18+R18</f>
        <v>1.29834945920495E-005</v>
      </c>
      <c r="T18" s="89" t="n">
        <v>0</v>
      </c>
      <c r="U18" s="89" t="n">
        <v>0</v>
      </c>
      <c r="V18" s="309"/>
      <c r="W18" s="92"/>
      <c r="Z18" s="30"/>
    </row>
    <row r="19" s="209" customFormat="true" ht="17.4" hidden="false" customHeight="false" outlineLevel="0" collapsed="false">
      <c r="A19" s="100"/>
      <c r="B19" s="101"/>
      <c r="C19" s="87"/>
      <c r="D19" s="31" t="s">
        <v>136</v>
      </c>
      <c r="E19" s="217" t="n">
        <f aca="false">SUM(J19:K19)</f>
        <v>2.14865443606091E-005</v>
      </c>
      <c r="F19" s="89" t="n">
        <f aca="false">SUM(H19:O19)</f>
        <v>4.03791773289723E-005</v>
      </c>
      <c r="G19" s="88" t="n">
        <f aca="false">SUM(S19:U19)/(1-'Common input data'!$B$121)</f>
        <v>4.81909265174512E-005</v>
      </c>
      <c r="H19" s="89" t="n">
        <f aca="false">('Input data plant-based products'!$F$67*('Common input data'!$C$76*'Common input data'!B71+'Common input data'!$C$77*'Common input data'!C71))/'Input data plant-based products'!$E$67</f>
        <v>1.81050534514362E-005</v>
      </c>
      <c r="I19" s="89" t="n">
        <v>0</v>
      </c>
      <c r="J19" s="89" t="n">
        <f aca="false">(SUM('Input data plant-based products'!F67:H67)*'Input data plant-based products'!$B$114*44/28)/'Input data plant-based products'!E67</f>
        <v>1.95332221460082E-005</v>
      </c>
      <c r="K19" s="89" t="n">
        <f aca="false">J19*'Input data plant-based products'!$B$115</f>
        <v>1.95332221460082E-006</v>
      </c>
      <c r="L19" s="89" t="n">
        <f aca="false">('Input data plant-based products'!$I$67*'Common input data'!$C$59*'Common input data'!H51)/'Input data plant-based products'!$E$67</f>
        <v>7.87579516927052E-007</v>
      </c>
      <c r="M19" s="89" t="n">
        <v>0</v>
      </c>
      <c r="N19" s="89" t="n">
        <v>0</v>
      </c>
      <c r="O19" s="89" t="n">
        <v>0</v>
      </c>
      <c r="P19" s="89" t="n">
        <v>0</v>
      </c>
      <c r="Q19" s="89" t="n">
        <v>0</v>
      </c>
      <c r="R19" s="89" t="n">
        <v>0</v>
      </c>
      <c r="S19" s="89" t="n">
        <f aca="false">F19+R19</f>
        <v>4.03791773289723E-005</v>
      </c>
      <c r="T19" s="89" t="n">
        <v>0</v>
      </c>
      <c r="U19" s="89" t="n">
        <v>0</v>
      </c>
      <c r="V19" s="309"/>
      <c r="W19" s="92"/>
      <c r="Z19" s="30"/>
    </row>
    <row r="20" s="332" customFormat="true" ht="17.4" hidden="false" customHeight="false" outlineLevel="0" collapsed="false">
      <c r="A20" s="330" t="s">
        <v>141</v>
      </c>
      <c r="B20" s="76" t="s">
        <v>254</v>
      </c>
      <c r="C20" s="84" t="n">
        <f aca="false">'Input data plant-based products'!D68</f>
        <v>0.49</v>
      </c>
      <c r="D20" s="78" t="s">
        <v>133</v>
      </c>
      <c r="E20" s="94" t="n">
        <f aca="false">IF($F$1="GWP100 without fb",E21+E22*'Common input data'!$C$5+E23*'Common input data'!$D$5,IF($F$1="GWP100 with fb",E21+E22*'Common input data'!$C$6+E23*'Common input data'!$D$6,IF($F$1="GTP100 without fb",E21+E22*'Common input data'!$C$7+E23*'Common input data'!$D$7,IF($F$1="GTP100 with fb",E21+E22*'Common input data'!$C$8+E23*'Common input data'!$D$8,E21+E22*'Common input data'!$C$9+E23*'Common input data'!$D$9))))</f>
        <v>-0.0820724150008231</v>
      </c>
      <c r="F20" s="95" t="n">
        <f aca="false">IF($F$1="GWP100 without fb",F21+F22*'Common input data'!$C$5+F23*'Common input data'!$D$5,IF($F$1="GWP100 with fb",F21+F22*'Common input data'!$C$6+F23*'Common input data'!$D$6,IF($F$1="GTP100 without fb",F21+F22*'Common input data'!$C$7+F23*'Common input data'!$D$7,IF($F$1="GTP100 with fb",F21+F22*'Common input data'!$C$8+F23*'Common input data'!$D$8,F21+F22*'Common input data'!$C$9+F23*'Common input data'!$D$9))))</f>
        <v>0.0876001121115855</v>
      </c>
      <c r="G20" s="96" t="n">
        <f aca="false">IF($F$1="GWP100 without fb",G21+G22*'Common input data'!$C$5+G23*'Common input data'!$D$5,IF($F$1="GWP100 with fb",G21+G22*'Common input data'!$C$6+G23*'Common input data'!$D$6,IF($F$1="GTP100 without fb",G21+G22*'Common input data'!$C$7+G23*'Common input data'!$D$7,IF($F$1="GTP100 with fb",G21+G22*'Common input data'!$C$8+G23*'Common input data'!$D$8,G21+G22*'Common input data'!$C$9+G23*'Common input data'!$D$9))))</f>
        <v>0.438715971012753</v>
      </c>
      <c r="H20" s="83"/>
      <c r="I20" s="83"/>
      <c r="J20" s="83"/>
      <c r="K20" s="83"/>
      <c r="L20" s="83"/>
      <c r="M20" s="83"/>
      <c r="N20" s="83"/>
      <c r="O20" s="83"/>
      <c r="P20" s="83"/>
      <c r="Q20" s="83"/>
      <c r="R20" s="83"/>
      <c r="S20" s="83"/>
      <c r="T20" s="83"/>
      <c r="U20" s="83"/>
      <c r="V20" s="309"/>
      <c r="W20" s="92"/>
      <c r="X20" s="209"/>
      <c r="Y20" s="209"/>
      <c r="Z20" s="30"/>
      <c r="AA20" s="209"/>
      <c r="AB20" s="209"/>
      <c r="AC20" s="209"/>
      <c r="AD20" s="209"/>
      <c r="AE20" s="209"/>
      <c r="AF20" s="209"/>
      <c r="AG20" s="209"/>
      <c r="AH20" s="209"/>
      <c r="AI20" s="209"/>
      <c r="AJ20" s="209"/>
      <c r="AK20" s="209"/>
      <c r="AL20" s="209"/>
      <c r="AM20" s="209"/>
      <c r="AN20" s="209"/>
      <c r="AO20" s="209"/>
      <c r="AP20" s="209"/>
      <c r="AQ20" s="209"/>
      <c r="AR20" s="209"/>
      <c r="AS20" s="209"/>
      <c r="AT20" s="209"/>
      <c r="AU20" s="209"/>
      <c r="AV20" s="209"/>
      <c r="AW20" s="209"/>
      <c r="AX20" s="209"/>
      <c r="AY20" s="209"/>
      <c r="AZ20" s="209"/>
      <c r="BA20" s="209"/>
      <c r="BB20" s="209"/>
      <c r="BC20" s="209"/>
      <c r="BD20" s="209"/>
      <c r="BE20" s="209"/>
      <c r="BF20" s="209"/>
      <c r="BG20" s="209"/>
      <c r="BH20" s="209"/>
      <c r="BI20" s="209"/>
      <c r="BJ20" s="209"/>
      <c r="BK20" s="209"/>
      <c r="BL20" s="209"/>
      <c r="BM20" s="209"/>
      <c r="BN20" s="209"/>
      <c r="BO20" s="209"/>
      <c r="BP20" s="209"/>
      <c r="BQ20" s="209"/>
      <c r="BR20" s="209"/>
      <c r="BS20" s="209"/>
      <c r="BT20" s="209"/>
      <c r="BU20" s="209"/>
      <c r="BV20" s="209"/>
      <c r="BW20" s="209"/>
      <c r="BX20" s="209"/>
      <c r="BY20" s="209"/>
      <c r="BZ20" s="209"/>
      <c r="CA20" s="209"/>
      <c r="CB20" s="209"/>
      <c r="CC20" s="209"/>
      <c r="CD20" s="209"/>
      <c r="CE20" s="209"/>
      <c r="CF20" s="209"/>
      <c r="CG20" s="209"/>
      <c r="CH20" s="209"/>
      <c r="CI20" s="209"/>
      <c r="CJ20" s="209"/>
      <c r="CK20" s="209"/>
      <c r="CL20" s="209"/>
      <c r="CM20" s="209"/>
      <c r="CN20" s="209"/>
      <c r="CO20" s="209"/>
      <c r="CP20" s="209"/>
      <c r="CQ20" s="209"/>
      <c r="CR20" s="209"/>
      <c r="CS20" s="209"/>
      <c r="CT20" s="209"/>
      <c r="CU20" s="209"/>
      <c r="CV20" s="209"/>
      <c r="CW20" s="209"/>
      <c r="CX20" s="209"/>
      <c r="CY20" s="209"/>
      <c r="CZ20" s="209"/>
      <c r="DA20" s="209"/>
      <c r="DB20" s="209"/>
      <c r="DC20" s="209"/>
      <c r="DD20" s="209"/>
      <c r="DE20" s="209"/>
      <c r="DF20" s="209"/>
      <c r="DG20" s="209"/>
      <c r="DH20" s="209"/>
      <c r="DI20" s="209"/>
      <c r="DJ20" s="209"/>
      <c r="DK20" s="209"/>
      <c r="DL20" s="209"/>
      <c r="DM20" s="209"/>
      <c r="DN20" s="209"/>
      <c r="DO20" s="209"/>
      <c r="DP20" s="209"/>
      <c r="DQ20" s="209"/>
      <c r="DR20" s="209"/>
      <c r="DS20" s="209"/>
      <c r="DT20" s="209"/>
      <c r="DU20" s="209"/>
      <c r="DV20" s="209"/>
      <c r="DW20" s="209"/>
      <c r="DX20" s="209"/>
      <c r="DY20" s="209"/>
      <c r="DZ20" s="209"/>
      <c r="EA20" s="209"/>
      <c r="EB20" s="209"/>
      <c r="EC20" s="209"/>
      <c r="ED20" s="209"/>
      <c r="EE20" s="209"/>
      <c r="EF20" s="209"/>
      <c r="EG20" s="209"/>
      <c r="EH20" s="209"/>
      <c r="EI20" s="209"/>
      <c r="EJ20" s="209"/>
      <c r="EK20" s="209"/>
      <c r="EL20" s="209"/>
      <c r="EM20" s="209"/>
      <c r="EN20" s="209"/>
      <c r="EO20" s="209"/>
      <c r="EP20" s="209"/>
      <c r="EQ20" s="209"/>
      <c r="ER20" s="209"/>
      <c r="ES20" s="209"/>
      <c r="ET20" s="209"/>
      <c r="EU20" s="209"/>
      <c r="EV20" s="209"/>
      <c r="EW20" s="209"/>
      <c r="EX20" s="209"/>
      <c r="EY20" s="209"/>
      <c r="EZ20" s="209"/>
      <c r="FA20" s="209"/>
      <c r="FB20" s="209"/>
      <c r="FC20" s="209"/>
      <c r="FD20" s="209"/>
      <c r="FE20" s="209"/>
      <c r="FF20" s="209"/>
      <c r="FG20" s="209"/>
      <c r="FH20" s="209"/>
      <c r="FI20" s="209"/>
      <c r="FJ20" s="209"/>
      <c r="FK20" s="209"/>
      <c r="FL20" s="209"/>
      <c r="FM20" s="209"/>
      <c r="FN20" s="209"/>
      <c r="FO20" s="209"/>
      <c r="FP20" s="209"/>
      <c r="FQ20" s="209"/>
      <c r="FR20" s="209"/>
      <c r="FS20" s="209"/>
      <c r="FT20" s="209"/>
      <c r="FU20" s="209"/>
      <c r="FV20" s="209"/>
      <c r="FW20" s="209"/>
      <c r="FX20" s="209"/>
      <c r="FY20" s="209"/>
      <c r="FZ20" s="209"/>
      <c r="GA20" s="209"/>
      <c r="GB20" s="209"/>
      <c r="GC20" s="209"/>
      <c r="GD20" s="209"/>
      <c r="GE20" s="209"/>
      <c r="GF20" s="209"/>
      <c r="GG20" s="209"/>
      <c r="GH20" s="209"/>
      <c r="GI20" s="209"/>
      <c r="GJ20" s="209"/>
      <c r="GK20" s="209"/>
      <c r="GL20" s="209"/>
      <c r="GM20" s="209"/>
      <c r="GN20" s="209"/>
      <c r="GO20" s="209"/>
      <c r="GP20" s="209"/>
      <c r="GQ20" s="209"/>
      <c r="GR20" s="209"/>
      <c r="GS20" s="209"/>
      <c r="GT20" s="209"/>
      <c r="GU20" s="209"/>
      <c r="GV20" s="209"/>
      <c r="GW20" s="209"/>
      <c r="GX20" s="209"/>
      <c r="GY20" s="209"/>
      <c r="GZ20" s="209"/>
      <c r="HA20" s="209"/>
      <c r="HB20" s="209"/>
      <c r="HC20" s="209"/>
      <c r="HD20" s="209"/>
      <c r="HE20" s="209"/>
      <c r="HF20" s="209"/>
      <c r="HG20" s="209"/>
      <c r="HH20" s="209"/>
      <c r="HI20" s="209"/>
      <c r="HJ20" s="209"/>
      <c r="HK20" s="209"/>
      <c r="HL20" s="209"/>
      <c r="HM20" s="209"/>
      <c r="HN20" s="209"/>
      <c r="HO20" s="209"/>
      <c r="HP20" s="209"/>
      <c r="HQ20" s="209"/>
      <c r="HR20" s="209"/>
      <c r="HS20" s="209"/>
      <c r="HT20" s="209"/>
      <c r="HU20" s="209"/>
      <c r="HV20" s="209"/>
      <c r="HW20" s="209"/>
      <c r="HX20" s="209"/>
      <c r="HY20" s="209"/>
      <c r="HZ20" s="209"/>
      <c r="IA20" s="209"/>
      <c r="IB20" s="209"/>
      <c r="IC20" s="209"/>
      <c r="ID20" s="209"/>
      <c r="IE20" s="209"/>
      <c r="IF20" s="209"/>
      <c r="IG20" s="209"/>
      <c r="IH20" s="209"/>
      <c r="II20" s="209"/>
      <c r="IJ20" s="209"/>
      <c r="IK20" s="209"/>
      <c r="IL20" s="209"/>
      <c r="IM20" s="209"/>
      <c r="IN20" s="209"/>
      <c r="IO20" s="209"/>
      <c r="IP20" s="209"/>
      <c r="IQ20" s="209"/>
      <c r="IR20" s="209"/>
      <c r="IS20" s="209"/>
      <c r="IT20" s="209"/>
      <c r="IU20" s="209"/>
      <c r="IV20" s="209"/>
      <c r="IW20" s="209"/>
      <c r="IX20" s="209"/>
    </row>
    <row r="21" s="209" customFormat="true" ht="17.4" hidden="false" customHeight="false" outlineLevel="0" collapsed="false">
      <c r="A21" s="99"/>
      <c r="B21" s="31"/>
      <c r="C21" s="30"/>
      <c r="D21" s="85" t="s">
        <v>134</v>
      </c>
      <c r="E21" s="217" t="n">
        <f aca="false">IF(AND($F$2="No",$F$3="No"),SUM(J21:K21),IF(AND($F$2="Yes", $F$3="No"), SUM(J21:K21)+Q21, IF(AND($F$2="No", $F$3="Yes"),SUM(J21:K21)+P21, SUM(J21:K21)+Q21+P21)))</f>
        <v>-0.0911390481413813</v>
      </c>
      <c r="F21" s="89" t="n">
        <f aca="false">IF(AND($F$2="No",$F$3="No"),SUM(H21:O21),IF(AND($F$2="Yes", $F$3="No"), SUM(H21:O21)+Q21, IF(AND($F$2="No", $F$3="Yes"),SUM(H21:O21)+P21, SUM(H21:O21)+Q21+P21)))</f>
        <v>0.0691498721647347</v>
      </c>
      <c r="G21" s="88" t="n">
        <f aca="false">SUM(S21:U21)/(1-'Common input data'!$B$121)</f>
        <v>0.416696350596413</v>
      </c>
      <c r="H21" s="87" t="n">
        <f aca="false">('Input data plant-based products'!$F$68*('Common input data'!$C$76*'Common input data'!B69+'Common input data'!$C$77*'Common input data'!C69))/'Input data plant-based products'!$E$68</f>
        <v>0.00469344633075763</v>
      </c>
      <c r="I21" s="89" t="n">
        <f aca="false">'Common input data'!$B$81</f>
        <v>0.03</v>
      </c>
      <c r="J21" s="87" t="n">
        <v>0</v>
      </c>
      <c r="K21" s="89" t="n">
        <v>0</v>
      </c>
      <c r="L21" s="87" t="n">
        <f aca="false">('Input data plant-based products'!$I$68*'Common input data'!$C$59*'Common input data'!H49)/'Input data plant-based products'!$E$68</f>
        <v>0.0755954739753583</v>
      </c>
      <c r="M21" s="89" t="n">
        <v>0</v>
      </c>
      <c r="N21" s="89" t="n">
        <f aca="false">'Input data plant-based products'!F$152</f>
        <v>0.05</v>
      </c>
      <c r="O21" s="89" t="n">
        <v>0</v>
      </c>
      <c r="P21" s="89" t="n">
        <f aca="false">'Common input data'!$F$13</f>
        <v>-0.0911390481413813</v>
      </c>
      <c r="Q21" s="89" t="n">
        <v>0</v>
      </c>
      <c r="R21" s="89" t="n">
        <v>0</v>
      </c>
      <c r="S21" s="89" t="n">
        <f aca="false">F21+R21</f>
        <v>0.0691498721647347</v>
      </c>
      <c r="T21" s="89" t="n">
        <f aca="false">'Common input data'!$B$88</f>
        <v>0.05</v>
      </c>
      <c r="U21" s="89" t="n">
        <f aca="false">'Common input data'!B102+'Common input data'!C102</f>
        <v>0.23</v>
      </c>
      <c r="V21" s="309"/>
      <c r="W21" s="92"/>
      <c r="Z21" s="30"/>
    </row>
    <row r="22" s="209" customFormat="true" ht="17.4" hidden="false" customHeight="false" outlineLevel="0" collapsed="false">
      <c r="A22" s="74"/>
      <c r="B22" s="31"/>
      <c r="C22" s="93"/>
      <c r="D22" s="85" t="s">
        <v>135</v>
      </c>
      <c r="E22" s="217" t="n">
        <f aca="false">SUM(J22:K22)</f>
        <v>0</v>
      </c>
      <c r="F22" s="89" t="n">
        <f aca="false">SUM(H22:O22)</f>
        <v>3.34862666080966E-005</v>
      </c>
      <c r="G22" s="88" t="n">
        <f aca="false">SUM(S22:U22)/(1-'Common input data'!$B$121)</f>
        <v>3.9964514390854E-005</v>
      </c>
      <c r="H22" s="87" t="n">
        <f aca="false">('Input data plant-based products'!$F$68*('Common input data'!$C$76*'Common input data'!B70+'Common input data'!$C$77*'Common input data'!C70))/'Input data plant-based products'!$E$68</f>
        <v>2.06940910233845E-011</v>
      </c>
      <c r="I22" s="89" t="n">
        <v>0</v>
      </c>
      <c r="J22" s="87" t="n">
        <v>0</v>
      </c>
      <c r="K22" s="89" t="n">
        <v>0</v>
      </c>
      <c r="L22" s="87" t="n">
        <f aca="false">('Input data plant-based products'!$I$68*'Common input data'!$C$59*'Common input data'!H50)/'Input data plant-based products'!$E$68</f>
        <v>3.34862459140055E-005</v>
      </c>
      <c r="M22" s="89" t="n">
        <v>0</v>
      </c>
      <c r="N22" s="89" t="n">
        <v>0</v>
      </c>
      <c r="O22" s="89" t="n">
        <v>0</v>
      </c>
      <c r="P22" s="89" t="n">
        <v>0</v>
      </c>
      <c r="Q22" s="89" t="n">
        <v>0</v>
      </c>
      <c r="R22" s="89" t="n">
        <v>0</v>
      </c>
      <c r="S22" s="89" t="n">
        <f aca="false">F22+R22</f>
        <v>3.34862666080966E-005</v>
      </c>
      <c r="T22" s="89" t="n">
        <v>0</v>
      </c>
      <c r="U22" s="89" t="n">
        <v>0</v>
      </c>
      <c r="V22" s="309"/>
      <c r="W22" s="92"/>
      <c r="Z22" s="30"/>
    </row>
    <row r="23" s="209" customFormat="true" ht="17.4" hidden="false" customHeight="false" outlineLevel="0" collapsed="false">
      <c r="A23" s="100"/>
      <c r="B23" s="101"/>
      <c r="C23" s="87"/>
      <c r="D23" s="31" t="s">
        <v>136</v>
      </c>
      <c r="E23" s="219" t="n">
        <f aca="false">SUM(J23:K23)</f>
        <v>3.0424943424692E-005</v>
      </c>
      <c r="F23" s="126" t="n">
        <f aca="false">SUM(H23:O23)</f>
        <v>5.80929761146831E-005</v>
      </c>
      <c r="G23" s="106" t="n">
        <f aca="false">SUM(S23:U23)/(1-'Common input data'!$B$121)</f>
        <v>6.93316339833908E-005</v>
      </c>
      <c r="H23" s="87" t="n">
        <f aca="false">('Input data plant-based products'!$F$68*('Common input data'!$C$76*'Common input data'!B71+'Common input data'!$C$77*'Common input data'!C71))/'Input data plant-based products'!$E$68</f>
        <v>2.56367528308008E-005</v>
      </c>
      <c r="I23" s="87" t="n">
        <v>0</v>
      </c>
      <c r="J23" s="87" t="n">
        <f aca="false">(SUM('Input data plant-based products'!F68:H68)*'Input data plant-based products'!$B$114*44/28)/'Input data plant-based products'!E68</f>
        <v>2.76590394769927E-005</v>
      </c>
      <c r="K23" s="89" t="n">
        <f aca="false">J23*'Input data plant-based products'!$B$115</f>
        <v>2.76590394769927E-006</v>
      </c>
      <c r="L23" s="87" t="n">
        <f aca="false">('Input data plant-based products'!$I$68*'Common input data'!$C$59*'Common input data'!H51)/'Input data plant-based products'!$E$68</f>
        <v>2.03127985919034E-006</v>
      </c>
      <c r="M23" s="89" t="n">
        <v>0</v>
      </c>
      <c r="N23" s="89" t="n">
        <v>0</v>
      </c>
      <c r="O23" s="89" t="n">
        <v>0</v>
      </c>
      <c r="P23" s="89" t="n">
        <v>0</v>
      </c>
      <c r="Q23" s="89" t="n">
        <v>0</v>
      </c>
      <c r="R23" s="89" t="n">
        <v>0</v>
      </c>
      <c r="S23" s="89" t="n">
        <f aca="false">F23+R23</f>
        <v>5.80929761146831E-005</v>
      </c>
      <c r="T23" s="89" t="n">
        <v>0</v>
      </c>
      <c r="U23" s="89" t="n">
        <v>0</v>
      </c>
      <c r="V23" s="309"/>
      <c r="W23" s="92"/>
      <c r="Z23" s="30"/>
    </row>
    <row r="24" s="334" customFormat="true" ht="17.4" hidden="false" customHeight="false" outlineLevel="0" collapsed="false">
      <c r="A24" s="107" t="s">
        <v>320</v>
      </c>
      <c r="B24" s="108"/>
      <c r="C24" s="69"/>
      <c r="D24" s="109"/>
      <c r="E24" s="110" t="s">
        <v>321</v>
      </c>
      <c r="F24" s="111" t="s">
        <v>321</v>
      </c>
      <c r="G24" s="112" t="s">
        <v>321</v>
      </c>
      <c r="H24" s="69"/>
      <c r="I24" s="69"/>
      <c r="J24" s="69"/>
      <c r="K24" s="113"/>
      <c r="L24" s="113"/>
      <c r="M24" s="114"/>
      <c r="N24" s="113"/>
      <c r="O24" s="113"/>
      <c r="P24" s="113"/>
      <c r="Q24" s="113"/>
      <c r="R24" s="113"/>
      <c r="S24" s="113"/>
      <c r="T24" s="113"/>
      <c r="U24" s="113"/>
      <c r="V24" s="309"/>
      <c r="W24" s="92"/>
      <c r="X24" s="209"/>
      <c r="Y24" s="209"/>
      <c r="Z24" s="30"/>
      <c r="AA24" s="209"/>
      <c r="AB24" s="209"/>
      <c r="AC24" s="209"/>
      <c r="AD24" s="209"/>
      <c r="AE24" s="209"/>
      <c r="AF24" s="209"/>
      <c r="AG24" s="209"/>
      <c r="AH24" s="209"/>
      <c r="AI24" s="209"/>
      <c r="AJ24" s="209"/>
      <c r="AK24" s="209"/>
      <c r="AL24" s="209"/>
      <c r="AM24" s="209"/>
      <c r="AN24" s="209"/>
      <c r="AO24" s="209"/>
      <c r="AP24" s="209"/>
      <c r="AQ24" s="209"/>
      <c r="AR24" s="209"/>
      <c r="AS24" s="209"/>
      <c r="AT24" s="209"/>
      <c r="AU24" s="209"/>
      <c r="AV24" s="209"/>
      <c r="AW24" s="209"/>
      <c r="AX24" s="209"/>
      <c r="AY24" s="209"/>
      <c r="AZ24" s="209"/>
      <c r="BA24" s="209"/>
      <c r="BB24" s="209"/>
      <c r="BC24" s="209"/>
      <c r="BD24" s="209"/>
      <c r="BE24" s="209"/>
      <c r="BF24" s="209"/>
      <c r="BG24" s="209"/>
      <c r="BH24" s="209"/>
      <c r="BI24" s="209"/>
      <c r="BJ24" s="209"/>
      <c r="BK24" s="209"/>
      <c r="BL24" s="209"/>
      <c r="BM24" s="209"/>
      <c r="BN24" s="209"/>
      <c r="BO24" s="209"/>
      <c r="BP24" s="209"/>
      <c r="BQ24" s="209"/>
      <c r="BR24" s="209"/>
      <c r="BS24" s="209"/>
      <c r="BT24" s="209"/>
      <c r="BU24" s="209"/>
      <c r="BV24" s="209"/>
      <c r="BW24" s="209"/>
      <c r="BX24" s="209"/>
      <c r="BY24" s="209"/>
      <c r="BZ24" s="209"/>
      <c r="CA24" s="209"/>
      <c r="CB24" s="209"/>
      <c r="CC24" s="209"/>
      <c r="CD24" s="209"/>
      <c r="CE24" s="209"/>
      <c r="CF24" s="209"/>
      <c r="CG24" s="209"/>
      <c r="CH24" s="209"/>
      <c r="CI24" s="209"/>
      <c r="CJ24" s="209"/>
      <c r="CK24" s="209"/>
      <c r="CL24" s="209"/>
      <c r="CM24" s="209"/>
      <c r="CN24" s="209"/>
      <c r="CO24" s="209"/>
      <c r="CP24" s="209"/>
      <c r="CQ24" s="209"/>
      <c r="CR24" s="209"/>
      <c r="CS24" s="209"/>
      <c r="CT24" s="209"/>
      <c r="CU24" s="209"/>
      <c r="CV24" s="209"/>
      <c r="CW24" s="209"/>
      <c r="CX24" s="209"/>
      <c r="CY24" s="209"/>
      <c r="CZ24" s="209"/>
      <c r="DA24" s="209"/>
      <c r="DB24" s="209"/>
      <c r="DC24" s="209"/>
      <c r="DD24" s="209"/>
      <c r="DE24" s="209"/>
      <c r="DF24" s="209"/>
      <c r="DG24" s="209"/>
      <c r="DH24" s="209"/>
      <c r="DI24" s="209"/>
      <c r="DJ24" s="209"/>
      <c r="DK24" s="209"/>
      <c r="DL24" s="209"/>
      <c r="DM24" s="209"/>
      <c r="DN24" s="209"/>
      <c r="DO24" s="209"/>
      <c r="DP24" s="209"/>
      <c r="DQ24" s="209"/>
      <c r="DR24" s="209"/>
      <c r="DS24" s="209"/>
      <c r="DT24" s="209"/>
      <c r="DU24" s="209"/>
      <c r="DV24" s="209"/>
      <c r="DW24" s="209"/>
      <c r="DX24" s="209"/>
      <c r="DY24" s="209"/>
      <c r="DZ24" s="209"/>
      <c r="EA24" s="209"/>
      <c r="EB24" s="209"/>
      <c r="EC24" s="209"/>
      <c r="ED24" s="209"/>
      <c r="EE24" s="209"/>
      <c r="EF24" s="209"/>
      <c r="EG24" s="209"/>
      <c r="EH24" s="209"/>
      <c r="EI24" s="209"/>
      <c r="EJ24" s="209"/>
      <c r="EK24" s="209"/>
      <c r="EL24" s="209"/>
      <c r="EM24" s="209"/>
      <c r="EN24" s="209"/>
      <c r="EO24" s="209"/>
      <c r="EP24" s="209"/>
      <c r="EQ24" s="209"/>
      <c r="ER24" s="209"/>
      <c r="ES24" s="209"/>
      <c r="ET24" s="209"/>
      <c r="EU24" s="209"/>
      <c r="EV24" s="209"/>
      <c r="EW24" s="209"/>
      <c r="EX24" s="209"/>
      <c r="EY24" s="209"/>
      <c r="EZ24" s="209"/>
      <c r="FA24" s="209"/>
      <c r="FB24" s="209"/>
      <c r="FC24" s="209"/>
      <c r="FD24" s="209"/>
      <c r="FE24" s="209"/>
      <c r="FF24" s="209"/>
      <c r="FG24" s="209"/>
      <c r="FH24" s="209"/>
      <c r="FI24" s="209"/>
      <c r="FJ24" s="209"/>
      <c r="FK24" s="209"/>
      <c r="FL24" s="209"/>
      <c r="FM24" s="209"/>
      <c r="FN24" s="209"/>
      <c r="FO24" s="209"/>
      <c r="FP24" s="209"/>
      <c r="FQ24" s="209"/>
      <c r="FR24" s="209"/>
      <c r="FS24" s="209"/>
      <c r="FT24" s="209"/>
      <c r="FU24" s="209"/>
      <c r="FV24" s="209"/>
      <c r="FW24" s="209"/>
      <c r="FX24" s="209"/>
      <c r="FY24" s="209"/>
      <c r="FZ24" s="209"/>
      <c r="GA24" s="209"/>
      <c r="GB24" s="209"/>
      <c r="GC24" s="209"/>
      <c r="GD24" s="209"/>
      <c r="GE24" s="209"/>
      <c r="GF24" s="209"/>
      <c r="GG24" s="209"/>
      <c r="GH24" s="209"/>
      <c r="GI24" s="209"/>
      <c r="GJ24" s="209"/>
      <c r="GK24" s="209"/>
      <c r="GL24" s="209"/>
      <c r="GM24" s="209"/>
      <c r="GN24" s="209"/>
      <c r="GO24" s="209"/>
      <c r="GP24" s="209"/>
      <c r="GQ24" s="209"/>
      <c r="GR24" s="209"/>
      <c r="GS24" s="209"/>
      <c r="GT24" s="209"/>
      <c r="GU24" s="209"/>
      <c r="GV24" s="209"/>
      <c r="GW24" s="209"/>
      <c r="GX24" s="209"/>
      <c r="GY24" s="209"/>
      <c r="GZ24" s="209"/>
      <c r="HA24" s="209"/>
      <c r="HB24" s="209"/>
      <c r="HC24" s="209"/>
      <c r="HD24" s="209"/>
      <c r="HE24" s="209"/>
      <c r="HF24" s="209"/>
      <c r="HG24" s="209"/>
      <c r="HH24" s="209"/>
      <c r="HI24" s="209"/>
      <c r="HJ24" s="209"/>
      <c r="HK24" s="209"/>
      <c r="HL24" s="209"/>
      <c r="HM24" s="209"/>
      <c r="HN24" s="209"/>
      <c r="HO24" s="209"/>
      <c r="HP24" s="209"/>
      <c r="HQ24" s="209"/>
      <c r="HR24" s="209"/>
      <c r="HS24" s="209"/>
      <c r="HT24" s="209"/>
      <c r="HU24" s="209"/>
      <c r="HV24" s="209"/>
      <c r="HW24" s="209"/>
      <c r="HX24" s="209"/>
      <c r="HY24" s="209"/>
      <c r="HZ24" s="209"/>
      <c r="IA24" s="209"/>
      <c r="IB24" s="209"/>
      <c r="IC24" s="209"/>
      <c r="ID24" s="209"/>
      <c r="IE24" s="209"/>
      <c r="IF24" s="209"/>
      <c r="IG24" s="209"/>
      <c r="IH24" s="209"/>
      <c r="II24" s="209"/>
      <c r="IJ24" s="209"/>
      <c r="IK24" s="209"/>
      <c r="IL24" s="209"/>
      <c r="IM24" s="209"/>
      <c r="IN24" s="209"/>
      <c r="IO24" s="209"/>
      <c r="IP24" s="209"/>
      <c r="IQ24" s="209"/>
      <c r="IR24" s="209"/>
      <c r="IS24" s="209"/>
      <c r="IT24" s="209"/>
      <c r="IU24" s="209"/>
      <c r="IV24" s="209"/>
      <c r="IW24" s="209"/>
      <c r="IX24" s="209"/>
    </row>
    <row r="25" s="332" customFormat="true" ht="17.4" hidden="false" customHeight="false" outlineLevel="0" collapsed="false">
      <c r="A25" s="330" t="s">
        <v>272</v>
      </c>
      <c r="B25" s="76"/>
      <c r="C25" s="77" t="n">
        <f aca="false">SUM(C29:C44)</f>
        <v>1</v>
      </c>
      <c r="D25" s="78" t="s">
        <v>133</v>
      </c>
      <c r="E25" s="79" t="n">
        <f aca="false">IF($F$1="GWP100 without fb",E26+E27*'Common input data'!$C$5+E28*'Common input data'!$D$5,IF($F$1="GWP100 with fb",E26+E27*'Common input data'!$C$6+E28*'Common input data'!$D$6,IF($F$1="GTP100 without fb",E26+E27*'Common input data'!$C$7+E28*'Common input data'!$D$7,IF($F$1="GTP100 with fb",E26+E27*'Common input data'!$C$8+E28*'Common input data'!$D$8,E26+E27*'Common input data'!$C$9+E28*'Common input data'!$D$9))))</f>
        <v>-0.0462283240270443</v>
      </c>
      <c r="F25" s="80" t="n">
        <f aca="false">IF($F$1="GWP100 without fb",F26+F27*'Common input data'!$C$5+F28*'Common input data'!$D$5,IF($F$1="GWP100 with fb",F26+F27*'Common input data'!$C$6+F28*'Common input data'!$D$6,IF($F$1="GTP100 without fb",F26+F27*'Common input data'!$C$7+F28*'Common input data'!$D$7,IF($F$1="GTP100 with fb",F26+F27*'Common input data'!$C$8+F28*'Common input data'!$D$8,F26+F27*'Common input data'!$C$9+F28*'Common input data'!$D$9))))</f>
        <v>0.137434479108248</v>
      </c>
      <c r="G25" s="81" t="n">
        <f aca="false">IF($F$1="GWP100 without fb",G26+G27*'Common input data'!$C$5+G28*'Common input data'!$D$5,IF($F$1="GWP100 with fb",G26+G27*'Common input data'!$C$6+G28*'Common input data'!$D$6,IF($F$1="GTP100 without fb",G26+G27*'Common input data'!$C$7+G28*'Common input data'!$D$7,IF($F$1="GTP100 with fb",G26+G27*'Common input data'!$C$8+G28*'Common input data'!$D$8,G26+G27*'Common input data'!$C$9+G28*'Common input data'!$D$9))))</f>
        <v>0.399295467639538</v>
      </c>
      <c r="H25" s="95"/>
      <c r="I25" s="97"/>
      <c r="J25" s="97"/>
      <c r="K25" s="83"/>
      <c r="L25" s="83"/>
      <c r="M25" s="83"/>
      <c r="N25" s="83"/>
      <c r="O25" s="83"/>
      <c r="P25" s="83"/>
      <c r="Q25" s="83"/>
      <c r="R25" s="83"/>
      <c r="S25" s="83"/>
      <c r="T25" s="83"/>
      <c r="U25" s="83"/>
      <c r="V25" s="309"/>
      <c r="W25" s="92"/>
      <c r="X25" s="209"/>
      <c r="Y25" s="209"/>
      <c r="Z25" s="30"/>
      <c r="AA25" s="209"/>
      <c r="AB25" s="209"/>
      <c r="AC25" s="209"/>
      <c r="AD25" s="209"/>
      <c r="AE25" s="209"/>
      <c r="AF25" s="209"/>
      <c r="AG25" s="209"/>
      <c r="AH25" s="209"/>
      <c r="AI25" s="209"/>
      <c r="AJ25" s="209"/>
      <c r="AK25" s="209"/>
      <c r="AL25" s="209"/>
      <c r="AM25" s="209"/>
      <c r="AN25" s="209"/>
      <c r="AO25" s="209"/>
      <c r="AP25" s="209"/>
      <c r="AQ25" s="209"/>
      <c r="AR25" s="209"/>
      <c r="AS25" s="209"/>
      <c r="AT25" s="209"/>
      <c r="AU25" s="209"/>
      <c r="AV25" s="209"/>
      <c r="AW25" s="209"/>
      <c r="AX25" s="209"/>
      <c r="AY25" s="209"/>
      <c r="AZ25" s="209"/>
      <c r="BA25" s="209"/>
      <c r="BB25" s="209"/>
      <c r="BC25" s="209"/>
      <c r="BD25" s="209"/>
      <c r="BE25" s="209"/>
      <c r="BF25" s="209"/>
      <c r="BG25" s="209"/>
      <c r="BH25" s="209"/>
      <c r="BI25" s="209"/>
      <c r="BJ25" s="209"/>
      <c r="BK25" s="209"/>
      <c r="BL25" s="209"/>
      <c r="BM25" s="209"/>
      <c r="BN25" s="209"/>
      <c r="BO25" s="209"/>
      <c r="BP25" s="209"/>
      <c r="BQ25" s="209"/>
      <c r="BR25" s="209"/>
      <c r="BS25" s="209"/>
      <c r="BT25" s="209"/>
      <c r="BU25" s="209"/>
      <c r="BV25" s="209"/>
      <c r="BW25" s="209"/>
      <c r="BX25" s="209"/>
      <c r="BY25" s="209"/>
      <c r="BZ25" s="209"/>
      <c r="CA25" s="209"/>
      <c r="CB25" s="209"/>
      <c r="CC25" s="209"/>
      <c r="CD25" s="209"/>
      <c r="CE25" s="209"/>
      <c r="CF25" s="209"/>
      <c r="CG25" s="209"/>
      <c r="CH25" s="209"/>
      <c r="CI25" s="209"/>
      <c r="CJ25" s="209"/>
      <c r="CK25" s="209"/>
      <c r="CL25" s="209"/>
      <c r="CM25" s="209"/>
      <c r="CN25" s="209"/>
      <c r="CO25" s="209"/>
      <c r="CP25" s="209"/>
      <c r="CQ25" s="209"/>
      <c r="CR25" s="209"/>
      <c r="CS25" s="209"/>
      <c r="CT25" s="209"/>
      <c r="CU25" s="209"/>
      <c r="CV25" s="209"/>
      <c r="CW25" s="209"/>
      <c r="CX25" s="209"/>
      <c r="CY25" s="209"/>
      <c r="CZ25" s="209"/>
      <c r="DA25" s="209"/>
      <c r="DB25" s="209"/>
      <c r="DC25" s="209"/>
      <c r="DD25" s="209"/>
      <c r="DE25" s="209"/>
      <c r="DF25" s="209"/>
      <c r="DG25" s="209"/>
      <c r="DH25" s="209"/>
      <c r="DI25" s="209"/>
      <c r="DJ25" s="209"/>
      <c r="DK25" s="209"/>
      <c r="DL25" s="209"/>
      <c r="DM25" s="209"/>
      <c r="DN25" s="209"/>
      <c r="DO25" s="209"/>
      <c r="DP25" s="209"/>
      <c r="DQ25" s="209"/>
      <c r="DR25" s="209"/>
      <c r="DS25" s="209"/>
      <c r="DT25" s="209"/>
      <c r="DU25" s="209"/>
      <c r="DV25" s="209"/>
      <c r="DW25" s="209"/>
      <c r="DX25" s="209"/>
      <c r="DY25" s="209"/>
      <c r="DZ25" s="209"/>
      <c r="EA25" s="209"/>
      <c r="EB25" s="209"/>
      <c r="EC25" s="209"/>
      <c r="ED25" s="209"/>
      <c r="EE25" s="209"/>
      <c r="EF25" s="209"/>
      <c r="EG25" s="209"/>
      <c r="EH25" s="209"/>
      <c r="EI25" s="209"/>
      <c r="EJ25" s="209"/>
      <c r="EK25" s="209"/>
      <c r="EL25" s="209"/>
      <c r="EM25" s="209"/>
      <c r="EN25" s="209"/>
      <c r="EO25" s="209"/>
      <c r="EP25" s="209"/>
      <c r="EQ25" s="209"/>
      <c r="ER25" s="209"/>
      <c r="ES25" s="209"/>
      <c r="ET25" s="209"/>
      <c r="EU25" s="209"/>
      <c r="EV25" s="209"/>
      <c r="EW25" s="209"/>
      <c r="EX25" s="209"/>
      <c r="EY25" s="209"/>
      <c r="EZ25" s="209"/>
      <c r="FA25" s="209"/>
      <c r="FB25" s="209"/>
      <c r="FC25" s="209"/>
      <c r="FD25" s="209"/>
      <c r="FE25" s="209"/>
      <c r="FF25" s="209"/>
      <c r="FG25" s="209"/>
      <c r="FH25" s="209"/>
      <c r="FI25" s="209"/>
      <c r="FJ25" s="209"/>
      <c r="FK25" s="209"/>
      <c r="FL25" s="209"/>
      <c r="FM25" s="209"/>
      <c r="FN25" s="209"/>
      <c r="FO25" s="209"/>
      <c r="FP25" s="209"/>
      <c r="FQ25" s="209"/>
      <c r="FR25" s="209"/>
      <c r="FS25" s="209"/>
      <c r="FT25" s="209"/>
      <c r="FU25" s="209"/>
      <c r="FV25" s="209"/>
      <c r="FW25" s="209"/>
      <c r="FX25" s="209"/>
      <c r="FY25" s="209"/>
      <c r="FZ25" s="209"/>
      <c r="GA25" s="209"/>
      <c r="GB25" s="209"/>
      <c r="GC25" s="209"/>
      <c r="GD25" s="209"/>
      <c r="GE25" s="209"/>
      <c r="GF25" s="209"/>
      <c r="GG25" s="209"/>
      <c r="GH25" s="209"/>
      <c r="GI25" s="209"/>
      <c r="GJ25" s="209"/>
      <c r="GK25" s="209"/>
      <c r="GL25" s="209"/>
      <c r="GM25" s="209"/>
      <c r="GN25" s="209"/>
      <c r="GO25" s="209"/>
      <c r="GP25" s="209"/>
      <c r="GQ25" s="209"/>
      <c r="GR25" s="209"/>
      <c r="GS25" s="209"/>
      <c r="GT25" s="209"/>
      <c r="GU25" s="209"/>
      <c r="GV25" s="209"/>
      <c r="GW25" s="209"/>
      <c r="GX25" s="209"/>
      <c r="GY25" s="209"/>
      <c r="GZ25" s="209"/>
      <c r="HA25" s="209"/>
      <c r="HB25" s="209"/>
      <c r="HC25" s="209"/>
      <c r="HD25" s="209"/>
      <c r="HE25" s="209"/>
      <c r="HF25" s="209"/>
      <c r="HG25" s="209"/>
      <c r="HH25" s="209"/>
      <c r="HI25" s="209"/>
      <c r="HJ25" s="209"/>
      <c r="HK25" s="209"/>
      <c r="HL25" s="209"/>
      <c r="HM25" s="209"/>
      <c r="HN25" s="209"/>
      <c r="HO25" s="209"/>
      <c r="HP25" s="209"/>
      <c r="HQ25" s="209"/>
      <c r="HR25" s="209"/>
      <c r="HS25" s="209"/>
      <c r="HT25" s="209"/>
      <c r="HU25" s="209"/>
      <c r="HV25" s="209"/>
      <c r="HW25" s="209"/>
      <c r="HX25" s="209"/>
      <c r="HY25" s="209"/>
      <c r="HZ25" s="209"/>
      <c r="IA25" s="209"/>
      <c r="IB25" s="209"/>
      <c r="IC25" s="209"/>
      <c r="ID25" s="209"/>
      <c r="IE25" s="209"/>
      <c r="IF25" s="209"/>
      <c r="IG25" s="209"/>
      <c r="IH25" s="209"/>
      <c r="II25" s="209"/>
      <c r="IJ25" s="209"/>
      <c r="IK25" s="209"/>
      <c r="IL25" s="209"/>
      <c r="IM25" s="209"/>
      <c r="IN25" s="209"/>
      <c r="IO25" s="209"/>
      <c r="IP25" s="209"/>
      <c r="IQ25" s="209"/>
      <c r="IR25" s="209"/>
      <c r="IS25" s="209"/>
      <c r="IT25" s="209"/>
      <c r="IU25" s="209"/>
      <c r="IV25" s="209"/>
      <c r="IW25" s="209"/>
      <c r="IX25" s="209"/>
    </row>
    <row r="26" s="209" customFormat="true" ht="17.4" hidden="false" customHeight="false" outlineLevel="0" collapsed="false">
      <c r="A26" s="315"/>
      <c r="B26" s="31"/>
      <c r="C26" s="30"/>
      <c r="D26" s="85" t="s">
        <v>134</v>
      </c>
      <c r="E26" s="217" t="n">
        <f aca="false">E30*$C$29+E34*$C$33+$C$37*E38+$C$41*E42</f>
        <v>-0.0911390481413813</v>
      </c>
      <c r="F26" s="89" t="n">
        <f aca="false">F30*$C$29+F34*$C$33+$C$37*F38+$C$41*F42</f>
        <v>0.0567127605292997</v>
      </c>
      <c r="G26" s="88" t="n">
        <f aca="false">G30*$C$29+G34*$C$33+$C$37*G38+$C$41*G42</f>
        <v>0.302957338293616</v>
      </c>
      <c r="H26" s="89" t="n">
        <f aca="false">H30*$C$29+H34*$C$33+$C$37*H38+$C$41*H42</f>
        <v>0.0214618199469792</v>
      </c>
      <c r="I26" s="89" t="n">
        <f aca="false">I30*$C$29+I34*$C$33+$C$37*I38+$C$41*I42</f>
        <v>0.03</v>
      </c>
      <c r="J26" s="89" t="n">
        <f aca="false">J30*$C$29+J34*$C$33+$C$37*J38+$C$41*J42</f>
        <v>0</v>
      </c>
      <c r="K26" s="89" t="n">
        <f aca="false">K30*$C$29+K34*$C$33+$C$37*K38+$C$41*K42</f>
        <v>0</v>
      </c>
      <c r="L26" s="89" t="n">
        <f aca="false">L30*$C$29+L34*$C$33+$C$37*L38+$C$41*L42</f>
        <v>0.0463899887237018</v>
      </c>
      <c r="M26" s="89" t="n">
        <f aca="false">M30*$C$29+M34*$C$33+$C$37*M38+$C$41*M42</f>
        <v>0</v>
      </c>
      <c r="N26" s="89" t="n">
        <f aca="false">N30*$C$29+N34*$C$33+$C$37*N38+$C$41*N42</f>
        <v>0.05</v>
      </c>
      <c r="O26" s="89" t="n">
        <f aca="false">O30*$C$29+O34*$C$33+$C$37*O38+$C$41*O42</f>
        <v>0</v>
      </c>
      <c r="P26" s="89" t="n">
        <f aca="false">P30*$C$29+P34*$C$33+$C$37*P38+$C$41*P42</f>
        <v>-0.0911390481413813</v>
      </c>
      <c r="Q26" s="89" t="n">
        <f aca="false">Q30*$C$29+Q34*$C$33+$C$37*Q38+$C$41*Q42</f>
        <v>0</v>
      </c>
      <c r="R26" s="89" t="n">
        <f aca="false">R30*$C$29+R34*$C$33+$C$37*R38+$C$41*R42</f>
        <v>0</v>
      </c>
      <c r="S26" s="89" t="n">
        <f aca="false">S30*$C$29+S34*$C$33+$C$37*S38+$C$41*S42</f>
        <v>0.0567127605292997</v>
      </c>
      <c r="T26" s="89" t="n">
        <f aca="false">T30*$C$29+T34*$C$33+$C$37*T38+$C$41*T42</f>
        <v>0.05</v>
      </c>
      <c r="U26" s="89" t="n">
        <f aca="false">U30*$C$29+U34*$C$33+$C$37*U38+$C$41*U42</f>
        <v>0.147135193226921</v>
      </c>
      <c r="V26" s="309"/>
      <c r="W26" s="92"/>
      <c r="Z26" s="30"/>
    </row>
    <row r="27" s="209" customFormat="true" ht="17.4" hidden="false" customHeight="false" outlineLevel="0" collapsed="false">
      <c r="A27" s="315"/>
      <c r="B27" s="31"/>
      <c r="C27" s="93"/>
      <c r="D27" s="85" t="s">
        <v>135</v>
      </c>
      <c r="E27" s="217" t="n">
        <f aca="false">E31*$C$29+E35*$C$33+$C$37*E39+$C$41*E43</f>
        <v>0</v>
      </c>
      <c r="F27" s="89" t="n">
        <f aca="false">F31*$C$29+F35*$C$33+$C$37*F39+$C$41*F43</f>
        <v>2.05492945728006E-005</v>
      </c>
      <c r="G27" s="88" t="n">
        <f aca="false">G31*$C$29+G35*$C$33+$C$37*G39+$C$41*G43</f>
        <v>2.45247578145371E-005</v>
      </c>
      <c r="H27" s="89" t="n">
        <f aca="false">H31*$C$29+H35*$C$33+$C$37*H39+$C$41*H43</f>
        <v>9.38249332670877E-011</v>
      </c>
      <c r="I27" s="89" t="n">
        <f aca="false">I31*$C$29+I35*$C$33+$C$37*I39+$C$41*I43</f>
        <v>0</v>
      </c>
      <c r="J27" s="89" t="n">
        <f aca="false">J31*$C$29+J35*$C$33+$C$37*J39+$C$41*J43</f>
        <v>0</v>
      </c>
      <c r="K27" s="89" t="n">
        <f aca="false">K31*$C$29+K35*$C$33+$C$37*K39+$C$41*K43</f>
        <v>0</v>
      </c>
      <c r="L27" s="89" t="n">
        <f aca="false">L31*$C$29+L35*$C$33+$C$37*L39+$C$41*L43</f>
        <v>2.05492007478674E-005</v>
      </c>
      <c r="M27" s="89" t="n">
        <f aca="false">M31*$C$29+M35*$C$33+$C$37*M39+$C$41*M43</f>
        <v>0</v>
      </c>
      <c r="N27" s="89" t="n">
        <f aca="false">N31*$C$29+N35*$C$33+$C$37*N39+$C$41*N43</f>
        <v>0</v>
      </c>
      <c r="O27" s="89" t="n">
        <f aca="false">O31*$C$29+O35*$C$33+$C$37*O39+$C$41*O43</f>
        <v>0</v>
      </c>
      <c r="P27" s="89" t="n">
        <f aca="false">P31*$C$29+P35*$C$33+$C$37*P39+$C$41*P43</f>
        <v>0</v>
      </c>
      <c r="Q27" s="89" t="n">
        <f aca="false">Q31*$C$29+Q35*$C$33+$C$37*Q39+$C$41*Q43</f>
        <v>0</v>
      </c>
      <c r="R27" s="89" t="n">
        <f aca="false">R31*$C$29+R35*$C$33+$C$37*R39+$C$41*R43</f>
        <v>0</v>
      </c>
      <c r="S27" s="89" t="n">
        <f aca="false">S31*$C$29+S35*$C$33+$C$37*S39+$C$41*S43</f>
        <v>2.05492945728006E-005</v>
      </c>
      <c r="T27" s="89" t="n">
        <f aca="false">T31*$C$29+T35*$C$33+$C$37*T39+$C$41*T43</f>
        <v>0</v>
      </c>
      <c r="U27" s="89" t="n">
        <f aca="false">U31*$C$29+U35*$C$33+$C$37*U39+$C$41*U43</f>
        <v>0</v>
      </c>
      <c r="V27" s="309"/>
      <c r="W27" s="92"/>
      <c r="Z27" s="30"/>
    </row>
    <row r="28" s="209" customFormat="true" ht="17.4" hidden="false" customHeight="false" outlineLevel="0" collapsed="false">
      <c r="A28" s="74"/>
      <c r="B28" s="101"/>
      <c r="C28" s="87"/>
      <c r="D28" s="31" t="s">
        <v>136</v>
      </c>
      <c r="E28" s="217" t="n">
        <f aca="false">E32*$C$29+E36*$C$33+$C$37*E40+$C$41*E44</f>
        <v>0.00015070712790046</v>
      </c>
      <c r="F28" s="89" t="n">
        <f aca="false">F32*$C$29+F36*$C$33+$C$37*F40+$C$41*F44</f>
        <v>0.000268533699877427</v>
      </c>
      <c r="G28" s="88" t="n">
        <f aca="false">G32*$C$29+G36*$C$33+$C$37*G40+$C$41*G44</f>
        <v>0.000320484186510833</v>
      </c>
      <c r="H28" s="89" t="n">
        <f aca="false">H32*$C$29+H36*$C$33+$C$37*H40+$C$41*H44</f>
        <v>0.000116580054893243</v>
      </c>
      <c r="I28" s="89" t="n">
        <f aca="false">I32*$C$29+I36*$C$33+$C$37*I40+$C$41*I44</f>
        <v>0</v>
      </c>
      <c r="J28" s="89" t="n">
        <f aca="false">J32*$C$29+J36*$C$33+$C$37*J40+$C$41*J44</f>
        <v>0.000137006479909509</v>
      </c>
      <c r="K28" s="89" t="n">
        <f aca="false">K32*$C$29+K36*$C$33+$C$37*K40+$C$41*K44</f>
        <v>1.37006479909509E-005</v>
      </c>
      <c r="L28" s="89" t="n">
        <f aca="false">L32*$C$29+L36*$C$33+$C$37*L40+$C$41*L44</f>
        <v>1.24651708372434E-006</v>
      </c>
      <c r="M28" s="89" t="n">
        <f aca="false">M32*$C$29+M36*$C$33+$C$37*M40+$C$41*M44</f>
        <v>0</v>
      </c>
      <c r="N28" s="89" t="n">
        <f aca="false">N32*$C$29+N36*$C$33+$C$37*N40+$C$41*N44</f>
        <v>0</v>
      </c>
      <c r="O28" s="89" t="n">
        <f aca="false">O32*$C$29+O36*$C$33+$C$37*O40+$C$41*O44</f>
        <v>0</v>
      </c>
      <c r="P28" s="89" t="n">
        <f aca="false">P32*$C$29+P36*$C$33+$C$37*P40+$C$41*P44</f>
        <v>0</v>
      </c>
      <c r="Q28" s="89" t="n">
        <f aca="false">Q32*$C$29+Q36*$C$33+$C$37*Q40+$C$41*Q44</f>
        <v>0</v>
      </c>
      <c r="R28" s="89" t="n">
        <f aca="false">R32*$C$29+R36*$C$33+$C$37*R40+$C$41*R44</f>
        <v>0</v>
      </c>
      <c r="S28" s="89" t="n">
        <f aca="false">S32*$C$29+S36*$C$33+$C$37*S40+$C$41*S44</f>
        <v>0.000268533699877427</v>
      </c>
      <c r="T28" s="89" t="n">
        <f aca="false">T32*$C$29+T36*$C$33+$C$37*T40+$C$41*T44</f>
        <v>0</v>
      </c>
      <c r="U28" s="89" t="n">
        <f aca="false">U32*$C$29+U36*$C$33+$C$37*U40+$C$41*U44</f>
        <v>0</v>
      </c>
      <c r="V28" s="309"/>
      <c r="W28" s="92"/>
      <c r="Z28" s="30"/>
    </row>
    <row r="29" s="332" customFormat="true" ht="17.4" hidden="false" customHeight="false" outlineLevel="0" collapsed="false">
      <c r="A29" s="330" t="s">
        <v>137</v>
      </c>
      <c r="B29" s="76" t="s">
        <v>254</v>
      </c>
      <c r="C29" s="97" t="n">
        <f aca="false">'Input data plant-based products'!D77</f>
        <v>0.0558772984840472</v>
      </c>
      <c r="D29" s="78" t="s">
        <v>133</v>
      </c>
      <c r="E29" s="94" t="n">
        <f aca="false">IF($F$1="GWP100 without fb",E30+E31*'Common input data'!$C$5+E32*'Common input data'!$D$5,IF($F$1="GWP100 with fb",E30+E31*'Common input data'!$C$6+E32*'Common input data'!$D$6,IF($F$1="GTP100 without fb",E30+E31*'Common input data'!$C$7+E32*'Common input data'!$D$7,IF($F$1="GTP100 with fb",E30+E31*'Common input data'!$C$8+E32*'Common input data'!$D$8,E30+E31*'Common input data'!$C$9+E32*'Common input data'!$D$9))))</f>
        <v>-0.0740987409640652</v>
      </c>
      <c r="F29" s="95" t="n">
        <f aca="false">IF($F$1="GWP100 without fb",F30+F31*'Common input data'!$C$5+F32*'Common input data'!$D$5,IF($F$1="GWP100 with fb",F30+F31*'Common input data'!$C$6+F32*'Common input data'!$D$6,IF($F$1="GTP100 without fb",F30+F31*'Common input data'!$C$7+F32*'Common input data'!$D$7,IF($F$1="GTP100 with fb",F30+F31*'Common input data'!$C$8+F32*'Common input data'!$D$8,F30+F31*'Common input data'!$C$9+F32*'Common input data'!$D$9))))</f>
        <v>0.109041417080635</v>
      </c>
      <c r="G29" s="96" t="n">
        <f aca="false">IF($F$1="GWP100 without fb",G30+G31*'Common input data'!$C$5+G32*'Common input data'!$D$5,IF($F$1="GWP100 with fb",G30+G31*'Common input data'!$C$6+G32*'Common input data'!$D$6,IF($F$1="GTP100 without fb",G30+G31*'Common input data'!$C$7+G32*'Common input data'!$D$7,IF($F$1="GTP100 with fb",G30+G31*'Common input data'!$C$8+G32*'Common input data'!$D$8,G30+G31*'Common input data'!$C$9+G32*'Common input data'!$D$9))))</f>
        <v>0.225613339396867</v>
      </c>
      <c r="H29" s="83"/>
      <c r="I29" s="83"/>
      <c r="J29" s="83"/>
      <c r="K29" s="83"/>
      <c r="L29" s="83"/>
      <c r="M29" s="83"/>
      <c r="N29" s="83"/>
      <c r="O29" s="83"/>
      <c r="P29" s="83"/>
      <c r="Q29" s="83"/>
      <c r="R29" s="83"/>
      <c r="S29" s="83"/>
      <c r="T29" s="83"/>
      <c r="U29" s="83"/>
      <c r="V29" s="309"/>
      <c r="W29" s="92"/>
      <c r="X29" s="209"/>
      <c r="Y29" s="209"/>
      <c r="Z29" s="30"/>
      <c r="AA29" s="209"/>
      <c r="AB29" s="209"/>
      <c r="AC29" s="209"/>
      <c r="AD29" s="209"/>
      <c r="AE29" s="209"/>
      <c r="AF29" s="209"/>
      <c r="AG29" s="209"/>
      <c r="AH29" s="209"/>
      <c r="AI29" s="209"/>
      <c r="AJ29" s="209"/>
      <c r="AK29" s="209"/>
      <c r="AL29" s="209"/>
      <c r="AM29" s="209"/>
      <c r="AN29" s="209"/>
      <c r="AO29" s="209"/>
      <c r="AP29" s="209"/>
      <c r="AQ29" s="209"/>
      <c r="AR29" s="209"/>
      <c r="AS29" s="209"/>
      <c r="AT29" s="209"/>
      <c r="AU29" s="209"/>
      <c r="AV29" s="209"/>
      <c r="AW29" s="209"/>
      <c r="AX29" s="209"/>
      <c r="AY29" s="209"/>
      <c r="AZ29" s="209"/>
      <c r="BA29" s="209"/>
      <c r="BB29" s="209"/>
      <c r="BC29" s="209"/>
      <c r="BD29" s="209"/>
      <c r="BE29" s="209"/>
      <c r="BF29" s="209"/>
      <c r="BG29" s="209"/>
      <c r="BH29" s="209"/>
      <c r="BI29" s="209"/>
      <c r="BJ29" s="209"/>
      <c r="BK29" s="209"/>
      <c r="BL29" s="209"/>
      <c r="BM29" s="209"/>
      <c r="BN29" s="209"/>
      <c r="BO29" s="209"/>
      <c r="BP29" s="209"/>
      <c r="BQ29" s="209"/>
      <c r="BR29" s="209"/>
      <c r="BS29" s="209"/>
      <c r="BT29" s="209"/>
      <c r="BU29" s="209"/>
      <c r="BV29" s="209"/>
      <c r="BW29" s="209"/>
      <c r="BX29" s="209"/>
      <c r="BY29" s="209"/>
      <c r="BZ29" s="209"/>
      <c r="CA29" s="209"/>
      <c r="CB29" s="209"/>
      <c r="CC29" s="209"/>
      <c r="CD29" s="209"/>
      <c r="CE29" s="209"/>
      <c r="CF29" s="209"/>
      <c r="CG29" s="209"/>
      <c r="CH29" s="209"/>
      <c r="CI29" s="209"/>
      <c r="CJ29" s="209"/>
      <c r="CK29" s="209"/>
      <c r="CL29" s="209"/>
      <c r="CM29" s="209"/>
      <c r="CN29" s="209"/>
      <c r="CO29" s="209"/>
      <c r="CP29" s="209"/>
      <c r="CQ29" s="209"/>
      <c r="CR29" s="209"/>
      <c r="CS29" s="209"/>
      <c r="CT29" s="209"/>
      <c r="CU29" s="209"/>
      <c r="CV29" s="209"/>
      <c r="CW29" s="209"/>
      <c r="CX29" s="209"/>
      <c r="CY29" s="209"/>
      <c r="CZ29" s="209"/>
      <c r="DA29" s="209"/>
      <c r="DB29" s="209"/>
      <c r="DC29" s="209"/>
      <c r="DD29" s="209"/>
      <c r="DE29" s="209"/>
      <c r="DF29" s="209"/>
      <c r="DG29" s="209"/>
      <c r="DH29" s="209"/>
      <c r="DI29" s="209"/>
      <c r="DJ29" s="209"/>
      <c r="DK29" s="209"/>
      <c r="DL29" s="209"/>
      <c r="DM29" s="209"/>
      <c r="DN29" s="209"/>
      <c r="DO29" s="209"/>
      <c r="DP29" s="209"/>
      <c r="DQ29" s="209"/>
      <c r="DR29" s="209"/>
      <c r="DS29" s="209"/>
      <c r="DT29" s="209"/>
      <c r="DU29" s="209"/>
      <c r="DV29" s="209"/>
      <c r="DW29" s="209"/>
      <c r="DX29" s="209"/>
      <c r="DY29" s="209"/>
      <c r="DZ29" s="209"/>
      <c r="EA29" s="209"/>
      <c r="EB29" s="209"/>
      <c r="EC29" s="209"/>
      <c r="ED29" s="209"/>
      <c r="EE29" s="209"/>
      <c r="EF29" s="209"/>
      <c r="EG29" s="209"/>
      <c r="EH29" s="209"/>
      <c r="EI29" s="209"/>
      <c r="EJ29" s="209"/>
      <c r="EK29" s="209"/>
      <c r="EL29" s="209"/>
      <c r="EM29" s="209"/>
      <c r="EN29" s="209"/>
      <c r="EO29" s="209"/>
      <c r="EP29" s="209"/>
      <c r="EQ29" s="209"/>
      <c r="ER29" s="209"/>
      <c r="ES29" s="209"/>
      <c r="ET29" s="209"/>
      <c r="EU29" s="209"/>
      <c r="EV29" s="209"/>
      <c r="EW29" s="209"/>
      <c r="EX29" s="209"/>
      <c r="EY29" s="209"/>
      <c r="EZ29" s="209"/>
      <c r="FA29" s="209"/>
      <c r="FB29" s="209"/>
      <c r="FC29" s="209"/>
      <c r="FD29" s="209"/>
      <c r="FE29" s="209"/>
      <c r="FF29" s="209"/>
      <c r="FG29" s="209"/>
      <c r="FH29" s="209"/>
      <c r="FI29" s="209"/>
      <c r="FJ29" s="209"/>
      <c r="FK29" s="209"/>
      <c r="FL29" s="209"/>
      <c r="FM29" s="209"/>
      <c r="FN29" s="209"/>
      <c r="FO29" s="209"/>
      <c r="FP29" s="209"/>
      <c r="FQ29" s="209"/>
      <c r="FR29" s="209"/>
      <c r="FS29" s="209"/>
      <c r="FT29" s="209"/>
      <c r="FU29" s="209"/>
      <c r="FV29" s="209"/>
      <c r="FW29" s="209"/>
      <c r="FX29" s="209"/>
      <c r="FY29" s="209"/>
      <c r="FZ29" s="209"/>
      <c r="GA29" s="209"/>
      <c r="GB29" s="209"/>
      <c r="GC29" s="209"/>
      <c r="GD29" s="209"/>
      <c r="GE29" s="209"/>
      <c r="GF29" s="209"/>
      <c r="GG29" s="209"/>
      <c r="GH29" s="209"/>
      <c r="GI29" s="209"/>
      <c r="GJ29" s="209"/>
      <c r="GK29" s="209"/>
      <c r="GL29" s="209"/>
      <c r="GM29" s="209"/>
      <c r="GN29" s="209"/>
      <c r="GO29" s="209"/>
      <c r="GP29" s="209"/>
      <c r="GQ29" s="209"/>
      <c r="GR29" s="209"/>
      <c r="GS29" s="209"/>
      <c r="GT29" s="209"/>
      <c r="GU29" s="209"/>
      <c r="GV29" s="209"/>
      <c r="GW29" s="209"/>
      <c r="GX29" s="209"/>
      <c r="GY29" s="209"/>
      <c r="GZ29" s="209"/>
      <c r="HA29" s="209"/>
      <c r="HB29" s="209"/>
      <c r="HC29" s="209"/>
      <c r="HD29" s="209"/>
      <c r="HE29" s="209"/>
      <c r="HF29" s="209"/>
      <c r="HG29" s="209"/>
      <c r="HH29" s="209"/>
      <c r="HI29" s="209"/>
      <c r="HJ29" s="209"/>
      <c r="HK29" s="209"/>
      <c r="HL29" s="209"/>
      <c r="HM29" s="209"/>
      <c r="HN29" s="209"/>
      <c r="HO29" s="209"/>
      <c r="HP29" s="209"/>
      <c r="HQ29" s="209"/>
      <c r="HR29" s="209"/>
      <c r="HS29" s="209"/>
      <c r="HT29" s="209"/>
      <c r="HU29" s="209"/>
      <c r="HV29" s="209"/>
      <c r="HW29" s="209"/>
      <c r="HX29" s="209"/>
      <c r="HY29" s="209"/>
      <c r="HZ29" s="209"/>
      <c r="IA29" s="209"/>
      <c r="IB29" s="209"/>
      <c r="IC29" s="209"/>
      <c r="ID29" s="209"/>
      <c r="IE29" s="209"/>
      <c r="IF29" s="209"/>
      <c r="IG29" s="209"/>
      <c r="IH29" s="209"/>
      <c r="II29" s="209"/>
      <c r="IJ29" s="209"/>
      <c r="IK29" s="209"/>
      <c r="IL29" s="209"/>
      <c r="IM29" s="209"/>
      <c r="IN29" s="209"/>
      <c r="IO29" s="209"/>
      <c r="IP29" s="209"/>
      <c r="IQ29" s="209"/>
      <c r="IR29" s="209"/>
      <c r="IS29" s="209"/>
      <c r="IT29" s="209"/>
      <c r="IU29" s="209"/>
      <c r="IV29" s="209"/>
      <c r="IW29" s="209"/>
      <c r="IX29" s="209"/>
    </row>
    <row r="30" s="209" customFormat="true" ht="17.4" hidden="false" customHeight="false" outlineLevel="0" collapsed="false">
      <c r="A30" s="315"/>
      <c r="B30" s="31"/>
      <c r="C30" s="30"/>
      <c r="D30" s="85" t="s">
        <v>134</v>
      </c>
      <c r="E30" s="217" t="n">
        <f aca="false">IF(AND($F$2="No",$F$3="No"),SUM(J30:K30),IF(AND($F$2="Yes", $F$3="No"), SUM(J30:K30)+Q30, IF(AND($F$2="No", $F$3="Yes"),SUM(J30:K30)+P30, SUM(J30:K30)+Q30+P30)))</f>
        <v>-0.0911390481413813</v>
      </c>
      <c r="F30" s="89" t="n">
        <f aca="false">IF(AND($F$2="No",$F$3="No"),SUM(H30:O30),IF(AND($F$2="Yes", $F$3="No"), SUM(H30:O30)+Q30, IF(AND($F$2="No", $F$3="Yes"),SUM(H30:O30)+P30, SUM(H30:O30)+Q30+P30)))</f>
        <v>0.080041288745249</v>
      </c>
      <c r="G30" s="88" t="n">
        <f aca="false">SUM(S30:U30)/(1-'Common input data'!$B$121)</f>
        <v>0.191002850871523</v>
      </c>
      <c r="H30" s="89" t="n">
        <f aca="false">('Input data plant-based products'!$F$77*('Common input data'!$B$76*'Common input data'!B69+'Common input data'!$B$77*'Common input data'!C69))/'Input data plant-based products'!$E$77</f>
        <v>0.00830143957443176</v>
      </c>
      <c r="I30" s="89" t="n">
        <f aca="false">'Common input data'!$B$81</f>
        <v>0.03</v>
      </c>
      <c r="J30" s="89" t="n">
        <v>0</v>
      </c>
      <c r="K30" s="89" t="n">
        <v>0</v>
      </c>
      <c r="L30" s="89" t="n">
        <f aca="false">('Input data plant-based products'!$I$77*'Common input data'!$C$59*'Common input data'!H49)/'Input data plant-based products'!$E$77</f>
        <v>0.0828788973121985</v>
      </c>
      <c r="M30" s="89" t="n">
        <v>0</v>
      </c>
      <c r="N30" s="89" t="n">
        <f aca="false">'Input data plant-based products'!F$152</f>
        <v>0.05</v>
      </c>
      <c r="O30" s="89" t="n">
        <v>0</v>
      </c>
      <c r="P30" s="89" t="n">
        <f aca="false">'Common input data'!$F$13</f>
        <v>-0.0911390481413813</v>
      </c>
      <c r="Q30" s="89" t="n">
        <v>0</v>
      </c>
      <c r="R30" s="89" t="n">
        <v>0</v>
      </c>
      <c r="S30" s="89" t="n">
        <f aca="false">F30+R30</f>
        <v>0.080041288745249</v>
      </c>
      <c r="T30" s="89" t="n">
        <f aca="false">'Common input data'!$B$88</f>
        <v>0.05</v>
      </c>
      <c r="U30" s="89" t="n">
        <f aca="false">'Common input data'!C98</f>
        <v>0.03</v>
      </c>
      <c r="V30" s="309"/>
      <c r="W30" s="92"/>
      <c r="Z30" s="30"/>
    </row>
    <row r="31" s="209" customFormat="true" ht="17.4" hidden="false" customHeight="false" outlineLevel="0" collapsed="false">
      <c r="A31" s="315"/>
      <c r="B31" s="31"/>
      <c r="C31" s="93"/>
      <c r="D31" s="85" t="s">
        <v>135</v>
      </c>
      <c r="E31" s="217" t="n">
        <f aca="false">SUM(J31:K31)</f>
        <v>0</v>
      </c>
      <c r="F31" s="89" t="n">
        <f aca="false">SUM(H31:O31)</f>
        <v>3.67125790822329E-005</v>
      </c>
      <c r="G31" s="88" t="n">
        <f aca="false">SUM(S31:U31)/(1-'Common input data'!$B$121)</f>
        <v>4.38149887602732E-005</v>
      </c>
      <c r="H31" s="89" t="n">
        <f aca="false">('Input data plant-based products'!$F$77*('Common input data'!$B$76*'Common input data'!B70+'Common input data'!$B$77*'Common input data'!C70))/'Input data plant-based products'!$E$77</f>
        <v>2.22248931771192E-011</v>
      </c>
      <c r="I31" s="89" t="n">
        <v>0</v>
      </c>
      <c r="J31" s="89" t="n">
        <v>0</v>
      </c>
      <c r="K31" s="89" t="n">
        <v>0</v>
      </c>
      <c r="L31" s="89" t="n">
        <f aca="false">('Input data plant-based products'!$I$77*'Common input data'!$C$59*'Common input data'!H50)/'Input data plant-based products'!$E$77</f>
        <v>3.67125568573398E-005</v>
      </c>
      <c r="M31" s="89" t="n">
        <v>0</v>
      </c>
      <c r="N31" s="89" t="n">
        <v>0</v>
      </c>
      <c r="O31" s="89" t="n">
        <v>0</v>
      </c>
      <c r="P31" s="89" t="n">
        <v>0</v>
      </c>
      <c r="Q31" s="89" t="n">
        <v>0</v>
      </c>
      <c r="R31" s="89" t="n">
        <v>0</v>
      </c>
      <c r="S31" s="89" t="n">
        <f aca="false">F31+R31</f>
        <v>3.67125790822329E-005</v>
      </c>
      <c r="T31" s="89" t="n">
        <v>0</v>
      </c>
      <c r="U31" s="89" t="n">
        <v>0</v>
      </c>
      <c r="V31" s="309"/>
      <c r="W31" s="92"/>
      <c r="Z31" s="30"/>
    </row>
    <row r="32" s="209" customFormat="true" ht="17.4" hidden="false" customHeight="false" outlineLevel="0" collapsed="false">
      <c r="A32" s="74"/>
      <c r="B32" s="101"/>
      <c r="C32" s="87"/>
      <c r="D32" s="31" t="s">
        <v>136</v>
      </c>
      <c r="E32" s="217" t="n">
        <f aca="false">SUM(J32:K32)</f>
        <v>5.71822388500542E-005</v>
      </c>
      <c r="F32" s="89" t="n">
        <f aca="false">SUM(H32:O32)</f>
        <v>9.31271833778194E-005</v>
      </c>
      <c r="G32" s="88" t="n">
        <f aca="false">SUM(S32:U32)/(1-'Common input data'!$B$121)</f>
        <v>0.000111143553380856</v>
      </c>
      <c r="H32" s="89" t="n">
        <f aca="false">('Input data plant-based products'!$F$77*('Common input data'!$B$76*'Common input data'!B71+'Common input data'!$B$77*'Common input data'!C71))/'Input data plant-based products'!$E$77</f>
        <v>3.37179562438231E-005</v>
      </c>
      <c r="I32" s="89" t="n">
        <v>0</v>
      </c>
      <c r="J32" s="89" t="n">
        <f aca="false">(SUM('Input data plant-based products'!F77:H77)*'Input data plant-based products'!$B$114*44/28)/'Input data plant-based products'!E77</f>
        <v>5.19838535000492E-005</v>
      </c>
      <c r="K32" s="89" t="n">
        <f aca="false">J32*'Input data plant-based products'!$B$115</f>
        <v>5.19838535000492E-006</v>
      </c>
      <c r="L32" s="89" t="n">
        <f aca="false">('Input data plant-based products'!$I$77*'Common input data'!$C$59*'Common input data'!H51)/'Input data plant-based products'!$E$77</f>
        <v>2.22698828394211E-006</v>
      </c>
      <c r="M32" s="89" t="n">
        <v>0</v>
      </c>
      <c r="N32" s="89" t="n">
        <v>0</v>
      </c>
      <c r="O32" s="89" t="n">
        <v>0</v>
      </c>
      <c r="P32" s="89" t="n">
        <v>0</v>
      </c>
      <c r="Q32" s="89" t="n">
        <v>0</v>
      </c>
      <c r="R32" s="89" t="n">
        <v>0</v>
      </c>
      <c r="S32" s="89" t="n">
        <f aca="false">F32+R32</f>
        <v>9.31271833778194E-005</v>
      </c>
      <c r="T32" s="89" t="n">
        <v>0</v>
      </c>
      <c r="U32" s="89" t="n">
        <v>0</v>
      </c>
      <c r="V32" s="309"/>
      <c r="W32" s="92"/>
      <c r="Z32" s="30"/>
    </row>
    <row r="33" s="332" customFormat="true" ht="17.4" hidden="false" customHeight="false" outlineLevel="0" collapsed="false">
      <c r="A33" s="330" t="s">
        <v>322</v>
      </c>
      <c r="B33" s="76" t="s">
        <v>254</v>
      </c>
      <c r="C33" s="97" t="n">
        <f aca="false">'Input data plant-based products'!D78</f>
        <v>0.230617814663983</v>
      </c>
      <c r="D33" s="78" t="s">
        <v>133</v>
      </c>
      <c r="E33" s="94" t="n">
        <f aca="false">IF($F$1="GWP100 without fb",E34+E35*'Common input data'!$C$5+E36*'Common input data'!$D$5,IF($F$1="GWP100 with fb",E34+E35*'Common input data'!$C$6+E36*'Common input data'!$D$6,IF($F$1="GTP100 without fb",E34+E35*'Common input data'!$C$7+E36*'Common input data'!$D$7,IF($F$1="GTP100 with fb",E34+E35*'Common input data'!$C$8+E36*'Common input data'!$D$8,E34+E35*'Common input data'!$C$9+E36*'Common input data'!$D$9))))</f>
        <v>-0.0848478503746536</v>
      </c>
      <c r="F33" s="95" t="n">
        <f aca="false">IF($F$1="GWP100 without fb",F34+F35*'Common input data'!$C$5+F36*'Common input data'!$D$5,IF($F$1="GWP100 with fb",F34+F35*'Common input data'!$C$6+F36*'Common input data'!$D$6,IF($F$1="GTP100 without fb",F34+F35*'Common input data'!$C$7+F36*'Common input data'!$D$7,IF($F$1="GTP100 with fb",F34+F35*'Common input data'!$C$8+F36*'Common input data'!$D$8,F34+F35*'Common input data'!$C$9+F36*'Common input data'!$D$9))))</f>
        <v>0.0362262292159019</v>
      </c>
      <c r="G33" s="96" t="n">
        <f aca="false">IF($F$1="GWP100 without fb",G34+G35*'Common input data'!$C$5+G36*'Common input data'!$D$5,IF($F$1="GWP100 with fb",G34+G35*'Common input data'!$C$6+G36*'Common input data'!$D$6,IF($F$1="GTP100 without fb",G34+G35*'Common input data'!$C$7+G36*'Common input data'!$D$7,IF($F$1="GTP100 with fb",G34+G35*'Common input data'!$C$8+G36*'Common input data'!$D$8,G34+G35*'Common input data'!$C$9+G36*'Common input data'!$D$9))))</f>
        <v>0.258057320940329</v>
      </c>
      <c r="H33" s="83"/>
      <c r="I33" s="83"/>
      <c r="J33" s="83"/>
      <c r="K33" s="83"/>
      <c r="L33" s="83"/>
      <c r="M33" s="83"/>
      <c r="N33" s="83"/>
      <c r="O33" s="83"/>
      <c r="P33" s="83"/>
      <c r="Q33" s="83"/>
      <c r="R33" s="83"/>
      <c r="S33" s="83"/>
      <c r="T33" s="83"/>
      <c r="U33" s="83"/>
      <c r="V33" s="309"/>
      <c r="W33" s="92"/>
      <c r="X33" s="209"/>
      <c r="Y33" s="209"/>
      <c r="Z33" s="30"/>
      <c r="AA33" s="209"/>
      <c r="AB33" s="209"/>
      <c r="AC33" s="209"/>
      <c r="AD33" s="209"/>
      <c r="AE33" s="209"/>
      <c r="AF33" s="209"/>
      <c r="AG33" s="209"/>
      <c r="AH33" s="209"/>
      <c r="AI33" s="209"/>
      <c r="AJ33" s="209"/>
      <c r="AK33" s="209"/>
      <c r="AL33" s="209"/>
      <c r="AM33" s="209"/>
      <c r="AN33" s="209"/>
      <c r="AO33" s="209"/>
      <c r="AP33" s="209"/>
      <c r="AQ33" s="209"/>
      <c r="AR33" s="209"/>
      <c r="AS33" s="209"/>
      <c r="AT33" s="209"/>
      <c r="AU33" s="209"/>
      <c r="AV33" s="209"/>
      <c r="AW33" s="209"/>
      <c r="AX33" s="209"/>
      <c r="AY33" s="209"/>
      <c r="AZ33" s="209"/>
      <c r="BA33" s="209"/>
      <c r="BB33" s="209"/>
      <c r="BC33" s="209"/>
      <c r="BD33" s="209"/>
      <c r="BE33" s="209"/>
      <c r="BF33" s="209"/>
      <c r="BG33" s="209"/>
      <c r="BH33" s="209"/>
      <c r="BI33" s="209"/>
      <c r="BJ33" s="209"/>
      <c r="BK33" s="209"/>
      <c r="BL33" s="209"/>
      <c r="BM33" s="209"/>
      <c r="BN33" s="209"/>
      <c r="BO33" s="209"/>
      <c r="BP33" s="209"/>
      <c r="BQ33" s="209"/>
      <c r="BR33" s="209"/>
      <c r="BS33" s="209"/>
      <c r="BT33" s="209"/>
      <c r="BU33" s="209"/>
      <c r="BV33" s="209"/>
      <c r="BW33" s="209"/>
      <c r="BX33" s="209"/>
      <c r="BY33" s="209"/>
      <c r="BZ33" s="209"/>
      <c r="CA33" s="209"/>
      <c r="CB33" s="209"/>
      <c r="CC33" s="209"/>
      <c r="CD33" s="209"/>
      <c r="CE33" s="209"/>
      <c r="CF33" s="209"/>
      <c r="CG33" s="209"/>
      <c r="CH33" s="209"/>
      <c r="CI33" s="209"/>
      <c r="CJ33" s="209"/>
      <c r="CK33" s="209"/>
      <c r="CL33" s="209"/>
      <c r="CM33" s="209"/>
      <c r="CN33" s="209"/>
      <c r="CO33" s="209"/>
      <c r="CP33" s="209"/>
      <c r="CQ33" s="209"/>
      <c r="CR33" s="209"/>
      <c r="CS33" s="209"/>
      <c r="CT33" s="209"/>
      <c r="CU33" s="209"/>
      <c r="CV33" s="209"/>
      <c r="CW33" s="209"/>
      <c r="CX33" s="209"/>
      <c r="CY33" s="209"/>
      <c r="CZ33" s="209"/>
      <c r="DA33" s="209"/>
      <c r="DB33" s="209"/>
      <c r="DC33" s="209"/>
      <c r="DD33" s="209"/>
      <c r="DE33" s="209"/>
      <c r="DF33" s="209"/>
      <c r="DG33" s="209"/>
      <c r="DH33" s="209"/>
      <c r="DI33" s="209"/>
      <c r="DJ33" s="209"/>
      <c r="DK33" s="209"/>
      <c r="DL33" s="209"/>
      <c r="DM33" s="209"/>
      <c r="DN33" s="209"/>
      <c r="DO33" s="209"/>
      <c r="DP33" s="209"/>
      <c r="DQ33" s="209"/>
      <c r="DR33" s="209"/>
      <c r="DS33" s="209"/>
      <c r="DT33" s="209"/>
      <c r="DU33" s="209"/>
      <c r="DV33" s="209"/>
      <c r="DW33" s="209"/>
      <c r="DX33" s="209"/>
      <c r="DY33" s="209"/>
      <c r="DZ33" s="209"/>
      <c r="EA33" s="209"/>
      <c r="EB33" s="209"/>
      <c r="EC33" s="209"/>
      <c r="ED33" s="209"/>
      <c r="EE33" s="209"/>
      <c r="EF33" s="209"/>
      <c r="EG33" s="209"/>
      <c r="EH33" s="209"/>
      <c r="EI33" s="209"/>
      <c r="EJ33" s="209"/>
      <c r="EK33" s="209"/>
      <c r="EL33" s="209"/>
      <c r="EM33" s="209"/>
      <c r="EN33" s="209"/>
      <c r="EO33" s="209"/>
      <c r="EP33" s="209"/>
      <c r="EQ33" s="209"/>
      <c r="ER33" s="209"/>
      <c r="ES33" s="209"/>
      <c r="ET33" s="209"/>
      <c r="EU33" s="209"/>
      <c r="EV33" s="209"/>
      <c r="EW33" s="209"/>
      <c r="EX33" s="209"/>
      <c r="EY33" s="209"/>
      <c r="EZ33" s="209"/>
      <c r="FA33" s="209"/>
      <c r="FB33" s="209"/>
      <c r="FC33" s="209"/>
      <c r="FD33" s="209"/>
      <c r="FE33" s="209"/>
      <c r="FF33" s="209"/>
      <c r="FG33" s="209"/>
      <c r="FH33" s="209"/>
      <c r="FI33" s="209"/>
      <c r="FJ33" s="209"/>
      <c r="FK33" s="209"/>
      <c r="FL33" s="209"/>
      <c r="FM33" s="209"/>
      <c r="FN33" s="209"/>
      <c r="FO33" s="209"/>
      <c r="FP33" s="209"/>
      <c r="FQ33" s="209"/>
      <c r="FR33" s="209"/>
      <c r="FS33" s="209"/>
      <c r="FT33" s="209"/>
      <c r="FU33" s="209"/>
      <c r="FV33" s="209"/>
      <c r="FW33" s="209"/>
      <c r="FX33" s="209"/>
      <c r="FY33" s="209"/>
      <c r="FZ33" s="209"/>
      <c r="GA33" s="209"/>
      <c r="GB33" s="209"/>
      <c r="GC33" s="209"/>
      <c r="GD33" s="209"/>
      <c r="GE33" s="209"/>
      <c r="GF33" s="209"/>
      <c r="GG33" s="209"/>
      <c r="GH33" s="209"/>
      <c r="GI33" s="209"/>
      <c r="GJ33" s="209"/>
      <c r="GK33" s="209"/>
      <c r="GL33" s="209"/>
      <c r="GM33" s="209"/>
      <c r="GN33" s="209"/>
      <c r="GO33" s="209"/>
      <c r="GP33" s="209"/>
      <c r="GQ33" s="209"/>
      <c r="GR33" s="209"/>
      <c r="GS33" s="209"/>
      <c r="GT33" s="209"/>
      <c r="GU33" s="209"/>
      <c r="GV33" s="209"/>
      <c r="GW33" s="209"/>
      <c r="GX33" s="209"/>
      <c r="GY33" s="209"/>
      <c r="GZ33" s="209"/>
      <c r="HA33" s="209"/>
      <c r="HB33" s="209"/>
      <c r="HC33" s="209"/>
      <c r="HD33" s="209"/>
      <c r="HE33" s="209"/>
      <c r="HF33" s="209"/>
      <c r="HG33" s="209"/>
      <c r="HH33" s="209"/>
      <c r="HI33" s="209"/>
      <c r="HJ33" s="209"/>
      <c r="HK33" s="209"/>
      <c r="HL33" s="209"/>
      <c r="HM33" s="209"/>
      <c r="HN33" s="209"/>
      <c r="HO33" s="209"/>
      <c r="HP33" s="209"/>
      <c r="HQ33" s="209"/>
      <c r="HR33" s="209"/>
      <c r="HS33" s="209"/>
      <c r="HT33" s="209"/>
      <c r="HU33" s="209"/>
      <c r="HV33" s="209"/>
      <c r="HW33" s="209"/>
      <c r="HX33" s="209"/>
      <c r="HY33" s="209"/>
      <c r="HZ33" s="209"/>
      <c r="IA33" s="209"/>
      <c r="IB33" s="209"/>
      <c r="IC33" s="209"/>
      <c r="ID33" s="209"/>
      <c r="IE33" s="209"/>
      <c r="IF33" s="209"/>
      <c r="IG33" s="209"/>
      <c r="IH33" s="209"/>
      <c r="II33" s="209"/>
      <c r="IJ33" s="209"/>
      <c r="IK33" s="209"/>
      <c r="IL33" s="209"/>
      <c r="IM33" s="209"/>
      <c r="IN33" s="209"/>
      <c r="IO33" s="209"/>
      <c r="IP33" s="209"/>
      <c r="IQ33" s="209"/>
      <c r="IR33" s="209"/>
      <c r="IS33" s="209"/>
      <c r="IT33" s="209"/>
      <c r="IU33" s="209"/>
      <c r="IV33" s="209"/>
      <c r="IW33" s="209"/>
      <c r="IX33" s="209"/>
    </row>
    <row r="34" s="209" customFormat="true" ht="17.4" hidden="false" customHeight="false" outlineLevel="0" collapsed="false">
      <c r="A34" s="315"/>
      <c r="B34" s="31"/>
      <c r="C34" s="30"/>
      <c r="D34" s="85" t="s">
        <v>134</v>
      </c>
      <c r="E34" s="217" t="n">
        <f aca="false">IF(AND($F$2="No",$F$3="No"),SUM(J34:K34),IF(AND($F$2="Yes", $F$3="No"), SUM(J34:K34)+Q34, IF(AND($F$2="No", $F$3="Yes"),SUM(J34:K34)+P34, SUM(J34:K34)+Q34+P34)))</f>
        <v>-0.0911390481413813</v>
      </c>
      <c r="F34" s="89" t="n">
        <f aca="false">IF(AND($F$2="No",$F$3="No"),SUM(H34:O34),IF(AND($F$2="Yes", $F$3="No"), SUM(H34:O34)+Q34, IF(AND($F$2="No", $F$3="Yes"),SUM(H34:O34)+P34, SUM(H34:O34)+Q34+P34)))</f>
        <v>0.0258467045182856</v>
      </c>
      <c r="G34" s="88" t="n">
        <f aca="false">SUM(S34:U34)/(1-'Common input data'!$B$121)</f>
        <v>0.245669775054643</v>
      </c>
      <c r="H34" s="89" t="n">
        <f aca="false">('Input data plant-based products'!$F$78*('Common input data'!$C$76*'Common input data'!B69+'Common input data'!$C$77*'Common input data'!C69))/'Input data plant-based products'!$E$78</f>
        <v>0.0020160588622317</v>
      </c>
      <c r="I34" s="89" t="n">
        <f aca="false">'Common input data'!$B$81</f>
        <v>0.03</v>
      </c>
      <c r="J34" s="89" t="n">
        <v>0</v>
      </c>
      <c r="K34" s="89" t="n">
        <v>0</v>
      </c>
      <c r="L34" s="89" t="n">
        <f aca="false">('Input data plant-based products'!$I$78*'Common input data'!$C$59*'Common input data'!H49)/'Input data plant-based products'!$E$78</f>
        <v>0.0349696937974352</v>
      </c>
      <c r="M34" s="89" t="n">
        <v>0</v>
      </c>
      <c r="N34" s="89" t="n">
        <f aca="false">'Input data plant-based products'!F$152</f>
        <v>0.05</v>
      </c>
      <c r="O34" s="89" t="n">
        <v>0</v>
      </c>
      <c r="P34" s="89" t="n">
        <f aca="false">'Common input data'!$F$13</f>
        <v>-0.0911390481413813</v>
      </c>
      <c r="Q34" s="89" t="n">
        <v>0</v>
      </c>
      <c r="R34" s="89" t="n">
        <v>0</v>
      </c>
      <c r="S34" s="89" t="n">
        <f aca="false">F34+R34</f>
        <v>0.0258467045182856</v>
      </c>
      <c r="T34" s="89" t="n">
        <f aca="false">'Common input data'!$B$88</f>
        <v>0.05</v>
      </c>
      <c r="U34" s="89" t="n">
        <f aca="false">'Common input data'!B99+'Common input data'!C99</f>
        <v>0.13</v>
      </c>
      <c r="V34" s="309"/>
      <c r="W34" s="92"/>
      <c r="Z34" s="30"/>
    </row>
    <row r="35" s="209" customFormat="true" ht="17.4" hidden="false" customHeight="false" outlineLevel="0" collapsed="false">
      <c r="A35" s="315"/>
      <c r="B35" s="31"/>
      <c r="C35" s="93"/>
      <c r="D35" s="85" t="s">
        <v>135</v>
      </c>
      <c r="E35" s="217" t="n">
        <f aca="false">SUM(J35:K35)</f>
        <v>0</v>
      </c>
      <c r="F35" s="89" t="n">
        <f aca="false">SUM(H35:O35)</f>
        <v>1.54904040736049E-005</v>
      </c>
      <c r="G35" s="88" t="n">
        <f aca="false">SUM(S35:U35)/(1-'Common input data'!$B$121)</f>
        <v>1.84871751684031E-005</v>
      </c>
      <c r="H35" s="89" t="n">
        <f aca="false">('Input data plant-based products'!$F$78*('Common input data'!$C$76*'Common input data'!B70+'Common input data'!$C$77*'Common input data'!C70))/'Input data plant-based products'!$E$78</f>
        <v>8.88909825816395E-012</v>
      </c>
      <c r="I35" s="89" t="n">
        <v>0</v>
      </c>
      <c r="J35" s="89" t="n">
        <v>0</v>
      </c>
      <c r="K35" s="89" t="n">
        <v>0</v>
      </c>
      <c r="L35" s="89" t="n">
        <f aca="false">('Input data plant-based products'!$I$78*'Common input data'!$C$59*'Common input data'!H50)/'Input data plant-based products'!$E$78</f>
        <v>1.54903951845067E-005</v>
      </c>
      <c r="M35" s="89" t="n">
        <v>0</v>
      </c>
      <c r="N35" s="89" t="n">
        <v>0</v>
      </c>
      <c r="O35" s="89" t="n">
        <v>0</v>
      </c>
      <c r="P35" s="89" t="n">
        <v>0</v>
      </c>
      <c r="Q35" s="89" t="n">
        <v>0</v>
      </c>
      <c r="R35" s="89" t="n">
        <v>0</v>
      </c>
      <c r="S35" s="89" t="n">
        <f aca="false">F35+R35</f>
        <v>1.54904040736049E-005</v>
      </c>
      <c r="T35" s="89" t="n">
        <v>0</v>
      </c>
      <c r="U35" s="89" t="n">
        <v>0</v>
      </c>
      <c r="V35" s="309"/>
      <c r="W35" s="92"/>
      <c r="Z35" s="30"/>
    </row>
    <row r="36" s="209" customFormat="true" ht="17.4" hidden="false" customHeight="false" outlineLevel="0" collapsed="false">
      <c r="A36" s="74"/>
      <c r="B36" s="101"/>
      <c r="C36" s="87"/>
      <c r="D36" s="31" t="s">
        <v>136</v>
      </c>
      <c r="E36" s="217" t="n">
        <f aca="false">SUM(J36:K36)</f>
        <v>2.11114019017709E-005</v>
      </c>
      <c r="F36" s="89" t="n">
        <f aca="false">SUM(H36:O36)</f>
        <v>3.30632582520593E-005</v>
      </c>
      <c r="G36" s="88" t="n">
        <f aca="false">SUM(S36:U36)/(1-'Common input data'!$B$121)</f>
        <v>3.94596709059068E-005</v>
      </c>
      <c r="H36" s="89" t="n">
        <f aca="false">('Input data plant-based products'!$F$78*('Common input data'!$C$76*'Common input data'!B71+'Common input data'!$C$77*'Common input data'!C71))/'Input data plant-based products'!$E$78</f>
        <v>1.10122070438241E-005</v>
      </c>
      <c r="I36" s="89" t="n">
        <v>0</v>
      </c>
      <c r="J36" s="89" t="n">
        <f aca="false">(SUM('Input data plant-based products'!F78:H78)*'Input data plant-based products'!$B$114*44/28)/'Input data plant-based products'!E78</f>
        <v>1.91921835470645E-005</v>
      </c>
      <c r="K36" s="89" t="n">
        <f aca="false">J36*'Input data plant-based products'!$B$115</f>
        <v>1.91921835470645E-006</v>
      </c>
      <c r="L36" s="89" t="n">
        <f aca="false">('Input data plant-based products'!$I$78*'Common input data'!$C$59*'Common input data'!H51)/'Input data plant-based products'!$E$78</f>
        <v>9.39649306464277E-007</v>
      </c>
      <c r="M36" s="89" t="n">
        <v>0</v>
      </c>
      <c r="N36" s="89" t="n">
        <v>0</v>
      </c>
      <c r="O36" s="89" t="n">
        <v>0</v>
      </c>
      <c r="P36" s="89" t="n">
        <v>0</v>
      </c>
      <c r="Q36" s="89" t="n">
        <v>0</v>
      </c>
      <c r="R36" s="89" t="n">
        <v>0</v>
      </c>
      <c r="S36" s="89" t="n">
        <f aca="false">F36+R36</f>
        <v>3.30632582520593E-005</v>
      </c>
      <c r="T36" s="89" t="n">
        <v>0</v>
      </c>
      <c r="U36" s="89" t="n">
        <v>0</v>
      </c>
      <c r="V36" s="309"/>
      <c r="W36" s="92"/>
      <c r="Z36" s="30"/>
    </row>
    <row r="37" s="332" customFormat="true" ht="17.4" hidden="false" customHeight="false" outlineLevel="0" collapsed="false">
      <c r="A37" s="330" t="s">
        <v>187</v>
      </c>
      <c r="B37" s="76" t="s">
        <v>254</v>
      </c>
      <c r="C37" s="97" t="n">
        <f aca="false">'Input data plant-based products'!D79</f>
        <v>0.486275656098712</v>
      </c>
      <c r="D37" s="78" t="s">
        <v>133</v>
      </c>
      <c r="E37" s="94" t="n">
        <f aca="false">IF($F$1="GWP100 without fb",E38+E39*'Common input data'!$C$5+E40*'Common input data'!$D$5,IF($F$1="GWP100 with fb",E38+E39*'Common input data'!$C$6+E40*'Common input data'!$D$6,IF($F$1="GTP100 without fb",E38+E39*'Common input data'!$C$7+E40*'Common input data'!$D$7,IF($F$1="GTP100 with fb",E38+E39*'Common input data'!$C$8+E40*'Common input data'!$D$8,E38+E39*'Common input data'!$C$9+E40*'Common input data'!$D$9))))</f>
        <v>-0.0316039436117646</v>
      </c>
      <c r="F37" s="95" t="n">
        <f aca="false">IF($F$1="GWP100 without fb",F38+F39*'Common input data'!$C$5+F40*'Common input data'!$D$5,IF($F$1="GWP100 with fb",F38+F39*'Common input data'!$C$6+F40*'Common input data'!$D$6,IF($F$1="GTP100 without fb",F38+F39*'Common input data'!$C$7+F40*'Common input data'!$D$7,IF($F$1="GTP100 with fb",F38+F39*'Common input data'!$C$8+F40*'Common input data'!$D$8,F38+F39*'Common input data'!$C$9+F40*'Common input data'!$D$9))))</f>
        <v>0.158042521689285</v>
      </c>
      <c r="G37" s="96" t="n">
        <f aca="false">IF($F$1="GWP100 without fb",G38+G39*'Common input data'!$C$5+G40*'Common input data'!$D$5,IF($F$1="GWP100 with fb",G38+G39*'Common input data'!$C$6+G40*'Common input data'!$D$6,IF($F$1="GTP100 without fb",G38+G39*'Common input data'!$C$7+G40*'Common input data'!$D$7,IF($F$1="GTP100 with fb",G38+G39*'Common input data'!$C$8+G40*'Common input data'!$D$8,G38+G39*'Common input data'!$C$9+G40*'Common input data'!$D$9))))</f>
        <v>0.403440173874311</v>
      </c>
      <c r="H37" s="83"/>
      <c r="I37" s="83"/>
      <c r="J37" s="83"/>
      <c r="K37" s="83"/>
      <c r="L37" s="83"/>
      <c r="M37" s="83"/>
      <c r="N37" s="83"/>
      <c r="O37" s="83"/>
      <c r="P37" s="83"/>
      <c r="Q37" s="83"/>
      <c r="R37" s="83"/>
      <c r="S37" s="83"/>
      <c r="T37" s="83"/>
      <c r="U37" s="83"/>
      <c r="V37" s="309"/>
      <c r="W37" s="92"/>
      <c r="X37" s="209"/>
      <c r="Y37" s="209"/>
      <c r="Z37" s="30"/>
      <c r="AA37" s="209"/>
      <c r="AB37" s="209"/>
      <c r="AC37" s="209"/>
      <c r="AD37" s="209"/>
      <c r="AE37" s="209"/>
      <c r="AF37" s="209"/>
      <c r="AG37" s="209"/>
      <c r="AH37" s="209"/>
      <c r="AI37" s="209"/>
      <c r="AJ37" s="209"/>
      <c r="AK37" s="209"/>
      <c r="AL37" s="209"/>
      <c r="AM37" s="209"/>
      <c r="AN37" s="209"/>
      <c r="AO37" s="209"/>
      <c r="AP37" s="209"/>
      <c r="AQ37" s="209"/>
      <c r="AR37" s="209"/>
      <c r="AS37" s="209"/>
      <c r="AT37" s="209"/>
      <c r="AU37" s="209"/>
      <c r="AV37" s="209"/>
      <c r="AW37" s="209"/>
      <c r="AX37" s="209"/>
      <c r="AY37" s="209"/>
      <c r="AZ37" s="209"/>
      <c r="BA37" s="209"/>
      <c r="BB37" s="209"/>
      <c r="BC37" s="209"/>
      <c r="BD37" s="209"/>
      <c r="BE37" s="209"/>
      <c r="BF37" s="209"/>
      <c r="BG37" s="209"/>
      <c r="BH37" s="209"/>
      <c r="BI37" s="209"/>
      <c r="BJ37" s="209"/>
      <c r="BK37" s="209"/>
      <c r="BL37" s="209"/>
      <c r="BM37" s="209"/>
      <c r="BN37" s="209"/>
      <c r="BO37" s="209"/>
      <c r="BP37" s="209"/>
      <c r="BQ37" s="209"/>
      <c r="BR37" s="209"/>
      <c r="BS37" s="209"/>
      <c r="BT37" s="209"/>
      <c r="BU37" s="209"/>
      <c r="BV37" s="209"/>
      <c r="BW37" s="209"/>
      <c r="BX37" s="209"/>
      <c r="BY37" s="209"/>
      <c r="BZ37" s="209"/>
      <c r="CA37" s="209"/>
      <c r="CB37" s="209"/>
      <c r="CC37" s="209"/>
      <c r="CD37" s="209"/>
      <c r="CE37" s="209"/>
      <c r="CF37" s="209"/>
      <c r="CG37" s="209"/>
      <c r="CH37" s="209"/>
      <c r="CI37" s="209"/>
      <c r="CJ37" s="209"/>
      <c r="CK37" s="209"/>
      <c r="CL37" s="209"/>
      <c r="CM37" s="209"/>
      <c r="CN37" s="209"/>
      <c r="CO37" s="209"/>
      <c r="CP37" s="209"/>
      <c r="CQ37" s="209"/>
      <c r="CR37" s="209"/>
      <c r="CS37" s="209"/>
      <c r="CT37" s="209"/>
      <c r="CU37" s="209"/>
      <c r="CV37" s="209"/>
      <c r="CW37" s="209"/>
      <c r="CX37" s="209"/>
      <c r="CY37" s="209"/>
      <c r="CZ37" s="209"/>
      <c r="DA37" s="209"/>
      <c r="DB37" s="209"/>
      <c r="DC37" s="209"/>
      <c r="DD37" s="209"/>
      <c r="DE37" s="209"/>
      <c r="DF37" s="209"/>
      <c r="DG37" s="209"/>
      <c r="DH37" s="209"/>
      <c r="DI37" s="209"/>
      <c r="DJ37" s="209"/>
      <c r="DK37" s="209"/>
      <c r="DL37" s="209"/>
      <c r="DM37" s="209"/>
      <c r="DN37" s="209"/>
      <c r="DO37" s="209"/>
      <c r="DP37" s="209"/>
      <c r="DQ37" s="209"/>
      <c r="DR37" s="209"/>
      <c r="DS37" s="209"/>
      <c r="DT37" s="209"/>
      <c r="DU37" s="209"/>
      <c r="DV37" s="209"/>
      <c r="DW37" s="209"/>
      <c r="DX37" s="209"/>
      <c r="DY37" s="209"/>
      <c r="DZ37" s="209"/>
      <c r="EA37" s="209"/>
      <c r="EB37" s="209"/>
      <c r="EC37" s="209"/>
      <c r="ED37" s="209"/>
      <c r="EE37" s="209"/>
      <c r="EF37" s="209"/>
      <c r="EG37" s="209"/>
      <c r="EH37" s="209"/>
      <c r="EI37" s="209"/>
      <c r="EJ37" s="209"/>
      <c r="EK37" s="209"/>
      <c r="EL37" s="209"/>
      <c r="EM37" s="209"/>
      <c r="EN37" s="209"/>
      <c r="EO37" s="209"/>
      <c r="EP37" s="209"/>
      <c r="EQ37" s="209"/>
      <c r="ER37" s="209"/>
      <c r="ES37" s="209"/>
      <c r="ET37" s="209"/>
      <c r="EU37" s="209"/>
      <c r="EV37" s="209"/>
      <c r="EW37" s="209"/>
      <c r="EX37" s="209"/>
      <c r="EY37" s="209"/>
      <c r="EZ37" s="209"/>
      <c r="FA37" s="209"/>
      <c r="FB37" s="209"/>
      <c r="FC37" s="209"/>
      <c r="FD37" s="209"/>
      <c r="FE37" s="209"/>
      <c r="FF37" s="209"/>
      <c r="FG37" s="209"/>
      <c r="FH37" s="209"/>
      <c r="FI37" s="209"/>
      <c r="FJ37" s="209"/>
      <c r="FK37" s="209"/>
      <c r="FL37" s="209"/>
      <c r="FM37" s="209"/>
      <c r="FN37" s="209"/>
      <c r="FO37" s="209"/>
      <c r="FP37" s="209"/>
      <c r="FQ37" s="209"/>
      <c r="FR37" s="209"/>
      <c r="FS37" s="209"/>
      <c r="FT37" s="209"/>
      <c r="FU37" s="209"/>
      <c r="FV37" s="209"/>
      <c r="FW37" s="209"/>
      <c r="FX37" s="209"/>
      <c r="FY37" s="209"/>
      <c r="FZ37" s="209"/>
      <c r="GA37" s="209"/>
      <c r="GB37" s="209"/>
      <c r="GC37" s="209"/>
      <c r="GD37" s="209"/>
      <c r="GE37" s="209"/>
      <c r="GF37" s="209"/>
      <c r="GG37" s="209"/>
      <c r="GH37" s="209"/>
      <c r="GI37" s="209"/>
      <c r="GJ37" s="209"/>
      <c r="GK37" s="209"/>
      <c r="GL37" s="209"/>
      <c r="GM37" s="209"/>
      <c r="GN37" s="209"/>
      <c r="GO37" s="209"/>
      <c r="GP37" s="209"/>
      <c r="GQ37" s="209"/>
      <c r="GR37" s="209"/>
      <c r="GS37" s="209"/>
      <c r="GT37" s="209"/>
      <c r="GU37" s="209"/>
      <c r="GV37" s="209"/>
      <c r="GW37" s="209"/>
      <c r="GX37" s="209"/>
      <c r="GY37" s="209"/>
      <c r="GZ37" s="209"/>
      <c r="HA37" s="209"/>
      <c r="HB37" s="209"/>
      <c r="HC37" s="209"/>
      <c r="HD37" s="209"/>
      <c r="HE37" s="209"/>
      <c r="HF37" s="209"/>
      <c r="HG37" s="209"/>
      <c r="HH37" s="209"/>
      <c r="HI37" s="209"/>
      <c r="HJ37" s="209"/>
      <c r="HK37" s="209"/>
      <c r="HL37" s="209"/>
      <c r="HM37" s="209"/>
      <c r="HN37" s="209"/>
      <c r="HO37" s="209"/>
      <c r="HP37" s="209"/>
      <c r="HQ37" s="209"/>
      <c r="HR37" s="209"/>
      <c r="HS37" s="209"/>
      <c r="HT37" s="209"/>
      <c r="HU37" s="209"/>
      <c r="HV37" s="209"/>
      <c r="HW37" s="209"/>
      <c r="HX37" s="209"/>
      <c r="HY37" s="209"/>
      <c r="HZ37" s="209"/>
      <c r="IA37" s="209"/>
      <c r="IB37" s="209"/>
      <c r="IC37" s="209"/>
      <c r="ID37" s="209"/>
      <c r="IE37" s="209"/>
      <c r="IF37" s="209"/>
      <c r="IG37" s="209"/>
      <c r="IH37" s="209"/>
      <c r="II37" s="209"/>
      <c r="IJ37" s="209"/>
      <c r="IK37" s="209"/>
      <c r="IL37" s="209"/>
      <c r="IM37" s="209"/>
      <c r="IN37" s="209"/>
      <c r="IO37" s="209"/>
      <c r="IP37" s="209"/>
      <c r="IQ37" s="209"/>
      <c r="IR37" s="209"/>
      <c r="IS37" s="209"/>
      <c r="IT37" s="209"/>
      <c r="IU37" s="209"/>
      <c r="IV37" s="209"/>
      <c r="IW37" s="209"/>
      <c r="IX37" s="209"/>
    </row>
    <row r="38" s="209" customFormat="true" ht="17.4" hidden="false" customHeight="false" outlineLevel="0" collapsed="false">
      <c r="A38" s="74"/>
      <c r="B38" s="31"/>
      <c r="C38" s="30"/>
      <c r="D38" s="85" t="s">
        <v>134</v>
      </c>
      <c r="E38" s="217" t="n">
        <f aca="false">IF(AND($F$2="No",$F$3="No"),SUM(J38:K38),IF(AND($F$2="Yes", $F$3="No"), SUM(J38:K38)+Q38, IF(AND($F$2="No", $F$3="Yes"),SUM(J38:K38)+P38, SUM(J38:K38)+Q38+P38)))</f>
        <v>-0.0911390481413813</v>
      </c>
      <c r="F38" s="89" t="n">
        <f aca="false">IF(AND($F$2="No",$F$3="No"),SUM(H38:O38),IF(AND($F$2="Yes", $F$3="No"), SUM(H38:O38)+Q38, IF(AND($F$2="No", $F$3="Yes"),SUM(H38:O38)+P38, SUM(H38:O38)+Q38+P38)))</f>
        <v>0.0509413281111432</v>
      </c>
      <c r="G38" s="88" t="n">
        <f aca="false">SUM(S38:U38)/(1-'Common input data'!$B$121)</f>
        <v>0.275619200514552</v>
      </c>
      <c r="H38" s="87" t="n">
        <f aca="false">('Input data plant-based products'!$F$79*('Common input data'!$C$76*'Common input data'!B69+'Common input data'!$C$77*'Common input data'!C69))/'Input data plant-based products'!$E$79</f>
        <v>0.0287496445452074</v>
      </c>
      <c r="I38" s="89" t="n">
        <f aca="false">'Common input data'!$B$81</f>
        <v>0.03</v>
      </c>
      <c r="J38" s="87" t="n">
        <v>0</v>
      </c>
      <c r="K38" s="89" t="n">
        <v>0</v>
      </c>
      <c r="L38" s="87" t="n">
        <f aca="false">('Input data plant-based products'!$I$79*'Common input data'!$C$59*'Common input data'!H49)/'Input data plant-based products'!$E$79</f>
        <v>0.0333307317073171</v>
      </c>
      <c r="M38" s="89" t="n">
        <v>0</v>
      </c>
      <c r="N38" s="89" t="n">
        <f aca="false">'Input data plant-based products'!F$152</f>
        <v>0.05</v>
      </c>
      <c r="O38" s="89" t="n">
        <v>0</v>
      </c>
      <c r="P38" s="89" t="n">
        <f aca="false">'Common input data'!$F$13</f>
        <v>-0.0911390481413813</v>
      </c>
      <c r="Q38" s="89" t="n">
        <v>0</v>
      </c>
      <c r="R38" s="89" t="n">
        <v>0</v>
      </c>
      <c r="S38" s="89" t="n">
        <f aca="false">F38+R38</f>
        <v>0.0509413281111432</v>
      </c>
      <c r="T38" s="89" t="n">
        <f aca="false">'Common input data'!$B$88</f>
        <v>0.05</v>
      </c>
      <c r="U38" s="89" t="n">
        <f aca="false">'Common input data'!B99+'Common input data'!C99</f>
        <v>0.13</v>
      </c>
      <c r="V38" s="309"/>
      <c r="W38" s="92"/>
      <c r="Z38" s="30"/>
    </row>
    <row r="39" s="209" customFormat="true" ht="17.4" hidden="false" customHeight="false" outlineLevel="0" collapsed="false">
      <c r="A39" s="74"/>
      <c r="B39" s="31"/>
      <c r="C39" s="93"/>
      <c r="D39" s="85" t="s">
        <v>135</v>
      </c>
      <c r="E39" s="217" t="n">
        <f aca="false">SUM(J39:K39)</f>
        <v>0</v>
      </c>
      <c r="F39" s="89" t="n">
        <f aca="false">SUM(H39:O39)</f>
        <v>1.47645170052883E-005</v>
      </c>
      <c r="G39" s="88" t="n">
        <f aca="false">SUM(S39:U39)/(1-'Common input data'!$B$121)</f>
        <v>1.76208581039363E-005</v>
      </c>
      <c r="H39" s="87" t="n">
        <f aca="false">('Input data plant-based products'!$F$79*('Common input data'!$C$76*'Common input data'!B70+'Common input data'!$C$77*'Common input data'!C70))/'Input data plant-based products'!$E$79</f>
        <v>1.26761385809313E-010</v>
      </c>
      <c r="I39" s="89" t="n">
        <v>0</v>
      </c>
      <c r="J39" s="87" t="n">
        <v>0</v>
      </c>
      <c r="K39" s="89" t="n">
        <v>0</v>
      </c>
      <c r="L39" s="87" t="n">
        <f aca="false">('Input data plant-based products'!$I$79*'Common input data'!$C$59*'Common input data'!H50)/'Input data plant-based products'!$E$79</f>
        <v>1.47643902439024E-005</v>
      </c>
      <c r="M39" s="89" t="n">
        <v>0</v>
      </c>
      <c r="N39" s="89" t="n">
        <v>0</v>
      </c>
      <c r="O39" s="89" t="n">
        <v>0</v>
      </c>
      <c r="P39" s="89" t="n">
        <v>0</v>
      </c>
      <c r="Q39" s="89" t="n">
        <v>0</v>
      </c>
      <c r="R39" s="89" t="n">
        <v>0</v>
      </c>
      <c r="S39" s="89" t="n">
        <f aca="false">F39+R39</f>
        <v>1.47645170052883E-005</v>
      </c>
      <c r="T39" s="89" t="n">
        <v>0</v>
      </c>
      <c r="U39" s="89" t="n">
        <v>0</v>
      </c>
      <c r="V39" s="309"/>
      <c r="W39" s="92"/>
      <c r="Z39" s="30"/>
    </row>
    <row r="40" s="209" customFormat="true" ht="17.4" hidden="false" customHeight="false" outlineLevel="0" collapsed="false">
      <c r="A40" s="74"/>
      <c r="B40" s="101"/>
      <c r="C40" s="87"/>
      <c r="D40" s="31" t="s">
        <v>136</v>
      </c>
      <c r="E40" s="217" t="n">
        <f aca="false">SUM(J40:K40)</f>
        <v>0.000199782229965157</v>
      </c>
      <c r="F40" s="89" t="n">
        <f aca="false">SUM(H40:O40)</f>
        <v>0.000357715436241483</v>
      </c>
      <c r="G40" s="88" t="n">
        <f aca="false">SUM(S40:U40)/(1-'Common input data'!$B$121)</f>
        <v>0.000426919007329613</v>
      </c>
      <c r="H40" s="87" t="n">
        <f aca="false">('Input data plant-based products'!$F$79*('Common input data'!$C$76*'Common input data'!B71+'Common input data'!$C$77*'Common input data'!C71))/'Input data plant-based products'!$E$79</f>
        <v>0.000157037596520228</v>
      </c>
      <c r="I40" s="87" t="n">
        <v>0</v>
      </c>
      <c r="J40" s="87" t="n">
        <f aca="false">(SUM('Input data plant-based products'!F79:H79)*'Input data plant-based products'!$B$114*44/28)/'Input data plant-based products'!E79</f>
        <v>0.000181620209059233</v>
      </c>
      <c r="K40" s="89" t="n">
        <f aca="false">J40*'Input data plant-based products'!$B$115</f>
        <v>1.81620209059233E-005</v>
      </c>
      <c r="L40" s="87" t="n">
        <f aca="false">('Input data plant-based products'!$I$79*'Common input data'!$C$59*'Common input data'!H51)/'Input data plant-based products'!$E$79</f>
        <v>8.95609756097561E-007</v>
      </c>
      <c r="M40" s="89" t="n">
        <v>0</v>
      </c>
      <c r="N40" s="89" t="n">
        <v>0</v>
      </c>
      <c r="O40" s="89" t="n">
        <v>0</v>
      </c>
      <c r="P40" s="89" t="n">
        <v>0</v>
      </c>
      <c r="Q40" s="89" t="n">
        <v>0</v>
      </c>
      <c r="R40" s="89" t="n">
        <v>0</v>
      </c>
      <c r="S40" s="89" t="n">
        <f aca="false">F40+R40</f>
        <v>0.000357715436241483</v>
      </c>
      <c r="T40" s="89" t="n">
        <v>0</v>
      </c>
      <c r="U40" s="89" t="n">
        <v>0</v>
      </c>
      <c r="V40" s="309"/>
      <c r="W40" s="92"/>
      <c r="Z40" s="30"/>
    </row>
    <row r="41" s="332" customFormat="true" ht="17.4" hidden="false" customHeight="false" outlineLevel="0" collapsed="false">
      <c r="A41" s="330" t="s">
        <v>141</v>
      </c>
      <c r="B41" s="76" t="s">
        <v>254</v>
      </c>
      <c r="C41" s="97" t="n">
        <f aca="false">'Input data plant-based products'!D80</f>
        <v>0.227229230753258</v>
      </c>
      <c r="D41" s="78" t="s">
        <v>133</v>
      </c>
      <c r="E41" s="94" t="n">
        <f aca="false">IF($F$1="GWP100 without fb",E42+E43*'Common input data'!$C$5+E44*'Common input data'!$D$5,IF($F$1="GWP100 with fb",E42+E43*'Common input data'!$C$6+E44*'Common input data'!$D$6,IF($F$1="GTP100 without fb",E42+E43*'Common input data'!$C$7+E44*'Common input data'!$D$7,IF($F$1="GTP100 with fb",E42+E43*'Common input data'!$C$8+E44*'Common input data'!$D$8,E42+E43*'Common input data'!$C$9+E44*'Common input data'!$D$9))))</f>
        <v>-0.0314758461740903</v>
      </c>
      <c r="F41" s="95" t="n">
        <f aca="false">IF($F$1="GWP100 without fb",F42+F43*'Common input data'!$C$5+F44*'Common input data'!$D$5,IF($F$1="GWP100 with fb",F42+F43*'Common input data'!$C$6+F44*'Common input data'!$D$6,IF($F$1="GTP100 without fb",F42+F43*'Common input data'!$C$7+F44*'Common input data'!$D$7,IF($F$1="GTP100 with fb",F42+F43*'Common input data'!$C$8+F44*'Common input data'!$D$8,F42+F43*'Common input data'!$C$9+F44*'Common input data'!$D$9))))</f>
        <v>0.203032393344529</v>
      </c>
      <c r="G41" s="96" t="n">
        <f aca="false">IF($F$1="GWP100 without fb",G42+G43*'Common input data'!$C$5+G44*'Common input data'!$D$5,IF($F$1="GWP100 with fb",G42+G43*'Common input data'!$C$6+G44*'Common input data'!$D$6,IF($F$1="GTP100 without fb",G42+G43*'Common input data'!$C$7+G44*'Common input data'!$D$7,IF($F$1="GTP100 with fb",G42+G43*'Common input data'!$C$8+G44*'Common input data'!$D$8,G42+G43*'Common input data'!$C$9+G44*'Common input data'!$D$9))))</f>
        <v>0.576479762912674</v>
      </c>
      <c r="H41" s="83"/>
      <c r="I41" s="83"/>
      <c r="J41" s="83"/>
      <c r="K41" s="83"/>
      <c r="L41" s="83"/>
      <c r="M41" s="83"/>
      <c r="N41" s="83"/>
      <c r="O41" s="83"/>
      <c r="P41" s="83"/>
      <c r="Q41" s="83"/>
      <c r="R41" s="83"/>
      <c r="S41" s="83"/>
      <c r="T41" s="83"/>
      <c r="U41" s="83"/>
      <c r="V41" s="309"/>
      <c r="W41" s="92"/>
      <c r="X41" s="209"/>
      <c r="Y41" s="209"/>
      <c r="Z41" s="30"/>
      <c r="AA41" s="209"/>
      <c r="AB41" s="209"/>
      <c r="AC41" s="209"/>
      <c r="AD41" s="209"/>
      <c r="AE41" s="209"/>
      <c r="AF41" s="209"/>
      <c r="AG41" s="209"/>
      <c r="AH41" s="209"/>
      <c r="AI41" s="209"/>
      <c r="AJ41" s="209"/>
      <c r="AK41" s="209"/>
      <c r="AL41" s="209"/>
      <c r="AM41" s="209"/>
      <c r="AN41" s="209"/>
      <c r="AO41" s="209"/>
      <c r="AP41" s="209"/>
      <c r="AQ41" s="209"/>
      <c r="AR41" s="209"/>
      <c r="AS41" s="209"/>
      <c r="AT41" s="209"/>
      <c r="AU41" s="209"/>
      <c r="AV41" s="209"/>
      <c r="AW41" s="209"/>
      <c r="AX41" s="209"/>
      <c r="AY41" s="209"/>
      <c r="AZ41" s="209"/>
      <c r="BA41" s="209"/>
      <c r="BB41" s="209"/>
      <c r="BC41" s="209"/>
      <c r="BD41" s="209"/>
      <c r="BE41" s="209"/>
      <c r="BF41" s="209"/>
      <c r="BG41" s="209"/>
      <c r="BH41" s="209"/>
      <c r="BI41" s="209"/>
      <c r="BJ41" s="209"/>
      <c r="BK41" s="209"/>
      <c r="BL41" s="209"/>
      <c r="BM41" s="209"/>
      <c r="BN41" s="209"/>
      <c r="BO41" s="209"/>
      <c r="BP41" s="209"/>
      <c r="BQ41" s="209"/>
      <c r="BR41" s="209"/>
      <c r="BS41" s="209"/>
      <c r="BT41" s="209"/>
      <c r="BU41" s="209"/>
      <c r="BV41" s="209"/>
      <c r="BW41" s="209"/>
      <c r="BX41" s="209"/>
      <c r="BY41" s="209"/>
      <c r="BZ41" s="209"/>
      <c r="CA41" s="209"/>
      <c r="CB41" s="209"/>
      <c r="CC41" s="209"/>
      <c r="CD41" s="209"/>
      <c r="CE41" s="209"/>
      <c r="CF41" s="209"/>
      <c r="CG41" s="209"/>
      <c r="CH41" s="209"/>
      <c r="CI41" s="209"/>
      <c r="CJ41" s="209"/>
      <c r="CK41" s="209"/>
      <c r="CL41" s="209"/>
      <c r="CM41" s="209"/>
      <c r="CN41" s="209"/>
      <c r="CO41" s="209"/>
      <c r="CP41" s="209"/>
      <c r="CQ41" s="209"/>
      <c r="CR41" s="209"/>
      <c r="CS41" s="209"/>
      <c r="CT41" s="209"/>
      <c r="CU41" s="209"/>
      <c r="CV41" s="209"/>
      <c r="CW41" s="209"/>
      <c r="CX41" s="209"/>
      <c r="CY41" s="209"/>
      <c r="CZ41" s="209"/>
      <c r="DA41" s="209"/>
      <c r="DB41" s="209"/>
      <c r="DC41" s="209"/>
      <c r="DD41" s="209"/>
      <c r="DE41" s="209"/>
      <c r="DF41" s="209"/>
      <c r="DG41" s="209"/>
      <c r="DH41" s="209"/>
      <c r="DI41" s="209"/>
      <c r="DJ41" s="209"/>
      <c r="DK41" s="209"/>
      <c r="DL41" s="209"/>
      <c r="DM41" s="209"/>
      <c r="DN41" s="209"/>
      <c r="DO41" s="209"/>
      <c r="DP41" s="209"/>
      <c r="DQ41" s="209"/>
      <c r="DR41" s="209"/>
      <c r="DS41" s="209"/>
      <c r="DT41" s="209"/>
      <c r="DU41" s="209"/>
      <c r="DV41" s="209"/>
      <c r="DW41" s="209"/>
      <c r="DX41" s="209"/>
      <c r="DY41" s="209"/>
      <c r="DZ41" s="209"/>
      <c r="EA41" s="209"/>
      <c r="EB41" s="209"/>
      <c r="EC41" s="209"/>
      <c r="ED41" s="209"/>
      <c r="EE41" s="209"/>
      <c r="EF41" s="209"/>
      <c r="EG41" s="209"/>
      <c r="EH41" s="209"/>
      <c r="EI41" s="209"/>
      <c r="EJ41" s="209"/>
      <c r="EK41" s="209"/>
      <c r="EL41" s="209"/>
      <c r="EM41" s="209"/>
      <c r="EN41" s="209"/>
      <c r="EO41" s="209"/>
      <c r="EP41" s="209"/>
      <c r="EQ41" s="209"/>
      <c r="ER41" s="209"/>
      <c r="ES41" s="209"/>
      <c r="ET41" s="209"/>
      <c r="EU41" s="209"/>
      <c r="EV41" s="209"/>
      <c r="EW41" s="209"/>
      <c r="EX41" s="209"/>
      <c r="EY41" s="209"/>
      <c r="EZ41" s="209"/>
      <c r="FA41" s="209"/>
      <c r="FB41" s="209"/>
      <c r="FC41" s="209"/>
      <c r="FD41" s="209"/>
      <c r="FE41" s="209"/>
      <c r="FF41" s="209"/>
      <c r="FG41" s="209"/>
      <c r="FH41" s="209"/>
      <c r="FI41" s="209"/>
      <c r="FJ41" s="209"/>
      <c r="FK41" s="209"/>
      <c r="FL41" s="209"/>
      <c r="FM41" s="209"/>
      <c r="FN41" s="209"/>
      <c r="FO41" s="209"/>
      <c r="FP41" s="209"/>
      <c r="FQ41" s="209"/>
      <c r="FR41" s="209"/>
      <c r="FS41" s="209"/>
      <c r="FT41" s="209"/>
      <c r="FU41" s="209"/>
      <c r="FV41" s="209"/>
      <c r="FW41" s="209"/>
      <c r="FX41" s="209"/>
      <c r="FY41" s="209"/>
      <c r="FZ41" s="209"/>
      <c r="GA41" s="209"/>
      <c r="GB41" s="209"/>
      <c r="GC41" s="209"/>
      <c r="GD41" s="209"/>
      <c r="GE41" s="209"/>
      <c r="GF41" s="209"/>
      <c r="GG41" s="209"/>
      <c r="GH41" s="209"/>
      <c r="GI41" s="209"/>
      <c r="GJ41" s="209"/>
      <c r="GK41" s="209"/>
      <c r="GL41" s="209"/>
      <c r="GM41" s="209"/>
      <c r="GN41" s="209"/>
      <c r="GO41" s="209"/>
      <c r="GP41" s="209"/>
      <c r="GQ41" s="209"/>
      <c r="GR41" s="209"/>
      <c r="GS41" s="209"/>
      <c r="GT41" s="209"/>
      <c r="GU41" s="209"/>
      <c r="GV41" s="209"/>
      <c r="GW41" s="209"/>
      <c r="GX41" s="209"/>
      <c r="GY41" s="209"/>
      <c r="GZ41" s="209"/>
      <c r="HA41" s="209"/>
      <c r="HB41" s="209"/>
      <c r="HC41" s="209"/>
      <c r="HD41" s="209"/>
      <c r="HE41" s="209"/>
      <c r="HF41" s="209"/>
      <c r="HG41" s="209"/>
      <c r="HH41" s="209"/>
      <c r="HI41" s="209"/>
      <c r="HJ41" s="209"/>
      <c r="HK41" s="209"/>
      <c r="HL41" s="209"/>
      <c r="HM41" s="209"/>
      <c r="HN41" s="209"/>
      <c r="HO41" s="209"/>
      <c r="HP41" s="209"/>
      <c r="HQ41" s="209"/>
      <c r="HR41" s="209"/>
      <c r="HS41" s="209"/>
      <c r="HT41" s="209"/>
      <c r="HU41" s="209"/>
      <c r="HV41" s="209"/>
      <c r="HW41" s="209"/>
      <c r="HX41" s="209"/>
      <c r="HY41" s="209"/>
      <c r="HZ41" s="209"/>
      <c r="IA41" s="209"/>
      <c r="IB41" s="209"/>
      <c r="IC41" s="209"/>
      <c r="ID41" s="209"/>
      <c r="IE41" s="209"/>
      <c r="IF41" s="209"/>
      <c r="IG41" s="209"/>
      <c r="IH41" s="209"/>
      <c r="II41" s="209"/>
      <c r="IJ41" s="209"/>
      <c r="IK41" s="209"/>
      <c r="IL41" s="209"/>
      <c r="IM41" s="209"/>
      <c r="IN41" s="209"/>
      <c r="IO41" s="209"/>
      <c r="IP41" s="209"/>
      <c r="IQ41" s="209"/>
      <c r="IR41" s="209"/>
      <c r="IS41" s="209"/>
      <c r="IT41" s="209"/>
      <c r="IU41" s="209"/>
      <c r="IV41" s="209"/>
      <c r="IW41" s="209"/>
      <c r="IX41" s="209"/>
    </row>
    <row r="42" s="209" customFormat="true" ht="17.4" hidden="false" customHeight="false" outlineLevel="0" collapsed="false">
      <c r="A42" s="99"/>
      <c r="B42" s="31"/>
      <c r="C42" s="30"/>
      <c r="D42" s="85" t="s">
        <v>134</v>
      </c>
      <c r="E42" s="217" t="n">
        <f aca="false">IF(AND($F$2="No",$F$3="No"),SUM(J42:K42),IF(AND($F$2="Yes", $F$3="No"), SUM(J42:K42)+Q42, IF(AND($F$2="No", $F$3="Yes"),SUM(J42:K42)+P42, SUM(J42:K42)+Q42+P42)))</f>
        <v>-0.0911390481413813</v>
      </c>
      <c r="F42" s="89" t="n">
        <f aca="false">IF(AND($F$2="No",$F$3="No"),SUM(H42:O42),IF(AND($F$2="Yes", $F$3="No"), SUM(H42:O42)+Q42, IF(AND($F$2="No", $F$3="Yes"),SUM(H42:O42)+P42, SUM(H42:O42)+Q42+P42)))</f>
        <v>0.0946534528752155</v>
      </c>
      <c r="G42" s="88" t="n">
        <f aca="false">SUM(S42:U42)/(1-'Common input data'!$B$121)</f>
        <v>0.447133849952519</v>
      </c>
      <c r="H42" s="87" t="n">
        <f aca="false">('Input data plant-based products'!$F$80*('Common input data'!$C$76*'Common input data'!B69+'Common input data'!$C$77*'Common input data'!C69))/'Input data plant-based products'!$E$80</f>
        <v>0.0288376920321468</v>
      </c>
      <c r="I42" s="89" t="n">
        <f aca="false">'Common input data'!$B$81</f>
        <v>0.03</v>
      </c>
      <c r="J42" s="87" t="n">
        <v>0</v>
      </c>
      <c r="K42" s="89" t="n">
        <v>0</v>
      </c>
      <c r="L42" s="87" t="n">
        <f aca="false">('Input data plant-based products'!$I$80*'Common input data'!$C$59*'Common input data'!H49)/'Input data plant-based products'!$E$80</f>
        <v>0.07695480898445</v>
      </c>
      <c r="M42" s="89" t="n">
        <v>0</v>
      </c>
      <c r="N42" s="89" t="n">
        <f aca="false">'Input data plant-based products'!F$152</f>
        <v>0.05</v>
      </c>
      <c r="O42" s="89" t="n">
        <v>0</v>
      </c>
      <c r="P42" s="89" t="n">
        <f aca="false">'Common input data'!$F$13</f>
        <v>-0.0911390481413813</v>
      </c>
      <c r="Q42" s="89" t="n">
        <v>0</v>
      </c>
      <c r="R42" s="89" t="n">
        <v>0</v>
      </c>
      <c r="S42" s="89" t="n">
        <f aca="false">F42+R42</f>
        <v>0.0946534528752155</v>
      </c>
      <c r="T42" s="89" t="n">
        <f aca="false">'Common input data'!$B$88</f>
        <v>0.05</v>
      </c>
      <c r="U42" s="87" t="n">
        <f aca="false">'Common input data'!B102+'Common input data'!C102</f>
        <v>0.23</v>
      </c>
      <c r="V42" s="309"/>
      <c r="W42" s="92"/>
      <c r="Z42" s="30"/>
    </row>
    <row r="43" s="209" customFormat="true" ht="17.4" hidden="false" customHeight="false" outlineLevel="0" collapsed="false">
      <c r="A43" s="74"/>
      <c r="B43" s="31"/>
      <c r="C43" s="93"/>
      <c r="D43" s="85" t="s">
        <v>135</v>
      </c>
      <c r="E43" s="217" t="n">
        <f aca="false">SUM(J43:K43)</f>
        <v>0</v>
      </c>
      <c r="F43" s="89" t="n">
        <f aca="false">SUM(H43:O43)</f>
        <v>3.40885126362578E-005</v>
      </c>
      <c r="G43" s="88" t="n">
        <f aca="false">SUM(S43:U43)/(1-'Common input data'!$B$121)</f>
        <v>4.06832708393099E-005</v>
      </c>
      <c r="H43" s="87" t="n">
        <f aca="false">('Input data plant-based products'!$F$80*('Common input data'!$C$76*'Common input data'!B70+'Common input data'!$C$77*'Common input data'!C70))/'Input data plant-based products'!$E$80</f>
        <v>1.27149600051193E-010</v>
      </c>
      <c r="I43" s="87" t="n">
        <v>0</v>
      </c>
      <c r="J43" s="87" t="n">
        <v>0</v>
      </c>
      <c r="K43" s="87" t="n">
        <v>0</v>
      </c>
      <c r="L43" s="87" t="n">
        <f aca="false">('Input data plant-based products'!$I$80*'Common input data'!$C$59*'Common input data'!H50)/'Input data plant-based products'!$E$80</f>
        <v>3.40883854866577E-005</v>
      </c>
      <c r="M43" s="89" t="n">
        <v>0</v>
      </c>
      <c r="N43" s="89" t="n">
        <v>0</v>
      </c>
      <c r="O43" s="89" t="n">
        <v>0</v>
      </c>
      <c r="P43" s="89" t="n">
        <v>0</v>
      </c>
      <c r="Q43" s="89" t="n">
        <v>0</v>
      </c>
      <c r="R43" s="89" t="n">
        <v>0</v>
      </c>
      <c r="S43" s="89" t="n">
        <f aca="false">F43+R43</f>
        <v>3.40885126362578E-005</v>
      </c>
      <c r="T43" s="89" t="n">
        <v>0</v>
      </c>
      <c r="U43" s="89" t="n">
        <v>0</v>
      </c>
      <c r="V43" s="309"/>
      <c r="W43" s="92"/>
      <c r="Z43" s="30"/>
    </row>
    <row r="44" s="209" customFormat="true" ht="17.4" hidden="false" customHeight="false" outlineLevel="0" collapsed="false">
      <c r="A44" s="100"/>
      <c r="B44" s="101"/>
      <c r="C44" s="87"/>
      <c r="D44" s="31" t="s">
        <v>136</v>
      </c>
      <c r="E44" s="219" t="n">
        <f aca="false">SUM(J44:K44)</f>
        <v>0.000200212087138561</v>
      </c>
      <c r="F44" s="126" t="n">
        <f aca="false">SUM(H44:O44)</f>
        <v>0.000359798426307655</v>
      </c>
      <c r="G44" s="106" t="n">
        <f aca="false">SUM(S44:U44)/(1-'Common input data'!$B$121)</f>
        <v>0.000429404972320867</v>
      </c>
      <c r="H44" s="87" t="n">
        <f aca="false">('Input data plant-based products'!$F$80*('Common input data'!$C$76*'Common input data'!B71+'Common input data'!$C$77*'Common input data'!C71))/'Input data plant-based products'!$E$80</f>
        <v>0.000157518533448226</v>
      </c>
      <c r="I44" s="87" t="n">
        <v>0</v>
      </c>
      <c r="J44" s="87" t="n">
        <f aca="false">(SUM('Input data plant-based products'!F80:H80)*'Input data plant-based products'!$B$114*44/28)/'Input data plant-based products'!E80</f>
        <v>0.000182010988307782</v>
      </c>
      <c r="K44" s="89" t="n">
        <f aca="false">J44*'Input data plant-based products'!$B$115</f>
        <v>1.82010988307782E-005</v>
      </c>
      <c r="L44" s="87" t="n">
        <f aca="false">('Input data plant-based products'!$I$80*'Common input data'!$C$59*'Common input data'!H51)/'Input data plant-based products'!$E$80</f>
        <v>2.06780572086773E-006</v>
      </c>
      <c r="M44" s="89" t="n">
        <v>0</v>
      </c>
      <c r="N44" s="89" t="n">
        <v>0</v>
      </c>
      <c r="O44" s="89" t="n">
        <v>0</v>
      </c>
      <c r="P44" s="89" t="n">
        <v>0</v>
      </c>
      <c r="Q44" s="89" t="n">
        <v>0</v>
      </c>
      <c r="R44" s="89" t="n">
        <v>0</v>
      </c>
      <c r="S44" s="89" t="n">
        <f aca="false">F44+R44</f>
        <v>0.000359798426307655</v>
      </c>
      <c r="T44" s="89" t="n">
        <v>0</v>
      </c>
      <c r="U44" s="89" t="n">
        <v>0</v>
      </c>
      <c r="V44" s="309"/>
      <c r="W44" s="92"/>
      <c r="Z44" s="30"/>
    </row>
    <row r="45" s="334" customFormat="true" ht="17.4" hidden="false" customHeight="false" outlineLevel="0" collapsed="false">
      <c r="A45" s="107" t="s">
        <v>323</v>
      </c>
      <c r="B45" s="108"/>
      <c r="C45" s="69"/>
      <c r="D45" s="109"/>
      <c r="E45" s="110" t="s">
        <v>324</v>
      </c>
      <c r="F45" s="111" t="s">
        <v>324</v>
      </c>
      <c r="G45" s="112" t="s">
        <v>324</v>
      </c>
      <c r="H45" s="69"/>
      <c r="I45" s="69"/>
      <c r="J45" s="69"/>
      <c r="K45" s="113"/>
      <c r="L45" s="113"/>
      <c r="M45" s="114"/>
      <c r="N45" s="113"/>
      <c r="O45" s="113"/>
      <c r="P45" s="113"/>
      <c r="Q45" s="113"/>
      <c r="R45" s="113"/>
      <c r="S45" s="113"/>
      <c r="T45" s="113"/>
      <c r="U45" s="113"/>
      <c r="V45" s="309"/>
      <c r="W45" s="92"/>
      <c r="X45" s="209"/>
      <c r="Y45" s="209"/>
      <c r="Z45" s="30"/>
      <c r="AA45" s="209"/>
      <c r="AB45" s="209"/>
      <c r="AC45" s="209"/>
      <c r="AD45" s="209"/>
      <c r="AE45" s="209"/>
      <c r="AF45" s="209"/>
      <c r="AG45" s="209"/>
      <c r="AH45" s="209"/>
      <c r="AI45" s="209"/>
      <c r="AJ45" s="209"/>
      <c r="AK45" s="209"/>
      <c r="AL45" s="209"/>
      <c r="AM45" s="209"/>
      <c r="AN45" s="209"/>
      <c r="AO45" s="209"/>
      <c r="AP45" s="209"/>
      <c r="AQ45" s="209"/>
      <c r="AR45" s="209"/>
      <c r="AS45" s="209"/>
      <c r="AT45" s="209"/>
      <c r="AU45" s="209"/>
      <c r="AV45" s="209"/>
      <c r="AW45" s="209"/>
      <c r="AX45" s="209"/>
      <c r="AY45" s="209"/>
      <c r="AZ45" s="209"/>
      <c r="BA45" s="209"/>
      <c r="BB45" s="209"/>
      <c r="BC45" s="209"/>
      <c r="BD45" s="209"/>
      <c r="BE45" s="209"/>
      <c r="BF45" s="209"/>
      <c r="BG45" s="209"/>
      <c r="BH45" s="209"/>
      <c r="BI45" s="209"/>
      <c r="BJ45" s="209"/>
      <c r="BK45" s="209"/>
      <c r="BL45" s="209"/>
      <c r="BM45" s="209"/>
      <c r="BN45" s="209"/>
      <c r="BO45" s="209"/>
      <c r="BP45" s="209"/>
      <c r="BQ45" s="209"/>
      <c r="BR45" s="209"/>
      <c r="BS45" s="209"/>
      <c r="BT45" s="209"/>
      <c r="BU45" s="209"/>
      <c r="BV45" s="209"/>
      <c r="BW45" s="209"/>
      <c r="BX45" s="209"/>
      <c r="BY45" s="209"/>
      <c r="BZ45" s="209"/>
      <c r="CA45" s="209"/>
      <c r="CB45" s="209"/>
      <c r="CC45" s="209"/>
      <c r="CD45" s="209"/>
      <c r="CE45" s="209"/>
      <c r="CF45" s="209"/>
      <c r="CG45" s="209"/>
      <c r="CH45" s="209"/>
      <c r="CI45" s="209"/>
      <c r="CJ45" s="209"/>
      <c r="CK45" s="209"/>
      <c r="CL45" s="209"/>
      <c r="CM45" s="209"/>
      <c r="CN45" s="209"/>
      <c r="CO45" s="209"/>
      <c r="CP45" s="209"/>
      <c r="CQ45" s="209"/>
      <c r="CR45" s="209"/>
      <c r="CS45" s="209"/>
      <c r="CT45" s="209"/>
      <c r="CU45" s="209"/>
      <c r="CV45" s="209"/>
      <c r="CW45" s="209"/>
      <c r="CX45" s="209"/>
      <c r="CY45" s="209"/>
      <c r="CZ45" s="209"/>
      <c r="DA45" s="209"/>
      <c r="DB45" s="209"/>
      <c r="DC45" s="209"/>
      <c r="DD45" s="209"/>
      <c r="DE45" s="209"/>
      <c r="DF45" s="209"/>
      <c r="DG45" s="209"/>
      <c r="DH45" s="209"/>
      <c r="DI45" s="209"/>
      <c r="DJ45" s="209"/>
      <c r="DK45" s="209"/>
      <c r="DL45" s="209"/>
      <c r="DM45" s="209"/>
      <c r="DN45" s="209"/>
      <c r="DO45" s="209"/>
      <c r="DP45" s="209"/>
      <c r="DQ45" s="209"/>
      <c r="DR45" s="209"/>
      <c r="DS45" s="209"/>
      <c r="DT45" s="209"/>
      <c r="DU45" s="209"/>
      <c r="DV45" s="209"/>
      <c r="DW45" s="209"/>
      <c r="DX45" s="209"/>
      <c r="DY45" s="209"/>
      <c r="DZ45" s="209"/>
      <c r="EA45" s="209"/>
      <c r="EB45" s="209"/>
      <c r="EC45" s="209"/>
      <c r="ED45" s="209"/>
      <c r="EE45" s="209"/>
      <c r="EF45" s="209"/>
      <c r="EG45" s="209"/>
      <c r="EH45" s="209"/>
      <c r="EI45" s="209"/>
      <c r="EJ45" s="209"/>
      <c r="EK45" s="209"/>
      <c r="EL45" s="209"/>
      <c r="EM45" s="209"/>
      <c r="EN45" s="209"/>
      <c r="EO45" s="209"/>
      <c r="EP45" s="209"/>
      <c r="EQ45" s="209"/>
      <c r="ER45" s="209"/>
      <c r="ES45" s="209"/>
      <c r="ET45" s="209"/>
      <c r="EU45" s="209"/>
      <c r="EV45" s="209"/>
      <c r="EW45" s="209"/>
      <c r="EX45" s="209"/>
      <c r="EY45" s="209"/>
      <c r="EZ45" s="209"/>
      <c r="FA45" s="209"/>
      <c r="FB45" s="209"/>
      <c r="FC45" s="209"/>
      <c r="FD45" s="209"/>
      <c r="FE45" s="209"/>
      <c r="FF45" s="209"/>
      <c r="FG45" s="209"/>
      <c r="FH45" s="209"/>
      <c r="FI45" s="209"/>
      <c r="FJ45" s="209"/>
      <c r="FK45" s="209"/>
      <c r="FL45" s="209"/>
      <c r="FM45" s="209"/>
      <c r="FN45" s="209"/>
      <c r="FO45" s="209"/>
      <c r="FP45" s="209"/>
      <c r="FQ45" s="209"/>
      <c r="FR45" s="209"/>
      <c r="FS45" s="209"/>
      <c r="FT45" s="209"/>
      <c r="FU45" s="209"/>
      <c r="FV45" s="209"/>
      <c r="FW45" s="209"/>
      <c r="FX45" s="209"/>
      <c r="FY45" s="209"/>
      <c r="FZ45" s="209"/>
      <c r="GA45" s="209"/>
      <c r="GB45" s="209"/>
      <c r="GC45" s="209"/>
      <c r="GD45" s="209"/>
      <c r="GE45" s="209"/>
      <c r="GF45" s="209"/>
      <c r="GG45" s="209"/>
      <c r="GH45" s="209"/>
      <c r="GI45" s="209"/>
      <c r="GJ45" s="209"/>
      <c r="GK45" s="209"/>
      <c r="GL45" s="209"/>
      <c r="GM45" s="209"/>
      <c r="GN45" s="209"/>
      <c r="GO45" s="209"/>
      <c r="GP45" s="209"/>
      <c r="GQ45" s="209"/>
      <c r="GR45" s="209"/>
      <c r="GS45" s="209"/>
      <c r="GT45" s="209"/>
      <c r="GU45" s="209"/>
      <c r="GV45" s="209"/>
      <c r="GW45" s="209"/>
      <c r="GX45" s="209"/>
      <c r="GY45" s="209"/>
      <c r="GZ45" s="209"/>
      <c r="HA45" s="209"/>
      <c r="HB45" s="209"/>
      <c r="HC45" s="209"/>
      <c r="HD45" s="209"/>
      <c r="HE45" s="209"/>
      <c r="HF45" s="209"/>
      <c r="HG45" s="209"/>
      <c r="HH45" s="209"/>
      <c r="HI45" s="209"/>
      <c r="HJ45" s="209"/>
      <c r="HK45" s="209"/>
      <c r="HL45" s="209"/>
      <c r="HM45" s="209"/>
      <c r="HN45" s="209"/>
      <c r="HO45" s="209"/>
      <c r="HP45" s="209"/>
      <c r="HQ45" s="209"/>
      <c r="HR45" s="209"/>
      <c r="HS45" s="209"/>
      <c r="HT45" s="209"/>
      <c r="HU45" s="209"/>
      <c r="HV45" s="209"/>
      <c r="HW45" s="209"/>
      <c r="HX45" s="209"/>
      <c r="HY45" s="209"/>
      <c r="HZ45" s="209"/>
      <c r="IA45" s="209"/>
      <c r="IB45" s="209"/>
      <c r="IC45" s="209"/>
      <c r="ID45" s="209"/>
      <c r="IE45" s="209"/>
      <c r="IF45" s="209"/>
      <c r="IG45" s="209"/>
      <c r="IH45" s="209"/>
      <c r="II45" s="209"/>
      <c r="IJ45" s="209"/>
      <c r="IK45" s="209"/>
      <c r="IL45" s="209"/>
      <c r="IM45" s="209"/>
      <c r="IN45" s="209"/>
      <c r="IO45" s="209"/>
      <c r="IP45" s="209"/>
      <c r="IQ45" s="209"/>
      <c r="IR45" s="209"/>
      <c r="IS45" s="209"/>
      <c r="IT45" s="209"/>
      <c r="IU45" s="209"/>
      <c r="IV45" s="209"/>
      <c r="IW45" s="209"/>
      <c r="IX45" s="209"/>
    </row>
    <row r="46" s="332" customFormat="true" ht="17.4" hidden="false" customHeight="false" outlineLevel="0" collapsed="false">
      <c r="A46" s="330" t="s">
        <v>272</v>
      </c>
      <c r="B46" s="76"/>
      <c r="C46" s="77" t="n">
        <f aca="false">SUM(C50:C65)</f>
        <v>1</v>
      </c>
      <c r="D46" s="78" t="s">
        <v>133</v>
      </c>
      <c r="E46" s="79" t="n">
        <f aca="false">IF($F$1="GWP100 without fb",E47+E48*'Common input data'!$C$5+E49*'Common input data'!$D$5,IF($F$1="GWP100 with fb",E47+E48*'Common input data'!$C$6+E49*'Common input data'!$D$6,IF($F$1="GTP100 without fb",E47+E48*'Common input data'!$C$7+E49*'Common input data'!$D$7,IF($F$1="GTP100 with fb",E47+E48*'Common input data'!$C$8+E49*'Common input data'!$D$8,E47+E48*'Common input data'!$C$9+E49*'Common input data'!$D$9))))</f>
        <v>-0.0372142332621402</v>
      </c>
      <c r="F46" s="80" t="n">
        <f aca="false">IF($F$1="GWP100 without fb",F47+F48*'Common input data'!$C$5+F49*'Common input data'!$D$5,IF($F$1="GWP100 with fb",F47+F48*'Common input data'!$C$6+F49*'Common input data'!$D$6,IF($F$1="GTP100 without fb",F47+F48*'Common input data'!$C$7+F49*'Common input data'!$D$7,IF($F$1="GTP100 with fb",F47+F48*'Common input data'!$C$8+F49*'Common input data'!$D$8,F47+F48*'Common input data'!$C$9+F49*'Common input data'!$D$9))))</f>
        <v>1.60614502035153</v>
      </c>
      <c r="G46" s="81" t="n">
        <f aca="false">IF($F$1="GWP100 without fb",G47+G48*'Common input data'!$C$5+G49*'Common input data'!$D$5,IF($F$1="GWP100 with fb",G47+G48*'Common input data'!$C$6+G49*'Common input data'!$D$6,IF($F$1="GTP100 without fb",G47+G48*'Common input data'!$C$7+G49*'Common input data'!$D$7,IF($F$1="GTP100 with fb",G47+G48*'Common input data'!$C$8+G49*'Common input data'!$D$8,G47+G48*'Common input data'!$C$9+G49*'Common input data'!$D$9))))</f>
        <v>2.14124002906257</v>
      </c>
      <c r="H46" s="95"/>
      <c r="I46" s="97"/>
      <c r="J46" s="97"/>
      <c r="K46" s="83"/>
      <c r="L46" s="83"/>
      <c r="M46" s="83"/>
      <c r="N46" s="83"/>
      <c r="O46" s="83"/>
      <c r="P46" s="83"/>
      <c r="Q46" s="83"/>
      <c r="R46" s="83"/>
      <c r="S46" s="83"/>
      <c r="T46" s="83"/>
      <c r="U46" s="83"/>
      <c r="V46" s="309"/>
      <c r="W46" s="92"/>
      <c r="X46" s="209"/>
      <c r="Y46" s="209"/>
      <c r="Z46" s="30"/>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c r="CS46" s="209"/>
      <c r="CT46" s="209"/>
      <c r="CU46" s="209"/>
      <c r="CV46" s="209"/>
      <c r="CW46" s="209"/>
      <c r="CX46" s="209"/>
      <c r="CY46" s="209"/>
      <c r="CZ46" s="209"/>
      <c r="DA46" s="209"/>
      <c r="DB46" s="209"/>
      <c r="DC46" s="209"/>
      <c r="DD46" s="209"/>
      <c r="DE46" s="209"/>
      <c r="DF46" s="209"/>
      <c r="DG46" s="209"/>
      <c r="DH46" s="209"/>
      <c r="DI46" s="209"/>
      <c r="DJ46" s="209"/>
      <c r="DK46" s="209"/>
      <c r="DL46" s="209"/>
      <c r="DM46" s="209"/>
      <c r="DN46" s="209"/>
      <c r="DO46" s="209"/>
      <c r="DP46" s="209"/>
      <c r="DQ46" s="209"/>
      <c r="DR46" s="209"/>
      <c r="DS46" s="209"/>
      <c r="DT46" s="209"/>
      <c r="DU46" s="209"/>
      <c r="DV46" s="209"/>
      <c r="DW46" s="209"/>
      <c r="DX46" s="209"/>
      <c r="DY46" s="209"/>
      <c r="DZ46" s="209"/>
      <c r="EA46" s="209"/>
      <c r="EB46" s="209"/>
      <c r="EC46" s="209"/>
      <c r="ED46" s="209"/>
      <c r="EE46" s="209"/>
      <c r="EF46" s="209"/>
      <c r="EG46" s="209"/>
      <c r="EH46" s="209"/>
      <c r="EI46" s="209"/>
      <c r="EJ46" s="209"/>
      <c r="EK46" s="209"/>
      <c r="EL46" s="209"/>
      <c r="EM46" s="209"/>
      <c r="EN46" s="209"/>
      <c r="EO46" s="209"/>
      <c r="EP46" s="209"/>
      <c r="EQ46" s="209"/>
      <c r="ER46" s="209"/>
      <c r="ES46" s="209"/>
      <c r="ET46" s="209"/>
      <c r="EU46" s="209"/>
      <c r="EV46" s="209"/>
      <c r="EW46" s="209"/>
      <c r="EX46" s="209"/>
      <c r="EY46" s="209"/>
      <c r="EZ46" s="209"/>
      <c r="FA46" s="209"/>
      <c r="FB46" s="209"/>
      <c r="FC46" s="209"/>
      <c r="FD46" s="209"/>
      <c r="FE46" s="209"/>
      <c r="FF46" s="209"/>
      <c r="FG46" s="209"/>
      <c r="FH46" s="209"/>
      <c r="FI46" s="209"/>
      <c r="FJ46" s="209"/>
      <c r="FK46" s="209"/>
      <c r="FL46" s="209"/>
      <c r="FM46" s="209"/>
      <c r="FN46" s="209"/>
      <c r="FO46" s="209"/>
      <c r="FP46" s="209"/>
      <c r="FQ46" s="209"/>
      <c r="FR46" s="209"/>
      <c r="FS46" s="209"/>
      <c r="FT46" s="209"/>
      <c r="FU46" s="209"/>
      <c r="FV46" s="209"/>
      <c r="FW46" s="209"/>
      <c r="FX46" s="209"/>
      <c r="FY46" s="209"/>
      <c r="FZ46" s="209"/>
      <c r="GA46" s="209"/>
      <c r="GB46" s="209"/>
      <c r="GC46" s="209"/>
      <c r="GD46" s="209"/>
      <c r="GE46" s="209"/>
      <c r="GF46" s="209"/>
      <c r="GG46" s="209"/>
      <c r="GH46" s="209"/>
      <c r="GI46" s="209"/>
      <c r="GJ46" s="209"/>
      <c r="GK46" s="209"/>
      <c r="GL46" s="209"/>
      <c r="GM46" s="209"/>
      <c r="GN46" s="209"/>
      <c r="GO46" s="209"/>
      <c r="GP46" s="209"/>
      <c r="GQ46" s="209"/>
      <c r="GR46" s="209"/>
      <c r="GS46" s="209"/>
      <c r="GT46" s="209"/>
      <c r="GU46" s="209"/>
      <c r="GV46" s="209"/>
      <c r="GW46" s="209"/>
      <c r="GX46" s="209"/>
      <c r="GY46" s="209"/>
      <c r="GZ46" s="209"/>
      <c r="HA46" s="209"/>
      <c r="HB46" s="209"/>
      <c r="HC46" s="209"/>
      <c r="HD46" s="209"/>
      <c r="HE46" s="209"/>
      <c r="HF46" s="209"/>
      <c r="HG46" s="209"/>
      <c r="HH46" s="209"/>
      <c r="HI46" s="209"/>
      <c r="HJ46" s="209"/>
      <c r="HK46" s="209"/>
      <c r="HL46" s="209"/>
      <c r="HM46" s="209"/>
      <c r="HN46" s="209"/>
      <c r="HO46" s="209"/>
      <c r="HP46" s="209"/>
      <c r="HQ46" s="209"/>
      <c r="HR46" s="209"/>
      <c r="HS46" s="209"/>
      <c r="HT46" s="209"/>
      <c r="HU46" s="209"/>
      <c r="HV46" s="209"/>
      <c r="HW46" s="209"/>
      <c r="HX46" s="209"/>
      <c r="HY46" s="209"/>
      <c r="HZ46" s="209"/>
      <c r="IA46" s="209"/>
      <c r="IB46" s="209"/>
      <c r="IC46" s="209"/>
      <c r="ID46" s="209"/>
      <c r="IE46" s="209"/>
      <c r="IF46" s="209"/>
      <c r="IG46" s="209"/>
      <c r="IH46" s="209"/>
      <c r="II46" s="209"/>
      <c r="IJ46" s="209"/>
      <c r="IK46" s="209"/>
      <c r="IL46" s="209"/>
      <c r="IM46" s="209"/>
      <c r="IN46" s="209"/>
      <c r="IO46" s="209"/>
      <c r="IP46" s="209"/>
      <c r="IQ46" s="209"/>
      <c r="IR46" s="209"/>
      <c r="IS46" s="209"/>
      <c r="IT46" s="209"/>
      <c r="IU46" s="209"/>
      <c r="IV46" s="209"/>
      <c r="IW46" s="209"/>
      <c r="IX46" s="209"/>
    </row>
    <row r="47" s="209" customFormat="true" ht="17.4" hidden="false" customHeight="false" outlineLevel="0" collapsed="false">
      <c r="A47" s="315"/>
      <c r="B47" s="31"/>
      <c r="C47" s="30"/>
      <c r="D47" s="85" t="s">
        <v>134</v>
      </c>
      <c r="E47" s="217" t="n">
        <f aca="false">E51*$C$50+E55*$C$54+$C$58*E59+$C$62*E63</f>
        <v>-0.0565062098476564</v>
      </c>
      <c r="F47" s="89" t="n">
        <f aca="false">F51*$C$50+F55*$C$54+$C$58*F59+$C$62*F63</f>
        <v>1.47102598440999</v>
      </c>
      <c r="G47" s="88" t="n">
        <f aca="false">G51*$C$50+G55*$C$54+$C$58*G59+$C$62*G63</f>
        <v>1.97998088603651</v>
      </c>
      <c r="H47" s="89" t="n">
        <f aca="false">H51*$C$50+H55*$C$54+$C$58*H59+$C$62*H63</f>
        <v>0.00994149233579664</v>
      </c>
      <c r="I47" s="89" t="n">
        <f aca="false">I51*$C$50+I55*$C$54+$C$58*I59+$C$62*I63</f>
        <v>0.03</v>
      </c>
      <c r="J47" s="89" t="n">
        <f aca="false">J51*$C$50+J55*$C$54+$C$58*J59+$C$62*J63</f>
        <v>0</v>
      </c>
      <c r="K47" s="89" t="n">
        <f aca="false">K51*$C$50+K55*$C$54+$C$58*K59+$C$62*K63</f>
        <v>0</v>
      </c>
      <c r="L47" s="89" t="n">
        <f aca="false">L51*$C$50+L55*$C$54+$C$58*L59+$C$62*L63</f>
        <v>0.0177606873128777</v>
      </c>
      <c r="M47" s="89" t="n">
        <f aca="false">M51*$C$50+M55*$C$54+$C$58*M59+$C$62*M63</f>
        <v>1.43883001460897</v>
      </c>
      <c r="N47" s="89" t="n">
        <f aca="false">N51*$C$50+N55*$C$54+$C$58*N59+$C$62*N63</f>
        <v>0.031</v>
      </c>
      <c r="O47" s="89" t="n">
        <f aca="false">O51*$C$50+O55*$C$54+$C$58*O59+$C$62*O63</f>
        <v>0</v>
      </c>
      <c r="P47" s="89" t="n">
        <f aca="false">P51*$C$50+P55*$C$54+$C$58*P59+$C$62*P63</f>
        <v>-0.0565062098476564</v>
      </c>
      <c r="Q47" s="89" t="n">
        <f aca="false">Q51*$C$50+Q55*$C$54+$C$58*Q59+$C$62*Q63</f>
        <v>0</v>
      </c>
      <c r="R47" s="89" t="n">
        <f aca="false">R51*$C$50+R55*$C$54+$C$58*R59+$C$62*R63</f>
        <v>0</v>
      </c>
      <c r="S47" s="89" t="n">
        <f aca="false">S51*$C$50+S55*$C$54+$C$58*S59+$C$62*S63</f>
        <v>1.47102598440999</v>
      </c>
      <c r="T47" s="89" t="n">
        <f aca="false">T51*$C$50+T55*$C$54+$C$58*T59+$C$62*T63</f>
        <v>0.05</v>
      </c>
      <c r="U47" s="89" t="n">
        <f aca="false">U51*$C$50+U55*$C$54+$C$58*U59+$C$62*U63</f>
        <v>0.138</v>
      </c>
      <c r="V47" s="309"/>
      <c r="W47" s="92"/>
      <c r="Z47" s="30"/>
    </row>
    <row r="48" s="209" customFormat="true" ht="17.4" hidden="false" customHeight="false" outlineLevel="0" collapsed="false">
      <c r="A48" s="315"/>
      <c r="B48" s="31"/>
      <c r="C48" s="93"/>
      <c r="D48" s="85" t="s">
        <v>135</v>
      </c>
      <c r="E48" s="217" t="n">
        <f aca="false">E52*$C$50+E56*$C$54+$C$58*E60+$C$62*E64</f>
        <v>0</v>
      </c>
      <c r="F48" s="89" t="n">
        <f aca="false">F52*$C$50+F56*$C$54+$C$58*F60+$C$62*F64</f>
        <v>0.00231313032198899</v>
      </c>
      <c r="G48" s="88" t="n">
        <f aca="false">G52*$C$50+G56*$C$54+$C$58*G60+$C$62*G64</f>
        <v>0.00276062814415681</v>
      </c>
      <c r="H48" s="89" t="n">
        <f aca="false">H52*$C$50+H56*$C$54+$C$58*H60+$C$62*H64</f>
        <v>3.79600193883602E-011</v>
      </c>
      <c r="I48" s="89" t="n">
        <f aca="false">I52*$C$50+I56*$C$54+$C$58*I60+$C$62*I64</f>
        <v>0</v>
      </c>
      <c r="J48" s="89" t="n">
        <f aca="false">J52*$C$50+J56*$C$54+$C$58*J60+$C$62*J64</f>
        <v>0</v>
      </c>
      <c r="K48" s="89" t="n">
        <f aca="false">K52*$C$50+K56*$C$54+$C$58*K60+$C$62*K64</f>
        <v>0</v>
      </c>
      <c r="L48" s="89" t="n">
        <f aca="false">L52*$C$50+L56*$C$54+$C$58*L60+$C$62*L64</f>
        <v>7.86738559446888E-006</v>
      </c>
      <c r="M48" s="89" t="n">
        <f aca="false">M52*$C$50+M56*$C$54+$C$58*M60+$C$62*M64</f>
        <v>0.0023052628984345</v>
      </c>
      <c r="N48" s="89" t="n">
        <f aca="false">N52*$C$50+N56*$C$54+$C$58*N60+$C$62*N64</f>
        <v>0</v>
      </c>
      <c r="O48" s="89" t="n">
        <f aca="false">O52*$C$50+O56*$C$54+$C$58*O60+$C$62*O64</f>
        <v>0</v>
      </c>
      <c r="P48" s="89" t="n">
        <f aca="false">P52*$C$50+P56*$C$54+$C$58*P60+$C$62*P64</f>
        <v>0</v>
      </c>
      <c r="Q48" s="89" t="n">
        <f aca="false">Q52*$C$50+Q56*$C$54+$C$58*Q60+$C$62*Q64</f>
        <v>0</v>
      </c>
      <c r="R48" s="89" t="n">
        <f aca="false">R52*$C$50+R56*$C$54+$C$58*R60+$C$62*R64</f>
        <v>0</v>
      </c>
      <c r="S48" s="89" t="n">
        <f aca="false">S52*$C$50+S56*$C$54+$C$58*S60+$C$62*S64</f>
        <v>0.00231313032198899</v>
      </c>
      <c r="T48" s="89" t="n">
        <f aca="false">T52*$C$50+T56*$C$54+$C$58*T60+$C$62*T64</f>
        <v>0</v>
      </c>
      <c r="U48" s="89" t="n">
        <f aca="false">U52*$C$50+U56*$C$54+$C$58*U60+$C$62*U64</f>
        <v>0</v>
      </c>
      <c r="V48" s="309"/>
      <c r="W48" s="92"/>
      <c r="Z48" s="30"/>
    </row>
    <row r="49" s="209" customFormat="true" ht="17.4" hidden="false" customHeight="false" outlineLevel="0" collapsed="false">
      <c r="A49" s="74"/>
      <c r="B49" s="101"/>
      <c r="C49" s="87"/>
      <c r="D49" s="31" t="s">
        <v>136</v>
      </c>
      <c r="E49" s="217" t="n">
        <f aca="false">E53*$C$50+E57*$C$54+$C$58*E61+$C$62*E65</f>
        <v>6.47381764614637E-005</v>
      </c>
      <c r="F49" s="89" t="n">
        <f aca="false">F53*$C$50+F57*$C$54+$C$58*F61+$C$62*F65</f>
        <v>0.000189505385885608</v>
      </c>
      <c r="G49" s="88" t="n">
        <f aca="false">G53*$C$50+G57*$C$54+$C$58*G61+$C$62*G65</f>
        <v>0.000226167067532651</v>
      </c>
      <c r="H49" s="89" t="n">
        <f aca="false">H53*$C$50+H57*$C$54+$C$58*H61+$C$62*H65</f>
        <v>4.95531656754809E-005</v>
      </c>
      <c r="I49" s="89" t="n">
        <f aca="false">I53*$C$50+I57*$C$54+$C$58*I61+$C$62*I65</f>
        <v>0</v>
      </c>
      <c r="J49" s="89" t="n">
        <f aca="false">J53*$C$50+J57*$C$54+$C$58*J61+$C$62*J65</f>
        <v>5.98374917357329E-005</v>
      </c>
      <c r="K49" s="89" t="n">
        <f aca="false">K53*$C$50+K57*$C$54+$C$58*K61+$C$62*K65</f>
        <v>4.90068472573076E-006</v>
      </c>
      <c r="L49" s="89" t="n">
        <f aca="false">L53*$C$50+L57*$C$54+$C$58*L61+$C$62*L65</f>
        <v>4.77236592706408E-007</v>
      </c>
      <c r="M49" s="89" t="n">
        <f aca="false">M53*$C$50+M57*$C$54+$C$58*M61+$C$62*M65</f>
        <v>7.47368071559569E-005</v>
      </c>
      <c r="N49" s="89" t="n">
        <f aca="false">N53*$C$50+N57*$C$54+$C$58*N61+$C$62*N65</f>
        <v>0</v>
      </c>
      <c r="O49" s="89" t="n">
        <f aca="false">O53*$C$50+O57*$C$54+$C$58*O61+$C$62*O65</f>
        <v>0</v>
      </c>
      <c r="P49" s="89" t="n">
        <f aca="false">P53*$C$50+P57*$C$54+$C$58*P61+$C$62*P65</f>
        <v>0</v>
      </c>
      <c r="Q49" s="89" t="n">
        <f aca="false">Q53*$C$50+Q57*$C$54+$C$58*Q61+$C$62*Q65</f>
        <v>0</v>
      </c>
      <c r="R49" s="89" t="n">
        <f aca="false">R53*$C$50+R57*$C$54+$C$58*R61+$C$62*R65</f>
        <v>0</v>
      </c>
      <c r="S49" s="89" t="n">
        <f aca="false">S53*$C$50+S57*$C$54+$C$58*S61+$C$62*S65</f>
        <v>0.000189505385885608</v>
      </c>
      <c r="T49" s="89" t="n">
        <f aca="false">T53*$C$50+T57*$C$54+$C$58*T61+$C$62*T65</f>
        <v>0</v>
      </c>
      <c r="U49" s="89" t="n">
        <f aca="false">U53*$C$50+U57*$C$54+$C$58*U61+$C$62*U65</f>
        <v>0</v>
      </c>
      <c r="V49" s="309"/>
      <c r="W49" s="92"/>
      <c r="Z49" s="30"/>
    </row>
    <row r="50" s="332" customFormat="true" ht="17.4" hidden="false" customHeight="false" outlineLevel="0" collapsed="false">
      <c r="A50" s="330" t="s">
        <v>137</v>
      </c>
      <c r="B50" s="76" t="s">
        <v>291</v>
      </c>
      <c r="C50" s="97" t="n">
        <f aca="false">'Input data plant-based products'!D73</f>
        <v>0.38</v>
      </c>
      <c r="D50" s="78" t="s">
        <v>133</v>
      </c>
      <c r="E50" s="94" t="n">
        <f aca="false">IF($F$1="GWP100 without fb",E51+E52*'Common input data'!$C$5+E53*'Common input data'!$D$5,IF($F$1="GWP100 with fb",E51+E52*'Common input data'!$C$6+E53*'Common input data'!$D$6,IF($F$1="GTP100 without fb",E51+E52*'Common input data'!$C$7+E53*'Common input data'!$D$7,IF($F$1="GTP100 with fb",E51+E52*'Common input data'!$C$8+E53*'Common input data'!$D$8,E51+E52*'Common input data'!$C$9+E53*'Common input data'!$D$9))))</f>
        <v>0.0174699748464638</v>
      </c>
      <c r="F50" s="95" t="n">
        <f aca="false">IF($F$1="GWP100 without fb",F51+F52*'Common input data'!$C$5+F53*'Common input data'!$D$5,IF($F$1="GWP100 with fb",F51+F52*'Common input data'!$C$6+F53*'Common input data'!$D$6,IF($F$1="GTP100 without fb",F51+F52*'Common input data'!$C$7+F53*'Common input data'!$D$7,IF($F$1="GTP100 with fb",F51+F52*'Common input data'!$C$8+F53*'Common input data'!$D$8,F51+F52*'Common input data'!$C$9+F53*'Common input data'!$D$9))))</f>
        <v>4.11846117286588</v>
      </c>
      <c r="G50" s="96" t="n">
        <f aca="false">IF($F$1="GWP100 without fb",G51+G52*'Common input data'!$C$5+G53*'Common input data'!$D$5,IF($F$1="GWP100 with fb",G51+G52*'Common input data'!$C$6+G53*'Common input data'!$D$6,IF($F$1="GTP100 without fb",G51+G52*'Common input data'!$C$7+G53*'Common input data'!$D$7,IF($F$1="GTP100 with fb",G51+G52*'Common input data'!$C$8+G53*'Common input data'!$D$8,G51+G52*'Common input data'!$C$9+G53*'Common input data'!$D$9))))</f>
        <v>5.01069479993541</v>
      </c>
      <c r="H50" s="83"/>
      <c r="I50" s="83"/>
      <c r="J50" s="83"/>
      <c r="K50" s="83"/>
      <c r="L50" s="83"/>
      <c r="M50" s="83"/>
      <c r="N50" s="83"/>
      <c r="O50" s="83"/>
      <c r="P50" s="83"/>
      <c r="Q50" s="83"/>
      <c r="R50" s="83"/>
      <c r="S50" s="83"/>
      <c r="T50" s="83"/>
      <c r="U50" s="83"/>
      <c r="V50" s="309"/>
      <c r="W50" s="92"/>
      <c r="X50" s="209"/>
      <c r="Y50" s="209"/>
      <c r="Z50" s="30"/>
      <c r="AA50" s="209"/>
      <c r="AB50" s="209"/>
      <c r="AC50" s="209"/>
      <c r="AD50" s="209"/>
      <c r="AE50" s="209"/>
      <c r="AF50" s="209"/>
      <c r="AG50" s="209"/>
      <c r="AH50" s="209"/>
      <c r="AI50" s="209"/>
      <c r="AJ50" s="209"/>
      <c r="AK50" s="209"/>
      <c r="AL50" s="209"/>
      <c r="AM50" s="209"/>
      <c r="AN50" s="209"/>
      <c r="AO50" s="209"/>
      <c r="AP50" s="209"/>
      <c r="AQ50" s="209"/>
      <c r="AR50" s="209"/>
      <c r="AS50" s="209"/>
      <c r="AT50" s="209"/>
      <c r="AU50" s="209"/>
      <c r="AV50" s="209"/>
      <c r="AW50" s="209"/>
      <c r="AX50" s="209"/>
      <c r="AY50" s="209"/>
      <c r="AZ50" s="209"/>
      <c r="BA50" s="209"/>
      <c r="BB50" s="209"/>
      <c r="BC50" s="209"/>
      <c r="BD50" s="209"/>
      <c r="BE50" s="209"/>
      <c r="BF50" s="209"/>
      <c r="BG50" s="209"/>
      <c r="BH50" s="209"/>
      <c r="BI50" s="209"/>
      <c r="BJ50" s="209"/>
      <c r="BK50" s="209"/>
      <c r="BL50" s="209"/>
      <c r="BM50" s="209"/>
      <c r="BN50" s="209"/>
      <c r="BO50" s="209"/>
      <c r="BP50" s="209"/>
      <c r="BQ50" s="209"/>
      <c r="BR50" s="209"/>
      <c r="BS50" s="209"/>
      <c r="BT50" s="209"/>
      <c r="BU50" s="209"/>
      <c r="BV50" s="209"/>
      <c r="BW50" s="209"/>
      <c r="BX50" s="209"/>
      <c r="BY50" s="209"/>
      <c r="BZ50" s="209"/>
      <c r="CA50" s="209"/>
      <c r="CB50" s="209"/>
      <c r="CC50" s="209"/>
      <c r="CD50" s="209"/>
      <c r="CE50" s="209"/>
      <c r="CF50" s="209"/>
      <c r="CG50" s="209"/>
      <c r="CH50" s="209"/>
      <c r="CI50" s="209"/>
      <c r="CJ50" s="209"/>
      <c r="CK50" s="209"/>
      <c r="CL50" s="209"/>
      <c r="CM50" s="209"/>
      <c r="CN50" s="209"/>
      <c r="CO50" s="209"/>
      <c r="CP50" s="209"/>
      <c r="CQ50" s="209"/>
      <c r="CR50" s="209"/>
      <c r="CS50" s="209"/>
      <c r="CT50" s="209"/>
      <c r="CU50" s="209"/>
      <c r="CV50" s="209"/>
      <c r="CW50" s="209"/>
      <c r="CX50" s="209"/>
      <c r="CY50" s="209"/>
      <c r="CZ50" s="209"/>
      <c r="DA50" s="209"/>
      <c r="DB50" s="209"/>
      <c r="DC50" s="209"/>
      <c r="DD50" s="209"/>
      <c r="DE50" s="209"/>
      <c r="DF50" s="209"/>
      <c r="DG50" s="209"/>
      <c r="DH50" s="209"/>
      <c r="DI50" s="209"/>
      <c r="DJ50" s="209"/>
      <c r="DK50" s="209"/>
      <c r="DL50" s="209"/>
      <c r="DM50" s="209"/>
      <c r="DN50" s="209"/>
      <c r="DO50" s="209"/>
      <c r="DP50" s="209"/>
      <c r="DQ50" s="209"/>
      <c r="DR50" s="209"/>
      <c r="DS50" s="209"/>
      <c r="DT50" s="209"/>
      <c r="DU50" s="209"/>
      <c r="DV50" s="209"/>
      <c r="DW50" s="209"/>
      <c r="DX50" s="209"/>
      <c r="DY50" s="209"/>
      <c r="DZ50" s="209"/>
      <c r="EA50" s="209"/>
      <c r="EB50" s="209"/>
      <c r="EC50" s="209"/>
      <c r="ED50" s="209"/>
      <c r="EE50" s="209"/>
      <c r="EF50" s="209"/>
      <c r="EG50" s="209"/>
      <c r="EH50" s="209"/>
      <c r="EI50" s="209"/>
      <c r="EJ50" s="209"/>
      <c r="EK50" s="209"/>
      <c r="EL50" s="209"/>
      <c r="EM50" s="209"/>
      <c r="EN50" s="209"/>
      <c r="EO50" s="209"/>
      <c r="EP50" s="209"/>
      <c r="EQ50" s="209"/>
      <c r="ER50" s="209"/>
      <c r="ES50" s="209"/>
      <c r="ET50" s="209"/>
      <c r="EU50" s="209"/>
      <c r="EV50" s="209"/>
      <c r="EW50" s="209"/>
      <c r="EX50" s="209"/>
      <c r="EY50" s="209"/>
      <c r="EZ50" s="209"/>
      <c r="FA50" s="209"/>
      <c r="FB50" s="209"/>
      <c r="FC50" s="209"/>
      <c r="FD50" s="209"/>
      <c r="FE50" s="209"/>
      <c r="FF50" s="209"/>
      <c r="FG50" s="209"/>
      <c r="FH50" s="209"/>
      <c r="FI50" s="209"/>
      <c r="FJ50" s="209"/>
      <c r="FK50" s="209"/>
      <c r="FL50" s="209"/>
      <c r="FM50" s="209"/>
      <c r="FN50" s="209"/>
      <c r="FO50" s="209"/>
      <c r="FP50" s="209"/>
      <c r="FQ50" s="209"/>
      <c r="FR50" s="209"/>
      <c r="FS50" s="209"/>
      <c r="FT50" s="209"/>
      <c r="FU50" s="209"/>
      <c r="FV50" s="209"/>
      <c r="FW50" s="209"/>
      <c r="FX50" s="209"/>
      <c r="FY50" s="209"/>
      <c r="FZ50" s="209"/>
      <c r="GA50" s="209"/>
      <c r="GB50" s="209"/>
      <c r="GC50" s="209"/>
      <c r="GD50" s="209"/>
      <c r="GE50" s="209"/>
      <c r="GF50" s="209"/>
      <c r="GG50" s="209"/>
      <c r="GH50" s="209"/>
      <c r="GI50" s="209"/>
      <c r="GJ50" s="209"/>
      <c r="GK50" s="209"/>
      <c r="GL50" s="209"/>
      <c r="GM50" s="209"/>
      <c r="GN50" s="209"/>
      <c r="GO50" s="209"/>
      <c r="GP50" s="209"/>
      <c r="GQ50" s="209"/>
      <c r="GR50" s="209"/>
      <c r="GS50" s="209"/>
      <c r="GT50" s="209"/>
      <c r="GU50" s="209"/>
      <c r="GV50" s="209"/>
      <c r="GW50" s="209"/>
      <c r="GX50" s="209"/>
      <c r="GY50" s="209"/>
      <c r="GZ50" s="209"/>
      <c r="HA50" s="209"/>
      <c r="HB50" s="209"/>
      <c r="HC50" s="209"/>
      <c r="HD50" s="209"/>
      <c r="HE50" s="209"/>
      <c r="HF50" s="209"/>
      <c r="HG50" s="209"/>
      <c r="HH50" s="209"/>
      <c r="HI50" s="209"/>
      <c r="HJ50" s="209"/>
      <c r="HK50" s="209"/>
      <c r="HL50" s="209"/>
      <c r="HM50" s="209"/>
      <c r="HN50" s="209"/>
      <c r="HO50" s="209"/>
      <c r="HP50" s="209"/>
      <c r="HQ50" s="209"/>
      <c r="HR50" s="209"/>
      <c r="HS50" s="209"/>
      <c r="HT50" s="209"/>
      <c r="HU50" s="209"/>
      <c r="HV50" s="209"/>
      <c r="HW50" s="209"/>
      <c r="HX50" s="209"/>
      <c r="HY50" s="209"/>
      <c r="HZ50" s="209"/>
      <c r="IA50" s="209"/>
      <c r="IB50" s="209"/>
      <c r="IC50" s="209"/>
      <c r="ID50" s="209"/>
      <c r="IE50" s="209"/>
      <c r="IF50" s="209"/>
      <c r="IG50" s="209"/>
      <c r="IH50" s="209"/>
      <c r="II50" s="209"/>
      <c r="IJ50" s="209"/>
      <c r="IK50" s="209"/>
      <c r="IL50" s="209"/>
      <c r="IM50" s="209"/>
      <c r="IN50" s="209"/>
      <c r="IO50" s="209"/>
      <c r="IP50" s="209"/>
      <c r="IQ50" s="209"/>
      <c r="IR50" s="209"/>
      <c r="IS50" s="209"/>
      <c r="IT50" s="209"/>
      <c r="IU50" s="209"/>
      <c r="IV50" s="209"/>
      <c r="IW50" s="209"/>
      <c r="IX50" s="209"/>
    </row>
    <row r="51" s="209" customFormat="true" ht="17.4" hidden="false" customHeight="false" outlineLevel="0" collapsed="false">
      <c r="A51" s="315"/>
      <c r="B51" s="31"/>
      <c r="C51" s="30"/>
      <c r="D51" s="85" t="s">
        <v>134</v>
      </c>
      <c r="E51" s="217" t="n">
        <f aca="false">IF(AND($F$2="No",$F$3="No"),SUM(J51:K51),IF(AND($F$2="Yes", $F$3="No"), SUM(J51:K51)+Q51, IF(AND($F$2="No", $F$3="Yes"),SUM(J51:K51)+P51, SUM(J51:K51)+Q51+P51)))</f>
        <v>0</v>
      </c>
      <c r="F51" s="89" t="n">
        <f aca="false">IF(AND($F$2="No",$F$3="No"),SUM(H51:O51),IF(AND($F$2="Yes", $F$3="No"), SUM(H51:O51)+Q51, IF(AND($F$2="No", $F$3="Yes"),SUM(H51:O51)+P51, SUM(H51:O51)+Q51+P51)))</f>
        <v>3.82531930764193</v>
      </c>
      <c r="G51" s="88" t="n">
        <f aca="false">SUM(S51:U51)/(1-'Common input data'!$B$121)</f>
        <v>4.66084175634554</v>
      </c>
      <c r="H51" s="89" t="n">
        <f aca="false">('Input data plant-based products'!$F$73*('Common input data'!$B$76*'Common input data'!B69+'Common input data'!$B$77*'Common input data'!C69))/'Input data plant-based products'!$E$73</f>
        <v>0.00892453235515272</v>
      </c>
      <c r="I51" s="89" t="n">
        <f aca="false">'Common input data'!$B$81</f>
        <v>0.03</v>
      </c>
      <c r="J51" s="89" t="n">
        <v>0</v>
      </c>
      <c r="K51" s="89" t="n">
        <v>0</v>
      </c>
      <c r="L51" s="89" t="n">
        <v>0</v>
      </c>
      <c r="M51" s="89" t="n">
        <f aca="false">'Input data plant-based products'!M144/'Input data plant-based products'!E$73</f>
        <v>3.78639477528677</v>
      </c>
      <c r="N51" s="89" t="n">
        <v>0</v>
      </c>
      <c r="O51" s="89" t="n">
        <v>0</v>
      </c>
      <c r="P51" s="89" t="n">
        <v>0</v>
      </c>
      <c r="Q51" s="89" t="n">
        <v>0</v>
      </c>
      <c r="R51" s="89" t="n">
        <v>0</v>
      </c>
      <c r="S51" s="89" t="n">
        <f aca="false">F51+R51</f>
        <v>3.82531930764193</v>
      </c>
      <c r="T51" s="89" t="n">
        <f aca="false">'Common input data'!$B$88</f>
        <v>0.05</v>
      </c>
      <c r="U51" s="89" t="n">
        <f aca="false">'Common input data'!C98</f>
        <v>0.03</v>
      </c>
      <c r="V51" s="309"/>
      <c r="W51" s="92"/>
      <c r="Z51" s="30"/>
    </row>
    <row r="52" s="209" customFormat="true" ht="17.4" hidden="false" customHeight="false" outlineLevel="0" collapsed="false">
      <c r="A52" s="74"/>
      <c r="B52" s="31"/>
      <c r="C52" s="93"/>
      <c r="D52" s="85" t="s">
        <v>135</v>
      </c>
      <c r="E52" s="217" t="n">
        <f aca="false">SUM(J52:K52)</f>
        <v>0</v>
      </c>
      <c r="F52" s="89" t="n">
        <f aca="false">SUM(H52:O52)</f>
        <v>0.00606648133556281</v>
      </c>
      <c r="G52" s="88" t="n">
        <f aca="false">SUM(S52:U52)/(1-'Common input data'!$B$121)</f>
        <v>0.00724010184456714</v>
      </c>
      <c r="H52" s="89" t="n">
        <f aca="false">('Input data plant-based products'!$F$73*('Common input data'!$B$76*'Common input data'!B70+'Common input data'!$B$77*'Common input data'!C70))/'Input data plant-based products'!$E$73</f>
        <v>2.38930581221017E-011</v>
      </c>
      <c r="I52" s="89" t="n">
        <v>0</v>
      </c>
      <c r="J52" s="89" t="n">
        <v>0</v>
      </c>
      <c r="K52" s="89" t="n">
        <v>0</v>
      </c>
      <c r="L52" s="89" t="n">
        <v>0</v>
      </c>
      <c r="M52" s="89" t="n">
        <f aca="false">'Input data plant-based products'!N144/'Input data plant-based products'!E$73</f>
        <v>0.00606648131166975</v>
      </c>
      <c r="N52" s="89" t="n">
        <v>0</v>
      </c>
      <c r="O52" s="89" t="n">
        <v>0</v>
      </c>
      <c r="P52" s="89" t="n">
        <v>0</v>
      </c>
      <c r="Q52" s="89" t="n">
        <v>0</v>
      </c>
      <c r="R52" s="89" t="n">
        <v>0</v>
      </c>
      <c r="S52" s="89" t="n">
        <f aca="false">F52+R52</f>
        <v>0.00606648133556281</v>
      </c>
      <c r="T52" s="89" t="n">
        <v>0</v>
      </c>
      <c r="U52" s="89" t="n">
        <v>0</v>
      </c>
      <c r="V52" s="309"/>
      <c r="W52" s="92"/>
      <c r="Z52" s="30"/>
    </row>
    <row r="53" s="209" customFormat="true" ht="17.4" hidden="false" customHeight="false" outlineLevel="0" collapsed="false">
      <c r="A53" s="100"/>
      <c r="B53" s="101"/>
      <c r="C53" s="87"/>
      <c r="D53" s="31" t="s">
        <v>136</v>
      </c>
      <c r="E53" s="217" t="n">
        <f aca="false">SUM(J53:K53)</f>
        <v>5.8624076665986E-005</v>
      </c>
      <c r="F53" s="89" t="n">
        <f aca="false">SUM(H53:O53)</f>
        <v>0.000291548657096689</v>
      </c>
      <c r="G53" s="88" t="n">
        <f aca="false">SUM(S53:U53)/(1-'Common input data'!$B$121)</f>
        <v>0.000347951613673098</v>
      </c>
      <c r="H53" s="89" t="n">
        <f aca="false">('Input data plant-based products'!$F$73*('Common input data'!$B$76*'Common input data'!B71+'Common input data'!$B$77*'Common input data'!C71))/'Input data plant-based products'!$E$73</f>
        <v>3.62487721255529E-005</v>
      </c>
      <c r="I53" s="89" t="n">
        <v>0</v>
      </c>
      <c r="J53" s="89" t="n">
        <f aca="false">(SUM('Input data plant-based products'!F73:H73)*'Input data plant-based products'!$B$114*44/28)/'Input data plant-based products'!E73</f>
        <v>5.58856784232469E-005</v>
      </c>
      <c r="K53" s="89" t="n">
        <f aca="false">J53*'Input data plant-based products'!$B$115*(1-'Input data plant-based products'!L144)</f>
        <v>2.7383982427391E-006</v>
      </c>
      <c r="L53" s="89" t="n">
        <v>0</v>
      </c>
      <c r="M53" s="89" t="n">
        <f aca="false">'Input data plant-based products'!O144/'Input data plant-based products'!E$73</f>
        <v>0.00019667580830515</v>
      </c>
      <c r="N53" s="89" t="n">
        <v>0</v>
      </c>
      <c r="O53" s="89" t="n">
        <v>0</v>
      </c>
      <c r="P53" s="89" t="n">
        <v>0</v>
      </c>
      <c r="Q53" s="89" t="n">
        <v>0</v>
      </c>
      <c r="R53" s="89" t="n">
        <v>0</v>
      </c>
      <c r="S53" s="89" t="n">
        <f aca="false">F53+R53</f>
        <v>0.000291548657096689</v>
      </c>
      <c r="T53" s="89" t="n">
        <v>0</v>
      </c>
      <c r="U53" s="89" t="n">
        <v>0</v>
      </c>
      <c r="V53" s="309"/>
      <c r="W53" s="92"/>
      <c r="Z53" s="30"/>
    </row>
    <row r="54" s="332" customFormat="true" ht="17.4" hidden="false" customHeight="false" outlineLevel="0" collapsed="false">
      <c r="A54" s="330" t="s">
        <v>285</v>
      </c>
      <c r="B54" s="76" t="s">
        <v>254</v>
      </c>
      <c r="C54" s="97" t="n">
        <f aca="false">'Input data plant-based products'!D74</f>
        <v>0.34</v>
      </c>
      <c r="D54" s="78" t="s">
        <v>133</v>
      </c>
      <c r="E54" s="94" t="n">
        <f aca="false">IF($F$1="GWP100 without fb",E55+E56*'Common input data'!$C$5+E57*'Common input data'!$D$5,IF($F$1="GWP100 with fb",E55+E56*'Common input data'!$C$6+E57*'Common input data'!$D$6,IF($F$1="GTP100 without fb",E55+E56*'Common input data'!$C$7+E57*'Common input data'!$D$7,IF($F$1="GTP100 with fb",E55+E56*'Common input data'!$C$8+E57*'Common input data'!$D$8,E55+E56*'Common input data'!$C$9+E57*'Common input data'!$D$9))))</f>
        <v>-0.0689775934833525</v>
      </c>
      <c r="F54" s="95" t="n">
        <f aca="false">IF($F$1="GWP100 without fb",F55+F56*'Common input data'!$C$5+F57*'Common input data'!$D$5,IF($F$1="GWP100 with fb",F55+F56*'Common input data'!$C$6+F57*'Common input data'!$D$6,IF($F$1="GTP100 without fb",F55+F56*'Common input data'!$C$7+F57*'Common input data'!$D$7,IF($F$1="GTP100 with fb",F55+F56*'Common input data'!$C$8+F57*'Common input data'!$D$8,F55+F56*'Common input data'!$C$9+F57*'Common input data'!$D$9))))</f>
        <v>0.0673070852272347</v>
      </c>
      <c r="G54" s="96" t="n">
        <f aca="false">IF($F$1="GWP100 without fb",G55+G56*'Common input data'!$C$5+G57*'Common input data'!$D$5,IF($F$1="GWP100 with fb",G55+G56*'Common input data'!$C$6+G57*'Common input data'!$D$6,IF($F$1="GTP100 without fb",G55+G56*'Common input data'!$C$7+G57*'Common input data'!$D$7,IF($F$1="GTP100 with fb",G55+G56*'Common input data'!$C$8+G57*'Common input data'!$D$8,G55+G56*'Common input data'!$C$9+G57*'Common input data'!$D$9))))</f>
        <v>0.41449705839269</v>
      </c>
      <c r="H54" s="83"/>
      <c r="I54" s="83"/>
      <c r="J54" s="83"/>
      <c r="K54" s="83"/>
      <c r="L54" s="83"/>
      <c r="M54" s="83"/>
      <c r="N54" s="83"/>
      <c r="O54" s="83"/>
      <c r="P54" s="83"/>
      <c r="Q54" s="83"/>
      <c r="R54" s="83"/>
      <c r="S54" s="83"/>
      <c r="T54" s="83"/>
      <c r="U54" s="83"/>
      <c r="V54" s="309"/>
      <c r="W54" s="92"/>
      <c r="X54" s="209"/>
      <c r="Y54" s="209"/>
      <c r="Z54" s="30"/>
      <c r="AA54" s="209"/>
      <c r="AB54" s="209"/>
      <c r="AC54" s="209"/>
      <c r="AD54" s="209"/>
      <c r="AE54" s="209"/>
      <c r="AF54" s="209"/>
      <c r="AG54" s="209"/>
      <c r="AH54" s="209"/>
      <c r="AI54" s="209"/>
      <c r="AJ54" s="209"/>
      <c r="AK54" s="209"/>
      <c r="AL54" s="209"/>
      <c r="AM54" s="209"/>
      <c r="AN54" s="209"/>
      <c r="AO54" s="209"/>
      <c r="AP54" s="209"/>
      <c r="AQ54" s="209"/>
      <c r="AR54" s="209"/>
      <c r="AS54" s="209"/>
      <c r="AT54" s="209"/>
      <c r="AU54" s="209"/>
      <c r="AV54" s="209"/>
      <c r="AW54" s="209"/>
      <c r="AX54" s="209"/>
      <c r="AY54" s="209"/>
      <c r="AZ54" s="209"/>
      <c r="BA54" s="209"/>
      <c r="BB54" s="209"/>
      <c r="BC54" s="209"/>
      <c r="BD54" s="209"/>
      <c r="BE54" s="209"/>
      <c r="BF54" s="209"/>
      <c r="BG54" s="209"/>
      <c r="BH54" s="209"/>
      <c r="BI54" s="209"/>
      <c r="BJ54" s="209"/>
      <c r="BK54" s="209"/>
      <c r="BL54" s="209"/>
      <c r="BM54" s="209"/>
      <c r="BN54" s="209"/>
      <c r="BO54" s="209"/>
      <c r="BP54" s="209"/>
      <c r="BQ54" s="209"/>
      <c r="BR54" s="209"/>
      <c r="BS54" s="209"/>
      <c r="BT54" s="209"/>
      <c r="BU54" s="209"/>
      <c r="BV54" s="209"/>
      <c r="BW54" s="209"/>
      <c r="BX54" s="209"/>
      <c r="BY54" s="209"/>
      <c r="BZ54" s="209"/>
      <c r="CA54" s="209"/>
      <c r="CB54" s="209"/>
      <c r="CC54" s="209"/>
      <c r="CD54" s="209"/>
      <c r="CE54" s="209"/>
      <c r="CF54" s="209"/>
      <c r="CG54" s="209"/>
      <c r="CH54" s="209"/>
      <c r="CI54" s="209"/>
      <c r="CJ54" s="209"/>
      <c r="CK54" s="209"/>
      <c r="CL54" s="209"/>
      <c r="CM54" s="209"/>
      <c r="CN54" s="209"/>
      <c r="CO54" s="209"/>
      <c r="CP54" s="209"/>
      <c r="CQ54" s="209"/>
      <c r="CR54" s="209"/>
      <c r="CS54" s="209"/>
      <c r="CT54" s="209"/>
      <c r="CU54" s="209"/>
      <c r="CV54" s="209"/>
      <c r="CW54" s="209"/>
      <c r="CX54" s="209"/>
      <c r="CY54" s="209"/>
      <c r="CZ54" s="209"/>
      <c r="DA54" s="209"/>
      <c r="DB54" s="209"/>
      <c r="DC54" s="209"/>
      <c r="DD54" s="209"/>
      <c r="DE54" s="209"/>
      <c r="DF54" s="209"/>
      <c r="DG54" s="209"/>
      <c r="DH54" s="209"/>
      <c r="DI54" s="209"/>
      <c r="DJ54" s="209"/>
      <c r="DK54" s="209"/>
      <c r="DL54" s="209"/>
      <c r="DM54" s="209"/>
      <c r="DN54" s="209"/>
      <c r="DO54" s="209"/>
      <c r="DP54" s="209"/>
      <c r="DQ54" s="209"/>
      <c r="DR54" s="209"/>
      <c r="DS54" s="209"/>
      <c r="DT54" s="209"/>
      <c r="DU54" s="209"/>
      <c r="DV54" s="209"/>
      <c r="DW54" s="209"/>
      <c r="DX54" s="209"/>
      <c r="DY54" s="209"/>
      <c r="DZ54" s="209"/>
      <c r="EA54" s="209"/>
      <c r="EB54" s="209"/>
      <c r="EC54" s="209"/>
      <c r="ED54" s="209"/>
      <c r="EE54" s="209"/>
      <c r="EF54" s="209"/>
      <c r="EG54" s="209"/>
      <c r="EH54" s="209"/>
      <c r="EI54" s="209"/>
      <c r="EJ54" s="209"/>
      <c r="EK54" s="209"/>
      <c r="EL54" s="209"/>
      <c r="EM54" s="209"/>
      <c r="EN54" s="209"/>
      <c r="EO54" s="209"/>
      <c r="EP54" s="209"/>
      <c r="EQ54" s="209"/>
      <c r="ER54" s="209"/>
      <c r="ES54" s="209"/>
      <c r="ET54" s="209"/>
      <c r="EU54" s="209"/>
      <c r="EV54" s="209"/>
      <c r="EW54" s="209"/>
      <c r="EX54" s="209"/>
      <c r="EY54" s="209"/>
      <c r="EZ54" s="209"/>
      <c r="FA54" s="209"/>
      <c r="FB54" s="209"/>
      <c r="FC54" s="209"/>
      <c r="FD54" s="209"/>
      <c r="FE54" s="209"/>
      <c r="FF54" s="209"/>
      <c r="FG54" s="209"/>
      <c r="FH54" s="209"/>
      <c r="FI54" s="209"/>
      <c r="FJ54" s="209"/>
      <c r="FK54" s="209"/>
      <c r="FL54" s="209"/>
      <c r="FM54" s="209"/>
      <c r="FN54" s="209"/>
      <c r="FO54" s="209"/>
      <c r="FP54" s="209"/>
      <c r="FQ54" s="209"/>
      <c r="FR54" s="209"/>
      <c r="FS54" s="209"/>
      <c r="FT54" s="209"/>
      <c r="FU54" s="209"/>
      <c r="FV54" s="209"/>
      <c r="FW54" s="209"/>
      <c r="FX54" s="209"/>
      <c r="FY54" s="209"/>
      <c r="FZ54" s="209"/>
      <c r="GA54" s="209"/>
      <c r="GB54" s="209"/>
      <c r="GC54" s="209"/>
      <c r="GD54" s="209"/>
      <c r="GE54" s="209"/>
      <c r="GF54" s="209"/>
      <c r="GG54" s="209"/>
      <c r="GH54" s="209"/>
      <c r="GI54" s="209"/>
      <c r="GJ54" s="209"/>
      <c r="GK54" s="209"/>
      <c r="GL54" s="209"/>
      <c r="GM54" s="209"/>
      <c r="GN54" s="209"/>
      <c r="GO54" s="209"/>
      <c r="GP54" s="209"/>
      <c r="GQ54" s="209"/>
      <c r="GR54" s="209"/>
      <c r="GS54" s="209"/>
      <c r="GT54" s="209"/>
      <c r="GU54" s="209"/>
      <c r="GV54" s="209"/>
      <c r="GW54" s="209"/>
      <c r="GX54" s="209"/>
      <c r="GY54" s="209"/>
      <c r="GZ54" s="209"/>
      <c r="HA54" s="209"/>
      <c r="HB54" s="209"/>
      <c r="HC54" s="209"/>
      <c r="HD54" s="209"/>
      <c r="HE54" s="209"/>
      <c r="HF54" s="209"/>
      <c r="HG54" s="209"/>
      <c r="HH54" s="209"/>
      <c r="HI54" s="209"/>
      <c r="HJ54" s="209"/>
      <c r="HK54" s="209"/>
      <c r="HL54" s="209"/>
      <c r="HM54" s="209"/>
      <c r="HN54" s="209"/>
      <c r="HO54" s="209"/>
      <c r="HP54" s="209"/>
      <c r="HQ54" s="209"/>
      <c r="HR54" s="209"/>
      <c r="HS54" s="209"/>
      <c r="HT54" s="209"/>
      <c r="HU54" s="209"/>
      <c r="HV54" s="209"/>
      <c r="HW54" s="209"/>
      <c r="HX54" s="209"/>
      <c r="HY54" s="209"/>
      <c r="HZ54" s="209"/>
      <c r="IA54" s="209"/>
      <c r="IB54" s="209"/>
      <c r="IC54" s="209"/>
      <c r="ID54" s="209"/>
      <c r="IE54" s="209"/>
      <c r="IF54" s="209"/>
      <c r="IG54" s="209"/>
      <c r="IH54" s="209"/>
      <c r="II54" s="209"/>
      <c r="IJ54" s="209"/>
      <c r="IK54" s="209"/>
      <c r="IL54" s="209"/>
      <c r="IM54" s="209"/>
      <c r="IN54" s="209"/>
      <c r="IO54" s="209"/>
      <c r="IP54" s="209"/>
      <c r="IQ54" s="209"/>
      <c r="IR54" s="209"/>
      <c r="IS54" s="209"/>
      <c r="IT54" s="209"/>
      <c r="IU54" s="209"/>
      <c r="IV54" s="209"/>
      <c r="IW54" s="209"/>
      <c r="IX54" s="209"/>
    </row>
    <row r="55" s="209" customFormat="true" ht="17.4" hidden="false" customHeight="false" outlineLevel="0" collapsed="false">
      <c r="A55" s="99"/>
      <c r="B55" s="31"/>
      <c r="C55" s="30"/>
      <c r="D55" s="85" t="s">
        <v>134</v>
      </c>
      <c r="E55" s="217" t="n">
        <f aca="false">IF(AND($F$2="No",$F$3="No"),SUM(J55:K55),IF(AND($F$2="Yes", $F$3="No"), SUM(J55:K55)+Q55, IF(AND($F$2="No", $F$3="Yes"),SUM(J55:K55)+P55, SUM(J55:K55)+Q55+P55)))</f>
        <v>-0.0911390481413813</v>
      </c>
      <c r="F55" s="89" t="n">
        <f aca="false">IF(AND($F$2="No",$F$3="No"),SUM(H55:O55),IF(AND($F$2="Yes", $F$3="No"), SUM(H55:O55)+Q55, IF(AND($F$2="No", $F$3="Yes"),SUM(H55:O55)+P55, SUM(H55:O55)+Q55+P55)))</f>
        <v>0.0258825007004379</v>
      </c>
      <c r="G55" s="88" t="n">
        <f aca="false">SUM(S55:U55)/(1-'Common input data'!$B$121)</f>
        <v>0.365058480368108</v>
      </c>
      <c r="H55" s="89" t="n">
        <f aca="false">('Input data plant-based products'!$F$74*('Common input data'!$C$76*'Common input data'!B69+'Common input data'!$C$77*'Common input data'!C69))/'Input data plant-based products'!$E$74</f>
        <v>0.0114721304409779</v>
      </c>
      <c r="I55" s="89" t="n">
        <f aca="false">'Common input data'!$B$81</f>
        <v>0.03</v>
      </c>
      <c r="J55" s="89" t="n">
        <v>0</v>
      </c>
      <c r="K55" s="89" t="n">
        <v>0</v>
      </c>
      <c r="L55" s="89" t="n">
        <f aca="false">('Input data plant-based products'!$I$74*'Common input data'!$C$59*'Common input data'!H49)/'Input data plant-based products'!$E$74</f>
        <v>0.0255494184008413</v>
      </c>
      <c r="M55" s="89" t="n">
        <v>0</v>
      </c>
      <c r="N55" s="89" t="n">
        <f aca="false">'Input data plant-based products'!F$152</f>
        <v>0.05</v>
      </c>
      <c r="O55" s="89" t="n">
        <v>0</v>
      </c>
      <c r="P55" s="89" t="n">
        <f aca="false">'Common input data'!F$13</f>
        <v>-0.0911390481413813</v>
      </c>
      <c r="Q55" s="89" t="n">
        <v>0</v>
      </c>
      <c r="R55" s="89" t="n">
        <v>0</v>
      </c>
      <c r="S55" s="89" t="n">
        <f aca="false">F55+R55</f>
        <v>0.0258825007004379</v>
      </c>
      <c r="T55" s="89" t="n">
        <f aca="false">'Common input data'!$B$88</f>
        <v>0.05</v>
      </c>
      <c r="U55" s="89" t="n">
        <f aca="false">'Common input data'!B100+'Common input data'!C100</f>
        <v>0.23</v>
      </c>
      <c r="V55" s="309"/>
      <c r="W55" s="92"/>
      <c r="Z55" s="30"/>
    </row>
    <row r="56" s="209" customFormat="true" ht="17.4" hidden="false" customHeight="false" outlineLevel="0" collapsed="false">
      <c r="A56" s="74"/>
      <c r="B56" s="31"/>
      <c r="C56" s="93"/>
      <c r="D56" s="85" t="s">
        <v>135</v>
      </c>
      <c r="E56" s="217" t="n">
        <f aca="false">SUM(J56:K56)</f>
        <v>0</v>
      </c>
      <c r="F56" s="89" t="n">
        <f aca="false">SUM(H56:O56)</f>
        <v>1.13175814150228E-005</v>
      </c>
      <c r="G56" s="88" t="n">
        <f aca="false">SUM(S56:U56)/(1-'Common input data'!$B$121)</f>
        <v>1.35070789056245E-005</v>
      </c>
      <c r="H56" s="89" t="n">
        <f aca="false">('Input data plant-based products'!$F$74*('Common input data'!$C$76*'Common input data'!B70+'Common input data'!$C$77*'Common input data'!C70))/'Input data plant-based products'!$E$74</f>
        <v>5.05823002645081E-011</v>
      </c>
      <c r="I56" s="89" t="n">
        <v>0</v>
      </c>
      <c r="J56" s="89" t="n">
        <v>0</v>
      </c>
      <c r="K56" s="89" t="n">
        <v>0</v>
      </c>
      <c r="L56" s="89" t="n">
        <f aca="false">('Input data plant-based products'!$I$74*'Common input data'!$C$59*'Common input data'!H50)/'Input data plant-based products'!$E$74</f>
        <v>1.13175308327225E-005</v>
      </c>
      <c r="M56" s="89" t="n">
        <v>0</v>
      </c>
      <c r="N56" s="89" t="n">
        <v>0</v>
      </c>
      <c r="O56" s="89" t="n">
        <v>0</v>
      </c>
      <c r="P56" s="89" t="n">
        <v>0</v>
      </c>
      <c r="Q56" s="89" t="n">
        <v>0</v>
      </c>
      <c r="R56" s="89" t="n">
        <v>0</v>
      </c>
      <c r="S56" s="89" t="n">
        <f aca="false">F56+R56</f>
        <v>1.13175814150228E-005</v>
      </c>
      <c r="T56" s="89" t="n">
        <v>0</v>
      </c>
      <c r="U56" s="89" t="n">
        <v>0</v>
      </c>
      <c r="V56" s="309"/>
      <c r="W56" s="92"/>
      <c r="Z56" s="30"/>
    </row>
    <row r="57" s="209" customFormat="true" ht="17.4" hidden="false" customHeight="false" outlineLevel="0" collapsed="false">
      <c r="A57" s="100"/>
      <c r="B57" s="101"/>
      <c r="C57" s="87"/>
      <c r="D57" s="31" t="s">
        <v>136</v>
      </c>
      <c r="E57" s="217" t="n">
        <f aca="false">SUM(J57:K57)</f>
        <v>7.43672975101638E-005</v>
      </c>
      <c r="F57" s="89" t="n">
        <f aca="false">SUM(H57:O57)</f>
        <v>0.00013771740523049</v>
      </c>
      <c r="G57" s="88" t="n">
        <f aca="false">SUM(S57:U57)/(1-'Common input data'!$B$121)</f>
        <v>0.000164360192422115</v>
      </c>
      <c r="H57" s="89" t="n">
        <f aca="false">('Input data plant-based products'!$F$74*('Common input data'!$C$76*'Common input data'!B71+'Common input data'!$C$77*'Common input data'!C71))/'Input data plant-based products'!$E$74</f>
        <v>6.26635848865838E-005</v>
      </c>
      <c r="I57" s="89" t="n">
        <v>0</v>
      </c>
      <c r="J57" s="89" t="n">
        <f aca="false">(SUM('Input data plant-based products'!F74:H74)*'Input data plant-based products'!$B$114*44/28)/'Input data plant-based products'!E74</f>
        <v>6.76066341001489E-005</v>
      </c>
      <c r="K57" s="89" t="n">
        <f aca="false">J57*'Input data plant-based products'!$B$115</f>
        <v>6.76066341001489E-006</v>
      </c>
      <c r="L57" s="89" t="n">
        <f aca="false">('Input data plant-based products'!$I$74*'Common input data'!$C$59*'Common input data'!H51)/'Input data plant-based products'!$E$74</f>
        <v>6.86522833742312E-007</v>
      </c>
      <c r="M57" s="89" t="n">
        <v>0</v>
      </c>
      <c r="N57" s="89" t="n">
        <v>0</v>
      </c>
      <c r="O57" s="89" t="n">
        <v>0</v>
      </c>
      <c r="P57" s="89" t="n">
        <v>0</v>
      </c>
      <c r="Q57" s="89" t="n">
        <v>0</v>
      </c>
      <c r="R57" s="89" t="n">
        <v>0</v>
      </c>
      <c r="S57" s="89" t="n">
        <f aca="false">F57+R57</f>
        <v>0.00013771740523049</v>
      </c>
      <c r="T57" s="89" t="n">
        <v>0</v>
      </c>
      <c r="U57" s="89" t="n">
        <v>0</v>
      </c>
      <c r="V57" s="309"/>
      <c r="W57" s="92"/>
      <c r="Z57" s="30"/>
    </row>
    <row r="58" s="332" customFormat="true" ht="17.4" hidden="false" customHeight="false" outlineLevel="0" collapsed="false">
      <c r="A58" s="330" t="s">
        <v>187</v>
      </c>
      <c r="B58" s="76" t="s">
        <v>254</v>
      </c>
      <c r="C58" s="97" t="n">
        <f aca="false">'Input data plant-based products'!D75</f>
        <v>0.16</v>
      </c>
      <c r="D58" s="78" t="s">
        <v>133</v>
      </c>
      <c r="E58" s="94" t="n">
        <f aca="false">IF($F$1="GWP100 without fb",E59+E60*'Common input data'!$C$5+E61*'Common input data'!$D$5,IF($F$1="GWP100 with fb",E59+E60*'Common input data'!$C$6+E61*'Common input data'!$D$6,IF($F$1="GTP100 without fb",E59+E60*'Common input data'!$C$7+E61*'Common input data'!$D$7,IF($F$1="GTP100 with fb",E59+E60*'Common input data'!$C$8+E61*'Common input data'!$D$8,E59+E60*'Common input data'!$C$9+E61*'Common input data'!$D$9))))</f>
        <v>-0.0728274389732193</v>
      </c>
      <c r="F58" s="95" t="n">
        <f aca="false">IF($F$1="GWP100 without fb",F59+F60*'Common input data'!$C$5+F61*'Common input data'!$D$5,IF($F$1="GWP100 with fb",F59+F60*'Common input data'!$C$6+F61*'Common input data'!$D$6,IF($F$1="GTP100 without fb",F59+F60*'Common input data'!$C$7+F61*'Common input data'!$D$7,IF($F$1="GTP100 with fb",F59+F60*'Common input data'!$C$8+F61*'Common input data'!$D$8,F59+F60*'Common input data'!$C$9+F61*'Common input data'!$D$9))))</f>
        <v>0.0598504348559012</v>
      </c>
      <c r="G58" s="96" t="n">
        <f aca="false">IF($F$1="GWP100 without fb",G59+G60*'Common input data'!$C$5+G61*'Common input data'!$D$5,IF($F$1="GWP100 with fb",G59+G60*'Common input data'!$C$6+G61*'Common input data'!$D$6,IF($F$1="GTP100 without fb",G59+G60*'Common input data'!$C$7+G61*'Common input data'!$D$7,IF($F$1="GTP100 with fb",G59+G60*'Common input data'!$C$8+G61*'Common input data'!$D$8,G59+G60*'Common input data'!$C$9+G61*'Common input data'!$D$9))))</f>
        <v>0.286251861625374</v>
      </c>
      <c r="H58" s="83"/>
      <c r="I58" s="83"/>
      <c r="J58" s="83"/>
      <c r="K58" s="83"/>
      <c r="L58" s="83"/>
      <c r="M58" s="83"/>
      <c r="N58" s="83"/>
      <c r="O58" s="83"/>
      <c r="P58" s="83"/>
      <c r="Q58" s="83"/>
      <c r="R58" s="83"/>
      <c r="S58" s="83"/>
      <c r="T58" s="83"/>
      <c r="U58" s="83"/>
      <c r="V58" s="309"/>
      <c r="W58" s="92"/>
      <c r="X58" s="209"/>
      <c r="Y58" s="209"/>
      <c r="Z58" s="30"/>
      <c r="AA58" s="209"/>
      <c r="AB58" s="209"/>
      <c r="AC58" s="209"/>
      <c r="AD58" s="209"/>
      <c r="AE58" s="209"/>
      <c r="AF58" s="209"/>
      <c r="AG58" s="209"/>
      <c r="AH58" s="209"/>
      <c r="AI58" s="209"/>
      <c r="AJ58" s="209"/>
      <c r="AK58" s="209"/>
      <c r="AL58" s="209"/>
      <c r="AM58" s="209"/>
      <c r="AN58" s="209"/>
      <c r="AO58" s="209"/>
      <c r="AP58" s="209"/>
      <c r="AQ58" s="209"/>
      <c r="AR58" s="209"/>
      <c r="AS58" s="209"/>
      <c r="AT58" s="209"/>
      <c r="AU58" s="209"/>
      <c r="AV58" s="209"/>
      <c r="AW58" s="209"/>
      <c r="AX58" s="209"/>
      <c r="AY58" s="209"/>
      <c r="AZ58" s="209"/>
      <c r="BA58" s="209"/>
      <c r="BB58" s="209"/>
      <c r="BC58" s="209"/>
      <c r="BD58" s="209"/>
      <c r="BE58" s="209"/>
      <c r="BF58" s="209"/>
      <c r="BG58" s="209"/>
      <c r="BH58" s="209"/>
      <c r="BI58" s="209"/>
      <c r="BJ58" s="209"/>
      <c r="BK58" s="209"/>
      <c r="BL58" s="209"/>
      <c r="BM58" s="209"/>
      <c r="BN58" s="209"/>
      <c r="BO58" s="209"/>
      <c r="BP58" s="209"/>
      <c r="BQ58" s="209"/>
      <c r="BR58" s="209"/>
      <c r="BS58" s="209"/>
      <c r="BT58" s="209"/>
      <c r="BU58" s="209"/>
      <c r="BV58" s="209"/>
      <c r="BW58" s="209"/>
      <c r="BX58" s="209"/>
      <c r="BY58" s="209"/>
      <c r="BZ58" s="209"/>
      <c r="CA58" s="209"/>
      <c r="CB58" s="209"/>
      <c r="CC58" s="209"/>
      <c r="CD58" s="209"/>
      <c r="CE58" s="209"/>
      <c r="CF58" s="209"/>
      <c r="CG58" s="209"/>
      <c r="CH58" s="209"/>
      <c r="CI58" s="209"/>
      <c r="CJ58" s="209"/>
      <c r="CK58" s="209"/>
      <c r="CL58" s="209"/>
      <c r="CM58" s="209"/>
      <c r="CN58" s="209"/>
      <c r="CO58" s="209"/>
      <c r="CP58" s="209"/>
      <c r="CQ58" s="209"/>
      <c r="CR58" s="209"/>
      <c r="CS58" s="209"/>
      <c r="CT58" s="209"/>
      <c r="CU58" s="209"/>
      <c r="CV58" s="209"/>
      <c r="CW58" s="209"/>
      <c r="CX58" s="209"/>
      <c r="CY58" s="209"/>
      <c r="CZ58" s="209"/>
      <c r="DA58" s="209"/>
      <c r="DB58" s="209"/>
      <c r="DC58" s="209"/>
      <c r="DD58" s="209"/>
      <c r="DE58" s="209"/>
      <c r="DF58" s="209"/>
      <c r="DG58" s="209"/>
      <c r="DH58" s="209"/>
      <c r="DI58" s="209"/>
      <c r="DJ58" s="209"/>
      <c r="DK58" s="209"/>
      <c r="DL58" s="209"/>
      <c r="DM58" s="209"/>
      <c r="DN58" s="209"/>
      <c r="DO58" s="209"/>
      <c r="DP58" s="209"/>
      <c r="DQ58" s="209"/>
      <c r="DR58" s="209"/>
      <c r="DS58" s="209"/>
      <c r="DT58" s="209"/>
      <c r="DU58" s="209"/>
      <c r="DV58" s="209"/>
      <c r="DW58" s="209"/>
      <c r="DX58" s="209"/>
      <c r="DY58" s="209"/>
      <c r="DZ58" s="209"/>
      <c r="EA58" s="209"/>
      <c r="EB58" s="209"/>
      <c r="EC58" s="209"/>
      <c r="ED58" s="209"/>
      <c r="EE58" s="209"/>
      <c r="EF58" s="209"/>
      <c r="EG58" s="209"/>
      <c r="EH58" s="209"/>
      <c r="EI58" s="209"/>
      <c r="EJ58" s="209"/>
      <c r="EK58" s="209"/>
      <c r="EL58" s="209"/>
      <c r="EM58" s="209"/>
      <c r="EN58" s="209"/>
      <c r="EO58" s="209"/>
      <c r="EP58" s="209"/>
      <c r="EQ58" s="209"/>
      <c r="ER58" s="209"/>
      <c r="ES58" s="209"/>
      <c r="ET58" s="209"/>
      <c r="EU58" s="209"/>
      <c r="EV58" s="209"/>
      <c r="EW58" s="209"/>
      <c r="EX58" s="209"/>
      <c r="EY58" s="209"/>
      <c r="EZ58" s="209"/>
      <c r="FA58" s="209"/>
      <c r="FB58" s="209"/>
      <c r="FC58" s="209"/>
      <c r="FD58" s="209"/>
      <c r="FE58" s="209"/>
      <c r="FF58" s="209"/>
      <c r="FG58" s="209"/>
      <c r="FH58" s="209"/>
      <c r="FI58" s="209"/>
      <c r="FJ58" s="209"/>
      <c r="FK58" s="209"/>
      <c r="FL58" s="209"/>
      <c r="FM58" s="209"/>
      <c r="FN58" s="209"/>
      <c r="FO58" s="209"/>
      <c r="FP58" s="209"/>
      <c r="FQ58" s="209"/>
      <c r="FR58" s="209"/>
      <c r="FS58" s="209"/>
      <c r="FT58" s="209"/>
      <c r="FU58" s="209"/>
      <c r="FV58" s="209"/>
      <c r="FW58" s="209"/>
      <c r="FX58" s="209"/>
      <c r="FY58" s="209"/>
      <c r="FZ58" s="209"/>
      <c r="GA58" s="209"/>
      <c r="GB58" s="209"/>
      <c r="GC58" s="209"/>
      <c r="GD58" s="209"/>
      <c r="GE58" s="209"/>
      <c r="GF58" s="209"/>
      <c r="GG58" s="209"/>
      <c r="GH58" s="209"/>
      <c r="GI58" s="209"/>
      <c r="GJ58" s="209"/>
      <c r="GK58" s="209"/>
      <c r="GL58" s="209"/>
      <c r="GM58" s="209"/>
      <c r="GN58" s="209"/>
      <c r="GO58" s="209"/>
      <c r="GP58" s="209"/>
      <c r="GQ58" s="209"/>
      <c r="GR58" s="209"/>
      <c r="GS58" s="209"/>
      <c r="GT58" s="209"/>
      <c r="GU58" s="209"/>
      <c r="GV58" s="209"/>
      <c r="GW58" s="209"/>
      <c r="GX58" s="209"/>
      <c r="GY58" s="209"/>
      <c r="GZ58" s="209"/>
      <c r="HA58" s="209"/>
      <c r="HB58" s="209"/>
      <c r="HC58" s="209"/>
      <c r="HD58" s="209"/>
      <c r="HE58" s="209"/>
      <c r="HF58" s="209"/>
      <c r="HG58" s="209"/>
      <c r="HH58" s="209"/>
      <c r="HI58" s="209"/>
      <c r="HJ58" s="209"/>
      <c r="HK58" s="209"/>
      <c r="HL58" s="209"/>
      <c r="HM58" s="209"/>
      <c r="HN58" s="209"/>
      <c r="HO58" s="209"/>
      <c r="HP58" s="209"/>
      <c r="HQ58" s="209"/>
      <c r="HR58" s="209"/>
      <c r="HS58" s="209"/>
      <c r="HT58" s="209"/>
      <c r="HU58" s="209"/>
      <c r="HV58" s="209"/>
      <c r="HW58" s="209"/>
      <c r="HX58" s="209"/>
      <c r="HY58" s="209"/>
      <c r="HZ58" s="209"/>
      <c r="IA58" s="209"/>
      <c r="IB58" s="209"/>
      <c r="IC58" s="209"/>
      <c r="ID58" s="209"/>
      <c r="IE58" s="209"/>
      <c r="IF58" s="209"/>
      <c r="IG58" s="209"/>
      <c r="IH58" s="209"/>
      <c r="II58" s="209"/>
      <c r="IJ58" s="209"/>
      <c r="IK58" s="209"/>
      <c r="IL58" s="209"/>
      <c r="IM58" s="209"/>
      <c r="IN58" s="209"/>
      <c r="IO58" s="209"/>
      <c r="IP58" s="209"/>
      <c r="IQ58" s="209"/>
      <c r="IR58" s="209"/>
      <c r="IS58" s="209"/>
      <c r="IT58" s="209"/>
      <c r="IU58" s="209"/>
      <c r="IV58" s="209"/>
      <c r="IW58" s="209"/>
      <c r="IX58" s="209"/>
    </row>
    <row r="59" s="209" customFormat="true" ht="17.4" hidden="false" customHeight="false" outlineLevel="0" collapsed="false">
      <c r="A59" s="99"/>
      <c r="B59" s="31"/>
      <c r="C59" s="30"/>
      <c r="D59" s="85" t="s">
        <v>134</v>
      </c>
      <c r="E59" s="217" t="n">
        <f aca="false">IF(AND($F$2="No",$F$3="No"),SUM(J59:K59),IF(AND($F$2="Yes", $F$3="No"), SUM(J59:K59)+Q59, IF(AND($F$2="No", $F$3="Yes"),SUM(J59:K59)+P59, SUM(J59:K59)+Q59+P59)))</f>
        <v>-0.0911390481413813</v>
      </c>
      <c r="F59" s="89" t="n">
        <f aca="false">IF(AND($F$2="No",$F$3="No"),SUM(H59:O59),IF(AND($F$2="Yes", $F$3="No"), SUM(H59:O59)+Q59, IF(AND($F$2="No", $F$3="Yes"),SUM(H59:O59)+P59, SUM(H59:O59)+Q59+P59)))</f>
        <v>0.0254829087554378</v>
      </c>
      <c r="G59" s="88" t="n">
        <f aca="false">SUM(S59:U59)/(1-'Common input data'!$B$121)</f>
        <v>0.245235599421694</v>
      </c>
      <c r="H59" s="87" t="n">
        <f aca="false">('Input data plant-based products'!$F$75*('Common input data'!$C$76*'Common input data'!B69+'Common input data'!$C$77*'Common input data'!C69))/'Input data plant-based products'!$E$75</f>
        <v>0.00947921389651442</v>
      </c>
      <c r="I59" s="89" t="n">
        <f aca="false">'Common input data'!$B$81</f>
        <v>0.03</v>
      </c>
      <c r="J59" s="87" t="n">
        <v>0</v>
      </c>
      <c r="K59" s="89" t="n">
        <v>0</v>
      </c>
      <c r="L59" s="87" t="n">
        <f aca="false">('Input data plant-based products'!$I$75*'Common input data'!$C$59*'Common input data'!H49)/'Input data plant-based products'!$E$75</f>
        <v>0.0271427430003047</v>
      </c>
      <c r="M59" s="89" t="n">
        <v>0</v>
      </c>
      <c r="N59" s="89" t="n">
        <f aca="false">'Input data plant-based products'!F$152</f>
        <v>0.05</v>
      </c>
      <c r="O59" s="89" t="n">
        <v>0</v>
      </c>
      <c r="P59" s="89" t="n">
        <f aca="false">'Common input data'!F$13</f>
        <v>-0.0911390481413813</v>
      </c>
      <c r="Q59" s="89" t="n">
        <v>0</v>
      </c>
      <c r="R59" s="89" t="n">
        <v>0</v>
      </c>
      <c r="S59" s="89" t="n">
        <f aca="false">F59+R59</f>
        <v>0.0254829087554378</v>
      </c>
      <c r="T59" s="89" t="n">
        <f aca="false">'Common input data'!$B$88</f>
        <v>0.05</v>
      </c>
      <c r="U59" s="89" t="n">
        <f aca="false">'Common input data'!B99+'Common input data'!C99</f>
        <v>0.13</v>
      </c>
      <c r="V59" s="309"/>
      <c r="W59" s="92"/>
      <c r="Z59" s="30"/>
    </row>
    <row r="60" s="209" customFormat="true" ht="17.4" hidden="false" customHeight="false" outlineLevel="0" collapsed="false">
      <c r="A60" s="74"/>
      <c r="B60" s="31"/>
      <c r="C60" s="93"/>
      <c r="D60" s="85" t="s">
        <v>135</v>
      </c>
      <c r="E60" s="217" t="n">
        <f aca="false">SUM(J60:K60)</f>
        <v>0</v>
      </c>
      <c r="F60" s="89" t="n">
        <f aca="false">SUM(H60:O60)</f>
        <v>1.20233616990893E-005</v>
      </c>
      <c r="G60" s="88" t="n">
        <f aca="false">SUM(S60:U60)/(1-'Common input data'!$B$121)</f>
        <v>1.43493993305756E-005</v>
      </c>
      <c r="H60" s="87" t="n">
        <f aca="false">('Input data plant-based products'!$F$75*('Common input data'!$C$76*'Common input data'!B70+'Common input data'!$C$77*'Common input data'!C70))/'Input data plant-based products'!$E$75</f>
        <v>4.17952398686393E-011</v>
      </c>
      <c r="I60" s="89" t="n">
        <v>0</v>
      </c>
      <c r="J60" s="87" t="n">
        <v>0</v>
      </c>
      <c r="K60" s="89" t="n">
        <v>0</v>
      </c>
      <c r="L60" s="87" t="n">
        <f aca="false">('Input data plant-based products'!$I$75*'Common input data'!$C$59*'Common input data'!H50)/'Input data plant-based products'!$E$75</f>
        <v>1.20233199038494E-005</v>
      </c>
      <c r="M60" s="89" t="n">
        <v>0</v>
      </c>
      <c r="N60" s="89" t="n">
        <v>0</v>
      </c>
      <c r="O60" s="89" t="n">
        <v>0</v>
      </c>
      <c r="P60" s="89" t="n">
        <v>0</v>
      </c>
      <c r="Q60" s="89" t="n">
        <v>0</v>
      </c>
      <c r="R60" s="89" t="n">
        <v>0</v>
      </c>
      <c r="S60" s="89" t="n">
        <f aca="false">F60+R60</f>
        <v>1.20233616990893E-005</v>
      </c>
      <c r="T60" s="89" t="n">
        <v>0</v>
      </c>
      <c r="U60" s="89" t="n">
        <v>0</v>
      </c>
      <c r="V60" s="309"/>
      <c r="W60" s="92"/>
      <c r="Z60" s="30"/>
    </row>
    <row r="61" s="209" customFormat="true" ht="17.4" hidden="false" customHeight="false" outlineLevel="0" collapsed="false">
      <c r="A61" s="100"/>
      <c r="B61" s="101"/>
      <c r="C61" s="87"/>
      <c r="D61" s="31" t="s">
        <v>136</v>
      </c>
      <c r="E61" s="217" t="n">
        <f aca="false">SUM(J61:K61)</f>
        <v>6.14483529132952E-005</v>
      </c>
      <c r="F61" s="89" t="n">
        <f aca="false">SUM(H61:O61)</f>
        <v>0.000113955475847968</v>
      </c>
      <c r="G61" s="88" t="n">
        <f aca="false">SUM(S61:U61)/(1-'Common input data'!$B$121)</f>
        <v>0.000136001283981344</v>
      </c>
      <c r="H61" s="87" t="n">
        <f aca="false">('Input data plant-based products'!$F$75*('Common input data'!$C$76*'Common input data'!B71+'Common input data'!$C$77*'Common input data'!C71))/'Input data plant-based products'!$E$75</f>
        <v>5.17777868477307E-005</v>
      </c>
      <c r="I61" s="87" t="n">
        <v>0</v>
      </c>
      <c r="J61" s="87" t="n">
        <f aca="false">(SUM('Input data plant-based products'!F75:H75)*'Input data plant-based products'!$B$114*44/28)/'Input data plant-based products'!E75</f>
        <v>5.58621390120865E-005</v>
      </c>
      <c r="K61" s="89" t="n">
        <f aca="false">J61*'Input data plant-based products'!$B$115</f>
        <v>5.58621390120865E-006</v>
      </c>
      <c r="L61" s="87" t="n">
        <f aca="false">('Input data plant-based products'!$I$75*'Common input data'!$C$59*'Common input data'!H51)/'Input data plant-based products'!$E$75</f>
        <v>7.29336086941802E-007</v>
      </c>
      <c r="M61" s="89" t="n">
        <v>0</v>
      </c>
      <c r="N61" s="89" t="n">
        <v>0</v>
      </c>
      <c r="O61" s="89" t="n">
        <v>0</v>
      </c>
      <c r="P61" s="89" t="n">
        <v>0</v>
      </c>
      <c r="Q61" s="89" t="n">
        <v>0</v>
      </c>
      <c r="R61" s="89" t="n">
        <v>0</v>
      </c>
      <c r="S61" s="89" t="n">
        <f aca="false">F61+R61</f>
        <v>0.000113955475847968</v>
      </c>
      <c r="T61" s="89" t="n">
        <v>0</v>
      </c>
      <c r="U61" s="89" t="n">
        <v>0</v>
      </c>
      <c r="V61" s="309"/>
      <c r="W61" s="92"/>
      <c r="Z61" s="30"/>
    </row>
    <row r="62" s="332" customFormat="true" ht="17.4" hidden="false" customHeight="false" outlineLevel="0" collapsed="false">
      <c r="A62" s="330" t="s">
        <v>141</v>
      </c>
      <c r="B62" s="76" t="s">
        <v>254</v>
      </c>
      <c r="C62" s="97" t="n">
        <f aca="false">'Input data plant-based products'!D76</f>
        <v>0.12</v>
      </c>
      <c r="D62" s="78" t="s">
        <v>133</v>
      </c>
      <c r="E62" s="94" t="n">
        <f aca="false">IF($F$1="GWP100 without fb",E63+E64*'Common input data'!$C$5+E65*'Common input data'!$D$5,IF($F$1="GWP100 with fb",E63+E64*'Common input data'!$C$6+E65*'Common input data'!$D$6,IF($F$1="GTP100 without fb",E63+E64*'Common input data'!$C$7+E65*'Common input data'!$D$7,IF($F$1="GTP100 with fb",E63+E64*'Common input data'!$C$8+E65*'Common input data'!$D$8,E63+E64*'Common input data'!$C$9+E65*'Common input data'!$D$9))))</f>
        <v>-0.0729004306978462</v>
      </c>
      <c r="F62" s="95" t="n">
        <f aca="false">IF($F$1="GWP100 without fb",F63+F64*'Common input data'!$C$5+F65*'Common input data'!$D$5,IF($F$1="GWP100 with fb",F63+F64*'Common input data'!$C$6+F65*'Common input data'!$D$6,IF($F$1="GTP100 without fb",F63+F64*'Common input data'!$C$7+F65*'Common input data'!$D$7,IF($F$1="GTP100 with fb",F63+F64*'Common input data'!$C$8+F65*'Common input data'!$D$8,F63+F64*'Common input data'!$C$9+F65*'Common input data'!$D$9))))</f>
        <v>0.0722441342357694</v>
      </c>
      <c r="G62" s="96" t="n">
        <f aca="false">IF($F$1="GWP100 without fb",G63+G64*'Common input data'!$C$5+G65*'Common input data'!$D$5,IF($F$1="GWP100 with fb",G63+G64*'Common input data'!$C$6+G65*'Common input data'!$D$6,IF($F$1="GTP100 without fb",G63+G64*'Common input data'!$C$7+G65*'Common input data'!$D$7,IF($F$1="GTP100 with fb",G63+G64*'Common input data'!$C$8+G65*'Common input data'!$D$8,G63+G64*'Common input data'!$C$9+G65*'Common input data'!$D$9))))</f>
        <v>0.420389228112865</v>
      </c>
      <c r="H62" s="83"/>
      <c r="I62" s="83"/>
      <c r="J62" s="83"/>
      <c r="K62" s="83"/>
      <c r="L62" s="83"/>
      <c r="M62" s="83"/>
      <c r="N62" s="83"/>
      <c r="O62" s="83"/>
      <c r="P62" s="83"/>
      <c r="Q62" s="83"/>
      <c r="R62" s="83"/>
      <c r="S62" s="83"/>
      <c r="T62" s="83"/>
      <c r="U62" s="83"/>
      <c r="V62" s="309"/>
      <c r="W62" s="92"/>
      <c r="X62" s="209"/>
      <c r="Y62" s="209"/>
      <c r="Z62" s="30"/>
      <c r="AA62" s="209"/>
      <c r="AB62" s="209"/>
      <c r="AC62" s="209"/>
      <c r="AD62" s="209"/>
      <c r="AE62" s="209"/>
      <c r="AF62" s="209"/>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c r="BK62" s="209"/>
      <c r="BL62" s="209"/>
      <c r="BM62" s="209"/>
      <c r="BN62" s="209"/>
      <c r="BO62" s="209"/>
      <c r="BP62" s="209"/>
      <c r="BQ62" s="209"/>
      <c r="BR62" s="209"/>
      <c r="BS62" s="209"/>
      <c r="BT62" s="209"/>
      <c r="BU62" s="209"/>
      <c r="BV62" s="209"/>
      <c r="BW62" s="209"/>
      <c r="BX62" s="209"/>
      <c r="BY62" s="209"/>
      <c r="BZ62" s="209"/>
      <c r="CA62" s="209"/>
      <c r="CB62" s="209"/>
      <c r="CC62" s="209"/>
      <c r="CD62" s="209"/>
      <c r="CE62" s="209"/>
      <c r="CF62" s="209"/>
      <c r="CG62" s="209"/>
      <c r="CH62" s="209"/>
      <c r="CI62" s="209"/>
      <c r="CJ62" s="209"/>
      <c r="CK62" s="209"/>
      <c r="CL62" s="209"/>
      <c r="CM62" s="209"/>
      <c r="CN62" s="209"/>
      <c r="CO62" s="209"/>
      <c r="CP62" s="209"/>
      <c r="CQ62" s="209"/>
      <c r="CR62" s="209"/>
      <c r="CS62" s="209"/>
      <c r="CT62" s="209"/>
      <c r="CU62" s="209"/>
      <c r="CV62" s="209"/>
      <c r="CW62" s="209"/>
      <c r="CX62" s="209"/>
      <c r="CY62" s="209"/>
      <c r="CZ62" s="209"/>
      <c r="DA62" s="209"/>
      <c r="DB62" s="209"/>
      <c r="DC62" s="209"/>
      <c r="DD62" s="209"/>
      <c r="DE62" s="209"/>
      <c r="DF62" s="209"/>
      <c r="DG62" s="209"/>
      <c r="DH62" s="209"/>
      <c r="DI62" s="209"/>
      <c r="DJ62" s="209"/>
      <c r="DK62" s="209"/>
      <c r="DL62" s="209"/>
      <c r="DM62" s="209"/>
      <c r="DN62" s="209"/>
      <c r="DO62" s="209"/>
      <c r="DP62" s="209"/>
      <c r="DQ62" s="209"/>
      <c r="DR62" s="209"/>
      <c r="DS62" s="209"/>
      <c r="DT62" s="209"/>
      <c r="DU62" s="209"/>
      <c r="DV62" s="209"/>
      <c r="DW62" s="209"/>
      <c r="DX62" s="209"/>
      <c r="DY62" s="209"/>
      <c r="DZ62" s="209"/>
      <c r="EA62" s="209"/>
      <c r="EB62" s="209"/>
      <c r="EC62" s="209"/>
      <c r="ED62" s="209"/>
      <c r="EE62" s="209"/>
      <c r="EF62" s="209"/>
      <c r="EG62" s="209"/>
      <c r="EH62" s="209"/>
      <c r="EI62" s="209"/>
      <c r="EJ62" s="209"/>
      <c r="EK62" s="209"/>
      <c r="EL62" s="209"/>
      <c r="EM62" s="209"/>
      <c r="EN62" s="209"/>
      <c r="EO62" s="209"/>
      <c r="EP62" s="209"/>
      <c r="EQ62" s="209"/>
      <c r="ER62" s="209"/>
      <c r="ES62" s="209"/>
      <c r="ET62" s="209"/>
      <c r="EU62" s="209"/>
      <c r="EV62" s="209"/>
      <c r="EW62" s="209"/>
      <c r="EX62" s="209"/>
      <c r="EY62" s="209"/>
      <c r="EZ62" s="209"/>
      <c r="FA62" s="209"/>
      <c r="FB62" s="209"/>
      <c r="FC62" s="209"/>
      <c r="FD62" s="209"/>
      <c r="FE62" s="209"/>
      <c r="FF62" s="209"/>
      <c r="FG62" s="209"/>
      <c r="FH62" s="209"/>
      <c r="FI62" s="209"/>
      <c r="FJ62" s="209"/>
      <c r="FK62" s="209"/>
      <c r="FL62" s="209"/>
      <c r="FM62" s="209"/>
      <c r="FN62" s="209"/>
      <c r="FO62" s="209"/>
      <c r="FP62" s="209"/>
      <c r="FQ62" s="209"/>
      <c r="FR62" s="209"/>
      <c r="FS62" s="209"/>
      <c r="FT62" s="209"/>
      <c r="FU62" s="209"/>
      <c r="FV62" s="209"/>
      <c r="FW62" s="209"/>
      <c r="FX62" s="209"/>
      <c r="FY62" s="209"/>
      <c r="FZ62" s="209"/>
      <c r="GA62" s="209"/>
      <c r="GB62" s="209"/>
      <c r="GC62" s="209"/>
      <c r="GD62" s="209"/>
      <c r="GE62" s="209"/>
      <c r="GF62" s="209"/>
      <c r="GG62" s="209"/>
      <c r="GH62" s="209"/>
      <c r="GI62" s="209"/>
      <c r="GJ62" s="209"/>
      <c r="GK62" s="209"/>
      <c r="GL62" s="209"/>
      <c r="GM62" s="209"/>
      <c r="GN62" s="209"/>
      <c r="GO62" s="209"/>
      <c r="GP62" s="209"/>
      <c r="GQ62" s="209"/>
      <c r="GR62" s="209"/>
      <c r="GS62" s="209"/>
      <c r="GT62" s="209"/>
      <c r="GU62" s="209"/>
      <c r="GV62" s="209"/>
      <c r="GW62" s="209"/>
      <c r="GX62" s="209"/>
      <c r="GY62" s="209"/>
      <c r="GZ62" s="209"/>
      <c r="HA62" s="209"/>
      <c r="HB62" s="209"/>
      <c r="HC62" s="209"/>
      <c r="HD62" s="209"/>
      <c r="HE62" s="209"/>
      <c r="HF62" s="209"/>
      <c r="HG62" s="209"/>
      <c r="HH62" s="209"/>
      <c r="HI62" s="209"/>
      <c r="HJ62" s="209"/>
      <c r="HK62" s="209"/>
      <c r="HL62" s="209"/>
      <c r="HM62" s="209"/>
      <c r="HN62" s="209"/>
      <c r="HO62" s="209"/>
      <c r="HP62" s="209"/>
      <c r="HQ62" s="209"/>
      <c r="HR62" s="209"/>
      <c r="HS62" s="209"/>
      <c r="HT62" s="209"/>
      <c r="HU62" s="209"/>
      <c r="HV62" s="209"/>
      <c r="HW62" s="209"/>
      <c r="HX62" s="209"/>
      <c r="HY62" s="209"/>
      <c r="HZ62" s="209"/>
      <c r="IA62" s="209"/>
      <c r="IB62" s="209"/>
      <c r="IC62" s="209"/>
      <c r="ID62" s="209"/>
      <c r="IE62" s="209"/>
      <c r="IF62" s="209"/>
      <c r="IG62" s="209"/>
      <c r="IH62" s="209"/>
      <c r="II62" s="209"/>
      <c r="IJ62" s="209"/>
      <c r="IK62" s="209"/>
      <c r="IL62" s="209"/>
      <c r="IM62" s="209"/>
      <c r="IN62" s="209"/>
      <c r="IO62" s="209"/>
      <c r="IP62" s="209"/>
      <c r="IQ62" s="209"/>
      <c r="IR62" s="209"/>
      <c r="IS62" s="209"/>
      <c r="IT62" s="209"/>
      <c r="IU62" s="209"/>
      <c r="IV62" s="209"/>
      <c r="IW62" s="209"/>
      <c r="IX62" s="209"/>
    </row>
    <row r="63" s="209" customFormat="true" ht="17.4" hidden="false" customHeight="false" outlineLevel="0" collapsed="false">
      <c r="A63" s="99"/>
      <c r="B63" s="31"/>
      <c r="C63" s="30"/>
      <c r="D63" s="85" t="s">
        <v>134</v>
      </c>
      <c r="E63" s="217" t="n">
        <f aca="false">IF(AND($F$2="No",$F$3="No"),SUM(J63:K63),IF(AND($F$2="Yes", $F$3="No"), SUM(J63:K63)+Q63, IF(AND($F$2="No", $F$3="Yes"),SUM(J63:K63)+P63, SUM(J63:K63)+Q63+P63)))</f>
        <v>-0.0911390481413813</v>
      </c>
      <c r="F63" s="89" t="n">
        <f aca="false">IF(AND($F$2="No",$F$3="No"),SUM(H63:O63),IF(AND($F$2="Yes", $F$3="No"), SUM(H63:O63)+Q63, IF(AND($F$2="No", $F$3="Yes"),SUM(H63:O63)+P63, SUM(H63:O63)+Q63+P63)))</f>
        <v>0.0377277655586746</v>
      </c>
      <c r="G63" s="88" t="n">
        <f aca="false">SUM(S63:U63)/(1-'Common input data'!$B$121)</f>
        <v>0.379195328271482</v>
      </c>
      <c r="H63" s="87" t="n">
        <f aca="false">('Input data plant-based products'!$F$76*('Common input data'!$C$76*'Common input data'!B69+'Common input data'!$C$77*'Common input data'!C69))/'Input data plant-based products'!$E$76</f>
        <v>0.00944142889553172</v>
      </c>
      <c r="I63" s="89" t="n">
        <f aca="false">'Common input data'!$B$81</f>
        <v>0.03</v>
      </c>
      <c r="J63" s="87" t="n">
        <v>0</v>
      </c>
      <c r="K63" s="89" t="n">
        <v>0</v>
      </c>
      <c r="L63" s="87" t="n">
        <f aca="false">('Input data plant-based products'!$I$76*'Common input data'!$C$59*'Common input data'!H49)/'Input data plant-based products'!$E$76</f>
        <v>0.0394253848045242</v>
      </c>
      <c r="M63" s="89" t="n">
        <v>0</v>
      </c>
      <c r="N63" s="89" t="n">
        <f aca="false">'Input data plant-based products'!F$152</f>
        <v>0.05</v>
      </c>
      <c r="O63" s="89" t="n">
        <v>0</v>
      </c>
      <c r="P63" s="89" t="n">
        <f aca="false">'Common input data'!F$13</f>
        <v>-0.0911390481413813</v>
      </c>
      <c r="Q63" s="89" t="n">
        <v>0</v>
      </c>
      <c r="R63" s="89" t="n">
        <v>0</v>
      </c>
      <c r="S63" s="89" t="n">
        <f aca="false">F63+R63</f>
        <v>0.0377277655586746</v>
      </c>
      <c r="T63" s="89" t="n">
        <f aca="false">'Common input data'!$B$88</f>
        <v>0.05</v>
      </c>
      <c r="U63" s="87" t="n">
        <f aca="false">'Common input data'!B102+'Common input data'!C102</f>
        <v>0.23</v>
      </c>
      <c r="V63" s="309"/>
      <c r="W63" s="92"/>
      <c r="Z63" s="30"/>
    </row>
    <row r="64" s="209" customFormat="true" ht="17.4" hidden="false" customHeight="false" outlineLevel="0" collapsed="false">
      <c r="A64" s="74"/>
      <c r="B64" s="31"/>
      <c r="C64" s="93"/>
      <c r="D64" s="85" t="s">
        <v>135</v>
      </c>
      <c r="E64" s="217" t="n">
        <f aca="false">SUM(J64:K64)</f>
        <v>0</v>
      </c>
      <c r="F64" s="89" t="n">
        <f aca="false">SUM(H64:O64)</f>
        <v>1.74641576847013E-005</v>
      </c>
      <c r="G64" s="88" t="n">
        <f aca="false">SUM(S64:U64)/(1-'Common input data'!$B$121)</f>
        <v>2.08427708374523E-005</v>
      </c>
      <c r="H64" s="87" t="n">
        <f aca="false">('Input data plant-based products'!$F$76*('Common input data'!$C$76*'Common input data'!B70+'Common input data'!$C$77*'Common input data'!C70))/'Input data plant-based products'!$E$76</f>
        <v>4.16286402753873E-011</v>
      </c>
      <c r="I64" s="87" t="n">
        <v>0</v>
      </c>
      <c r="J64" s="87" t="n">
        <v>0</v>
      </c>
      <c r="K64" s="87" t="n">
        <v>0</v>
      </c>
      <c r="L64" s="87" t="n">
        <f aca="false">('Input data plant-based products'!$I$76*'Common input data'!$C$59*'Common input data'!H50)/'Input data plant-based products'!$E$76</f>
        <v>1.7464116056061E-005</v>
      </c>
      <c r="M64" s="89" t="n">
        <v>0</v>
      </c>
      <c r="N64" s="89" t="n">
        <v>0</v>
      </c>
      <c r="O64" s="89" t="n">
        <v>0</v>
      </c>
      <c r="P64" s="89" t="n">
        <v>0</v>
      </c>
      <c r="Q64" s="89" t="n">
        <v>0</v>
      </c>
      <c r="R64" s="89" t="n">
        <v>0</v>
      </c>
      <c r="S64" s="89" t="n">
        <f aca="false">F64+R64</f>
        <v>1.74641576847013E-005</v>
      </c>
      <c r="T64" s="89" t="n">
        <v>0</v>
      </c>
      <c r="U64" s="89" t="n">
        <v>0</v>
      </c>
      <c r="V64" s="309"/>
      <c r="W64" s="92"/>
      <c r="Z64" s="30"/>
    </row>
    <row r="65" s="209" customFormat="true" ht="17.4" hidden="false" customHeight="false" outlineLevel="0" collapsed="false">
      <c r="A65" s="100"/>
      <c r="B65" s="101"/>
      <c r="C65" s="87"/>
      <c r="D65" s="31" t="s">
        <v>136</v>
      </c>
      <c r="E65" s="219" t="n">
        <f aca="false">SUM(J65:K65)</f>
        <v>6.12034142400506E-005</v>
      </c>
      <c r="F65" s="126" t="n">
        <f aca="false">SUM(H65:O65)</f>
        <v>0.00011383418562354</v>
      </c>
      <c r="G65" s="106" t="n">
        <f aca="false">SUM(S65:U65)/(1-'Common input data'!$B$121)</f>
        <v>0.000135856528969495</v>
      </c>
      <c r="H65" s="87" t="n">
        <f aca="false">('Input data plant-based products'!$F$76*('Common input data'!$C$76*'Common input data'!B71+'Common input data'!$C$77*'Common input data'!C71))/'Input data plant-based products'!$E$76</f>
        <v>5.15713959224618E-005</v>
      </c>
      <c r="I65" s="87" t="n">
        <v>0</v>
      </c>
      <c r="J65" s="87" t="n">
        <f aca="false">(SUM('Input data plant-based products'!F76:H76)*'Input data plant-based products'!$B$114*44/28)/'Input data plant-based products'!E76</f>
        <v>5.56394674909551E-005</v>
      </c>
      <c r="K65" s="89" t="n">
        <f aca="false">J65*'Input data plant-based products'!$B$115</f>
        <v>5.56394674909551E-006</v>
      </c>
      <c r="L65" s="87" t="n">
        <f aca="false">('Input data plant-based products'!$I$76*'Common input data'!$C$59*'Common input data'!H51)/'Input data plant-based products'!$E$76</f>
        <v>1.05937546102778E-006</v>
      </c>
      <c r="M65" s="89" t="n">
        <v>0</v>
      </c>
      <c r="N65" s="89" t="n">
        <v>0</v>
      </c>
      <c r="O65" s="89" t="n">
        <v>0</v>
      </c>
      <c r="P65" s="89" t="n">
        <v>0</v>
      </c>
      <c r="Q65" s="89" t="n">
        <v>0</v>
      </c>
      <c r="R65" s="89" t="n">
        <v>0</v>
      </c>
      <c r="S65" s="89" t="n">
        <f aca="false">F65+R65</f>
        <v>0.00011383418562354</v>
      </c>
      <c r="T65" s="89" t="n">
        <v>0</v>
      </c>
      <c r="U65" s="89" t="n">
        <v>0</v>
      </c>
      <c r="V65" s="309"/>
      <c r="W65" s="92"/>
      <c r="Z65" s="30"/>
    </row>
    <row r="66" s="334" customFormat="true" ht="17.4" hidden="false" customHeight="false" outlineLevel="0" collapsed="false">
      <c r="A66" s="107" t="s">
        <v>325</v>
      </c>
      <c r="B66" s="108"/>
      <c r="C66" s="69"/>
      <c r="D66" s="109"/>
      <c r="E66" s="110" t="s">
        <v>326</v>
      </c>
      <c r="F66" s="111" t="s">
        <v>326</v>
      </c>
      <c r="G66" s="112" t="s">
        <v>326</v>
      </c>
      <c r="H66" s="69"/>
      <c r="I66" s="69"/>
      <c r="J66" s="69"/>
      <c r="K66" s="113"/>
      <c r="L66" s="113"/>
      <c r="M66" s="114"/>
      <c r="N66" s="113"/>
      <c r="O66" s="113"/>
      <c r="P66" s="113"/>
      <c r="Q66" s="113"/>
      <c r="R66" s="113"/>
      <c r="S66" s="113"/>
      <c r="T66" s="113"/>
      <c r="U66" s="113"/>
      <c r="V66" s="309"/>
      <c r="W66" s="92"/>
      <c r="X66" s="209"/>
      <c r="Y66" s="209"/>
      <c r="Z66" s="30"/>
      <c r="AA66" s="209"/>
      <c r="AB66" s="209"/>
      <c r="AC66" s="209"/>
      <c r="AD66" s="209"/>
      <c r="AE66" s="209"/>
      <c r="AF66" s="209"/>
      <c r="AG66" s="209"/>
      <c r="AH66" s="209"/>
      <c r="AI66" s="209"/>
      <c r="AJ66" s="209"/>
      <c r="AK66" s="209"/>
      <c r="AL66" s="209"/>
      <c r="AM66" s="209"/>
      <c r="AN66" s="209"/>
      <c r="AO66" s="209"/>
      <c r="AP66" s="209"/>
      <c r="AQ66" s="209"/>
      <c r="AR66" s="209"/>
      <c r="AS66" s="209"/>
      <c r="AT66" s="209"/>
      <c r="AU66" s="209"/>
      <c r="AV66" s="209"/>
      <c r="AW66" s="209"/>
      <c r="AX66" s="209"/>
      <c r="AY66" s="209"/>
      <c r="AZ66" s="209"/>
      <c r="BA66" s="209"/>
      <c r="BB66" s="209"/>
      <c r="BC66" s="209"/>
      <c r="BD66" s="209"/>
      <c r="BE66" s="209"/>
      <c r="BF66" s="209"/>
      <c r="BG66" s="209"/>
      <c r="BH66" s="209"/>
      <c r="BI66" s="209"/>
      <c r="BJ66" s="209"/>
      <c r="BK66" s="209"/>
      <c r="BL66" s="209"/>
      <c r="BM66" s="209"/>
      <c r="BN66" s="209"/>
      <c r="BO66" s="209"/>
      <c r="BP66" s="209"/>
      <c r="BQ66" s="209"/>
      <c r="BR66" s="209"/>
      <c r="BS66" s="209"/>
      <c r="BT66" s="209"/>
      <c r="BU66" s="209"/>
      <c r="BV66" s="209"/>
      <c r="BW66" s="209"/>
      <c r="BX66" s="209"/>
      <c r="BY66" s="209"/>
      <c r="BZ66" s="209"/>
      <c r="CA66" s="209"/>
      <c r="CB66" s="209"/>
      <c r="CC66" s="209"/>
      <c r="CD66" s="209"/>
      <c r="CE66" s="209"/>
      <c r="CF66" s="209"/>
      <c r="CG66" s="209"/>
      <c r="CH66" s="209"/>
      <c r="CI66" s="209"/>
      <c r="CJ66" s="209"/>
      <c r="CK66" s="209"/>
      <c r="CL66" s="209"/>
      <c r="CM66" s="209"/>
      <c r="CN66" s="209"/>
      <c r="CO66" s="209"/>
      <c r="CP66" s="209"/>
      <c r="CQ66" s="209"/>
      <c r="CR66" s="209"/>
      <c r="CS66" s="209"/>
      <c r="CT66" s="209"/>
      <c r="CU66" s="209"/>
      <c r="CV66" s="209"/>
      <c r="CW66" s="209"/>
      <c r="CX66" s="209"/>
      <c r="CY66" s="209"/>
      <c r="CZ66" s="209"/>
      <c r="DA66" s="209"/>
      <c r="DB66" s="209"/>
      <c r="DC66" s="209"/>
      <c r="DD66" s="209"/>
      <c r="DE66" s="209"/>
      <c r="DF66" s="209"/>
      <c r="DG66" s="209"/>
      <c r="DH66" s="209"/>
      <c r="DI66" s="209"/>
      <c r="DJ66" s="209"/>
      <c r="DK66" s="209"/>
      <c r="DL66" s="209"/>
      <c r="DM66" s="209"/>
      <c r="DN66" s="209"/>
      <c r="DO66" s="209"/>
      <c r="DP66" s="209"/>
      <c r="DQ66" s="209"/>
      <c r="DR66" s="209"/>
      <c r="DS66" s="209"/>
      <c r="DT66" s="209"/>
      <c r="DU66" s="209"/>
      <c r="DV66" s="209"/>
      <c r="DW66" s="209"/>
      <c r="DX66" s="209"/>
      <c r="DY66" s="209"/>
      <c r="DZ66" s="209"/>
      <c r="EA66" s="209"/>
      <c r="EB66" s="209"/>
      <c r="EC66" s="209"/>
      <c r="ED66" s="209"/>
      <c r="EE66" s="209"/>
      <c r="EF66" s="209"/>
      <c r="EG66" s="209"/>
      <c r="EH66" s="209"/>
      <c r="EI66" s="209"/>
      <c r="EJ66" s="209"/>
      <c r="EK66" s="209"/>
      <c r="EL66" s="209"/>
      <c r="EM66" s="209"/>
      <c r="EN66" s="209"/>
      <c r="EO66" s="209"/>
      <c r="EP66" s="209"/>
      <c r="EQ66" s="209"/>
      <c r="ER66" s="209"/>
      <c r="ES66" s="209"/>
      <c r="ET66" s="209"/>
      <c r="EU66" s="209"/>
      <c r="EV66" s="209"/>
      <c r="EW66" s="209"/>
      <c r="EX66" s="209"/>
      <c r="EY66" s="209"/>
      <c r="EZ66" s="209"/>
      <c r="FA66" s="209"/>
      <c r="FB66" s="209"/>
      <c r="FC66" s="209"/>
      <c r="FD66" s="209"/>
      <c r="FE66" s="209"/>
      <c r="FF66" s="209"/>
      <c r="FG66" s="209"/>
      <c r="FH66" s="209"/>
      <c r="FI66" s="209"/>
      <c r="FJ66" s="209"/>
      <c r="FK66" s="209"/>
      <c r="FL66" s="209"/>
      <c r="FM66" s="209"/>
      <c r="FN66" s="209"/>
      <c r="FO66" s="209"/>
      <c r="FP66" s="209"/>
      <c r="FQ66" s="209"/>
      <c r="FR66" s="209"/>
      <c r="FS66" s="209"/>
      <c r="FT66" s="209"/>
      <c r="FU66" s="209"/>
      <c r="FV66" s="209"/>
      <c r="FW66" s="209"/>
      <c r="FX66" s="209"/>
      <c r="FY66" s="209"/>
      <c r="FZ66" s="209"/>
      <c r="GA66" s="209"/>
      <c r="GB66" s="209"/>
      <c r="GC66" s="209"/>
      <c r="GD66" s="209"/>
      <c r="GE66" s="209"/>
      <c r="GF66" s="209"/>
      <c r="GG66" s="209"/>
      <c r="GH66" s="209"/>
      <c r="GI66" s="209"/>
      <c r="GJ66" s="209"/>
      <c r="GK66" s="209"/>
      <c r="GL66" s="209"/>
      <c r="GM66" s="209"/>
      <c r="GN66" s="209"/>
      <c r="GO66" s="209"/>
      <c r="GP66" s="209"/>
      <c r="GQ66" s="209"/>
      <c r="GR66" s="209"/>
      <c r="GS66" s="209"/>
      <c r="GT66" s="209"/>
      <c r="GU66" s="209"/>
      <c r="GV66" s="209"/>
      <c r="GW66" s="209"/>
      <c r="GX66" s="209"/>
      <c r="GY66" s="209"/>
      <c r="GZ66" s="209"/>
      <c r="HA66" s="209"/>
      <c r="HB66" s="209"/>
      <c r="HC66" s="209"/>
      <c r="HD66" s="209"/>
      <c r="HE66" s="209"/>
      <c r="HF66" s="209"/>
      <c r="HG66" s="209"/>
      <c r="HH66" s="209"/>
      <c r="HI66" s="209"/>
      <c r="HJ66" s="209"/>
      <c r="HK66" s="209"/>
      <c r="HL66" s="209"/>
      <c r="HM66" s="209"/>
      <c r="HN66" s="209"/>
      <c r="HO66" s="209"/>
      <c r="HP66" s="209"/>
      <c r="HQ66" s="209"/>
      <c r="HR66" s="209"/>
      <c r="HS66" s="209"/>
      <c r="HT66" s="209"/>
      <c r="HU66" s="209"/>
      <c r="HV66" s="209"/>
      <c r="HW66" s="209"/>
      <c r="HX66" s="209"/>
      <c r="HY66" s="209"/>
      <c r="HZ66" s="209"/>
      <c r="IA66" s="209"/>
      <c r="IB66" s="209"/>
      <c r="IC66" s="209"/>
      <c r="ID66" s="209"/>
      <c r="IE66" s="209"/>
      <c r="IF66" s="209"/>
      <c r="IG66" s="209"/>
      <c r="IH66" s="209"/>
      <c r="II66" s="209"/>
      <c r="IJ66" s="209"/>
      <c r="IK66" s="209"/>
      <c r="IL66" s="209"/>
      <c r="IM66" s="209"/>
      <c r="IN66" s="209"/>
      <c r="IO66" s="209"/>
      <c r="IP66" s="209"/>
      <c r="IQ66" s="209"/>
      <c r="IR66" s="209"/>
      <c r="IS66" s="209"/>
      <c r="IT66" s="209"/>
      <c r="IU66" s="209"/>
      <c r="IV66" s="209"/>
      <c r="IW66" s="209"/>
      <c r="IX66" s="209"/>
    </row>
    <row r="67" s="332" customFormat="true" ht="17.4" hidden="false" customHeight="false" outlineLevel="0" collapsed="false">
      <c r="A67" s="330" t="s">
        <v>272</v>
      </c>
      <c r="B67" s="76"/>
      <c r="C67" s="188" t="n">
        <f aca="false">SUM(C71:C86)</f>
        <v>1</v>
      </c>
      <c r="D67" s="78" t="s">
        <v>133</v>
      </c>
      <c r="E67" s="79" t="n">
        <f aca="false">IF($F$1="GWP100 without fb",E68+E69*'Common input data'!$C$5+E70*'Common input data'!$D$5,IF($F$1="GWP100 with fb",E68+E69*'Common input data'!$C$6+E70*'Common input data'!$D$6,IF($F$1="GTP100 without fb",E68+E69*'Common input data'!$C$7+E70*'Common input data'!$D$7,IF($F$1="GTP100 with fb",E68+E69*'Common input data'!$C$8+E70*'Common input data'!$D$8,E68+E69*'Common input data'!$C$9+E70*'Common input data'!$D$9))))</f>
        <v>-0.075399963246066</v>
      </c>
      <c r="F67" s="80" t="n">
        <f aca="false">IF($F$1="GWP100 without fb",F68+F69*'Common input data'!$C$5+F70*'Common input data'!$D$5,IF($F$1="GWP100 with fb",F68+F69*'Common input data'!$C$6+F70*'Common input data'!$D$6,IF($F$1="GTP100 without fb",F68+F69*'Common input data'!$C$7+F70*'Common input data'!$D$7,IF($F$1="GTP100 with fb",F68+F69*'Common input data'!$C$8+F70*'Common input data'!$D$8,F68+F69*'Common input data'!$C$9+F70*'Common input data'!$D$9))))</f>
        <v>0.034757548871401</v>
      </c>
      <c r="G67" s="81" t="n">
        <f aca="false">IF($F$1="GWP100 without fb",G68+G69*'Common input data'!$C$5+G70*'Common input data'!$D$5,IF($F$1="GWP100 with fb",G68+G69*'Common input data'!$C$6+G70*'Common input data'!$D$6,IF($F$1="GTP100 without fb",G68+G69*'Common input data'!$C$7+G70*'Common input data'!$D$7,IF($F$1="GTP100 with fb",G68+G69*'Common input data'!$C$8+G70*'Common input data'!$D$8,G68+G69*'Common input data'!$C$9+G70*'Common input data'!$D$9))))</f>
        <v>0.672614539868309</v>
      </c>
      <c r="H67" s="95"/>
      <c r="I67" s="97"/>
      <c r="J67" s="97"/>
      <c r="K67" s="83"/>
      <c r="L67" s="83"/>
      <c r="M67" s="83"/>
      <c r="N67" s="83"/>
      <c r="O67" s="83"/>
      <c r="P67" s="83"/>
      <c r="Q67" s="83"/>
      <c r="R67" s="83"/>
      <c r="S67" s="83"/>
      <c r="T67" s="83"/>
      <c r="U67" s="83"/>
      <c r="V67" s="309"/>
      <c r="W67" s="92"/>
      <c r="X67" s="209"/>
      <c r="Y67" s="209"/>
      <c r="Z67" s="30"/>
      <c r="AA67" s="209"/>
      <c r="AB67" s="209"/>
      <c r="AC67" s="209"/>
      <c r="AD67" s="209"/>
      <c r="AE67" s="209"/>
      <c r="AF67" s="209"/>
      <c r="AG67" s="209"/>
      <c r="AH67" s="209"/>
      <c r="AI67" s="209"/>
      <c r="AJ67" s="209"/>
      <c r="AK67" s="209"/>
      <c r="AL67" s="209"/>
      <c r="AM67" s="209"/>
      <c r="AN67" s="209"/>
      <c r="AO67" s="209"/>
      <c r="AP67" s="209"/>
      <c r="AQ67" s="209"/>
      <c r="AR67" s="209"/>
      <c r="AS67" s="209"/>
      <c r="AT67" s="209"/>
      <c r="AU67" s="209"/>
      <c r="AV67" s="209"/>
      <c r="AW67" s="209"/>
      <c r="AX67" s="209"/>
      <c r="AY67" s="209"/>
      <c r="AZ67" s="209"/>
      <c r="BA67" s="209"/>
      <c r="BB67" s="209"/>
      <c r="BC67" s="209"/>
      <c r="BD67" s="209"/>
      <c r="BE67" s="209"/>
      <c r="BF67" s="209"/>
      <c r="BG67" s="209"/>
      <c r="BH67" s="209"/>
      <c r="BI67" s="209"/>
      <c r="BJ67" s="209"/>
      <c r="BK67" s="209"/>
      <c r="BL67" s="209"/>
      <c r="BM67" s="209"/>
      <c r="BN67" s="209"/>
      <c r="BO67" s="209"/>
      <c r="BP67" s="209"/>
      <c r="BQ67" s="209"/>
      <c r="BR67" s="209"/>
      <c r="BS67" s="209"/>
      <c r="BT67" s="209"/>
      <c r="BU67" s="209"/>
      <c r="BV67" s="209"/>
      <c r="BW67" s="209"/>
      <c r="BX67" s="209"/>
      <c r="BY67" s="209"/>
      <c r="BZ67" s="209"/>
      <c r="CA67" s="209"/>
      <c r="CB67" s="209"/>
      <c r="CC67" s="209"/>
      <c r="CD67" s="209"/>
      <c r="CE67" s="209"/>
      <c r="CF67" s="209"/>
      <c r="CG67" s="209"/>
      <c r="CH67" s="209"/>
      <c r="CI67" s="209"/>
      <c r="CJ67" s="209"/>
      <c r="CK67" s="209"/>
      <c r="CL67" s="209"/>
      <c r="CM67" s="209"/>
      <c r="CN67" s="209"/>
      <c r="CO67" s="209"/>
      <c r="CP67" s="209"/>
      <c r="CQ67" s="209"/>
      <c r="CR67" s="209"/>
      <c r="CS67" s="209"/>
      <c r="CT67" s="209"/>
      <c r="CU67" s="209"/>
      <c r="CV67" s="209"/>
      <c r="CW67" s="209"/>
      <c r="CX67" s="209"/>
      <c r="CY67" s="209"/>
      <c r="CZ67" s="209"/>
      <c r="DA67" s="209"/>
      <c r="DB67" s="209"/>
      <c r="DC67" s="209"/>
      <c r="DD67" s="209"/>
      <c r="DE67" s="209"/>
      <c r="DF67" s="209"/>
      <c r="DG67" s="209"/>
      <c r="DH67" s="209"/>
      <c r="DI67" s="209"/>
      <c r="DJ67" s="209"/>
      <c r="DK67" s="209"/>
      <c r="DL67" s="209"/>
      <c r="DM67" s="209"/>
      <c r="DN67" s="209"/>
      <c r="DO67" s="209"/>
      <c r="DP67" s="209"/>
      <c r="DQ67" s="209"/>
      <c r="DR67" s="209"/>
      <c r="DS67" s="209"/>
      <c r="DT67" s="209"/>
      <c r="DU67" s="209"/>
      <c r="DV67" s="209"/>
      <c r="DW67" s="209"/>
      <c r="DX67" s="209"/>
      <c r="DY67" s="209"/>
      <c r="DZ67" s="209"/>
      <c r="EA67" s="209"/>
      <c r="EB67" s="209"/>
      <c r="EC67" s="209"/>
      <c r="ED67" s="209"/>
      <c r="EE67" s="209"/>
      <c r="EF67" s="209"/>
      <c r="EG67" s="209"/>
      <c r="EH67" s="209"/>
      <c r="EI67" s="209"/>
      <c r="EJ67" s="209"/>
      <c r="EK67" s="209"/>
      <c r="EL67" s="209"/>
      <c r="EM67" s="209"/>
      <c r="EN67" s="209"/>
      <c r="EO67" s="209"/>
      <c r="EP67" s="209"/>
      <c r="EQ67" s="209"/>
      <c r="ER67" s="209"/>
      <c r="ES67" s="209"/>
      <c r="ET67" s="209"/>
      <c r="EU67" s="209"/>
      <c r="EV67" s="209"/>
      <c r="EW67" s="209"/>
      <c r="EX67" s="209"/>
      <c r="EY67" s="209"/>
      <c r="EZ67" s="209"/>
      <c r="FA67" s="209"/>
      <c r="FB67" s="209"/>
      <c r="FC67" s="209"/>
      <c r="FD67" s="209"/>
      <c r="FE67" s="209"/>
      <c r="FF67" s="209"/>
      <c r="FG67" s="209"/>
      <c r="FH67" s="209"/>
      <c r="FI67" s="209"/>
      <c r="FJ67" s="209"/>
      <c r="FK67" s="209"/>
      <c r="FL67" s="209"/>
      <c r="FM67" s="209"/>
      <c r="FN67" s="209"/>
      <c r="FO67" s="209"/>
      <c r="FP67" s="209"/>
      <c r="FQ67" s="209"/>
      <c r="FR67" s="209"/>
      <c r="FS67" s="209"/>
      <c r="FT67" s="209"/>
      <c r="FU67" s="209"/>
      <c r="FV67" s="209"/>
      <c r="FW67" s="209"/>
      <c r="FX67" s="209"/>
      <c r="FY67" s="209"/>
      <c r="FZ67" s="209"/>
      <c r="GA67" s="209"/>
      <c r="GB67" s="209"/>
      <c r="GC67" s="209"/>
      <c r="GD67" s="209"/>
      <c r="GE67" s="209"/>
      <c r="GF67" s="209"/>
      <c r="GG67" s="209"/>
      <c r="GH67" s="209"/>
      <c r="GI67" s="209"/>
      <c r="GJ67" s="209"/>
      <c r="GK67" s="209"/>
      <c r="GL67" s="209"/>
      <c r="GM67" s="209"/>
      <c r="GN67" s="209"/>
      <c r="GO67" s="209"/>
      <c r="GP67" s="209"/>
      <c r="GQ67" s="209"/>
      <c r="GR67" s="209"/>
      <c r="GS67" s="209"/>
      <c r="GT67" s="209"/>
      <c r="GU67" s="209"/>
      <c r="GV67" s="209"/>
      <c r="GW67" s="209"/>
      <c r="GX67" s="209"/>
      <c r="GY67" s="209"/>
      <c r="GZ67" s="209"/>
      <c r="HA67" s="209"/>
      <c r="HB67" s="209"/>
      <c r="HC67" s="209"/>
      <c r="HD67" s="209"/>
      <c r="HE67" s="209"/>
      <c r="HF67" s="209"/>
      <c r="HG67" s="209"/>
      <c r="HH67" s="209"/>
      <c r="HI67" s="209"/>
      <c r="HJ67" s="209"/>
      <c r="HK67" s="209"/>
      <c r="HL67" s="209"/>
      <c r="HM67" s="209"/>
      <c r="HN67" s="209"/>
      <c r="HO67" s="209"/>
      <c r="HP67" s="209"/>
      <c r="HQ67" s="209"/>
      <c r="HR67" s="209"/>
      <c r="HS67" s="209"/>
      <c r="HT67" s="209"/>
      <c r="HU67" s="209"/>
      <c r="HV67" s="209"/>
      <c r="HW67" s="209"/>
      <c r="HX67" s="209"/>
      <c r="HY67" s="209"/>
      <c r="HZ67" s="209"/>
      <c r="IA67" s="209"/>
      <c r="IB67" s="209"/>
      <c r="IC67" s="209"/>
      <c r="ID67" s="209"/>
      <c r="IE67" s="209"/>
      <c r="IF67" s="209"/>
      <c r="IG67" s="209"/>
      <c r="IH67" s="209"/>
      <c r="II67" s="209"/>
      <c r="IJ67" s="209"/>
      <c r="IK67" s="209"/>
      <c r="IL67" s="209"/>
      <c r="IM67" s="209"/>
      <c r="IN67" s="209"/>
      <c r="IO67" s="209"/>
      <c r="IP67" s="209"/>
      <c r="IQ67" s="209"/>
      <c r="IR67" s="209"/>
      <c r="IS67" s="209"/>
      <c r="IT67" s="209"/>
      <c r="IU67" s="209"/>
      <c r="IV67" s="209"/>
      <c r="IW67" s="209"/>
      <c r="IX67" s="209"/>
    </row>
    <row r="68" s="209" customFormat="true" ht="17.4" hidden="false" customHeight="false" outlineLevel="0" collapsed="false">
      <c r="A68" s="315"/>
      <c r="B68" s="31"/>
      <c r="C68" s="30"/>
      <c r="D68" s="85" t="s">
        <v>134</v>
      </c>
      <c r="E68" s="217" t="n">
        <f aca="false">E72*$C$71+E76*$C$75+$C$79*E80+$C$83*E84</f>
        <v>-0.0911390481413813</v>
      </c>
      <c r="F68" s="89" t="n">
        <f aca="false">F72*$C$71+F76*$C$75+$C$79*F80+$C$83*F84</f>
        <v>0.00553108235613474</v>
      </c>
      <c r="G68" s="88" t="n">
        <f aca="false">G72*$C$71+G76*$C$75+$C$79*G80+$C$83*G84</f>
        <v>0.629108517267079</v>
      </c>
      <c r="H68" s="89" t="n">
        <f aca="false">H72*$C$71+H76*$C$75+$C$79*H80+$C$83*H84</f>
        <v>0.0070572996080496</v>
      </c>
      <c r="I68" s="89" t="n">
        <f aca="false">I72*$C$71+I76*$C$75+$C$79*I80+$C$83*I84</f>
        <v>0.03</v>
      </c>
      <c r="J68" s="89" t="n">
        <f aca="false">J72*$C$71+J76*$C$75+$C$79*J80+$C$83*J84</f>
        <v>0</v>
      </c>
      <c r="K68" s="89" t="n">
        <f aca="false">K72*$C$71+K76*$C$75+$C$79*K80+$C$83*K84</f>
        <v>0</v>
      </c>
      <c r="L68" s="89" t="n">
        <f aca="false">L72*$C$71+L76*$C$75+$C$79*L80+$C$83*L84</f>
        <v>0.00961283088946643</v>
      </c>
      <c r="M68" s="89" t="n">
        <f aca="false">M72*$C$71+M76*$C$75+$C$79*M80+$C$83*M84</f>
        <v>0</v>
      </c>
      <c r="N68" s="89" t="n">
        <f aca="false">N72*$C$71+N76*$C$75+$C$79*N80+$C$83*N84</f>
        <v>0.05</v>
      </c>
      <c r="O68" s="89" t="n">
        <f aca="false">O72*$C$71+O76*$C$75+$C$79*O80+$C$83*O84</f>
        <v>0</v>
      </c>
      <c r="P68" s="89" t="n">
        <f aca="false">P72*$C$71+P76*$C$75+$C$79*P80+$C$83*P84</f>
        <v>-0.0911390481413813</v>
      </c>
      <c r="Q68" s="89" t="n">
        <f aca="false">Q72*$C$71+Q76*$C$75+$C$79*Q80+$C$83*Q84</f>
        <v>0</v>
      </c>
      <c r="R68" s="89" t="n">
        <f aca="false">R72*$C$71+R76*$C$75+$C$79*R80+$C$83*R84</f>
        <v>0</v>
      </c>
      <c r="S68" s="89" t="n">
        <f aca="false">S72*$C$71+S76*$C$75+$C$79*S80+$C$83*S84</f>
        <v>0.00553108235613474</v>
      </c>
      <c r="T68" s="89" t="n">
        <f aca="false">T72*$C$71+T76*$C$75+$C$79*T80+$C$83*T84</f>
        <v>0.05</v>
      </c>
      <c r="U68" s="89" t="n">
        <f aca="false">U72*$C$71+U76*$C$75+$C$79*U80+$C$83*U84</f>
        <v>0.378</v>
      </c>
      <c r="V68" s="309"/>
      <c r="W68" s="92"/>
      <c r="Z68" s="30"/>
    </row>
    <row r="69" s="209" customFormat="true" ht="17.4" hidden="false" customHeight="false" outlineLevel="0" collapsed="false">
      <c r="A69" s="315"/>
      <c r="B69" s="31"/>
      <c r="C69" s="93"/>
      <c r="D69" s="85" t="s">
        <v>135</v>
      </c>
      <c r="E69" s="217" t="n">
        <f aca="false">E73*$C$71+E77*$C$75+$C$79*E81+$C$83*E85</f>
        <v>0</v>
      </c>
      <c r="F69" s="89" t="n">
        <f aca="false">F73*$C$71+F77*$C$75+$C$79*F81+$C$83*F85</f>
        <v>4.25819843746262E-006</v>
      </c>
      <c r="G69" s="88" t="n">
        <f aca="false">G73*$C$71+G77*$C$75+$C$79*G81+$C$83*G85</f>
        <v>6.09829036885982E-006</v>
      </c>
      <c r="H69" s="89" t="n">
        <f aca="false">H73*$C$71+H77*$C$75+$C$79*H81+$C$83*H85</f>
        <v>3.84952503428412E-011</v>
      </c>
      <c r="I69" s="89" t="n">
        <f aca="false">I73*$C$71+I77*$C$75+$C$79*I81+$C$83*I85</f>
        <v>0</v>
      </c>
      <c r="J69" s="89" t="n">
        <f aca="false">J73*$C$71+J77*$C$75+$C$79*J81+$C$83*J85</f>
        <v>0</v>
      </c>
      <c r="K69" s="89" t="n">
        <f aca="false">K73*$C$71+K77*$C$75+$C$79*K81+$C$83*K85</f>
        <v>0</v>
      </c>
      <c r="L69" s="89" t="n">
        <f aca="false">L73*$C$71+L77*$C$75+$C$79*L81+$C$83*L85</f>
        <v>4.25815994221228E-006</v>
      </c>
      <c r="M69" s="89" t="n">
        <f aca="false">M73*$C$71+M77*$C$75+$C$79*M81+$C$83*M85</f>
        <v>0</v>
      </c>
      <c r="N69" s="89" t="n">
        <f aca="false">N73*$C$71+N77*$C$75+$C$79*N81+$C$83*N85</f>
        <v>0</v>
      </c>
      <c r="O69" s="89" t="n">
        <f aca="false">O73*$C$71+O77*$C$75+$C$79*O81+$C$83*O85</f>
        <v>0</v>
      </c>
      <c r="P69" s="89" t="n">
        <f aca="false">P73*$C$71+P77*$C$75+$C$79*P81+$C$83*P85</f>
        <v>0</v>
      </c>
      <c r="Q69" s="89" t="n">
        <f aca="false">Q73*$C$71+Q77*$C$75+$C$79*Q81+$C$83*Q85</f>
        <v>0</v>
      </c>
      <c r="R69" s="89" t="n">
        <f aca="false">R73*$C$71+R77*$C$75+$C$79*R81+$C$83*R85</f>
        <v>0</v>
      </c>
      <c r="S69" s="89" t="n">
        <f aca="false">S73*$C$71+S77*$C$75+$C$79*S81+$C$83*S85</f>
        <v>4.25819843746262E-006</v>
      </c>
      <c r="T69" s="89" t="n">
        <f aca="false">T73*$C$71+T77*$C$75+$C$79*T81+$C$83*T85</f>
        <v>0</v>
      </c>
      <c r="U69" s="89" t="n">
        <f aca="false">U73*$C$71+U77*$C$75+$C$79*U81+$C$83*U85</f>
        <v>0</v>
      </c>
      <c r="V69" s="309"/>
      <c r="W69" s="92"/>
      <c r="Z69" s="30"/>
    </row>
    <row r="70" s="209" customFormat="true" ht="17.4" hidden="false" customHeight="false" outlineLevel="0" collapsed="false">
      <c r="A70" s="74"/>
      <c r="B70" s="101"/>
      <c r="C70" s="87"/>
      <c r="D70" s="31" t="s">
        <v>136</v>
      </c>
      <c r="E70" s="217" t="n">
        <f aca="false">E74*$C$71+E78*$C$75+$C$79*E82+$C$83*E86</f>
        <v>5.28157211252191E-005</v>
      </c>
      <c r="F70" s="89" t="n">
        <f aca="false">F74*$C$71+F78*$C$75+$C$79*F82+$C$83*F86</f>
        <v>9.75895562697736E-005</v>
      </c>
      <c r="G70" s="88" t="n">
        <f aca="false">G74*$C$71+G78*$C$75+$C$79*G82+$C$83*G86</f>
        <v>0.00014529758633788</v>
      </c>
      <c r="H70" s="89" t="n">
        <f aca="false">H74*$C$71+H78*$C$75+$C$79*H82+$C$83*H86</f>
        <v>4.45155346306647E-005</v>
      </c>
      <c r="I70" s="89" t="n">
        <f aca="false">I74*$C$71+I78*$C$75+$C$79*I82+$C$83*I86</f>
        <v>0</v>
      </c>
      <c r="J70" s="89" t="n">
        <f aca="false">J74*$C$71+J78*$C$75+$C$79*J82+$C$83*J86</f>
        <v>4.80142919320174E-005</v>
      </c>
      <c r="K70" s="89" t="n">
        <f aca="false">K74*$C$71+K78*$C$75+$C$79*K82+$C$83*K86</f>
        <v>4.80142919320174E-006</v>
      </c>
      <c r="L70" s="89" t="n">
        <f aca="false">L74*$C$71+L78*$C$75+$C$79*L82+$C$83*L86</f>
        <v>2.58300513889772E-007</v>
      </c>
      <c r="M70" s="89" t="n">
        <f aca="false">M74*$C$71+M78*$C$75+$C$79*M82+$C$83*M86</f>
        <v>0</v>
      </c>
      <c r="N70" s="89" t="n">
        <f aca="false">N74*$C$71+N78*$C$75+$C$79*N82+$C$83*N86</f>
        <v>0</v>
      </c>
      <c r="O70" s="89" t="n">
        <f aca="false">O74*$C$71+O78*$C$75+$C$79*O82+$C$83*O86</f>
        <v>0</v>
      </c>
      <c r="P70" s="89" t="n">
        <f aca="false">P74*$C$71+P78*$C$75+$C$79*P82+$C$83*P86</f>
        <v>0</v>
      </c>
      <c r="Q70" s="89" t="n">
        <f aca="false">Q74*$C$71+Q78*$C$75+$C$79*Q82+$C$83*Q86</f>
        <v>0</v>
      </c>
      <c r="R70" s="89" t="n">
        <f aca="false">R74*$C$71+R78*$C$75+$C$79*R82+$C$83*R86</f>
        <v>0</v>
      </c>
      <c r="S70" s="89" t="n">
        <f aca="false">S74*$C$71+S78*$C$75+$C$79*S82+$C$83*S86</f>
        <v>9.75895562697736E-005</v>
      </c>
      <c r="T70" s="89" t="n">
        <f aca="false">T74*$C$71+T78*$C$75+$C$79*T82+$C$83*T86</f>
        <v>0</v>
      </c>
      <c r="U70" s="89" t="n">
        <f aca="false">U74*$C$71+U78*$C$75+$C$79*U82+$C$83*U86</f>
        <v>0</v>
      </c>
      <c r="V70" s="309"/>
      <c r="W70" s="92"/>
      <c r="Z70" s="30"/>
    </row>
    <row r="71" s="332" customFormat="true" ht="17.4" hidden="false" customHeight="false" outlineLevel="0" collapsed="false">
      <c r="A71" s="75" t="s">
        <v>327</v>
      </c>
      <c r="B71" s="76" t="s">
        <v>254</v>
      </c>
      <c r="C71" s="97" t="n">
        <f aca="false">'Input data plant-based products'!D69</f>
        <v>0.22</v>
      </c>
      <c r="D71" s="78" t="s">
        <v>133</v>
      </c>
      <c r="E71" s="94" t="n">
        <f aca="false">IF($F$1="GWP100 without fb",E72+E73*'Common input data'!$C$5+E74*'Common input data'!$D$5,IF($F$1="GWP100 with fb",E72+E73*'Common input data'!$C$6+E74*'Common input data'!$D$6,IF($F$1="GTP100 without fb",E72+E73*'Common input data'!$C$7+E74*'Common input data'!$D$7,IF($F$1="GTP100 with fb",E72+E73*'Common input data'!$C$8+E74*'Common input data'!$D$8,E72+E73*'Common input data'!$C$9+E74*'Common input data'!$D$9))))</f>
        <v>-0.0787251965489016</v>
      </c>
      <c r="F71" s="95" t="n">
        <f aca="false">IF($F$1="GWP100 without fb",F72+F73*'Common input data'!$C$5+F74*'Common input data'!$D$5,IF($F$1="GWP100 with fb",F72+F73*'Common input data'!$C$6+F74*'Common input data'!$D$6,IF($F$1="GTP100 without fb",F72+F73*'Common input data'!$C$7+F74*'Common input data'!$D$7,IF($F$1="GTP100 with fb",F72+F73*'Common input data'!$C$8+F74*'Common input data'!$D$8,F72+F73*'Common input data'!$C$9+F74*'Common input data'!$D$9))))</f>
        <v>0.0185149052894355</v>
      </c>
      <c r="G71" s="96" t="n">
        <f aca="false">IF($F$1="GWP100 without fb",G72+G73*'Common input data'!$C$5+G74*'Common input data'!$D$5,IF($F$1="GWP100 with fb",G72+G73*'Common input data'!$C$6+G74*'Common input data'!$D$6,IF($F$1="GTP100 without fb",G72+G73*'Common input data'!$C$7+G74*'Common input data'!$D$7,IF($F$1="GTP100 with fb",G72+G73*'Common input data'!$C$8+G74*'Common input data'!$D$8,G72+G73*'Common input data'!$C$9+G74*'Common input data'!$D$9))))</f>
        <v>0.614992137792339</v>
      </c>
      <c r="H71" s="83"/>
      <c r="I71" s="83"/>
      <c r="J71" s="83"/>
      <c r="K71" s="83"/>
      <c r="L71" s="83"/>
      <c r="M71" s="83"/>
      <c r="N71" s="83"/>
      <c r="O71" s="83"/>
      <c r="P71" s="83"/>
      <c r="Q71" s="83"/>
      <c r="R71" s="83"/>
      <c r="S71" s="83"/>
      <c r="T71" s="83"/>
      <c r="U71" s="83"/>
      <c r="V71" s="309"/>
      <c r="W71" s="92"/>
      <c r="X71" s="209"/>
      <c r="Y71" s="209"/>
      <c r="Z71" s="30"/>
      <c r="AA71" s="209"/>
      <c r="AB71" s="209"/>
      <c r="AC71" s="209"/>
      <c r="AD71" s="209"/>
      <c r="AE71" s="209"/>
      <c r="AF71" s="209"/>
      <c r="AG71" s="209"/>
      <c r="AH71" s="209"/>
      <c r="AI71" s="209"/>
      <c r="AJ71" s="209"/>
      <c r="AK71" s="209"/>
      <c r="AL71" s="209"/>
      <c r="AM71" s="209"/>
      <c r="AN71" s="209"/>
      <c r="AO71" s="209"/>
      <c r="AP71" s="209"/>
      <c r="AQ71" s="209"/>
      <c r="AR71" s="209"/>
      <c r="AS71" s="209"/>
      <c r="AT71" s="209"/>
      <c r="AU71" s="209"/>
      <c r="AV71" s="209"/>
      <c r="AW71" s="209"/>
      <c r="AX71" s="209"/>
      <c r="AY71" s="209"/>
      <c r="AZ71" s="209"/>
      <c r="BA71" s="209"/>
      <c r="BB71" s="209"/>
      <c r="BC71" s="209"/>
      <c r="BD71" s="209"/>
      <c r="BE71" s="209"/>
      <c r="BF71" s="209"/>
      <c r="BG71" s="209"/>
      <c r="BH71" s="209"/>
      <c r="BI71" s="209"/>
      <c r="BJ71" s="209"/>
      <c r="BK71" s="209"/>
      <c r="BL71" s="209"/>
      <c r="BM71" s="209"/>
      <c r="BN71" s="209"/>
      <c r="BO71" s="209"/>
      <c r="BP71" s="209"/>
      <c r="BQ71" s="209"/>
      <c r="BR71" s="209"/>
      <c r="BS71" s="209"/>
      <c r="BT71" s="209"/>
      <c r="BU71" s="209"/>
      <c r="BV71" s="209"/>
      <c r="BW71" s="209"/>
      <c r="BX71" s="209"/>
      <c r="BY71" s="209"/>
      <c r="BZ71" s="209"/>
      <c r="CA71" s="209"/>
      <c r="CB71" s="209"/>
      <c r="CC71" s="209"/>
      <c r="CD71" s="209"/>
      <c r="CE71" s="209"/>
      <c r="CF71" s="209"/>
      <c r="CG71" s="209"/>
      <c r="CH71" s="209"/>
      <c r="CI71" s="209"/>
      <c r="CJ71" s="209"/>
      <c r="CK71" s="209"/>
      <c r="CL71" s="209"/>
      <c r="CM71" s="209"/>
      <c r="CN71" s="209"/>
      <c r="CO71" s="209"/>
      <c r="CP71" s="209"/>
      <c r="CQ71" s="209"/>
      <c r="CR71" s="209"/>
      <c r="CS71" s="209"/>
      <c r="CT71" s="209"/>
      <c r="CU71" s="209"/>
      <c r="CV71" s="209"/>
      <c r="CW71" s="209"/>
      <c r="CX71" s="209"/>
      <c r="CY71" s="209"/>
      <c r="CZ71" s="209"/>
      <c r="DA71" s="209"/>
      <c r="DB71" s="209"/>
      <c r="DC71" s="209"/>
      <c r="DD71" s="209"/>
      <c r="DE71" s="209"/>
      <c r="DF71" s="209"/>
      <c r="DG71" s="209"/>
      <c r="DH71" s="209"/>
      <c r="DI71" s="209"/>
      <c r="DJ71" s="209"/>
      <c r="DK71" s="209"/>
      <c r="DL71" s="209"/>
      <c r="DM71" s="209"/>
      <c r="DN71" s="209"/>
      <c r="DO71" s="209"/>
      <c r="DP71" s="209"/>
      <c r="DQ71" s="209"/>
      <c r="DR71" s="209"/>
      <c r="DS71" s="209"/>
      <c r="DT71" s="209"/>
      <c r="DU71" s="209"/>
      <c r="DV71" s="209"/>
      <c r="DW71" s="209"/>
      <c r="DX71" s="209"/>
      <c r="DY71" s="209"/>
      <c r="DZ71" s="209"/>
      <c r="EA71" s="209"/>
      <c r="EB71" s="209"/>
      <c r="EC71" s="209"/>
      <c r="ED71" s="209"/>
      <c r="EE71" s="209"/>
      <c r="EF71" s="209"/>
      <c r="EG71" s="209"/>
      <c r="EH71" s="209"/>
      <c r="EI71" s="209"/>
      <c r="EJ71" s="209"/>
      <c r="EK71" s="209"/>
      <c r="EL71" s="209"/>
      <c r="EM71" s="209"/>
      <c r="EN71" s="209"/>
      <c r="EO71" s="209"/>
      <c r="EP71" s="209"/>
      <c r="EQ71" s="209"/>
      <c r="ER71" s="209"/>
      <c r="ES71" s="209"/>
      <c r="ET71" s="209"/>
      <c r="EU71" s="209"/>
      <c r="EV71" s="209"/>
      <c r="EW71" s="209"/>
      <c r="EX71" s="209"/>
      <c r="EY71" s="209"/>
      <c r="EZ71" s="209"/>
      <c r="FA71" s="209"/>
      <c r="FB71" s="209"/>
      <c r="FC71" s="209"/>
      <c r="FD71" s="209"/>
      <c r="FE71" s="209"/>
      <c r="FF71" s="209"/>
      <c r="FG71" s="209"/>
      <c r="FH71" s="209"/>
      <c r="FI71" s="209"/>
      <c r="FJ71" s="209"/>
      <c r="FK71" s="209"/>
      <c r="FL71" s="209"/>
      <c r="FM71" s="209"/>
      <c r="FN71" s="209"/>
      <c r="FO71" s="209"/>
      <c r="FP71" s="209"/>
      <c r="FQ71" s="209"/>
      <c r="FR71" s="209"/>
      <c r="FS71" s="209"/>
      <c r="FT71" s="209"/>
      <c r="FU71" s="209"/>
      <c r="FV71" s="209"/>
      <c r="FW71" s="209"/>
      <c r="FX71" s="209"/>
      <c r="FY71" s="209"/>
      <c r="FZ71" s="209"/>
      <c r="GA71" s="209"/>
      <c r="GB71" s="209"/>
      <c r="GC71" s="209"/>
      <c r="GD71" s="209"/>
      <c r="GE71" s="209"/>
      <c r="GF71" s="209"/>
      <c r="GG71" s="209"/>
      <c r="GH71" s="209"/>
      <c r="GI71" s="209"/>
      <c r="GJ71" s="209"/>
      <c r="GK71" s="209"/>
      <c r="GL71" s="209"/>
      <c r="GM71" s="209"/>
      <c r="GN71" s="209"/>
      <c r="GO71" s="209"/>
      <c r="GP71" s="209"/>
      <c r="GQ71" s="209"/>
      <c r="GR71" s="209"/>
      <c r="GS71" s="209"/>
      <c r="GT71" s="209"/>
      <c r="GU71" s="209"/>
      <c r="GV71" s="209"/>
      <c r="GW71" s="209"/>
      <c r="GX71" s="209"/>
      <c r="GY71" s="209"/>
      <c r="GZ71" s="209"/>
      <c r="HA71" s="209"/>
      <c r="HB71" s="209"/>
      <c r="HC71" s="209"/>
      <c r="HD71" s="209"/>
      <c r="HE71" s="209"/>
      <c r="HF71" s="209"/>
      <c r="HG71" s="209"/>
      <c r="HH71" s="209"/>
      <c r="HI71" s="209"/>
      <c r="HJ71" s="209"/>
      <c r="HK71" s="209"/>
      <c r="HL71" s="209"/>
      <c r="HM71" s="209"/>
      <c r="HN71" s="209"/>
      <c r="HO71" s="209"/>
      <c r="HP71" s="209"/>
      <c r="HQ71" s="209"/>
      <c r="HR71" s="209"/>
      <c r="HS71" s="209"/>
      <c r="HT71" s="209"/>
      <c r="HU71" s="209"/>
      <c r="HV71" s="209"/>
      <c r="HW71" s="209"/>
      <c r="HX71" s="209"/>
      <c r="HY71" s="209"/>
      <c r="HZ71" s="209"/>
      <c r="IA71" s="209"/>
      <c r="IB71" s="209"/>
      <c r="IC71" s="209"/>
      <c r="ID71" s="209"/>
      <c r="IE71" s="209"/>
      <c r="IF71" s="209"/>
      <c r="IG71" s="209"/>
      <c r="IH71" s="209"/>
      <c r="II71" s="209"/>
      <c r="IJ71" s="209"/>
      <c r="IK71" s="209"/>
      <c r="IL71" s="209"/>
      <c r="IM71" s="209"/>
      <c r="IN71" s="209"/>
      <c r="IO71" s="209"/>
      <c r="IP71" s="209"/>
      <c r="IQ71" s="209"/>
      <c r="IR71" s="209"/>
      <c r="IS71" s="209"/>
      <c r="IT71" s="209"/>
      <c r="IU71" s="209"/>
      <c r="IV71" s="209"/>
      <c r="IW71" s="209"/>
      <c r="IX71" s="209"/>
    </row>
    <row r="72" s="209" customFormat="true" ht="17.4" hidden="false" customHeight="false" outlineLevel="0" collapsed="false">
      <c r="A72" s="315"/>
      <c r="B72" s="31"/>
      <c r="C72" s="30"/>
      <c r="D72" s="85" t="s">
        <v>134</v>
      </c>
      <c r="E72" s="217" t="n">
        <f aca="false">IF(AND($F$2="No",$F$3="No"),SUM(J72:K72),IF(AND($F$2="Yes", $F$3="No"), SUM(J72:K72)+Q72, IF(AND($F$2="No", $F$3="Yes"),SUM(J72:K72)+P72, SUM(J72:K72)+Q72+P72)))</f>
        <v>-0.0911390481413813</v>
      </c>
      <c r="F72" s="89" t="n">
        <f aca="false">IF(AND($F$2="No",$F$3="No"),SUM(H72:O72),IF(AND($F$2="Yes", $F$3="No"), SUM(H72:O72)+Q72, IF(AND($F$2="No", $F$3="Yes"),SUM(H72:O72)+P72, SUM(H72:O72)+Q72+P72)))</f>
        <v>-0.00177649447062796</v>
      </c>
      <c r="G72" s="88" t="n">
        <f aca="false">SUM(S72:U72)/(1-'Common input data'!$F$121)</f>
        <v>0.583678249273722</v>
      </c>
      <c r="H72" s="89" t="n">
        <f aca="false">('Input data plant-based products'!$F$69*('Common input data'!$D$76*'Common input data'!B69+'Common input data'!$D$77*'Common input data'!C69))/'Input data plant-based products'!$E$69</f>
        <v>0.00412658901627343</v>
      </c>
      <c r="I72" s="89" t="n">
        <f aca="false">'Common input data'!$B$81</f>
        <v>0.03</v>
      </c>
      <c r="J72" s="89" t="n">
        <v>0</v>
      </c>
      <c r="K72" s="89" t="n">
        <v>0</v>
      </c>
      <c r="L72" s="89" t="n">
        <f aca="false">('Input data plant-based products'!$I$69*'Common input data'!$C$59*'Common input data'!H49)/'Input data plant-based products'!$E$69</f>
        <v>0.00523596465447991</v>
      </c>
      <c r="M72" s="89" t="n">
        <v>0</v>
      </c>
      <c r="N72" s="89" t="n">
        <f aca="false">'Input data plant-based products'!F$152</f>
        <v>0.05</v>
      </c>
      <c r="O72" s="89" t="n">
        <v>0</v>
      </c>
      <c r="P72" s="89" t="n">
        <f aca="false">'Common input data'!$F$13</f>
        <v>-0.0911390481413813</v>
      </c>
      <c r="Q72" s="89" t="n">
        <v>0</v>
      </c>
      <c r="R72" s="89" t="n">
        <v>0</v>
      </c>
      <c r="S72" s="89" t="n">
        <f aca="false">F72+R72</f>
        <v>-0.00177649447062796</v>
      </c>
      <c r="T72" s="89" t="n">
        <f aca="false">'Common input data'!$B$88</f>
        <v>0.05</v>
      </c>
      <c r="U72" s="89" t="n">
        <f aca="false">'Common input data'!B$104+'Common input data'!C$104</f>
        <v>0.33</v>
      </c>
      <c r="V72" s="309"/>
      <c r="W72" s="92"/>
      <c r="Z72" s="30"/>
    </row>
    <row r="73" s="209" customFormat="true" ht="17.4" hidden="false" customHeight="false" outlineLevel="0" collapsed="false">
      <c r="A73" s="74"/>
      <c r="B73" s="31"/>
      <c r="C73" s="93"/>
      <c r="D73" s="85" t="s">
        <v>135</v>
      </c>
      <c r="E73" s="217" t="n">
        <f aca="false">SUM(J73:K73)</f>
        <v>0</v>
      </c>
      <c r="F73" s="89" t="n">
        <f aca="false">SUM(H73:O73)</f>
        <v>2.3193782959384E-006</v>
      </c>
      <c r="G73" s="88" t="n">
        <f aca="false">SUM(S73:U73)/(1-'Common input data'!$F$121)</f>
        <v>3.5792874937321E-006</v>
      </c>
      <c r="H73" s="89" t="n">
        <f aca="false">('Input data plant-based products'!$F$69*('Common input data'!$D$76*'Common input data'!B70+'Common input data'!$D$77*'Common input data'!C70))/'Input data plant-based products'!$E$69</f>
        <v>2.25091870922236E-011</v>
      </c>
      <c r="I73" s="89" t="n">
        <v>0</v>
      </c>
      <c r="J73" s="89" t="n">
        <v>0</v>
      </c>
      <c r="K73" s="89" t="n">
        <v>0</v>
      </c>
      <c r="L73" s="89" t="n">
        <f aca="false">('Input data plant-based products'!$I$69*'Common input data'!$C$59*'Common input data'!H50)/'Input data plant-based products'!$E$69</f>
        <v>2.31935578675131E-006</v>
      </c>
      <c r="M73" s="89" t="n">
        <v>0</v>
      </c>
      <c r="N73" s="89" t="n">
        <v>0</v>
      </c>
      <c r="O73" s="89" t="n">
        <v>0</v>
      </c>
      <c r="P73" s="89" t="n">
        <v>0</v>
      </c>
      <c r="Q73" s="89" t="n">
        <v>0</v>
      </c>
      <c r="R73" s="89" t="n">
        <v>0</v>
      </c>
      <c r="S73" s="89" t="n">
        <f aca="false">F73+R73</f>
        <v>2.3193782959384E-006</v>
      </c>
      <c r="T73" s="89" t="n">
        <v>0</v>
      </c>
      <c r="U73" s="89" t="n">
        <v>0</v>
      </c>
      <c r="V73" s="309"/>
      <c r="W73" s="92"/>
      <c r="Z73" s="30"/>
    </row>
    <row r="74" s="209" customFormat="true" ht="17.4" hidden="false" customHeight="false" outlineLevel="0" collapsed="false">
      <c r="A74" s="100"/>
      <c r="B74" s="101"/>
      <c r="C74" s="87"/>
      <c r="D74" s="31" t="s">
        <v>136</v>
      </c>
      <c r="E74" s="217" t="n">
        <f aca="false">SUM(J74:K74)</f>
        <v>4.16572201089923E-005</v>
      </c>
      <c r="F74" s="89" t="n">
        <f aca="false">SUM(H74:O74)</f>
        <v>6.78273184496697E-005</v>
      </c>
      <c r="G74" s="88" t="n">
        <f aca="false">SUM(S74:U74)/(1-'Common input data'!$F$121)</f>
        <v>0.000104671787730972</v>
      </c>
      <c r="H74" s="89" t="n">
        <f aca="false">('Input data plant-based products'!$F$69*('Common input data'!$D$76*'Common input data'!B71+'Common input data'!$D$77*'Common input data'!C71))/'Input data plant-based products'!$E$69</f>
        <v>2.60294059289922E-005</v>
      </c>
      <c r="I74" s="89" t="n">
        <v>0</v>
      </c>
      <c r="J74" s="89" t="n">
        <f aca="false">(SUM('Input data plant-based products'!F69:H69)*'Input data plant-based products'!$B$114*44/28)/'Input data plant-based products'!E69</f>
        <v>3.78702000990839E-005</v>
      </c>
      <c r="K74" s="89" t="n">
        <f aca="false">J74*'Input data plant-based products'!$B$115</f>
        <v>3.78702000990839E-006</v>
      </c>
      <c r="L74" s="89" t="n">
        <f aca="false">('Input data plant-based products'!$I$69*'Common input data'!$C$59*'Common input data'!H51)/'Input data plant-based products'!$E$69</f>
        <v>1.40692411685182E-007</v>
      </c>
      <c r="M74" s="89" t="n">
        <v>0</v>
      </c>
      <c r="N74" s="89" t="n">
        <v>0</v>
      </c>
      <c r="O74" s="89" t="n">
        <v>0</v>
      </c>
      <c r="P74" s="89" t="n">
        <v>0</v>
      </c>
      <c r="Q74" s="89" t="n">
        <v>0</v>
      </c>
      <c r="R74" s="89" t="n">
        <v>0</v>
      </c>
      <c r="S74" s="89" t="n">
        <f aca="false">F74+R74</f>
        <v>6.78273184496697E-005</v>
      </c>
      <c r="T74" s="89" t="n">
        <v>0</v>
      </c>
      <c r="U74" s="89" t="n">
        <v>0</v>
      </c>
      <c r="V74" s="309"/>
      <c r="W74" s="92"/>
      <c r="Z74" s="30"/>
    </row>
    <row r="75" s="332" customFormat="true" ht="17.4" hidden="false" customHeight="false" outlineLevel="0" collapsed="false">
      <c r="A75" s="75" t="s">
        <v>328</v>
      </c>
      <c r="B75" s="76" t="s">
        <v>254</v>
      </c>
      <c r="C75" s="97" t="n">
        <f aca="false">'Input data plant-based products'!D70</f>
        <v>0.15</v>
      </c>
      <c r="D75" s="78" t="s">
        <v>133</v>
      </c>
      <c r="E75" s="94" t="n">
        <f aca="false">IF($F$1="GWP100 without fb",E76+E77*'Common input data'!$C$5+E78*'Common input data'!$D$5,IF($F$1="GWP100 with fb",E76+E77*'Common input data'!$C$6+E78*'Common input data'!$D$6,IF($F$1="GTP100 without fb",E76+E77*'Common input data'!$C$7+E78*'Common input data'!$D$7,IF($F$1="GTP100 with fb",E76+E77*'Common input data'!$C$8+E78*'Common input data'!$D$8,E76+E77*'Common input data'!$C$9+E78*'Common input data'!$D$9))))</f>
        <v>-0.0497285595872402</v>
      </c>
      <c r="F75" s="95" t="n">
        <f aca="false">IF($F$1="GWP100 without fb",F76+F77*'Common input data'!$C$5+F78*'Common input data'!$D$5,IF($F$1="GWP100 with fb",F76+F77*'Common input data'!$C$6+F78*'Common input data'!$D$6,IF($F$1="GTP100 without fb",F76+F77*'Common input data'!$C$7+F78*'Common input data'!$D$7,IF($F$1="GTP100 with fb",F76+F77*'Common input data'!$C$8+F78*'Common input data'!$D$8,F76+F77*'Common input data'!$C$9+F78*'Common input data'!$D$9))))</f>
        <v>0.102193474442122</v>
      </c>
      <c r="G75" s="96" t="n">
        <f aca="false">IF($F$1="GWP100 without fb",G76+G77*'Common input data'!$C$5+G78*'Common input data'!$D$5,IF($F$1="GWP100 with fb",G76+G77*'Common input data'!$C$6+G78*'Common input data'!$D$6,IF($F$1="GTP100 without fb",G76+G77*'Common input data'!$C$7+G78*'Common input data'!$D$7,IF($F$1="GTP100 with fb",G76+G77*'Common input data'!$C$8+G78*'Common input data'!$D$8,G76+G77*'Common input data'!$C$9+G78*'Common input data'!$D$9))))</f>
        <v>0.744125732163769</v>
      </c>
      <c r="H75" s="83"/>
      <c r="I75" s="83"/>
      <c r="J75" s="83"/>
      <c r="K75" s="83"/>
      <c r="L75" s="83"/>
      <c r="M75" s="83"/>
      <c r="N75" s="83"/>
      <c r="O75" s="83"/>
      <c r="P75" s="83"/>
      <c r="Q75" s="83"/>
      <c r="R75" s="83"/>
      <c r="S75" s="83"/>
      <c r="T75" s="83"/>
      <c r="U75" s="83"/>
      <c r="V75" s="309"/>
      <c r="W75" s="92"/>
      <c r="X75" s="209"/>
      <c r="Y75" s="209"/>
      <c r="Z75" s="30"/>
      <c r="AA75" s="209"/>
      <c r="AB75" s="209"/>
      <c r="AC75" s="209"/>
      <c r="AD75" s="209"/>
      <c r="AE75" s="209"/>
      <c r="AF75" s="209"/>
      <c r="AG75" s="209"/>
      <c r="AH75" s="209"/>
      <c r="AI75" s="209"/>
      <c r="AJ75" s="209"/>
      <c r="AK75" s="209"/>
      <c r="AL75" s="209"/>
      <c r="AM75" s="209"/>
      <c r="AN75" s="209"/>
      <c r="AO75" s="209"/>
      <c r="AP75" s="209"/>
      <c r="AQ75" s="209"/>
      <c r="AR75" s="209"/>
      <c r="AS75" s="209"/>
      <c r="AT75" s="209"/>
      <c r="AU75" s="209"/>
      <c r="AV75" s="209"/>
      <c r="AW75" s="209"/>
      <c r="AX75" s="209"/>
      <c r="AY75" s="209"/>
      <c r="AZ75" s="209"/>
      <c r="BA75" s="209"/>
      <c r="BB75" s="209"/>
      <c r="BC75" s="209"/>
      <c r="BD75" s="209"/>
      <c r="BE75" s="209"/>
      <c r="BF75" s="209"/>
      <c r="BG75" s="209"/>
      <c r="BH75" s="209"/>
      <c r="BI75" s="209"/>
      <c r="BJ75" s="209"/>
      <c r="BK75" s="209"/>
      <c r="BL75" s="209"/>
      <c r="BM75" s="209"/>
      <c r="BN75" s="209"/>
      <c r="BO75" s="209"/>
      <c r="BP75" s="209"/>
      <c r="BQ75" s="209"/>
      <c r="BR75" s="209"/>
      <c r="BS75" s="209"/>
      <c r="BT75" s="209"/>
      <c r="BU75" s="209"/>
      <c r="BV75" s="209"/>
      <c r="BW75" s="209"/>
      <c r="BX75" s="209"/>
      <c r="BY75" s="209"/>
      <c r="BZ75" s="209"/>
      <c r="CA75" s="209"/>
      <c r="CB75" s="209"/>
      <c r="CC75" s="209"/>
      <c r="CD75" s="209"/>
      <c r="CE75" s="209"/>
      <c r="CF75" s="209"/>
      <c r="CG75" s="209"/>
      <c r="CH75" s="209"/>
      <c r="CI75" s="209"/>
      <c r="CJ75" s="209"/>
      <c r="CK75" s="209"/>
      <c r="CL75" s="209"/>
      <c r="CM75" s="209"/>
      <c r="CN75" s="209"/>
      <c r="CO75" s="209"/>
      <c r="CP75" s="209"/>
      <c r="CQ75" s="209"/>
      <c r="CR75" s="209"/>
      <c r="CS75" s="209"/>
      <c r="CT75" s="209"/>
      <c r="CU75" s="209"/>
      <c r="CV75" s="209"/>
      <c r="CW75" s="209"/>
      <c r="CX75" s="209"/>
      <c r="CY75" s="209"/>
      <c r="CZ75" s="209"/>
      <c r="DA75" s="209"/>
      <c r="DB75" s="209"/>
      <c r="DC75" s="209"/>
      <c r="DD75" s="209"/>
      <c r="DE75" s="209"/>
      <c r="DF75" s="209"/>
      <c r="DG75" s="209"/>
      <c r="DH75" s="209"/>
      <c r="DI75" s="209"/>
      <c r="DJ75" s="209"/>
      <c r="DK75" s="209"/>
      <c r="DL75" s="209"/>
      <c r="DM75" s="209"/>
      <c r="DN75" s="209"/>
      <c r="DO75" s="209"/>
      <c r="DP75" s="209"/>
      <c r="DQ75" s="209"/>
      <c r="DR75" s="209"/>
      <c r="DS75" s="209"/>
      <c r="DT75" s="209"/>
      <c r="DU75" s="209"/>
      <c r="DV75" s="209"/>
      <c r="DW75" s="209"/>
      <c r="DX75" s="209"/>
      <c r="DY75" s="209"/>
      <c r="DZ75" s="209"/>
      <c r="EA75" s="209"/>
      <c r="EB75" s="209"/>
      <c r="EC75" s="209"/>
      <c r="ED75" s="209"/>
      <c r="EE75" s="209"/>
      <c r="EF75" s="209"/>
      <c r="EG75" s="209"/>
      <c r="EH75" s="209"/>
      <c r="EI75" s="209"/>
      <c r="EJ75" s="209"/>
      <c r="EK75" s="209"/>
      <c r="EL75" s="209"/>
      <c r="EM75" s="209"/>
      <c r="EN75" s="209"/>
      <c r="EO75" s="209"/>
      <c r="EP75" s="209"/>
      <c r="EQ75" s="209"/>
      <c r="ER75" s="209"/>
      <c r="ES75" s="209"/>
      <c r="ET75" s="209"/>
      <c r="EU75" s="209"/>
      <c r="EV75" s="209"/>
      <c r="EW75" s="209"/>
      <c r="EX75" s="209"/>
      <c r="EY75" s="209"/>
      <c r="EZ75" s="209"/>
      <c r="FA75" s="209"/>
      <c r="FB75" s="209"/>
      <c r="FC75" s="209"/>
      <c r="FD75" s="209"/>
      <c r="FE75" s="209"/>
      <c r="FF75" s="209"/>
      <c r="FG75" s="209"/>
      <c r="FH75" s="209"/>
      <c r="FI75" s="209"/>
      <c r="FJ75" s="209"/>
      <c r="FK75" s="209"/>
      <c r="FL75" s="209"/>
      <c r="FM75" s="209"/>
      <c r="FN75" s="209"/>
      <c r="FO75" s="209"/>
      <c r="FP75" s="209"/>
      <c r="FQ75" s="209"/>
      <c r="FR75" s="209"/>
      <c r="FS75" s="209"/>
      <c r="FT75" s="209"/>
      <c r="FU75" s="209"/>
      <c r="FV75" s="209"/>
      <c r="FW75" s="209"/>
      <c r="FX75" s="209"/>
      <c r="FY75" s="209"/>
      <c r="FZ75" s="209"/>
      <c r="GA75" s="209"/>
      <c r="GB75" s="209"/>
      <c r="GC75" s="209"/>
      <c r="GD75" s="209"/>
      <c r="GE75" s="209"/>
      <c r="GF75" s="209"/>
      <c r="GG75" s="209"/>
      <c r="GH75" s="209"/>
      <c r="GI75" s="209"/>
      <c r="GJ75" s="209"/>
      <c r="GK75" s="209"/>
      <c r="GL75" s="209"/>
      <c r="GM75" s="209"/>
      <c r="GN75" s="209"/>
      <c r="GO75" s="209"/>
      <c r="GP75" s="209"/>
      <c r="GQ75" s="209"/>
      <c r="GR75" s="209"/>
      <c r="GS75" s="209"/>
      <c r="GT75" s="209"/>
      <c r="GU75" s="209"/>
      <c r="GV75" s="209"/>
      <c r="GW75" s="209"/>
      <c r="GX75" s="209"/>
      <c r="GY75" s="209"/>
      <c r="GZ75" s="209"/>
      <c r="HA75" s="209"/>
      <c r="HB75" s="209"/>
      <c r="HC75" s="209"/>
      <c r="HD75" s="209"/>
      <c r="HE75" s="209"/>
      <c r="HF75" s="209"/>
      <c r="HG75" s="209"/>
      <c r="HH75" s="209"/>
      <c r="HI75" s="209"/>
      <c r="HJ75" s="209"/>
      <c r="HK75" s="209"/>
      <c r="HL75" s="209"/>
      <c r="HM75" s="209"/>
      <c r="HN75" s="209"/>
      <c r="HO75" s="209"/>
      <c r="HP75" s="209"/>
      <c r="HQ75" s="209"/>
      <c r="HR75" s="209"/>
      <c r="HS75" s="209"/>
      <c r="HT75" s="209"/>
      <c r="HU75" s="209"/>
      <c r="HV75" s="209"/>
      <c r="HW75" s="209"/>
      <c r="HX75" s="209"/>
      <c r="HY75" s="209"/>
      <c r="HZ75" s="209"/>
      <c r="IA75" s="209"/>
      <c r="IB75" s="209"/>
      <c r="IC75" s="209"/>
      <c r="ID75" s="209"/>
      <c r="IE75" s="209"/>
      <c r="IF75" s="209"/>
      <c r="IG75" s="209"/>
      <c r="IH75" s="209"/>
      <c r="II75" s="209"/>
      <c r="IJ75" s="209"/>
      <c r="IK75" s="209"/>
      <c r="IL75" s="209"/>
      <c r="IM75" s="209"/>
      <c r="IN75" s="209"/>
      <c r="IO75" s="209"/>
      <c r="IP75" s="209"/>
      <c r="IQ75" s="209"/>
      <c r="IR75" s="209"/>
      <c r="IS75" s="209"/>
      <c r="IT75" s="209"/>
      <c r="IU75" s="209"/>
      <c r="IV75" s="209"/>
      <c r="IW75" s="209"/>
      <c r="IX75" s="209"/>
    </row>
    <row r="76" s="209" customFormat="true" ht="17.4" hidden="false" customHeight="false" outlineLevel="0" collapsed="false">
      <c r="A76" s="91"/>
      <c r="B76" s="31"/>
      <c r="C76" s="30"/>
      <c r="D76" s="85" t="s">
        <v>134</v>
      </c>
      <c r="E76" s="217" t="n">
        <f aca="false">IF(AND($F$2="No",$F$3="No"),SUM(J76:K76),IF(AND($F$2="Yes", $F$3="No"), SUM(J76:K76)+Q76, IF(AND($F$2="No", $F$3="Yes"),SUM(J76:K76)+P76, SUM(J76:K76)+Q76+P76)))</f>
        <v>-0.0911390481413813</v>
      </c>
      <c r="F76" s="89" t="n">
        <f aca="false">IF(AND($F$2="No",$F$3="No"),SUM(H76:O76),IF(AND($F$2="Yes", $F$3="No"), SUM(H76:O76)+Q76, IF(AND($F$2="No", $F$3="Yes"),SUM(H76:O76)+P76, SUM(H76:O76)+Q76+P76)))</f>
        <v>0.0187308354192479</v>
      </c>
      <c r="G76" s="88" t="n">
        <f aca="false">SUM(S76:U76)/(1-'Common input data'!$F$121)</f>
        <v>0.615325363301308</v>
      </c>
      <c r="H76" s="89" t="n">
        <f aca="false">('Input data plant-based products'!$F$70*('Common input data'!$D$76*'Common input data'!B69+'Common input data'!$D$77*'Common input data'!C69))/'Input data plant-based products'!$E$70</f>
        <v>0.0222785305509425</v>
      </c>
      <c r="I76" s="89" t="n">
        <f aca="false">'Common input data'!$B$81</f>
        <v>0.03</v>
      </c>
      <c r="J76" s="89" t="n">
        <v>0</v>
      </c>
      <c r="K76" s="89" t="n">
        <v>0</v>
      </c>
      <c r="L76" s="89" t="n">
        <f aca="false">('Input data plant-based products'!$I$70*'Common input data'!$C$59*'Common input data'!H49)/'Input data plant-based products'!$E$70</f>
        <v>0.00759135300968667</v>
      </c>
      <c r="M76" s="89" t="n">
        <v>0</v>
      </c>
      <c r="N76" s="89" t="n">
        <f aca="false">'Input data plant-based products'!F$152</f>
        <v>0.05</v>
      </c>
      <c r="O76" s="89" t="n">
        <v>0</v>
      </c>
      <c r="P76" s="89" t="n">
        <f aca="false">'Common input data'!$F$13</f>
        <v>-0.0911390481413813</v>
      </c>
      <c r="Q76" s="89" t="n">
        <v>0</v>
      </c>
      <c r="R76" s="89" t="n">
        <v>0</v>
      </c>
      <c r="S76" s="89" t="n">
        <f aca="false">F76+R76</f>
        <v>0.0187308354192479</v>
      </c>
      <c r="T76" s="89" t="n">
        <f aca="false">'Common input data'!$B$88</f>
        <v>0.05</v>
      </c>
      <c r="U76" s="89" t="n">
        <f aca="false">'Common input data'!B$104+'Common input data'!C$104</f>
        <v>0.33</v>
      </c>
      <c r="V76" s="309"/>
      <c r="W76" s="92"/>
      <c r="Z76" s="30"/>
    </row>
    <row r="77" s="209" customFormat="true" ht="17.4" hidden="false" customHeight="false" outlineLevel="0" collapsed="false">
      <c r="A77" s="91"/>
      <c r="B77" s="31"/>
      <c r="C77" s="93"/>
      <c r="D77" s="85" t="s">
        <v>135</v>
      </c>
      <c r="E77" s="217" t="n">
        <f aca="false">SUM(J77:K77)</f>
        <v>0</v>
      </c>
      <c r="F77" s="89" t="n">
        <f aca="false">SUM(H77:O77)</f>
        <v>3.36283492717098E-006</v>
      </c>
      <c r="G77" s="88" t="n">
        <f aca="false">SUM(S77:U77)/(1-'Common input data'!$F$121)</f>
        <v>5.18956007279472E-006</v>
      </c>
      <c r="H77" s="89" t="n">
        <f aca="false">('Input data plant-based products'!$F$70*('Common input data'!$D$76*'Common input data'!B70+'Common input data'!$D$77*'Common input data'!C70))/'Input data plant-based products'!$E$70</f>
        <v>1.21522063460501E-010</v>
      </c>
      <c r="I77" s="89" t="n">
        <v>0</v>
      </c>
      <c r="J77" s="89" t="n">
        <v>0</v>
      </c>
      <c r="K77" s="89" t="n">
        <v>0</v>
      </c>
      <c r="L77" s="89" t="n">
        <f aca="false">('Input data plant-based products'!$I$70*'Common input data'!$C$59*'Common input data'!H50)/'Input data plant-based products'!$E$70</f>
        <v>3.36271340510752E-006</v>
      </c>
      <c r="M77" s="89" t="n">
        <v>0</v>
      </c>
      <c r="N77" s="89" t="n">
        <v>0</v>
      </c>
      <c r="O77" s="89" t="n">
        <v>0</v>
      </c>
      <c r="P77" s="89" t="n">
        <v>0</v>
      </c>
      <c r="Q77" s="89" t="n">
        <v>0</v>
      </c>
      <c r="R77" s="89" t="n">
        <v>0</v>
      </c>
      <c r="S77" s="89" t="n">
        <f aca="false">F77+R77</f>
        <v>3.36283492717098E-006</v>
      </c>
      <c r="T77" s="89" t="n">
        <v>0</v>
      </c>
      <c r="U77" s="89" t="n">
        <v>0</v>
      </c>
      <c r="V77" s="309"/>
      <c r="W77" s="92"/>
      <c r="Z77" s="30"/>
    </row>
    <row r="78" s="209" customFormat="true" ht="17.4" hidden="false" customHeight="false" outlineLevel="0" collapsed="false">
      <c r="A78" s="74"/>
      <c r="B78" s="101"/>
      <c r="C78" s="87"/>
      <c r="D78" s="31" t="s">
        <v>136</v>
      </c>
      <c r="E78" s="217" t="n">
        <f aca="false">SUM(J78:K78)</f>
        <v>0.000138961370987051</v>
      </c>
      <c r="F78" s="89" t="n">
        <f aca="false">SUM(H78:O78)</f>
        <v>0.000279692290722653</v>
      </c>
      <c r="G78" s="88" t="n">
        <f aca="false">SUM(S78:U78)/(1-'Common input data'!$F$121)</f>
        <v>0.000431623905436193</v>
      </c>
      <c r="H78" s="89" t="n">
        <f aca="false">('Input data plant-based products'!$F$70*('Common input data'!$D$76*'Common input data'!B71+'Common input data'!$D$77*'Common input data'!C71))/'Input data plant-based products'!$E$70</f>
        <v>0.000140526937120484</v>
      </c>
      <c r="I78" s="89" t="n">
        <v>0</v>
      </c>
      <c r="J78" s="89" t="n">
        <f aca="false">(SUM('Input data plant-based products'!F70:H70)*'Input data plant-based products'!$B$114*44/28)/'Input data plant-based products'!E70</f>
        <v>0.000126328519079137</v>
      </c>
      <c r="K78" s="89" t="n">
        <f aca="false">J78*'Input data plant-based products'!$B$115</f>
        <v>1.26328519079137E-005</v>
      </c>
      <c r="L78" s="89" t="n">
        <f aca="false">('Input data plant-based products'!$I$70*'Common input data'!$C$59*'Common input data'!H51)/'Input data plant-based products'!$E$70</f>
        <v>2.0398261511803E-007</v>
      </c>
      <c r="M78" s="89" t="n">
        <v>0</v>
      </c>
      <c r="N78" s="89" t="n">
        <v>0</v>
      </c>
      <c r="O78" s="89" t="n">
        <v>0</v>
      </c>
      <c r="P78" s="89" t="n">
        <v>0</v>
      </c>
      <c r="Q78" s="89" t="n">
        <v>0</v>
      </c>
      <c r="R78" s="89" t="n">
        <v>0</v>
      </c>
      <c r="S78" s="89" t="n">
        <f aca="false">F78+R78</f>
        <v>0.000279692290722653</v>
      </c>
      <c r="T78" s="89" t="n">
        <v>0</v>
      </c>
      <c r="U78" s="89" t="n">
        <v>0</v>
      </c>
      <c r="V78" s="309"/>
      <c r="W78" s="92"/>
      <c r="Z78" s="30"/>
    </row>
    <row r="79" s="332" customFormat="true" ht="17.4" hidden="false" customHeight="false" outlineLevel="0" collapsed="false">
      <c r="A79" s="75" t="s">
        <v>329</v>
      </c>
      <c r="B79" s="76" t="s">
        <v>254</v>
      </c>
      <c r="C79" s="97" t="n">
        <f aca="false">'Input data plant-based products'!D71</f>
        <v>0.15</v>
      </c>
      <c r="D79" s="78" t="s">
        <v>133</v>
      </c>
      <c r="E79" s="94" t="n">
        <f aca="false">IF($F$1="GWP100 without fb",E80+E81*'Common input data'!$C$5+E82*'Common input data'!$D$5,IF($F$1="GWP100 with fb",E80+E81*'Common input data'!$C$6+E82*'Common input data'!$D$6,IF($F$1="GTP100 without fb",E80+E81*'Common input data'!$C$7+E82*'Common input data'!$D$7,IF($F$1="GTP100 with fb",E80+E81*'Common input data'!$C$8+E82*'Common input data'!$D$8,E80+E81*'Common input data'!$C$9+E82*'Common input data'!$D$9))))</f>
        <v>-0.0803307105167742</v>
      </c>
      <c r="F79" s="95" t="n">
        <f aca="false">IF($F$1="GWP100 without fb",F80+F81*'Common input data'!$C$5+F82*'Common input data'!$D$5,IF($F$1="GWP100 with fb",F80+F81*'Common input data'!$C$6+F82*'Common input data'!$D$6,IF($F$1="GTP100 without fb",F80+F81*'Common input data'!$C$7+F82*'Common input data'!$D$7,IF($F$1="GTP100 with fb",F80+F81*'Common input data'!$C$8+F82*'Common input data'!$D$8,F80+F81*'Common input data'!$C$9+F82*'Common input data'!$D$9))))</f>
        <v>0.0199046773081958</v>
      </c>
      <c r="G79" s="96" t="n">
        <f aca="false">IF($F$1="GWP100 without fb",G80+G81*'Common input data'!$C$5+G82*'Common input data'!$D$5,IF($F$1="GWP100 with fb",G80+G81*'Common input data'!$C$6+G82*'Common input data'!$D$6,IF($F$1="GTP100 without fb",G80+G81*'Common input data'!$C$7+G82*'Common input data'!$D$7,IF($F$1="GTP100 with fb",G80+G81*'Common input data'!$C$8+G82*'Common input data'!$D$8,G80+G81*'Common input data'!$C$9+G82*'Common input data'!$D$9))))</f>
        <v>0.617136847697833</v>
      </c>
      <c r="H79" s="83"/>
      <c r="I79" s="83"/>
      <c r="J79" s="83"/>
      <c r="K79" s="83"/>
      <c r="L79" s="83"/>
      <c r="M79" s="83"/>
      <c r="N79" s="83"/>
      <c r="O79" s="83"/>
      <c r="P79" s="83"/>
      <c r="Q79" s="83"/>
      <c r="R79" s="83"/>
      <c r="S79" s="83"/>
      <c r="T79" s="83"/>
      <c r="U79" s="83"/>
      <c r="V79" s="309"/>
      <c r="W79" s="92"/>
      <c r="X79" s="209"/>
      <c r="Y79" s="209"/>
      <c r="Z79" s="30"/>
      <c r="AA79" s="209"/>
      <c r="AB79" s="209"/>
      <c r="AC79" s="209"/>
      <c r="AD79" s="209"/>
      <c r="AE79" s="209"/>
      <c r="AF79" s="209"/>
      <c r="AG79" s="209"/>
      <c r="AH79" s="209"/>
      <c r="AI79" s="209"/>
      <c r="AJ79" s="209"/>
      <c r="AK79" s="209"/>
      <c r="AL79" s="209"/>
      <c r="AM79" s="209"/>
      <c r="AN79" s="209"/>
      <c r="AO79" s="209"/>
      <c r="AP79" s="209"/>
      <c r="AQ79" s="209"/>
      <c r="AR79" s="209"/>
      <c r="AS79" s="209"/>
      <c r="AT79" s="209"/>
      <c r="AU79" s="209"/>
      <c r="AV79" s="209"/>
      <c r="AW79" s="209"/>
      <c r="AX79" s="209"/>
      <c r="AY79" s="209"/>
      <c r="AZ79" s="209"/>
      <c r="BA79" s="209"/>
      <c r="BB79" s="209"/>
      <c r="BC79" s="209"/>
      <c r="BD79" s="209"/>
      <c r="BE79" s="209"/>
      <c r="BF79" s="209"/>
      <c r="BG79" s="209"/>
      <c r="BH79" s="209"/>
      <c r="BI79" s="209"/>
      <c r="BJ79" s="209"/>
      <c r="BK79" s="209"/>
      <c r="BL79" s="209"/>
      <c r="BM79" s="209"/>
      <c r="BN79" s="209"/>
      <c r="BO79" s="209"/>
      <c r="BP79" s="209"/>
      <c r="BQ79" s="209"/>
      <c r="BR79" s="209"/>
      <c r="BS79" s="209"/>
      <c r="BT79" s="209"/>
      <c r="BU79" s="209"/>
      <c r="BV79" s="209"/>
      <c r="BW79" s="209"/>
      <c r="BX79" s="209"/>
      <c r="BY79" s="209"/>
      <c r="BZ79" s="209"/>
      <c r="CA79" s="209"/>
      <c r="CB79" s="209"/>
      <c r="CC79" s="209"/>
      <c r="CD79" s="209"/>
      <c r="CE79" s="209"/>
      <c r="CF79" s="209"/>
      <c r="CG79" s="209"/>
      <c r="CH79" s="209"/>
      <c r="CI79" s="209"/>
      <c r="CJ79" s="209"/>
      <c r="CK79" s="209"/>
      <c r="CL79" s="209"/>
      <c r="CM79" s="209"/>
      <c r="CN79" s="209"/>
      <c r="CO79" s="209"/>
      <c r="CP79" s="209"/>
      <c r="CQ79" s="209"/>
      <c r="CR79" s="209"/>
      <c r="CS79" s="209"/>
      <c r="CT79" s="209"/>
      <c r="CU79" s="209"/>
      <c r="CV79" s="209"/>
      <c r="CW79" s="209"/>
      <c r="CX79" s="209"/>
      <c r="CY79" s="209"/>
      <c r="CZ79" s="209"/>
      <c r="DA79" s="209"/>
      <c r="DB79" s="209"/>
      <c r="DC79" s="209"/>
      <c r="DD79" s="209"/>
      <c r="DE79" s="209"/>
      <c r="DF79" s="209"/>
      <c r="DG79" s="209"/>
      <c r="DH79" s="209"/>
      <c r="DI79" s="209"/>
      <c r="DJ79" s="209"/>
      <c r="DK79" s="209"/>
      <c r="DL79" s="209"/>
      <c r="DM79" s="209"/>
      <c r="DN79" s="209"/>
      <c r="DO79" s="209"/>
      <c r="DP79" s="209"/>
      <c r="DQ79" s="209"/>
      <c r="DR79" s="209"/>
      <c r="DS79" s="209"/>
      <c r="DT79" s="209"/>
      <c r="DU79" s="209"/>
      <c r="DV79" s="209"/>
      <c r="DW79" s="209"/>
      <c r="DX79" s="209"/>
      <c r="DY79" s="209"/>
      <c r="DZ79" s="209"/>
      <c r="EA79" s="209"/>
      <c r="EB79" s="209"/>
      <c r="EC79" s="209"/>
      <c r="ED79" s="209"/>
      <c r="EE79" s="209"/>
      <c r="EF79" s="209"/>
      <c r="EG79" s="209"/>
      <c r="EH79" s="209"/>
      <c r="EI79" s="209"/>
      <c r="EJ79" s="209"/>
      <c r="EK79" s="209"/>
      <c r="EL79" s="209"/>
      <c r="EM79" s="209"/>
      <c r="EN79" s="209"/>
      <c r="EO79" s="209"/>
      <c r="EP79" s="209"/>
      <c r="EQ79" s="209"/>
      <c r="ER79" s="209"/>
      <c r="ES79" s="209"/>
      <c r="ET79" s="209"/>
      <c r="EU79" s="209"/>
      <c r="EV79" s="209"/>
      <c r="EW79" s="209"/>
      <c r="EX79" s="209"/>
      <c r="EY79" s="209"/>
      <c r="EZ79" s="209"/>
      <c r="FA79" s="209"/>
      <c r="FB79" s="209"/>
      <c r="FC79" s="209"/>
      <c r="FD79" s="209"/>
      <c r="FE79" s="209"/>
      <c r="FF79" s="209"/>
      <c r="FG79" s="209"/>
      <c r="FH79" s="209"/>
      <c r="FI79" s="209"/>
      <c r="FJ79" s="209"/>
      <c r="FK79" s="209"/>
      <c r="FL79" s="209"/>
      <c r="FM79" s="209"/>
      <c r="FN79" s="209"/>
      <c r="FO79" s="209"/>
      <c r="FP79" s="209"/>
      <c r="FQ79" s="209"/>
      <c r="FR79" s="209"/>
      <c r="FS79" s="209"/>
      <c r="FT79" s="209"/>
      <c r="FU79" s="209"/>
      <c r="FV79" s="209"/>
      <c r="FW79" s="209"/>
      <c r="FX79" s="209"/>
      <c r="FY79" s="209"/>
      <c r="FZ79" s="209"/>
      <c r="GA79" s="209"/>
      <c r="GB79" s="209"/>
      <c r="GC79" s="209"/>
      <c r="GD79" s="209"/>
      <c r="GE79" s="209"/>
      <c r="GF79" s="209"/>
      <c r="GG79" s="209"/>
      <c r="GH79" s="209"/>
      <c r="GI79" s="209"/>
      <c r="GJ79" s="209"/>
      <c r="GK79" s="209"/>
      <c r="GL79" s="209"/>
      <c r="GM79" s="209"/>
      <c r="GN79" s="209"/>
      <c r="GO79" s="209"/>
      <c r="GP79" s="209"/>
      <c r="GQ79" s="209"/>
      <c r="GR79" s="209"/>
      <c r="GS79" s="209"/>
      <c r="GT79" s="209"/>
      <c r="GU79" s="209"/>
      <c r="GV79" s="209"/>
      <c r="GW79" s="209"/>
      <c r="GX79" s="209"/>
      <c r="GY79" s="209"/>
      <c r="GZ79" s="209"/>
      <c r="HA79" s="209"/>
      <c r="HB79" s="209"/>
      <c r="HC79" s="209"/>
      <c r="HD79" s="209"/>
      <c r="HE79" s="209"/>
      <c r="HF79" s="209"/>
      <c r="HG79" s="209"/>
      <c r="HH79" s="209"/>
      <c r="HI79" s="209"/>
      <c r="HJ79" s="209"/>
      <c r="HK79" s="209"/>
      <c r="HL79" s="209"/>
      <c r="HM79" s="209"/>
      <c r="HN79" s="209"/>
      <c r="HO79" s="209"/>
      <c r="HP79" s="209"/>
      <c r="HQ79" s="209"/>
      <c r="HR79" s="209"/>
      <c r="HS79" s="209"/>
      <c r="HT79" s="209"/>
      <c r="HU79" s="209"/>
      <c r="HV79" s="209"/>
      <c r="HW79" s="209"/>
      <c r="HX79" s="209"/>
      <c r="HY79" s="209"/>
      <c r="HZ79" s="209"/>
      <c r="IA79" s="209"/>
      <c r="IB79" s="209"/>
      <c r="IC79" s="209"/>
      <c r="ID79" s="209"/>
      <c r="IE79" s="209"/>
      <c r="IF79" s="209"/>
      <c r="IG79" s="209"/>
      <c r="IH79" s="209"/>
      <c r="II79" s="209"/>
      <c r="IJ79" s="209"/>
      <c r="IK79" s="209"/>
      <c r="IL79" s="209"/>
      <c r="IM79" s="209"/>
      <c r="IN79" s="209"/>
      <c r="IO79" s="209"/>
      <c r="IP79" s="209"/>
      <c r="IQ79" s="209"/>
      <c r="IR79" s="209"/>
      <c r="IS79" s="209"/>
      <c r="IT79" s="209"/>
      <c r="IU79" s="209"/>
      <c r="IV79" s="209"/>
      <c r="IW79" s="209"/>
      <c r="IX79" s="209"/>
    </row>
    <row r="80" s="209" customFormat="true" ht="17.4" hidden="false" customHeight="false" outlineLevel="0" collapsed="false">
      <c r="A80" s="99"/>
      <c r="B80" s="31"/>
      <c r="C80" s="30"/>
      <c r="D80" s="85" t="s">
        <v>134</v>
      </c>
      <c r="E80" s="217" t="n">
        <f aca="false">IF(AND($F$2="No",$F$3="No"),SUM(J80:K80),IF(AND($F$2="Yes", $F$3="No"), SUM(J80:K80)+Q80, IF(AND($F$2="No", $F$3="Yes"),SUM(J80:K80)+P80, SUM(J80:K80)+Q80+P80)))</f>
        <v>-0.0911390481413813</v>
      </c>
      <c r="F80" s="89" t="n">
        <f aca="false">IF(AND($F$2="No",$F$3="No"),SUM(H80:O80),IF(AND($F$2="Yes", $F$3="No"), SUM(H80:O80)+Q80, IF(AND($F$2="No", $F$3="Yes"),SUM(H80:O80)+P80, SUM(H80:O80)+Q80+P80)))</f>
        <v>0.000522730538148108</v>
      </c>
      <c r="G80" s="88" t="n">
        <f aca="false">SUM(S80:U80)/(1-'Common input data'!$F$121)</f>
        <v>0.58722643601566</v>
      </c>
      <c r="H80" s="87" t="n">
        <f aca="false">('Input data plant-based products'!$F$71*('Common input data'!$D$76*'Common input data'!B69+'Common input data'!$D$77*'Common input data'!C69))/'Input data plant-based products'!$E$71</f>
        <v>0.00447292625579238</v>
      </c>
      <c r="I80" s="89" t="n">
        <f aca="false">'Common input data'!$B$81</f>
        <v>0.03</v>
      </c>
      <c r="J80" s="87" t="n">
        <v>0</v>
      </c>
      <c r="K80" s="89" t="n">
        <v>0</v>
      </c>
      <c r="L80" s="87" t="n">
        <f aca="false">('Input data plant-based products'!$I$71*'Common input data'!$C$59*'Common input data'!H49)/'Input data plant-based products'!$E$71</f>
        <v>0.00718885242373702</v>
      </c>
      <c r="M80" s="89" t="n">
        <v>0</v>
      </c>
      <c r="N80" s="89" t="n">
        <f aca="false">'Input data plant-based products'!F$152</f>
        <v>0.05</v>
      </c>
      <c r="O80" s="89" t="n">
        <v>0</v>
      </c>
      <c r="P80" s="89" t="n">
        <f aca="false">'Common input data'!$F$13</f>
        <v>-0.0911390481413813</v>
      </c>
      <c r="Q80" s="89" t="n">
        <v>0</v>
      </c>
      <c r="R80" s="89" t="n">
        <v>0</v>
      </c>
      <c r="S80" s="89" t="n">
        <f aca="false">F80+R80</f>
        <v>0.000522730538148108</v>
      </c>
      <c r="T80" s="89" t="n">
        <f aca="false">'Common input data'!$B$88</f>
        <v>0.05</v>
      </c>
      <c r="U80" s="89" t="n">
        <f aca="false">'Common input data'!B$104+'Common input data'!C$104</f>
        <v>0.33</v>
      </c>
      <c r="V80" s="309"/>
      <c r="W80" s="92"/>
      <c r="Z80" s="30"/>
    </row>
    <row r="81" s="209" customFormat="true" ht="17.4" hidden="false" customHeight="false" outlineLevel="0" collapsed="false">
      <c r="A81" s="99"/>
      <c r="B81" s="31"/>
      <c r="C81" s="93"/>
      <c r="D81" s="85" t="s">
        <v>135</v>
      </c>
      <c r="E81" s="217" t="n">
        <f aca="false">SUM(J81:K81)</f>
        <v>0</v>
      </c>
      <c r="F81" s="89" t="n">
        <f aca="false">SUM(H81:O81)</f>
        <v>3.18444361607575E-006</v>
      </c>
      <c r="G81" s="88" t="n">
        <f aca="false">SUM(S81:U81)/(1-'Common input data'!$F$121)</f>
        <v>4.91426483962307E-006</v>
      </c>
      <c r="H81" s="87" t="n">
        <f aca="false">('Input data plant-based products'!$F$71*('Common input data'!$D$76*'Common input data'!B70+'Common input data'!$D$77*'Common input data'!C70))/'Input data plant-based products'!$E$71</f>
        <v>2.43983429278528E-011</v>
      </c>
      <c r="I81" s="89" t="n">
        <v>0</v>
      </c>
      <c r="J81" s="87" t="n">
        <v>0</v>
      </c>
      <c r="K81" s="89" t="n">
        <v>0</v>
      </c>
      <c r="L81" s="87" t="n">
        <f aca="false">('Input data plant-based products'!$I$71*'Common input data'!$C$59*'Common input data'!H50)/'Input data plant-based products'!$E$71</f>
        <v>3.18441921773282E-006</v>
      </c>
      <c r="M81" s="89" t="n">
        <v>0</v>
      </c>
      <c r="N81" s="89" t="n">
        <v>0</v>
      </c>
      <c r="O81" s="89" t="n">
        <v>0</v>
      </c>
      <c r="P81" s="89" t="n">
        <v>0</v>
      </c>
      <c r="Q81" s="89" t="n">
        <v>0</v>
      </c>
      <c r="R81" s="89" t="n">
        <v>0</v>
      </c>
      <c r="S81" s="89" t="n">
        <f aca="false">F81+R81</f>
        <v>3.18444361607575E-006</v>
      </c>
      <c r="T81" s="89" t="n">
        <v>0</v>
      </c>
      <c r="U81" s="89" t="n">
        <v>0</v>
      </c>
      <c r="V81" s="309"/>
      <c r="W81" s="92"/>
      <c r="Z81" s="30"/>
    </row>
    <row r="82" s="209" customFormat="true" ht="17.4" hidden="false" customHeight="false" outlineLevel="0" collapsed="false">
      <c r="A82" s="74"/>
      <c r="B82" s="101"/>
      <c r="C82" s="87"/>
      <c r="D82" s="31" t="s">
        <v>136</v>
      </c>
      <c r="E82" s="217" t="n">
        <f aca="false">SUM(J82:K82)</f>
        <v>3.6269589344319E-005</v>
      </c>
      <c r="F82" s="89" t="n">
        <f aca="false">SUM(H82:O82)</f>
        <v>6.4676764050675E-005</v>
      </c>
      <c r="G82" s="88" t="n">
        <f aca="false">SUM(S82:U82)/(1-'Common input data'!$F$121)</f>
        <v>9.98098210658565E-005</v>
      </c>
      <c r="H82" s="87" t="n">
        <f aca="false">('Input data plant-based products'!$F$71*('Common input data'!$D$76*'Common input data'!B71+'Common input data'!$D$77*'Common input data'!C71))/'Input data plant-based products'!$E$71</f>
        <v>2.8214007438911E-005</v>
      </c>
      <c r="I82" s="87" t="n">
        <v>0</v>
      </c>
      <c r="J82" s="87" t="n">
        <f aca="false">(SUM('Input data plant-based products'!F71:H71)*'Input data plant-based products'!$B$114*44/28)/'Input data plant-based products'!E71</f>
        <v>3.29723539493809E-005</v>
      </c>
      <c r="K82" s="89" t="n">
        <f aca="false">J82*'Input data plant-based products'!$B$115</f>
        <v>3.29723539493809E-006</v>
      </c>
      <c r="L82" s="87" t="n">
        <f aca="false">('Input data plant-based products'!$I$71*'Common input data'!$C$59*'Common input data'!H51)/'Input data plant-based products'!$E$71</f>
        <v>1.93167267444988E-007</v>
      </c>
      <c r="M82" s="89" t="n">
        <v>0</v>
      </c>
      <c r="N82" s="89" t="n">
        <v>0</v>
      </c>
      <c r="O82" s="89" t="n">
        <v>0</v>
      </c>
      <c r="P82" s="89" t="n">
        <v>0</v>
      </c>
      <c r="Q82" s="89" t="n">
        <v>0</v>
      </c>
      <c r="R82" s="89" t="n">
        <v>0</v>
      </c>
      <c r="S82" s="89" t="n">
        <f aca="false">F82+R82</f>
        <v>6.4676764050675E-005</v>
      </c>
      <c r="T82" s="89" t="n">
        <v>0</v>
      </c>
      <c r="U82" s="89" t="n">
        <v>0</v>
      </c>
      <c r="V82" s="309"/>
      <c r="W82" s="92"/>
      <c r="Z82" s="30"/>
    </row>
    <row r="83" s="332" customFormat="true" ht="17.4" hidden="false" customHeight="false" outlineLevel="0" collapsed="false">
      <c r="A83" s="75" t="s">
        <v>171</v>
      </c>
      <c r="B83" s="76" t="s">
        <v>254</v>
      </c>
      <c r="C83" s="97" t="n">
        <f aca="false">'Input data plant-based products'!D72</f>
        <v>0.48</v>
      </c>
      <c r="D83" s="78" t="s">
        <v>133</v>
      </c>
      <c r="E83" s="94" t="n">
        <f aca="false">IF($F$1="GWP100 without fb",E84+E85*'Common input data'!$C$5+E86*'Common input data'!$D$5,IF($F$1="GWP100 with fb",E84+E85*'Common input data'!$C$6+E86*'Common input data'!$D$6,IF($F$1="GTP100 without fb",E84+E85*'Common input data'!$C$7+E86*'Common input data'!$D$7,IF($F$1="GTP100 with fb",E84+E85*'Common input data'!$C$8+E86*'Common input data'!$D$8,E84+E85*'Common input data'!$C$9+E86*'Common input data'!$D$9))))</f>
        <v>-0.0803573531035531</v>
      </c>
      <c r="F83" s="95" t="n">
        <f aca="false">IF($F$1="GWP100 without fb",F84+F85*'Common input data'!$C$5+F86*'Common input data'!$D$5,IF($F$1="GWP100 with fb",F84+F85*'Common input data'!$C$6+F86*'Common input data'!$D$6,IF($F$1="GTP100 without fb",F84+F85*'Common input data'!$C$7+F86*'Common input data'!$D$7,IF($F$1="GTP100 with fb",F84+F85*'Common input data'!$C$8+F86*'Common input data'!$D$8,F84+F85*'Common input data'!$C$9+F86*'Common input data'!$D$9))))</f>
        <v>0.0257698894691198</v>
      </c>
      <c r="G83" s="96" t="n">
        <f aca="false">IF($F$1="GWP100 without fb",G84+G85*'Common input data'!$C$5+G86*'Common input data'!$D$5,IF($F$1="GWP100 with fb",G84+G85*'Common input data'!$C$6+G86*'Common input data'!$D$6,IF($F$1="GTP100 without fb",G84+G85*'Common input data'!$C$7+G86*'Common input data'!$D$7,IF($F$1="GTP100 with fb",G84+G85*'Common input data'!$C$8+G86*'Common input data'!$D$8,G84+G85*'Common input data'!$C$9+G86*'Common input data'!$D$9))))</f>
        <v>0.694014338697403</v>
      </c>
      <c r="H83" s="83"/>
      <c r="I83" s="83"/>
      <c r="J83" s="83"/>
      <c r="K83" s="83"/>
      <c r="L83" s="83"/>
      <c r="M83" s="83"/>
      <c r="N83" s="83"/>
      <c r="O83" s="83"/>
      <c r="P83" s="83"/>
      <c r="Q83" s="83"/>
      <c r="R83" s="83"/>
      <c r="S83" s="83"/>
      <c r="T83" s="83"/>
      <c r="U83" s="83"/>
      <c r="V83" s="309"/>
      <c r="W83" s="92"/>
      <c r="X83" s="209"/>
      <c r="Y83" s="209"/>
      <c r="Z83" s="30"/>
      <c r="AA83" s="209"/>
      <c r="AB83" s="209"/>
      <c r="AC83" s="209"/>
      <c r="AD83" s="209"/>
      <c r="AE83" s="209"/>
      <c r="AF83" s="209"/>
      <c r="AG83" s="209"/>
      <c r="AH83" s="209"/>
      <c r="AI83" s="209"/>
      <c r="AJ83" s="209"/>
      <c r="AK83" s="209"/>
      <c r="AL83" s="209"/>
      <c r="AM83" s="209"/>
      <c r="AN83" s="209"/>
      <c r="AO83" s="209"/>
      <c r="AP83" s="209"/>
      <c r="AQ83" s="209"/>
      <c r="AR83" s="209"/>
      <c r="AS83" s="209"/>
      <c r="AT83" s="209"/>
      <c r="AU83" s="209"/>
      <c r="AV83" s="209"/>
      <c r="AW83" s="209"/>
      <c r="AX83" s="209"/>
      <c r="AY83" s="209"/>
      <c r="AZ83" s="209"/>
      <c r="BA83" s="209"/>
      <c r="BB83" s="209"/>
      <c r="BC83" s="209"/>
      <c r="BD83" s="209"/>
      <c r="BE83" s="209"/>
      <c r="BF83" s="209"/>
      <c r="BG83" s="209"/>
      <c r="BH83" s="209"/>
      <c r="BI83" s="209"/>
      <c r="BJ83" s="209"/>
      <c r="BK83" s="209"/>
      <c r="BL83" s="209"/>
      <c r="BM83" s="209"/>
      <c r="BN83" s="209"/>
      <c r="BO83" s="209"/>
      <c r="BP83" s="209"/>
      <c r="BQ83" s="209"/>
      <c r="BR83" s="209"/>
      <c r="BS83" s="209"/>
      <c r="BT83" s="209"/>
      <c r="BU83" s="209"/>
      <c r="BV83" s="209"/>
      <c r="BW83" s="209"/>
      <c r="BX83" s="209"/>
      <c r="BY83" s="209"/>
      <c r="BZ83" s="209"/>
      <c r="CA83" s="209"/>
      <c r="CB83" s="209"/>
      <c r="CC83" s="209"/>
      <c r="CD83" s="209"/>
      <c r="CE83" s="209"/>
      <c r="CF83" s="209"/>
      <c r="CG83" s="209"/>
      <c r="CH83" s="209"/>
      <c r="CI83" s="209"/>
      <c r="CJ83" s="209"/>
      <c r="CK83" s="209"/>
      <c r="CL83" s="209"/>
      <c r="CM83" s="209"/>
      <c r="CN83" s="209"/>
      <c r="CO83" s="209"/>
      <c r="CP83" s="209"/>
      <c r="CQ83" s="209"/>
      <c r="CR83" s="209"/>
      <c r="CS83" s="209"/>
      <c r="CT83" s="209"/>
      <c r="CU83" s="209"/>
      <c r="CV83" s="209"/>
      <c r="CW83" s="209"/>
      <c r="CX83" s="209"/>
      <c r="CY83" s="209"/>
      <c r="CZ83" s="209"/>
      <c r="DA83" s="209"/>
      <c r="DB83" s="209"/>
      <c r="DC83" s="209"/>
      <c r="DD83" s="209"/>
      <c r="DE83" s="209"/>
      <c r="DF83" s="209"/>
      <c r="DG83" s="209"/>
      <c r="DH83" s="209"/>
      <c r="DI83" s="209"/>
      <c r="DJ83" s="209"/>
      <c r="DK83" s="209"/>
      <c r="DL83" s="209"/>
      <c r="DM83" s="209"/>
      <c r="DN83" s="209"/>
      <c r="DO83" s="209"/>
      <c r="DP83" s="209"/>
      <c r="DQ83" s="209"/>
      <c r="DR83" s="209"/>
      <c r="DS83" s="209"/>
      <c r="DT83" s="209"/>
      <c r="DU83" s="209"/>
      <c r="DV83" s="209"/>
      <c r="DW83" s="209"/>
      <c r="DX83" s="209"/>
      <c r="DY83" s="209"/>
      <c r="DZ83" s="209"/>
      <c r="EA83" s="209"/>
      <c r="EB83" s="209"/>
      <c r="EC83" s="209"/>
      <c r="ED83" s="209"/>
      <c r="EE83" s="209"/>
      <c r="EF83" s="209"/>
      <c r="EG83" s="209"/>
      <c r="EH83" s="209"/>
      <c r="EI83" s="209"/>
      <c r="EJ83" s="209"/>
      <c r="EK83" s="209"/>
      <c r="EL83" s="209"/>
      <c r="EM83" s="209"/>
      <c r="EN83" s="209"/>
      <c r="EO83" s="209"/>
      <c r="EP83" s="209"/>
      <c r="EQ83" s="209"/>
      <c r="ER83" s="209"/>
      <c r="ES83" s="209"/>
      <c r="ET83" s="209"/>
      <c r="EU83" s="209"/>
      <c r="EV83" s="209"/>
      <c r="EW83" s="209"/>
      <c r="EX83" s="209"/>
      <c r="EY83" s="209"/>
      <c r="EZ83" s="209"/>
      <c r="FA83" s="209"/>
      <c r="FB83" s="209"/>
      <c r="FC83" s="209"/>
      <c r="FD83" s="209"/>
      <c r="FE83" s="209"/>
      <c r="FF83" s="209"/>
      <c r="FG83" s="209"/>
      <c r="FH83" s="209"/>
      <c r="FI83" s="209"/>
      <c r="FJ83" s="209"/>
      <c r="FK83" s="209"/>
      <c r="FL83" s="209"/>
      <c r="FM83" s="209"/>
      <c r="FN83" s="209"/>
      <c r="FO83" s="209"/>
      <c r="FP83" s="209"/>
      <c r="FQ83" s="209"/>
      <c r="FR83" s="209"/>
      <c r="FS83" s="209"/>
      <c r="FT83" s="209"/>
      <c r="FU83" s="209"/>
      <c r="FV83" s="209"/>
      <c r="FW83" s="209"/>
      <c r="FX83" s="209"/>
      <c r="FY83" s="209"/>
      <c r="FZ83" s="209"/>
      <c r="GA83" s="209"/>
      <c r="GB83" s="209"/>
      <c r="GC83" s="209"/>
      <c r="GD83" s="209"/>
      <c r="GE83" s="209"/>
      <c r="GF83" s="209"/>
      <c r="GG83" s="209"/>
      <c r="GH83" s="209"/>
      <c r="GI83" s="209"/>
      <c r="GJ83" s="209"/>
      <c r="GK83" s="209"/>
      <c r="GL83" s="209"/>
      <c r="GM83" s="209"/>
      <c r="GN83" s="209"/>
      <c r="GO83" s="209"/>
      <c r="GP83" s="209"/>
      <c r="GQ83" s="209"/>
      <c r="GR83" s="209"/>
      <c r="GS83" s="209"/>
      <c r="GT83" s="209"/>
      <c r="GU83" s="209"/>
      <c r="GV83" s="209"/>
      <c r="GW83" s="209"/>
      <c r="GX83" s="209"/>
      <c r="GY83" s="209"/>
      <c r="GZ83" s="209"/>
      <c r="HA83" s="209"/>
      <c r="HB83" s="209"/>
      <c r="HC83" s="209"/>
      <c r="HD83" s="209"/>
      <c r="HE83" s="209"/>
      <c r="HF83" s="209"/>
      <c r="HG83" s="209"/>
      <c r="HH83" s="209"/>
      <c r="HI83" s="209"/>
      <c r="HJ83" s="209"/>
      <c r="HK83" s="209"/>
      <c r="HL83" s="209"/>
      <c r="HM83" s="209"/>
      <c r="HN83" s="209"/>
      <c r="HO83" s="209"/>
      <c r="HP83" s="209"/>
      <c r="HQ83" s="209"/>
      <c r="HR83" s="209"/>
      <c r="HS83" s="209"/>
      <c r="HT83" s="209"/>
      <c r="HU83" s="209"/>
      <c r="HV83" s="209"/>
      <c r="HW83" s="209"/>
      <c r="HX83" s="209"/>
      <c r="HY83" s="209"/>
      <c r="HZ83" s="209"/>
      <c r="IA83" s="209"/>
      <c r="IB83" s="209"/>
      <c r="IC83" s="209"/>
      <c r="ID83" s="209"/>
      <c r="IE83" s="209"/>
      <c r="IF83" s="209"/>
      <c r="IG83" s="209"/>
      <c r="IH83" s="209"/>
      <c r="II83" s="209"/>
      <c r="IJ83" s="209"/>
      <c r="IK83" s="209"/>
      <c r="IL83" s="209"/>
      <c r="IM83" s="209"/>
      <c r="IN83" s="209"/>
      <c r="IO83" s="209"/>
      <c r="IP83" s="209"/>
      <c r="IQ83" s="209"/>
      <c r="IR83" s="209"/>
      <c r="IS83" s="209"/>
      <c r="IT83" s="209"/>
      <c r="IU83" s="209"/>
      <c r="IV83" s="209"/>
      <c r="IW83" s="209"/>
      <c r="IX83" s="209"/>
    </row>
    <row r="84" s="209" customFormat="true" ht="17.4" hidden="false" customHeight="false" outlineLevel="0" collapsed="false">
      <c r="A84" s="99"/>
      <c r="B84" s="31"/>
      <c r="C84" s="30"/>
      <c r="D84" s="85" t="s">
        <v>134</v>
      </c>
      <c r="E84" s="217" t="n">
        <f aca="false">IF(AND($F$2="No",$F$3="No"),SUM(J84:K84),IF(AND($F$2="Yes", $F$3="No"), SUM(J84:K84)+Q84, IF(AND($F$2="No", $F$3="Yes"),SUM(J84:K84)+P84, SUM(J84:K84)+Q84+P84)))</f>
        <v>-0.0911390481413813</v>
      </c>
      <c r="F84" s="89" t="n">
        <f aca="false">IF(AND($F$2="No",$F$3="No"),SUM(H84:O84),IF(AND($F$2="Yes", $F$3="No"), SUM(H84:O84)+Q84, IF(AND($F$2="No", $F$3="Yes"),SUM(H84:O84)+P84, SUM(H84:O84)+Q84+P84)))</f>
        <v>0.00632057551263227</v>
      </c>
      <c r="G84" s="88" t="n">
        <f aca="false">SUM(S84:U84)/(1-'Common input data'!$H$121)</f>
        <v>0.667326109436073</v>
      </c>
      <c r="H84" s="87" t="n">
        <f aca="false">('Input data plant-based products'!$F$72*('Common input data'!$D$76*'Common input data'!B69+'Common input data'!$D$77*'Common input data'!C69))/'Input data plant-based products'!$E$72</f>
        <v>0.00445152396554003</v>
      </c>
      <c r="I84" s="89" t="n">
        <f aca="false">'Common input data'!$B$81</f>
        <v>0.03</v>
      </c>
      <c r="J84" s="87" t="n">
        <v>0</v>
      </c>
      <c r="K84" s="89" t="n">
        <v>0</v>
      </c>
      <c r="L84" s="87" t="n">
        <f aca="false">('Input data plant-based products'!$I$72*'Common input data'!$C$59*'Common input data'!H49)/'Input data plant-based products'!$E$72</f>
        <v>0.0130080996884735</v>
      </c>
      <c r="M84" s="89" t="n">
        <v>0</v>
      </c>
      <c r="N84" s="89" t="n">
        <f aca="false">'Input data plant-based products'!F$152</f>
        <v>0.05</v>
      </c>
      <c r="O84" s="89" t="n">
        <v>0</v>
      </c>
      <c r="P84" s="89" t="n">
        <f aca="false">'Common input data'!$F$13</f>
        <v>-0.0911390481413813</v>
      </c>
      <c r="Q84" s="89" t="n">
        <v>0</v>
      </c>
      <c r="R84" s="89" t="n">
        <v>0</v>
      </c>
      <c r="S84" s="89" t="n">
        <f aca="false">F84+R84</f>
        <v>0.00632057551263227</v>
      </c>
      <c r="T84" s="89" t="n">
        <f aca="false">'Common input data'!$B$88</f>
        <v>0.05</v>
      </c>
      <c r="U84" s="87" t="n">
        <f aca="false">'Common input data'!B108+'Common input data'!C108</f>
        <v>0.43</v>
      </c>
      <c r="V84" s="309"/>
      <c r="W84" s="92"/>
      <c r="Z84" s="30"/>
    </row>
    <row r="85" s="209" customFormat="true" ht="17.4" hidden="false" customHeight="false" outlineLevel="0" collapsed="false">
      <c r="A85" s="74"/>
      <c r="B85" s="31"/>
      <c r="C85" s="93"/>
      <c r="D85" s="85" t="s">
        <v>135</v>
      </c>
      <c r="E85" s="217" t="n">
        <f aca="false">SUM(J85:K85)</f>
        <v>0</v>
      </c>
      <c r="F85" s="89" t="n">
        <f aca="false">SUM(H85:O85)</f>
        <v>5.76217381431075E-006</v>
      </c>
      <c r="G85" s="88" t="n">
        <f aca="false">SUM(S85:U85)/(1-'Common input data'!$H$121)</f>
        <v>7.90681954870019E-006</v>
      </c>
      <c r="H85" s="87" t="n">
        <f aca="false">('Input data plant-based products'!$F$72*('Common input data'!$D$76*'Common input data'!B70+'Common input data'!$D$77*'Common input data'!C70))/'Input data plant-based products'!$E$72</f>
        <v>2.42816004672897E-011</v>
      </c>
      <c r="I85" s="87" t="n">
        <v>0</v>
      </c>
      <c r="J85" s="87" t="n">
        <v>0</v>
      </c>
      <c r="K85" s="87" t="n">
        <v>0</v>
      </c>
      <c r="L85" s="87" t="n">
        <f aca="false">('Input data plant-based products'!$I$72*'Common input data'!$C$59*'Common input data'!H50)/'Input data plant-based products'!$E$72</f>
        <v>5.76214953271028E-006</v>
      </c>
      <c r="M85" s="89" t="n">
        <v>0</v>
      </c>
      <c r="N85" s="89" t="n">
        <v>0</v>
      </c>
      <c r="O85" s="89" t="n">
        <v>0</v>
      </c>
      <c r="P85" s="89" t="n">
        <v>0</v>
      </c>
      <c r="Q85" s="89" t="n">
        <v>0</v>
      </c>
      <c r="R85" s="89" t="n">
        <v>0</v>
      </c>
      <c r="S85" s="89" t="n">
        <f aca="false">F85+R85</f>
        <v>5.76217381431075E-006</v>
      </c>
      <c r="T85" s="89" t="n">
        <v>0</v>
      </c>
      <c r="U85" s="89" t="n">
        <v>0</v>
      </c>
      <c r="V85" s="309"/>
      <c r="W85" s="92"/>
      <c r="Z85" s="30"/>
    </row>
    <row r="86" s="209" customFormat="true" ht="17.4" hidden="false" customHeight="false" outlineLevel="0" collapsed="false">
      <c r="A86" s="100"/>
      <c r="B86" s="101"/>
      <c r="C86" s="87"/>
      <c r="D86" s="31" t="s">
        <v>136</v>
      </c>
      <c r="E86" s="219" t="n">
        <f aca="false">SUM(J86:K86)</f>
        <v>3.61801846906987E-005</v>
      </c>
      <c r="F86" s="126" t="n">
        <f aca="false">SUM(H86:O86)</f>
        <v>6.46087249892649E-005</v>
      </c>
      <c r="G86" s="106" t="n">
        <f aca="false">SUM(S86:U86)/(1-'Common input data'!$H$121)</f>
        <v>8.86556959619969E-005</v>
      </c>
      <c r="H86" s="87" t="n">
        <f aca="false">('Input data plant-based products'!$F$72*('Common input data'!$D$76*'Common input data'!B71+'Common input data'!$D$77*'Common input data'!C71))/'Input data plant-based products'!$E$72</f>
        <v>2.80790075882858E-005</v>
      </c>
      <c r="I86" s="87" t="n">
        <v>0</v>
      </c>
      <c r="J86" s="87" t="n">
        <f aca="false">(SUM('Input data plant-based products'!F72:H72)*'Input data plant-based products'!$B$114*44/28)/'Input data plant-based products'!E72</f>
        <v>3.28910769915443E-005</v>
      </c>
      <c r="K86" s="89" t="n">
        <f aca="false">J86*'Input data plant-based products'!$B$115</f>
        <v>3.28910769915443E-006</v>
      </c>
      <c r="L86" s="87" t="n">
        <f aca="false">('Input data plant-based products'!$I$72*'Common input data'!$C$59*'Common input data'!H51)/'Input data plant-based products'!$E$72</f>
        <v>3.49532710280374E-007</v>
      </c>
      <c r="M86" s="89" t="n">
        <v>0</v>
      </c>
      <c r="N86" s="89" t="n">
        <v>0</v>
      </c>
      <c r="O86" s="89" t="n">
        <v>0</v>
      </c>
      <c r="P86" s="89" t="n">
        <v>0</v>
      </c>
      <c r="Q86" s="89" t="n">
        <v>0</v>
      </c>
      <c r="R86" s="89" t="n">
        <v>0</v>
      </c>
      <c r="S86" s="89" t="n">
        <f aca="false">F86+R86</f>
        <v>6.46087249892649E-005</v>
      </c>
      <c r="T86" s="89" t="n">
        <v>0</v>
      </c>
      <c r="U86" s="89" t="n">
        <v>0</v>
      </c>
      <c r="V86" s="309"/>
      <c r="W86" s="92"/>
      <c r="Z86" s="30"/>
    </row>
    <row r="87" s="209" customFormat="true" ht="17.4" hidden="false" customHeight="false" outlineLevel="0" collapsed="false">
      <c r="A87" s="107" t="s">
        <v>330</v>
      </c>
      <c r="B87" s="108"/>
      <c r="C87" s="69"/>
      <c r="D87" s="109"/>
      <c r="E87" s="110" t="s">
        <v>331</v>
      </c>
      <c r="F87" s="111" t="s">
        <v>331</v>
      </c>
      <c r="G87" s="112" t="s">
        <v>331</v>
      </c>
      <c r="H87" s="69"/>
      <c r="I87" s="69"/>
      <c r="J87" s="69"/>
      <c r="K87" s="113"/>
      <c r="L87" s="113"/>
      <c r="M87" s="114"/>
      <c r="N87" s="113"/>
      <c r="O87" s="113"/>
      <c r="P87" s="113"/>
      <c r="Q87" s="113"/>
      <c r="R87" s="113"/>
      <c r="S87" s="113"/>
      <c r="T87" s="113"/>
      <c r="U87" s="113"/>
      <c r="V87" s="309"/>
      <c r="W87" s="92"/>
      <c r="Z87" s="30"/>
    </row>
    <row r="88" s="209" customFormat="true" ht="17.4" hidden="false" customHeight="false" outlineLevel="0" collapsed="false">
      <c r="A88" s="330" t="s">
        <v>272</v>
      </c>
      <c r="B88" s="76"/>
      <c r="C88" s="77" t="n">
        <f aca="false">SUM(C92:C99)</f>
        <v>1</v>
      </c>
      <c r="D88" s="78" t="s">
        <v>133</v>
      </c>
      <c r="E88" s="79" t="n">
        <f aca="false">IF($F$1="GWP100 without fb",E89+E90*'Common input data'!$C$5+E91*'Common input data'!$D$5,IF($F$1="GWP100 with fb",E89+E90*'Common input data'!$C$6+E91*'Common input data'!$D$6,IF($F$1="GTP100 without fb",E89+E90*'Common input data'!$C$7+E91*'Common input data'!$D$7,IF($F$1="GTP100 with fb",E89+E90*'Common input data'!$C$8+E91*'Common input data'!$D$8,E89+E90*'Common input data'!$C$9+E91*'Common input data'!$D$9))))</f>
        <v>-0.0337086082735299</v>
      </c>
      <c r="F88" s="80" t="n">
        <f aca="false">IF($F$1="GWP100 without fb",F89+F90*'Common input data'!$C$5+F91*'Common input data'!$D$5,IF($F$1="GWP100 with fb",F89+F90*'Common input data'!$C$6+F91*'Common input data'!$D$6,IF($F$1="GTP100 without fb",F89+F90*'Common input data'!$C$7+F91*'Common input data'!$D$7,IF($F$1="GTP100 with fb",F89+F90*'Common input data'!$C$8+F91*'Common input data'!$D$8,F89+F90*'Common input data'!$C$9+F91*'Common input data'!$D$9))))</f>
        <v>0.156629076490957</v>
      </c>
      <c r="G88" s="81" t="n">
        <f aca="false">IF($F$1="GWP100 without fb",G89+G90*'Common input data'!$C$5+G91*'Common input data'!$D$5,IF($F$1="GWP100 with fb",G89+G90*'Common input data'!$C$6+G91*'Common input data'!$D$6,IF($F$1="GTP100 without fb",G89+G90*'Common input data'!$C$7+G91*'Common input data'!$D$7,IF($F$1="GTP100 with fb",G89+G90*'Common input data'!$C$8+G91*'Common input data'!$D$8,G89+G90*'Common input data'!$C$9+G91*'Common input data'!$D$9))))</f>
        <v>0.728614353203926</v>
      </c>
      <c r="H88" s="95"/>
      <c r="I88" s="97"/>
      <c r="J88" s="97"/>
      <c r="K88" s="83"/>
      <c r="L88" s="83"/>
      <c r="M88" s="83"/>
      <c r="N88" s="83"/>
      <c r="O88" s="83"/>
      <c r="P88" s="83"/>
      <c r="Q88" s="83"/>
      <c r="R88" s="83"/>
      <c r="S88" s="83"/>
      <c r="T88" s="83"/>
      <c r="U88" s="83"/>
      <c r="V88" s="309"/>
      <c r="W88" s="92"/>
      <c r="Z88" s="30"/>
    </row>
    <row r="89" s="209" customFormat="true" ht="17.4" hidden="false" customHeight="false" outlineLevel="0" collapsed="false">
      <c r="A89" s="315"/>
      <c r="B89" s="31"/>
      <c r="C89" s="30"/>
      <c r="D89" s="85" t="s">
        <v>134</v>
      </c>
      <c r="E89" s="217" t="n">
        <f aca="false">E93*$C$92+E97*$C$96</f>
        <v>-0.0911390481413813</v>
      </c>
      <c r="F89" s="89" t="n">
        <f aca="false">F93*$C$92+F97*$C$96</f>
        <v>0.0461815124238776</v>
      </c>
      <c r="G89" s="88" t="n">
        <f aca="false">G93*$C$92+G97*$C$96</f>
        <v>0.585581635198461</v>
      </c>
      <c r="H89" s="89" t="n">
        <f aca="false">H93*$C$92+H97*$C$96</f>
        <v>0.0296521866337174</v>
      </c>
      <c r="I89" s="89" t="n">
        <f aca="false">I93*$C$92+I97*$C$96</f>
        <v>0.03</v>
      </c>
      <c r="J89" s="89" t="n">
        <f aca="false">J93*$C$92+J97*$C$96</f>
        <v>0</v>
      </c>
      <c r="K89" s="89" t="n">
        <f aca="false">K93*$C$92+K97*$C$96</f>
        <v>0</v>
      </c>
      <c r="L89" s="89" t="n">
        <f aca="false">L93*$C$92+L97*$C$96</f>
        <v>0.0276683739315415</v>
      </c>
      <c r="M89" s="89" t="n">
        <f aca="false">M93*$C$92+M97*$C$96</f>
        <v>0</v>
      </c>
      <c r="N89" s="89" t="n">
        <f aca="false">N93*$C$92+N97*$C$96</f>
        <v>0.05</v>
      </c>
      <c r="O89" s="89" t="n">
        <f aca="false">O93*$C$92+O97*$C$96</f>
        <v>0</v>
      </c>
      <c r="P89" s="89" t="n">
        <f aca="false">P93*$C$92+P97*$C$96</f>
        <v>-0.0911390481413813</v>
      </c>
      <c r="Q89" s="89" t="n">
        <f aca="false">Q93*$C$92+Q97*$C$96</f>
        <v>0</v>
      </c>
      <c r="R89" s="89" t="n">
        <f aca="false">R93*$C$92+R97*$C$96</f>
        <v>0</v>
      </c>
      <c r="S89" s="89" t="n">
        <f aca="false">S93*$C$92+S97*$C$96</f>
        <v>0.0461815124238776</v>
      </c>
      <c r="T89" s="89" t="n">
        <f aca="false">T93*$C$92+T97*$C$96</f>
        <v>0.05</v>
      </c>
      <c r="U89" s="89" t="n">
        <f aca="false">U93*$C$92+U97*$C$96</f>
        <v>0.348</v>
      </c>
      <c r="V89" s="309"/>
      <c r="W89" s="92"/>
      <c r="Z89" s="30"/>
    </row>
    <row r="90" s="209" customFormat="true" ht="17.4" hidden="false" customHeight="false" outlineLevel="0" collapsed="false">
      <c r="A90" s="315"/>
      <c r="B90" s="31"/>
      <c r="C90" s="93"/>
      <c r="D90" s="85" t="s">
        <v>135</v>
      </c>
      <c r="E90" s="217" t="n">
        <f aca="false">E94*$C$92+E98*$C$96</f>
        <v>0</v>
      </c>
      <c r="F90" s="89" t="n">
        <f aca="false">F94*$C$92+F98*$C$96</f>
        <v>1.22563044887544E-005</v>
      </c>
      <c r="G90" s="88" t="n">
        <f aca="false">G94*$C$92+G98*$C$96</f>
        <v>1.60044328481857E-005</v>
      </c>
      <c r="H90" s="89" t="n">
        <f aca="false">H94*$C$92+H98*$C$96</f>
        <v>1.478064870128E-010</v>
      </c>
      <c r="I90" s="89" t="n">
        <f aca="false">I94*$C$92+I98*$C$96</f>
        <v>0</v>
      </c>
      <c r="J90" s="89" t="n">
        <f aca="false">J94*$C$92+J98*$C$96</f>
        <v>0</v>
      </c>
      <c r="K90" s="89" t="n">
        <f aca="false">K94*$C$92+K98*$C$96</f>
        <v>0</v>
      </c>
      <c r="L90" s="89" t="n">
        <f aca="false">L94*$C$92+L98*$C$96</f>
        <v>1.22561566822674E-005</v>
      </c>
      <c r="M90" s="89" t="n">
        <f aca="false">M94*$C$92+M98*$C$96</f>
        <v>0</v>
      </c>
      <c r="N90" s="89" t="n">
        <f aca="false">N94*$C$92+N98*$C$96</f>
        <v>0</v>
      </c>
      <c r="O90" s="89" t="n">
        <f aca="false">O94*$C$92+O98*$C$96</f>
        <v>0</v>
      </c>
      <c r="P90" s="89" t="n">
        <f aca="false">P94*$C$92+P98*$C$96</f>
        <v>0</v>
      </c>
      <c r="Q90" s="89" t="n">
        <f aca="false">Q94*$C$92+Q98*$C$96</f>
        <v>0</v>
      </c>
      <c r="R90" s="89" t="n">
        <f aca="false">R94*$C$92+R98*$C$96</f>
        <v>0</v>
      </c>
      <c r="S90" s="89" t="n">
        <f aca="false">S94*$C$92+S98*$C$96</f>
        <v>1.22563044887544E-005</v>
      </c>
      <c r="T90" s="89" t="n">
        <f aca="false">T94*$C$92+T98*$C$96</f>
        <v>0</v>
      </c>
      <c r="U90" s="89" t="n">
        <f aca="false">U94*$C$92+U98*$C$96</f>
        <v>0</v>
      </c>
      <c r="V90" s="309"/>
      <c r="W90" s="92"/>
      <c r="Z90" s="30"/>
    </row>
    <row r="91" s="209" customFormat="true" ht="17.4" hidden="false" customHeight="false" outlineLevel="0" collapsed="false">
      <c r="A91" s="74"/>
      <c r="B91" s="101"/>
      <c r="C91" s="87"/>
      <c r="D91" s="31" t="s">
        <v>136</v>
      </c>
      <c r="E91" s="217" t="n">
        <f aca="false">E95*$C$92+E99*$C$96</f>
        <v>0.000192719596871984</v>
      </c>
      <c r="F91" s="89" t="n">
        <f aca="false">F95*$C$92+F99*$C$96</f>
        <v>0.000369231039310273</v>
      </c>
      <c r="G91" s="88" t="n">
        <f aca="false">G95*$C$92+G99*$C$96</f>
        <v>0.000478149554659824</v>
      </c>
      <c r="H91" s="89" t="n">
        <f aca="false">H95*$C$92+H99*$C$96</f>
        <v>0.000175767982443289</v>
      </c>
      <c r="I91" s="89" t="n">
        <f aca="false">I95*$C$92+I99*$C$96</f>
        <v>0</v>
      </c>
      <c r="J91" s="89" t="n">
        <f aca="false">J95*$C$92+J99*$C$96</f>
        <v>0.000175199633519986</v>
      </c>
      <c r="K91" s="89" t="n">
        <f aca="false">K95*$C$92+K99*$C$96</f>
        <v>1.75199633519986E-005</v>
      </c>
      <c r="L91" s="89" t="n">
        <f aca="false">L95*$C$92+L99*$C$96</f>
        <v>7.4345999499927E-007</v>
      </c>
      <c r="M91" s="89" t="n">
        <f aca="false">M95*$C$92+M99*$C$96</f>
        <v>0</v>
      </c>
      <c r="N91" s="89" t="n">
        <f aca="false">N95*$C$92+N99*$C$96</f>
        <v>0</v>
      </c>
      <c r="O91" s="89" t="n">
        <f aca="false">O95*$C$92+O99*$C$96</f>
        <v>0</v>
      </c>
      <c r="P91" s="89" t="n">
        <f aca="false">P95*$C$92+P99*$C$96</f>
        <v>0</v>
      </c>
      <c r="Q91" s="89" t="n">
        <f aca="false">Q95*$C$92+Q99*$C$96</f>
        <v>0</v>
      </c>
      <c r="R91" s="89" t="n">
        <f aca="false">R95*$C$92+R99*$C$96</f>
        <v>0</v>
      </c>
      <c r="S91" s="89" t="n">
        <f aca="false">S95*$C$92+S99*$C$96</f>
        <v>0.000369231039310273</v>
      </c>
      <c r="T91" s="89" t="n">
        <f aca="false">T95*$C$92+T99*$C$96</f>
        <v>0</v>
      </c>
      <c r="U91" s="89" t="n">
        <f aca="false">U95*$C$92+U99*$C$96</f>
        <v>0</v>
      </c>
      <c r="V91" s="309"/>
      <c r="W91" s="92"/>
      <c r="Z91" s="30"/>
    </row>
    <row r="92" s="209" customFormat="true" ht="17.4" hidden="false" customHeight="false" outlineLevel="0" collapsed="false">
      <c r="A92" s="330" t="s">
        <v>285</v>
      </c>
      <c r="B92" s="76" t="s">
        <v>254</v>
      </c>
      <c r="C92" s="84" t="n">
        <f aca="false">'Input data plant-based products'!D95</f>
        <v>0.41</v>
      </c>
      <c r="D92" s="78" t="s">
        <v>133</v>
      </c>
      <c r="E92" s="94" t="n">
        <f aca="false">IF($F$1="GWP100 without fb",E93+E94*'Common input data'!$C$5+E95*'Common input data'!$D$5,IF($F$1="GWP100 with fb",E93+E94*'Common input data'!$C$6+E95*'Common input data'!$D$6,IF($F$1="GTP100 without fb",E93+E94*'Common input data'!$C$7+E95*'Common input data'!$D$7,IF($F$1="GTP100 with fb",E93+E94*'Common input data'!$C$8+E95*'Common input data'!$D$8,E93+E94*'Common input data'!$C$9+E95*'Common input data'!$D$9))))</f>
        <v>-0.0283349617236958</v>
      </c>
      <c r="F92" s="95" t="n">
        <f aca="false">IF($F$1="GWP100 without fb",F93+F94*'Common input data'!$C$5+F95*'Common input data'!$D$5,IF($F$1="GWP100 with fb",F93+F94*'Common input data'!$C$6+F95*'Common input data'!$D$6,IF($F$1="GTP100 without fb",F93+F94*'Common input data'!$C$7+F95*'Common input data'!$D$7,IF($F$1="GTP100 with fb",F93+F94*'Common input data'!$C$8+F95*'Common input data'!$D$8,F93+F94*'Common input data'!$C$9+F95*'Common input data'!$D$9))))</f>
        <v>0.162738014032276</v>
      </c>
      <c r="G92" s="96" t="n">
        <f aca="false">IF($F$1="GWP100 without fb",G93+G94*'Common input data'!$C$5+G95*'Common input data'!$D$5,IF($F$1="GWP100 with fb",G93+G94*'Common input data'!$C$6+G95*'Common input data'!$D$6,IF($F$1="GTP100 without fb",G93+G94*'Common input data'!$C$7+G95*'Common input data'!$D$7,IF($F$1="GTP100 with fb",G93+G94*'Common input data'!$C$8+G95*'Common input data'!$D$8,G93+G94*'Common input data'!$C$9+G95*'Common input data'!$D$9))))</f>
        <v>0.528390039422695</v>
      </c>
      <c r="H92" s="83"/>
      <c r="I92" s="83"/>
      <c r="J92" s="83"/>
      <c r="K92" s="83"/>
      <c r="L92" s="83"/>
      <c r="M92" s="83"/>
      <c r="N92" s="83"/>
      <c r="O92" s="83"/>
      <c r="P92" s="83"/>
      <c r="Q92" s="83"/>
      <c r="R92" s="83"/>
      <c r="S92" s="83"/>
      <c r="T92" s="83"/>
      <c r="U92" s="83"/>
      <c r="V92" s="309"/>
      <c r="W92" s="92"/>
      <c r="Z92" s="30"/>
    </row>
    <row r="93" s="209" customFormat="true" ht="17.4" hidden="false" customHeight="false" outlineLevel="0" collapsed="false">
      <c r="A93" s="315"/>
      <c r="B93" s="31"/>
      <c r="C93" s="30"/>
      <c r="D93" s="85" t="s">
        <v>134</v>
      </c>
      <c r="E93" s="217" t="n">
        <f aca="false">IF(AND($F$2="No",$F$3="No"),SUM(J93:K93),IF(AND($F$2="Yes", $F$3="No"), SUM(J93:K93)+Q93, IF(AND($F$2="No", $F$3="Yes"),SUM(J93:K93)+P93, SUM(J93:K93)+Q93+P93)))</f>
        <v>-0.0911390481413813</v>
      </c>
      <c r="F93" s="89" t="n">
        <f aca="false">IF(AND($F$2="No",$F$3="No"),SUM(H93:O93),IF(AND($F$2="Yes", $F$3="No"), SUM(H93:O93)+Q93, IF(AND($F$2="No", $F$3="Yes"),SUM(H93:O93)+P93, SUM(H93:O93)+Q93+P93)))</f>
        <v>0.0464355958038876</v>
      </c>
      <c r="G93" s="88" t="n">
        <f aca="false">SUM(S93:U93)/(1-'Common input data'!$B$121)</f>
        <v>0.389587773963346</v>
      </c>
      <c r="H93" s="89" t="n">
        <f aca="false">('Input data plant-based products'!$F$95*('Common input data'!$C$76*'Common input data'!B69+'Common input data'!$C$77*'Common input data'!C69))/'Input data plant-based products'!$E$95</f>
        <v>0.032511253558399</v>
      </c>
      <c r="I93" s="89" t="n">
        <f aca="false">'Common input data'!$B$81</f>
        <v>0.03</v>
      </c>
      <c r="J93" s="89" t="n">
        <v>0</v>
      </c>
      <c r="K93" s="89" t="n">
        <v>0</v>
      </c>
      <c r="L93" s="89" t="n">
        <f aca="false">('Input data plant-based products'!$I$95*'Common input data'!$C$59*'Common input data'!H49)/'Input data plant-based products'!$E$95</f>
        <v>0.0250633903868699</v>
      </c>
      <c r="M93" s="89" t="n">
        <v>0</v>
      </c>
      <c r="N93" s="89" t="n">
        <f aca="false">'Input data plant-based products'!$F$152</f>
        <v>0.05</v>
      </c>
      <c r="O93" s="89" t="n">
        <v>0</v>
      </c>
      <c r="P93" s="89" t="n">
        <f aca="false">'Common input data'!$F$13</f>
        <v>-0.0911390481413813</v>
      </c>
      <c r="Q93" s="89" t="n">
        <v>0</v>
      </c>
      <c r="R93" s="89" t="n">
        <v>0</v>
      </c>
      <c r="S93" s="89" t="n">
        <f aca="false">F93+R93</f>
        <v>0.0464355958038876</v>
      </c>
      <c r="T93" s="89" t="n">
        <f aca="false">'Common input data'!$B$88</f>
        <v>0.05</v>
      </c>
      <c r="U93" s="89" t="n">
        <f aca="false">'Common input data'!B100+'Common input data'!C100</f>
        <v>0.23</v>
      </c>
      <c r="V93" s="309"/>
      <c r="W93" s="92"/>
      <c r="Z93" s="30"/>
    </row>
    <row r="94" s="209" customFormat="true" ht="17.4" hidden="false" customHeight="false" outlineLevel="0" collapsed="false">
      <c r="A94" s="74"/>
      <c r="B94" s="31"/>
      <c r="C94" s="93"/>
      <c r="D94" s="85" t="s">
        <v>135</v>
      </c>
      <c r="E94" s="217" t="n">
        <f aca="false">SUM(J94:K94)</f>
        <v>0</v>
      </c>
      <c r="F94" s="89" t="n">
        <f aca="false">SUM(H94:O94)</f>
        <v>1.11023801581243E-005</v>
      </c>
      <c r="G94" s="88" t="n">
        <f aca="false">SUM(S94:U94)/(1-'Common input data'!$B$121)</f>
        <v>1.32502448479822E-005</v>
      </c>
      <c r="H94" s="89" t="n">
        <f aca="false">('Input data plant-based products'!$F$95*('Common input data'!$C$76*'Common input data'!B70+'Common input data'!$C$77*'Common input data'!C70))/'Input data plant-based products'!$E$95</f>
        <v>1.43346869871043E-010</v>
      </c>
      <c r="I94" s="89" t="n">
        <v>0</v>
      </c>
      <c r="J94" s="89" t="n">
        <v>0</v>
      </c>
      <c r="K94" s="89" t="n">
        <v>0</v>
      </c>
      <c r="L94" s="89" t="n">
        <f aca="false">('Input data plant-based products'!$I$95*'Common input data'!$C$59*'Common input data'!H50)/'Input data plant-based products'!$E$95</f>
        <v>1.11022368112544E-005</v>
      </c>
      <c r="M94" s="89" t="n">
        <v>0</v>
      </c>
      <c r="N94" s="89" t="n">
        <v>0</v>
      </c>
      <c r="O94" s="89" t="n">
        <v>0</v>
      </c>
      <c r="P94" s="89" t="n">
        <v>0</v>
      </c>
      <c r="Q94" s="89" t="n">
        <v>0</v>
      </c>
      <c r="R94" s="89" t="n">
        <v>0</v>
      </c>
      <c r="S94" s="89" t="n">
        <f aca="false">F94+R94</f>
        <v>1.11023801581243E-005</v>
      </c>
      <c r="T94" s="89" t="n">
        <v>0</v>
      </c>
      <c r="U94" s="89" t="n">
        <v>0</v>
      </c>
      <c r="V94" s="309"/>
      <c r="W94" s="92"/>
      <c r="Z94" s="30"/>
    </row>
    <row r="95" s="209" customFormat="true" ht="17.4" hidden="false" customHeight="false" outlineLevel="0" collapsed="false">
      <c r="A95" s="100"/>
      <c r="B95" s="101"/>
      <c r="C95" s="87"/>
      <c r="D95" s="31" t="s">
        <v>136</v>
      </c>
      <c r="E95" s="217" t="n">
        <f aca="false">SUM(J95:K95)</f>
        <v>0.000210751967844582</v>
      </c>
      <c r="F95" s="89" t="n">
        <f aca="false">SUM(H95:O95)</f>
        <v>0.000389009856721518</v>
      </c>
      <c r="G95" s="88" t="n">
        <f aca="false">SUM(S95:U95)/(1-'Common input data'!$B$121)</f>
        <v>0.000464267641391</v>
      </c>
      <c r="H95" s="89" t="n">
        <f aca="false">('Input data plant-based products'!$F$95*('Common input data'!$C$76*'Common input data'!B71+'Common input data'!$C$77*'Common input data'!C71))/'Input data plant-based products'!$E$95</f>
        <v>0.000177584425805424</v>
      </c>
      <c r="I95" s="89" t="n">
        <v>0</v>
      </c>
      <c r="J95" s="89" t="n">
        <f aca="false">(SUM('Input data plant-based products'!F95:H95)*'Input data plant-based products'!$B$114*44/28)/'Input data plant-based products'!E95</f>
        <v>0.000191592698040529</v>
      </c>
      <c r="K95" s="89" t="n">
        <f aca="false">J95*'Input data plant-based products'!$B$115</f>
        <v>1.91592698040529E-005</v>
      </c>
      <c r="L95" s="89" t="n">
        <f aca="false">('Input data plant-based products'!$I$95*'Common input data'!$C$59*'Common input data'!H51)/'Input data plant-based products'!$E$95</f>
        <v>6.7346307151231E-007</v>
      </c>
      <c r="M95" s="89" t="n">
        <v>0</v>
      </c>
      <c r="N95" s="89" t="n">
        <v>0</v>
      </c>
      <c r="O95" s="89" t="n">
        <v>0</v>
      </c>
      <c r="P95" s="89" t="n">
        <v>0</v>
      </c>
      <c r="Q95" s="89" t="n">
        <v>0</v>
      </c>
      <c r="R95" s="89" t="n">
        <v>0</v>
      </c>
      <c r="S95" s="89" t="n">
        <f aca="false">F95+R95</f>
        <v>0.000389009856721518</v>
      </c>
      <c r="T95" s="89" t="n">
        <v>0</v>
      </c>
      <c r="U95" s="89" t="n">
        <v>0</v>
      </c>
      <c r="V95" s="309"/>
      <c r="W95" s="92"/>
      <c r="Z95" s="30"/>
    </row>
    <row r="96" s="209" customFormat="true" ht="17.4" hidden="false" customHeight="false" outlineLevel="0" collapsed="false">
      <c r="A96" s="330" t="s">
        <v>171</v>
      </c>
      <c r="B96" s="76" t="s">
        <v>254</v>
      </c>
      <c r="C96" s="84" t="n">
        <f aca="false">'Input data plant-based products'!D96</f>
        <v>0.59</v>
      </c>
      <c r="D96" s="78" t="s">
        <v>133</v>
      </c>
      <c r="E96" s="94" t="n">
        <f aca="false">IF($F$1="GWP100 without fb",E97+E98*'Common input data'!$C$5+E99*'Common input data'!$D$5,IF($F$1="GWP100 with fb",E97+E98*'Common input data'!$C$6+E99*'Common input data'!$D$6,IF($F$1="GTP100 without fb",E97+E98*'Common input data'!$C$7+E99*'Common input data'!$D$7,IF($F$1="GTP100 with fb",E97+E98*'Common input data'!$C$8+E99*'Common input data'!$D$8,E97+E98*'Common input data'!$C$9+E99*'Common input data'!$D$9))))</f>
        <v>-0.0374428372318893</v>
      </c>
      <c r="F96" s="95" t="n">
        <f aca="false">IF($F$1="GWP100 without fb",F97+F98*'Common input data'!$C$5+F99*'Common input data'!$D$5,IF($F$1="GWP100 with fb",F97+F98*'Common input data'!$C$6+F99*'Common input data'!$D$6,IF($F$1="GTP100 without fb",F97+F98*'Common input data'!$C$7+F99*'Common input data'!$D$7,IF($F$1="GTP100 with fb",F97+F98*'Common input data'!$C$8+F99*'Common input data'!$D$8,F97+F98*'Common input data'!$C$9+F99*'Common input data'!$D$9))))</f>
        <v>0.152383882606311</v>
      </c>
      <c r="G96" s="96" t="n">
        <f aca="false">IF($F$1="GWP100 without fb",G97+G98*'Common input data'!$C$5+G99*'Common input data'!$D$5,IF($F$1="GWP100 with fb",G97+G98*'Common input data'!$C$6+G99*'Common input data'!$D$6,IF($F$1="GTP100 without fb",G97+G98*'Common input data'!$C$7+G99*'Common input data'!$D$7,IF($F$1="GTP100 with fb",G97+G98*'Common input data'!$C$8+G99*'Common input data'!$D$8,G97+G98*'Common input data'!$C$9+G99*'Common input data'!$D$9))))</f>
        <v>0.867753283119697</v>
      </c>
      <c r="H96" s="83"/>
      <c r="I96" s="83"/>
      <c r="J96" s="83"/>
      <c r="K96" s="83"/>
      <c r="L96" s="83"/>
      <c r="M96" s="83"/>
      <c r="N96" s="83"/>
      <c r="O96" s="83"/>
      <c r="P96" s="83"/>
      <c r="Q96" s="83"/>
      <c r="R96" s="83"/>
      <c r="S96" s="83"/>
      <c r="T96" s="83"/>
      <c r="U96" s="83"/>
      <c r="V96" s="309"/>
      <c r="W96" s="92"/>
      <c r="Z96" s="30"/>
    </row>
    <row r="97" s="209" customFormat="true" ht="17.4" hidden="false" customHeight="false" outlineLevel="0" collapsed="false">
      <c r="A97" s="99"/>
      <c r="B97" s="31"/>
      <c r="C97" s="30"/>
      <c r="D97" s="85" t="s">
        <v>134</v>
      </c>
      <c r="E97" s="217" t="n">
        <f aca="false">IF(AND($F$2="No",$F$3="No"),SUM(J97:K97),IF(AND($F$2="Yes", $F$3="No"), SUM(J97:K97)+Q97, IF(AND($F$2="No", $F$3="Yes"),SUM(J97:K97)+P97, SUM(J97:K97)+Q97+P97)))</f>
        <v>-0.0911390481413813</v>
      </c>
      <c r="F97" s="89" t="n">
        <f aca="false">IF(AND($F$2="No",$F$3="No"),SUM(H97:O97),IF(AND($F$2="Yes", $F$3="No"), SUM(H97:O97)+Q97, IF(AND($F$2="No", $F$3="Yes"),SUM(H97:O97)+P97, SUM(H97:O97)+Q97+P97)))</f>
        <v>0.0460049460072605</v>
      </c>
      <c r="G97" s="88" t="n">
        <f aca="false">SUM(S97:U97)/(1-'Common input data'!$H$121)</f>
        <v>0.721780759107608</v>
      </c>
      <c r="H97" s="89" t="n">
        <f aca="false">('Input data plant-based products'!$F$96*('Common input data'!$D$76*'Common input data'!B69+'Common input data'!$D$77*'Common input data'!C69))/'Input data plant-based products'!$E$96</f>
        <v>0.0276653774148709</v>
      </c>
      <c r="I97" s="89" t="n">
        <f aca="false">'Common input data'!$B$81</f>
        <v>0.03</v>
      </c>
      <c r="J97" s="89" t="n">
        <v>0</v>
      </c>
      <c r="K97" s="89" t="n">
        <v>0</v>
      </c>
      <c r="L97" s="89" t="n">
        <f aca="false">('Input data plant-based products'!$I$96*'Common input data'!$C$59*'Common input data'!H49)/'Input data plant-based products'!$E$96</f>
        <v>0.0294786167337709</v>
      </c>
      <c r="M97" s="89" t="n">
        <v>0</v>
      </c>
      <c r="N97" s="89" t="n">
        <f aca="false">'Input data plant-based products'!$F$152</f>
        <v>0.05</v>
      </c>
      <c r="O97" s="89" t="n">
        <v>0</v>
      </c>
      <c r="P97" s="89" t="n">
        <f aca="false">'Common input data'!$F$13</f>
        <v>-0.0911390481413813</v>
      </c>
      <c r="Q97" s="89" t="n">
        <v>0</v>
      </c>
      <c r="R97" s="89" t="n">
        <v>0</v>
      </c>
      <c r="S97" s="89" t="n">
        <f aca="false">F97+R97</f>
        <v>0.0460049460072605</v>
      </c>
      <c r="T97" s="89" t="n">
        <f aca="false">'Common input data'!$B$88</f>
        <v>0.05</v>
      </c>
      <c r="U97" s="89" t="n">
        <f aca="false">'Common input data'!B108+'Common input data'!C108</f>
        <v>0.43</v>
      </c>
      <c r="V97" s="309"/>
      <c r="W97" s="92"/>
      <c r="Z97" s="30"/>
    </row>
    <row r="98" s="209" customFormat="true" ht="17.4" hidden="false" customHeight="false" outlineLevel="0" collapsed="false">
      <c r="A98" s="99"/>
      <c r="B98" s="31"/>
      <c r="C98" s="93"/>
      <c r="D98" s="85" t="s">
        <v>135</v>
      </c>
      <c r="E98" s="217" t="n">
        <f aca="false">SUM(J98:K98)</f>
        <v>0</v>
      </c>
      <c r="F98" s="89" t="n">
        <f aca="false">SUM(H98:O98)</f>
        <v>1.30581841083448E-005</v>
      </c>
      <c r="G98" s="88" t="n">
        <f aca="false">SUM(S98:U98)/(1-'Common input data'!$H$121)</f>
        <v>1.79183601025644E-005</v>
      </c>
      <c r="H98" s="89" t="n">
        <f aca="false">('Input data plant-based products'!$F$96*('Common input data'!$D$76*'Common input data'!B70+'Common input data'!$D$77*'Common input data'!C70))/'Input data plant-based products'!$E$96</f>
        <v>1.50905542992665E-010</v>
      </c>
      <c r="I98" s="89" t="n">
        <v>0</v>
      </c>
      <c r="J98" s="89" t="n">
        <v>0</v>
      </c>
      <c r="K98" s="89" t="n">
        <v>0</v>
      </c>
      <c r="L98" s="89" t="n">
        <f aca="false">('Input data plant-based products'!$I$96*'Common input data'!$C$59*'Common input data'!H50)/'Input data plant-based products'!$E$96</f>
        <v>1.30580332028018E-005</v>
      </c>
      <c r="M98" s="89" t="n">
        <v>0</v>
      </c>
      <c r="N98" s="89" t="n">
        <v>0</v>
      </c>
      <c r="O98" s="89" t="n">
        <v>0</v>
      </c>
      <c r="P98" s="89" t="n">
        <v>0</v>
      </c>
      <c r="Q98" s="89" t="n">
        <v>0</v>
      </c>
      <c r="R98" s="89" t="n">
        <v>0</v>
      </c>
      <c r="S98" s="89" t="n">
        <f aca="false">F98+R98</f>
        <v>1.30581841083448E-005</v>
      </c>
      <c r="T98" s="89" t="n">
        <v>0</v>
      </c>
      <c r="U98" s="89" t="n">
        <v>0</v>
      </c>
      <c r="V98" s="309"/>
      <c r="W98" s="92"/>
      <c r="Z98" s="30"/>
    </row>
    <row r="99" s="209" customFormat="true" ht="17.4" hidden="false" customHeight="false" outlineLevel="0" collapsed="false">
      <c r="A99" s="100"/>
      <c r="B99" s="101"/>
      <c r="C99" s="87"/>
      <c r="D99" s="31" t="s">
        <v>136</v>
      </c>
      <c r="E99" s="219" t="n">
        <f aca="false">SUM(J99:K99)</f>
        <v>0.000180188627213061</v>
      </c>
      <c r="F99" s="126" t="n">
        <f aca="false">SUM(H99:O99)</f>
        <v>0.000355486437380424</v>
      </c>
      <c r="G99" s="106" t="n">
        <f aca="false">SUM(S99:U99)/(1-'Common input data'!$H$121)</f>
        <v>0.000487796307948329</v>
      </c>
      <c r="H99" s="89" t="n">
        <f aca="false">('Input data plant-based products'!$F$96*('Common input data'!$D$76*'Common input data'!B71+'Common input data'!$D$77*'Common input data'!C71))/'Input data plant-based products'!$E$96</f>
        <v>0.000174505708242484</v>
      </c>
      <c r="I99" s="89" t="n">
        <v>0</v>
      </c>
      <c r="J99" s="89" t="n">
        <f aca="false">(SUM('Input data plant-based products'!F96:H96)*'Input data plant-based products'!$B$114*44/28)/'Input data plant-based products'!E96</f>
        <v>0.000163807842920964</v>
      </c>
      <c r="K99" s="89" t="n">
        <f aca="false">J99*'Input data plant-based products'!$B$115</f>
        <v>1.63807842920964E-005</v>
      </c>
      <c r="L99" s="89" t="n">
        <f aca="false">('Input data plant-based products'!$I$96*'Common input data'!$C$59*'Common input data'!H51)/'Input data plant-based products'!$E$96</f>
        <v>7.9210192488004E-007</v>
      </c>
      <c r="M99" s="89" t="n">
        <v>0</v>
      </c>
      <c r="N99" s="89" t="n">
        <v>0</v>
      </c>
      <c r="O99" s="89" t="n">
        <v>0</v>
      </c>
      <c r="P99" s="89" t="n">
        <v>0</v>
      </c>
      <c r="Q99" s="89" t="n">
        <v>0</v>
      </c>
      <c r="R99" s="89" t="n">
        <v>0</v>
      </c>
      <c r="S99" s="89" t="n">
        <f aca="false">F99+R99</f>
        <v>0.000355486437380424</v>
      </c>
      <c r="T99" s="89" t="n">
        <v>0</v>
      </c>
      <c r="U99" s="89" t="n">
        <v>0</v>
      </c>
      <c r="V99" s="309"/>
      <c r="W99" s="92"/>
      <c r="Z99" s="30"/>
    </row>
    <row r="100" s="209" customFormat="true" ht="17.4" hidden="false" customHeight="false" outlineLevel="0" collapsed="false">
      <c r="A100" s="107" t="s">
        <v>332</v>
      </c>
      <c r="B100" s="108"/>
      <c r="C100" s="69"/>
      <c r="D100" s="109"/>
      <c r="E100" s="110" t="s">
        <v>333</v>
      </c>
      <c r="F100" s="111" t="s">
        <v>333</v>
      </c>
      <c r="G100" s="112" t="s">
        <v>333</v>
      </c>
      <c r="H100" s="69"/>
      <c r="I100" s="69"/>
      <c r="J100" s="69"/>
      <c r="K100" s="113"/>
      <c r="L100" s="113"/>
      <c r="M100" s="114"/>
      <c r="N100" s="113"/>
      <c r="O100" s="113"/>
      <c r="P100" s="113"/>
      <c r="Q100" s="113"/>
      <c r="R100" s="113"/>
      <c r="S100" s="113"/>
      <c r="T100" s="113"/>
      <c r="U100" s="113"/>
      <c r="V100" s="309"/>
      <c r="W100" s="92"/>
      <c r="Z100" s="30"/>
    </row>
    <row r="101" s="209" customFormat="true" ht="17.4" hidden="false" customHeight="false" outlineLevel="0" collapsed="false">
      <c r="A101" s="330" t="s">
        <v>272</v>
      </c>
      <c r="B101" s="76"/>
      <c r="C101" s="77" t="n">
        <f aca="false">SUM(C105:C112)</f>
        <v>1</v>
      </c>
      <c r="D101" s="78" t="s">
        <v>133</v>
      </c>
      <c r="E101" s="79" t="n">
        <f aca="false">IF($F$1="GWP100 without fb",E102+E103*'Common input data'!$C$5+E104*'Common input data'!$D$5,IF($F$1="GWP100 with fb",E102+E103*'Common input data'!$C$6+E104*'Common input data'!$D$6,IF($F$1="GTP100 without fb",E102+E103*'Common input data'!$C$7+E104*'Common input data'!$D$7,IF($F$1="GTP100 with fb",E102+E103*'Common input data'!$C$8+E104*'Common input data'!$D$8,E102+E103*'Common input data'!$C$9+E104*'Common input data'!$D$9))))</f>
        <v>-0.0546929839627579</v>
      </c>
      <c r="F101" s="80" t="n">
        <f aca="false">IF($F$1="GWP100 without fb",F102+F103*'Common input data'!$C$5+F104*'Common input data'!$D$5,IF($F$1="GWP100 with fb",F102+F103*'Common input data'!$C$6+F104*'Common input data'!$D$6,IF($F$1="GTP100 without fb",F102+F103*'Common input data'!$C$7+F104*'Common input data'!$D$7,IF($F$1="GTP100 with fb",F102+F103*'Common input data'!$C$8+F104*'Common input data'!$D$8,F102+F103*'Common input data'!$C$9+F104*'Common input data'!$D$9))))</f>
        <v>0.102394048684684</v>
      </c>
      <c r="G101" s="81" t="n">
        <f aca="false">IF($F$1="GWP100 without fb",G102+G103*'Common input data'!$C$5+G104*'Common input data'!$D$5,IF($F$1="GWP100 with fb",G102+G103*'Common input data'!$C$6+G104*'Common input data'!$D$6,IF($F$1="GTP100 without fb",G102+G103*'Common input data'!$C$7+G104*'Common input data'!$D$7,IF($F$1="GTP100 with fb",G102+G103*'Common input data'!$C$8+G104*'Common input data'!$D$8,G102+G103*'Common input data'!$C$9+G104*'Common input data'!$D$9))))</f>
        <v>0.456371940189383</v>
      </c>
      <c r="H101" s="95"/>
      <c r="I101" s="97"/>
      <c r="J101" s="97"/>
      <c r="K101" s="83"/>
      <c r="L101" s="83"/>
      <c r="M101" s="83"/>
      <c r="N101" s="83"/>
      <c r="O101" s="83"/>
      <c r="P101" s="83"/>
      <c r="Q101" s="83"/>
      <c r="R101" s="83"/>
      <c r="S101" s="83"/>
      <c r="T101" s="83"/>
      <c r="U101" s="83"/>
      <c r="V101" s="309"/>
      <c r="W101" s="92"/>
      <c r="Z101" s="30"/>
    </row>
    <row r="102" s="209" customFormat="true" ht="17.4" hidden="false" customHeight="false" outlineLevel="0" collapsed="false">
      <c r="A102" s="315"/>
      <c r="B102" s="31"/>
      <c r="C102" s="30"/>
      <c r="D102" s="85" t="s">
        <v>134</v>
      </c>
      <c r="E102" s="217" t="n">
        <f aca="false">E106*$C$105+E110*$C$109</f>
        <v>-0.0911390481413813</v>
      </c>
      <c r="F102" s="89" t="n">
        <f aca="false">F106*$C$105+F110*$C$109</f>
        <v>0.0367832732962325</v>
      </c>
      <c r="G102" s="88" t="n">
        <f aca="false">G106*$C$105+G110*$C$109</f>
        <v>0.378068114686994</v>
      </c>
      <c r="H102" s="89" t="n">
        <f aca="false">H106*$C$105+H110*$C$109</f>
        <v>0.0174858618845685</v>
      </c>
      <c r="I102" s="89" t="n">
        <f aca="false">I106*$C$105+I110*$C$109</f>
        <v>0.03</v>
      </c>
      <c r="J102" s="89" t="n">
        <f aca="false">J106*$C$105+J110*$C$109</f>
        <v>0</v>
      </c>
      <c r="K102" s="89" t="n">
        <f aca="false">K106*$C$105+K110*$C$109</f>
        <v>0</v>
      </c>
      <c r="L102" s="89" t="n">
        <f aca="false">L106*$C$105+L110*$C$109</f>
        <v>0.0304364595530454</v>
      </c>
      <c r="M102" s="89" t="n">
        <f aca="false">M106*$C$105+M110*$C$109</f>
        <v>0</v>
      </c>
      <c r="N102" s="89" t="n">
        <f aca="false">N106*$C$105+N110*$C$109</f>
        <v>0.05</v>
      </c>
      <c r="O102" s="89" t="n">
        <f aca="false">O106*$C$105+O110*$C$109</f>
        <v>0</v>
      </c>
      <c r="P102" s="89" t="n">
        <f aca="false">P106*$C$105+P110*$C$109</f>
        <v>-0.0911390481413813</v>
      </c>
      <c r="Q102" s="89" t="n">
        <f aca="false">Q106*$C$105+Q110*$C$109</f>
        <v>0</v>
      </c>
      <c r="R102" s="89" t="n">
        <f aca="false">R106*$C$105+R110*$C$109</f>
        <v>0</v>
      </c>
      <c r="S102" s="89" t="n">
        <f aca="false">S106*$C$105+S110*$C$109</f>
        <v>0.0367832732962325</v>
      </c>
      <c r="T102" s="89" t="n">
        <f aca="false">T106*$C$105+T110*$C$109</f>
        <v>0.05</v>
      </c>
      <c r="U102" s="89" t="n">
        <f aca="false">U106*$C$105+U110*$C$109</f>
        <v>0.23</v>
      </c>
      <c r="V102" s="309"/>
      <c r="W102" s="92"/>
      <c r="Z102" s="30"/>
    </row>
    <row r="103" s="209" customFormat="true" ht="17.4" hidden="false" customHeight="false" outlineLevel="0" collapsed="false">
      <c r="A103" s="315"/>
      <c r="B103" s="31"/>
      <c r="C103" s="93"/>
      <c r="D103" s="85" t="s">
        <v>135</v>
      </c>
      <c r="E103" s="217" t="n">
        <f aca="false">E107*$C$105+E111*$C$109</f>
        <v>0</v>
      </c>
      <c r="F103" s="89" t="n">
        <f aca="false">F107*$C$105+F111*$C$109</f>
        <v>1.34824023712845E-005</v>
      </c>
      <c r="G103" s="88" t="n">
        <f aca="false">G107*$C$105+G111*$C$109</f>
        <v>1.60907057778787E-005</v>
      </c>
      <c r="H103" s="89" t="n">
        <f aca="false">H107*$C$105+H111*$C$109</f>
        <v>7.70977213673981E-011</v>
      </c>
      <c r="I103" s="89" t="n">
        <f aca="false">I107*$C$105+I111*$C$109</f>
        <v>0</v>
      </c>
      <c r="J103" s="89" t="n">
        <f aca="false">J107*$C$105+J111*$C$109</f>
        <v>0</v>
      </c>
      <c r="K103" s="89" t="n">
        <f aca="false">K107*$C$105+K111*$C$109</f>
        <v>0</v>
      </c>
      <c r="L103" s="89" t="n">
        <f aca="false">L107*$C$105+L111*$C$109</f>
        <v>1.34823252735632E-005</v>
      </c>
      <c r="M103" s="89" t="n">
        <f aca="false">M107*$C$105+M111*$C$109</f>
        <v>0</v>
      </c>
      <c r="N103" s="89" t="n">
        <f aca="false">N107*$C$105+N111*$C$109</f>
        <v>0</v>
      </c>
      <c r="O103" s="89" t="n">
        <f aca="false">O107*$C$105+O111*$C$109</f>
        <v>0</v>
      </c>
      <c r="P103" s="89" t="n">
        <f aca="false">P107*$C$105+P111*$C$109</f>
        <v>0</v>
      </c>
      <c r="Q103" s="89" t="n">
        <f aca="false">Q107*$C$105+Q111*$C$109</f>
        <v>0</v>
      </c>
      <c r="R103" s="89" t="n">
        <f aca="false">R107*$C$105+R111*$C$109</f>
        <v>0</v>
      </c>
      <c r="S103" s="89" t="n">
        <f aca="false">S107*$C$105+S111*$C$109</f>
        <v>1.34824023712845E-005</v>
      </c>
      <c r="T103" s="89" t="n">
        <f aca="false">T107*$C$105+T111*$C$109</f>
        <v>0</v>
      </c>
      <c r="U103" s="89" t="n">
        <f aca="false">U107*$C$105+U111*$C$109</f>
        <v>0</v>
      </c>
      <c r="V103" s="309"/>
      <c r="W103" s="92"/>
      <c r="Z103" s="30"/>
    </row>
    <row r="104" s="209" customFormat="true" ht="17.4" hidden="false" customHeight="false" outlineLevel="0" collapsed="false">
      <c r="A104" s="74"/>
      <c r="B104" s="101"/>
      <c r="C104" s="87"/>
      <c r="D104" s="31" t="s">
        <v>136</v>
      </c>
      <c r="E104" s="217" t="n">
        <f aca="false">E108*$C$105+E112*$C$109</f>
        <v>0.000122302228787327</v>
      </c>
      <c r="F104" s="89" t="n">
        <f aca="false">F108*$C$105+F112*$C$109</f>
        <v>0.000218632126536335</v>
      </c>
      <c r="G104" s="88" t="n">
        <f aca="false">G108*$C$105+G112*$C$109</f>
        <v>0.000260928662771614</v>
      </c>
      <c r="H104" s="89" t="n">
        <f aca="false">H108*$C$105+H112*$C$109</f>
        <v>9.55120582141268E-005</v>
      </c>
      <c r="I104" s="89" t="n">
        <f aca="false">I108*$C$105+I112*$C$109</f>
        <v>0</v>
      </c>
      <c r="J104" s="89" t="n">
        <f aca="false">J108*$C$105+J112*$C$109</f>
        <v>0.000111183844352115</v>
      </c>
      <c r="K104" s="89" t="n">
        <f aca="false">K108*$C$105+K112*$C$109</f>
        <v>1.11183844352115E-005</v>
      </c>
      <c r="L104" s="89" t="n">
        <f aca="false">L108*$C$105+L112*$C$109</f>
        <v>8.1783953488162E-007</v>
      </c>
      <c r="M104" s="89" t="n">
        <f aca="false">M108*$C$105+M112*$C$109</f>
        <v>0</v>
      </c>
      <c r="N104" s="89" t="n">
        <f aca="false">N108*$C$105+N112*$C$109</f>
        <v>0</v>
      </c>
      <c r="O104" s="89" t="n">
        <f aca="false">O108*$C$105+O112*$C$109</f>
        <v>0</v>
      </c>
      <c r="P104" s="89" t="n">
        <f aca="false">P108*$C$105+P112*$C$109</f>
        <v>0</v>
      </c>
      <c r="Q104" s="89" t="n">
        <f aca="false">Q108*$C$105+Q112*$C$109</f>
        <v>0</v>
      </c>
      <c r="R104" s="89" t="n">
        <f aca="false">R108*$C$105+R112*$C$109</f>
        <v>0</v>
      </c>
      <c r="S104" s="89" t="n">
        <f aca="false">S108*$C$105+S112*$C$109</f>
        <v>0.000218632126536335</v>
      </c>
      <c r="T104" s="89" t="n">
        <f aca="false">T108*$C$105+T112*$C$109</f>
        <v>0</v>
      </c>
      <c r="U104" s="89" t="n">
        <f aca="false">U108*$C$105+U112*$C$109</f>
        <v>0</v>
      </c>
      <c r="V104" s="309"/>
      <c r="W104" s="92"/>
      <c r="Z104" s="30"/>
    </row>
    <row r="105" s="209" customFormat="true" ht="17.4" hidden="false" customHeight="false" outlineLevel="0" collapsed="false">
      <c r="A105" s="330" t="s">
        <v>285</v>
      </c>
      <c r="B105" s="76" t="s">
        <v>254</v>
      </c>
      <c r="C105" s="84" t="n">
        <f aca="false">'Input data plant-based products'!D81</f>
        <v>0.43</v>
      </c>
      <c r="D105" s="78" t="s">
        <v>133</v>
      </c>
      <c r="E105" s="94" t="n">
        <f aca="false">IF($F$1="GWP100 without fb",E106+E107*'Common input data'!$C$5+E108*'Common input data'!$D$5,IF($F$1="GWP100 with fb",E106+E107*'Common input data'!$C$6+E108*'Common input data'!$D$6,IF($F$1="GTP100 without fb",E106+E107*'Common input data'!$C$7+E108*'Common input data'!$D$7,IF($F$1="GTP100 with fb",E106+E107*'Common input data'!$C$8+E108*'Common input data'!$D$8,E106+E107*'Common input data'!$C$9+E108*'Common input data'!$D$9))))</f>
        <v>-0.0289791510441408</v>
      </c>
      <c r="F105" s="95" t="n">
        <f aca="false">IF($F$1="GWP100 without fb",F106+F107*'Common input data'!$C$5+F108*'Common input data'!$D$5,IF($F$1="GWP100 with fb",F106+F107*'Common input data'!$C$6+F108*'Common input data'!$D$6,IF($F$1="GTP100 without fb",F106+F107*'Common input data'!$C$7+F108*'Common input data'!$D$7,IF($F$1="GTP100 with fb",F106+F107*'Common input data'!$C$8+F108*'Common input data'!$D$8,F106+F107*'Common input data'!$C$9+F108*'Common input data'!$D$9))))</f>
        <v>0.160954535393996</v>
      </c>
      <c r="G105" s="96" t="n">
        <f aca="false">IF($F$1="GWP100 without fb",G106+G107*'Common input data'!$C$5+G108*'Common input data'!$D$5,IF($F$1="GWP100 with fb",G106+G107*'Common input data'!$C$6+G108*'Common input data'!$D$6,IF($F$1="GTP100 without fb",G106+G107*'Common input data'!$C$7+G108*'Common input data'!$D$7,IF($F$1="GTP100 with fb",G106+G107*'Common input data'!$C$8+G108*'Common input data'!$D$8,G106+G107*'Common input data'!$C$9+G108*'Common input data'!$D$9))))</f>
        <v>0.526261529292274</v>
      </c>
      <c r="H105" s="83"/>
      <c r="I105" s="83"/>
      <c r="J105" s="83"/>
      <c r="K105" s="83"/>
      <c r="L105" s="83"/>
      <c r="M105" s="83"/>
      <c r="N105" s="83"/>
      <c r="O105" s="83"/>
      <c r="P105" s="83"/>
      <c r="Q105" s="83"/>
      <c r="R105" s="83"/>
      <c r="S105" s="83"/>
      <c r="T105" s="83"/>
      <c r="U105" s="83"/>
      <c r="V105" s="309"/>
      <c r="W105" s="92"/>
      <c r="Z105" s="30"/>
    </row>
    <row r="106" s="209" customFormat="true" ht="17.4" hidden="false" customHeight="false" outlineLevel="0" collapsed="false">
      <c r="A106" s="315"/>
      <c r="B106" s="31"/>
      <c r="C106" s="30"/>
      <c r="D106" s="85" t="s">
        <v>134</v>
      </c>
      <c r="E106" s="217" t="n">
        <f aca="false">IF(AND($F$2="No",$F$3="No"),SUM(J106:K106),IF(AND($F$2="Yes", $F$3="No"), SUM(J106:K106)+Q106, IF(AND($F$2="No", $F$3="Yes"),SUM(J106:K106)+P106, SUM(J106:K106)+Q106+P106)))</f>
        <v>-0.0911390481413813</v>
      </c>
      <c r="F106" s="89" t="n">
        <f aca="false">IF(AND($F$2="No",$F$3="No"),SUM(H106:O106),IF(AND($F$2="Yes", $F$3="No"), SUM(H106:O106)+Q106, IF(AND($F$2="No", $F$3="Yes"),SUM(H106:O106)+P106, SUM(H106:O106)+Q106+P106)))</f>
        <v>0.0458450455248611</v>
      </c>
      <c r="G106" s="88" t="n">
        <f aca="false">SUM(S106:U106)/(1-'Common input data'!$B$121)</f>
        <v>0.388882975921782</v>
      </c>
      <c r="H106" s="89" t="n">
        <f aca="false">('Input data plant-based products'!$F$81*('Common input data'!$C$76*'Common input data'!B69+'Common input data'!$C$77*'Common input data'!C69))/'Input data plant-based products'!$E$81</f>
        <v>0.0321777815897549</v>
      </c>
      <c r="I106" s="89" t="n">
        <f aca="false">'Common input data'!$B$81</f>
        <v>0.03</v>
      </c>
      <c r="J106" s="89" t="n">
        <v>0</v>
      </c>
      <c r="K106" s="89" t="n">
        <v>0</v>
      </c>
      <c r="L106" s="89" t="n">
        <f aca="false">('Input data plant-based products'!$I$81*'Common input data'!$C$59*'Common input data'!H49)/'Input data plant-based products'!$E$81</f>
        <v>0.0248063120764875</v>
      </c>
      <c r="M106" s="89" t="n">
        <v>0</v>
      </c>
      <c r="N106" s="89" t="n">
        <f aca="false">'Input data plant-based products'!$F$152</f>
        <v>0.05</v>
      </c>
      <c r="O106" s="89" t="n">
        <v>0</v>
      </c>
      <c r="P106" s="89" t="n">
        <f aca="false">'Common input data'!$F$13</f>
        <v>-0.0911390481413813</v>
      </c>
      <c r="Q106" s="89" t="n">
        <v>0</v>
      </c>
      <c r="R106" s="89" t="n">
        <v>0</v>
      </c>
      <c r="S106" s="89" t="n">
        <f aca="false">F106+R106</f>
        <v>0.0458450455248611</v>
      </c>
      <c r="T106" s="89" t="n">
        <f aca="false">'Common input data'!$B$88</f>
        <v>0.05</v>
      </c>
      <c r="U106" s="89" t="n">
        <f aca="false">'Common input data'!B100+'Common input data'!C100</f>
        <v>0.23</v>
      </c>
      <c r="V106" s="309"/>
      <c r="W106" s="92"/>
      <c r="Z106" s="30"/>
    </row>
    <row r="107" s="209" customFormat="true" ht="17.4" hidden="false" customHeight="false" outlineLevel="0" collapsed="false">
      <c r="A107" s="74"/>
      <c r="B107" s="31"/>
      <c r="C107" s="93"/>
      <c r="D107" s="85" t="s">
        <v>135</v>
      </c>
      <c r="E107" s="217" t="n">
        <f aca="false">SUM(J107:K107)</f>
        <v>0</v>
      </c>
      <c r="F107" s="89" t="n">
        <f aca="false">SUM(H107:O107)</f>
        <v>1.0988501664903E-005</v>
      </c>
      <c r="G107" s="88" t="n">
        <f aca="false">SUM(S107:U107)/(1-'Common input data'!$B$121)</f>
        <v>1.31143354396742E-005</v>
      </c>
      <c r="H107" s="89" t="n">
        <f aca="false">('Input data plant-based products'!$F$81*('Common input data'!$C$76*'Common input data'!B70+'Common input data'!$C$77*'Common input data'!C70))/'Input data plant-based products'!$E$81</f>
        <v>1.41876543209877E-010</v>
      </c>
      <c r="I107" s="89" t="n">
        <v>0</v>
      </c>
      <c r="J107" s="89" t="n">
        <v>0</v>
      </c>
      <c r="K107" s="89" t="n">
        <v>0</v>
      </c>
      <c r="L107" s="89" t="n">
        <f aca="false">('Input data plant-based products'!$I$81*'Common input data'!$C$59*'Common input data'!H50)/'Input data plant-based products'!$E$81</f>
        <v>1.09883597883598E-005</v>
      </c>
      <c r="M107" s="89" t="n">
        <v>0</v>
      </c>
      <c r="N107" s="89" t="n">
        <v>0</v>
      </c>
      <c r="O107" s="89" t="n">
        <v>0</v>
      </c>
      <c r="P107" s="89" t="n">
        <v>0</v>
      </c>
      <c r="Q107" s="89" t="n">
        <v>0</v>
      </c>
      <c r="R107" s="89" t="n">
        <v>0</v>
      </c>
      <c r="S107" s="89" t="n">
        <f aca="false">F107+R107</f>
        <v>1.0988501664903E-005</v>
      </c>
      <c r="T107" s="89" t="n">
        <v>0</v>
      </c>
      <c r="U107" s="89" t="n">
        <v>0</v>
      </c>
      <c r="V107" s="309"/>
      <c r="W107" s="92"/>
      <c r="Z107" s="30"/>
    </row>
    <row r="108" s="209" customFormat="true" ht="17.4" hidden="false" customHeight="false" outlineLevel="0" collapsed="false">
      <c r="A108" s="100"/>
      <c r="B108" s="101"/>
      <c r="C108" s="87"/>
      <c r="D108" s="31" t="s">
        <v>136</v>
      </c>
      <c r="E108" s="217" t="n">
        <f aca="false">SUM(J108:K108)</f>
        <v>0.000208590258715572</v>
      </c>
      <c r="F108" s="89" t="n">
        <f aca="false">SUM(H108:O108)</f>
        <v>0.00038501973427023</v>
      </c>
      <c r="G108" s="88" t="n">
        <f aca="false">SUM(S108:U108)/(1-'Common input data'!$B$121)</f>
        <v>0.0004595055904884</v>
      </c>
      <c r="H108" s="89" t="n">
        <f aca="false">('Input data plant-based products'!$F$81*('Common input data'!$C$76*'Common input data'!B71+'Common input data'!$C$77*'Common input data'!C71))/'Input data plant-based products'!$E$81</f>
        <v>0.000175762920277577</v>
      </c>
      <c r="I108" s="89" t="n">
        <v>0</v>
      </c>
      <c r="J108" s="89" t="n">
        <f aca="false">(SUM('Input data plant-based products'!F81:H81)*'Input data plant-based products'!$B$114*44/28)/'Input data plant-based products'!E81</f>
        <v>0.000189627507923247</v>
      </c>
      <c r="K108" s="89" t="n">
        <f aca="false">J108*'Input data plant-based products'!$B$115</f>
        <v>1.89627507923247E-005</v>
      </c>
      <c r="L108" s="89" t="n">
        <f aca="false">('Input data plant-based products'!$I$81*'Common input data'!$C$59*'Common input data'!H51)/'Input data plant-based products'!$E$81</f>
        <v>6.66555277081593E-007</v>
      </c>
      <c r="M108" s="89" t="n">
        <v>0</v>
      </c>
      <c r="N108" s="89" t="n">
        <v>0</v>
      </c>
      <c r="O108" s="89" t="n">
        <v>0</v>
      </c>
      <c r="P108" s="89" t="n">
        <v>0</v>
      </c>
      <c r="Q108" s="89" t="n">
        <v>0</v>
      </c>
      <c r="R108" s="89" t="n">
        <v>0</v>
      </c>
      <c r="S108" s="89" t="n">
        <f aca="false">F108+R108</f>
        <v>0.00038501973427023</v>
      </c>
      <c r="T108" s="89" t="n">
        <v>0</v>
      </c>
      <c r="U108" s="89" t="n">
        <v>0</v>
      </c>
      <c r="V108" s="309"/>
      <c r="W108" s="92"/>
      <c r="Z108" s="30"/>
    </row>
    <row r="109" s="209" customFormat="true" ht="17.4" hidden="false" customHeight="false" outlineLevel="0" collapsed="false">
      <c r="A109" s="330" t="s">
        <v>141</v>
      </c>
      <c r="B109" s="76" t="s">
        <v>254</v>
      </c>
      <c r="C109" s="84" t="n">
        <f aca="false">'Input data plant-based products'!D82</f>
        <v>0.57</v>
      </c>
      <c r="D109" s="78" t="s">
        <v>133</v>
      </c>
      <c r="E109" s="94" t="n">
        <f aca="false">IF($F$1="GWP100 without fb",E110+E111*'Common input data'!$C$5+E112*'Common input data'!$D$5,IF($F$1="GWP100 with fb",E110+E111*'Common input data'!$C$6+E112*'Common input data'!$D$6,IF($F$1="GTP100 without fb",E110+E111*'Common input data'!$C$7+E112*'Common input data'!$D$7,IF($F$1="GTP100 with fb",E110+E111*'Common input data'!$C$8+E112*'Common input data'!$D$8,E110+E111*'Common input data'!$C$9+E112*'Common input data'!$D$9))))</f>
        <v>-0.0740911386206619</v>
      </c>
      <c r="F109" s="95" t="n">
        <f aca="false">IF($F$1="GWP100 without fb",F110+F111*'Common input data'!$C$5+F112*'Common input data'!$D$5,IF($F$1="GWP100 with fb",F110+F111*'Common input data'!$C$6+F112*'Common input data'!$D$6,IF($F$1="GTP100 without fb",F110+F111*'Common input data'!$C$7+F112*'Common input data'!$D$7,IF($F$1="GTP100 with fb",F110+F111*'Common input data'!$C$8+F112*'Common input data'!$D$8,F110+F111*'Common input data'!$C$9+F112*'Common input data'!$D$9))))</f>
        <v>0.0582168394127469</v>
      </c>
      <c r="G109" s="96" t="n">
        <f aca="false">IF($F$1="GWP100 without fb",G110+G111*'Common input data'!$C$5+G112*'Common input data'!$D$5,IF($F$1="GWP100 with fb",G110+G111*'Common input data'!$C$6+G112*'Common input data'!$D$6,IF($F$1="GTP100 without fb",G110+G111*'Common input data'!$C$7+G112*'Common input data'!$D$7,IF($F$1="GTP100 with fb",G110+G111*'Common input data'!$C$8+G112*'Common input data'!$D$8,G110+G111*'Common input data'!$C$9+G112*'Common input data'!$D$9))))</f>
        <v>0.403648215076676</v>
      </c>
      <c r="H109" s="83"/>
      <c r="I109" s="83"/>
      <c r="J109" s="83"/>
      <c r="K109" s="83"/>
      <c r="L109" s="83"/>
      <c r="M109" s="83"/>
      <c r="N109" s="83"/>
      <c r="O109" s="83"/>
      <c r="P109" s="83"/>
      <c r="Q109" s="83"/>
      <c r="R109" s="83"/>
      <c r="S109" s="83"/>
      <c r="T109" s="83"/>
      <c r="U109" s="83"/>
      <c r="V109" s="309"/>
      <c r="W109" s="92"/>
      <c r="Z109" s="30"/>
    </row>
    <row r="110" s="209" customFormat="true" ht="17.4" hidden="false" customHeight="false" outlineLevel="0" collapsed="false">
      <c r="A110" s="99"/>
      <c r="B110" s="31"/>
      <c r="C110" s="30"/>
      <c r="D110" s="85" t="s">
        <v>134</v>
      </c>
      <c r="E110" s="217" t="n">
        <f aca="false">IF(AND($F$2="No",$F$3="No"),SUM(J110:K110),IF(AND($F$2="Yes", $F$3="No"), SUM(J110:K110)+Q110, IF(AND($F$2="No", $F$3="Yes"),SUM(J110:K110)+P110, SUM(J110:K110)+Q110+P110)))</f>
        <v>-0.0911390481413813</v>
      </c>
      <c r="F110" s="89" t="n">
        <f aca="false">IF(AND($F$2="No",$F$3="No"),SUM(H110:O110),IF(AND($F$2="Yes", $F$3="No"), SUM(H110:O110)+Q110, IF(AND($F$2="No", $F$3="Yes"),SUM(H110:O110)+P110, SUM(H110:O110)+Q110+P110)))</f>
        <v>0.0299471995097233</v>
      </c>
      <c r="G110" s="88" t="n">
        <f aca="false">SUM(S110:U110)/(1-'Common input data'!$B$121)</f>
        <v>0.369909535158997</v>
      </c>
      <c r="H110" s="89" t="n">
        <f aca="false">('Input data plant-based products'!$F$82*('Common input data'!$C$76*'Common input data'!B69+'Common input data'!$C$77*'Common input data'!C69))/'Input data plant-based products'!$E$82</f>
        <v>0.0064024838613577</v>
      </c>
      <c r="I110" s="89" t="n">
        <f aca="false">'Common input data'!$B$81</f>
        <v>0.03</v>
      </c>
      <c r="J110" s="89" t="n">
        <v>0</v>
      </c>
      <c r="K110" s="89" t="n">
        <v>0</v>
      </c>
      <c r="L110" s="89" t="n">
        <f aca="false">('Input data plant-based products'!$I$82*'Common input data'!$C$59*'Common input data'!H49)/'Input data plant-based products'!$E$82</f>
        <v>0.0346837637897469</v>
      </c>
      <c r="M110" s="89" t="n">
        <v>0</v>
      </c>
      <c r="N110" s="89" t="n">
        <f aca="false">'Input data plant-based products'!$F$152</f>
        <v>0.05</v>
      </c>
      <c r="O110" s="89" t="n">
        <v>0</v>
      </c>
      <c r="P110" s="89" t="n">
        <f aca="false">'Common input data'!$F$13</f>
        <v>-0.0911390481413813</v>
      </c>
      <c r="Q110" s="89" t="n">
        <v>0</v>
      </c>
      <c r="R110" s="89" t="n">
        <v>0</v>
      </c>
      <c r="S110" s="89" t="n">
        <f aca="false">F110+R110</f>
        <v>0.0299471995097233</v>
      </c>
      <c r="T110" s="89" t="n">
        <f aca="false">'Common input data'!$B$88</f>
        <v>0.05</v>
      </c>
      <c r="U110" s="89" t="n">
        <f aca="false">'Common input data'!B102+'Common input data'!C102</f>
        <v>0.23</v>
      </c>
      <c r="V110" s="309"/>
      <c r="W110" s="92"/>
      <c r="Z110" s="30"/>
    </row>
    <row r="111" s="209" customFormat="true" ht="17.4" hidden="false" customHeight="false" outlineLevel="0" collapsed="false">
      <c r="A111" s="99"/>
      <c r="B111" s="31"/>
      <c r="C111" s="93"/>
      <c r="D111" s="85" t="s">
        <v>135</v>
      </c>
      <c r="E111" s="217" t="n">
        <f aca="false">SUM(J111:K111)</f>
        <v>0</v>
      </c>
      <c r="F111" s="89" t="n">
        <f aca="false">SUM(H111:O111)</f>
        <v>1.53637660620636E-005</v>
      </c>
      <c r="G111" s="88" t="n">
        <f aca="false">SUM(S111:U111)/(1-'Common input data'!$B$121)</f>
        <v>1.83360377874014E-005</v>
      </c>
      <c r="H111" s="89" t="n">
        <f aca="false">('Input data plant-based products'!$F$82*('Common input data'!$C$76*'Common input data'!B70+'Common input data'!$C$77*'Common input data'!C70))/'Input data plant-based products'!$E$82</f>
        <v>2.82294873458793E-011</v>
      </c>
      <c r="I111" s="89" t="n">
        <v>0</v>
      </c>
      <c r="J111" s="89" t="n">
        <v>0</v>
      </c>
      <c r="K111" s="89" t="n">
        <v>0</v>
      </c>
      <c r="L111" s="89" t="n">
        <f aca="false">('Input data plant-based products'!$I$82*'Common input data'!$C$59*'Common input data'!H50)/'Input data plant-based products'!$E$82</f>
        <v>1.53637378325763E-005</v>
      </c>
      <c r="M111" s="89" t="n">
        <v>0</v>
      </c>
      <c r="N111" s="89" t="n">
        <v>0</v>
      </c>
      <c r="O111" s="89" t="n">
        <v>0</v>
      </c>
      <c r="P111" s="89" t="n">
        <v>0</v>
      </c>
      <c r="Q111" s="89" t="n">
        <v>0</v>
      </c>
      <c r="R111" s="89" t="n">
        <v>0</v>
      </c>
      <c r="S111" s="89" t="n">
        <f aca="false">F111+R111</f>
        <v>1.53637660620636E-005</v>
      </c>
      <c r="T111" s="89" t="n">
        <v>0</v>
      </c>
      <c r="U111" s="89" t="n">
        <v>0</v>
      </c>
      <c r="V111" s="309"/>
      <c r="W111" s="92"/>
      <c r="Z111" s="30"/>
    </row>
    <row r="112" s="209" customFormat="true" ht="17.4" hidden="false" customHeight="false" outlineLevel="0" collapsed="false">
      <c r="A112" s="100"/>
      <c r="B112" s="101"/>
      <c r="C112" s="87"/>
      <c r="D112" s="31" t="s">
        <v>136</v>
      </c>
      <c r="E112" s="219" t="n">
        <f aca="false">SUM(J112:K112)</f>
        <v>5.72077500695281E-005</v>
      </c>
      <c r="F112" s="126" t="n">
        <f aca="false">SUM(H112:O112)</f>
        <v>9.31116505265552E-005</v>
      </c>
      <c r="G112" s="106" t="n">
        <f aca="false">SUM(S112:U112)/(1-'Common input data'!$B$121)</f>
        <v>0.00011112501554667</v>
      </c>
      <c r="H112" s="89" t="n">
        <f aca="false">('Input data plant-based products'!$F$82*('Common input data'!$C$76*'Common input data'!B71+'Common input data'!$C$77*'Common input data'!C71))/'Input data plant-based products'!$E$82</f>
        <v>3.49719342013489E-005</v>
      </c>
      <c r="I112" s="89" t="n">
        <v>0</v>
      </c>
      <c r="J112" s="89" t="n">
        <f aca="false">(SUM('Input data plant-based products'!F82:H82)*'Input data plant-based products'!$B$114*44/28)/'Input data plant-based products'!E82</f>
        <v>5.20070455177529E-005</v>
      </c>
      <c r="K112" s="89" t="n">
        <f aca="false">J112*'Input data plant-based products'!$B$115</f>
        <v>5.20070455177529E-006</v>
      </c>
      <c r="L112" s="89" t="n">
        <f aca="false">('Input data plant-based products'!$I$82*'Common input data'!$C$59*'Common input data'!H51)/'Input data plant-based products'!$E$82</f>
        <v>9.31966255678131E-007</v>
      </c>
      <c r="M112" s="89" t="n">
        <v>0</v>
      </c>
      <c r="N112" s="89" t="n">
        <v>0</v>
      </c>
      <c r="O112" s="89" t="n">
        <v>0</v>
      </c>
      <c r="P112" s="89" t="n">
        <v>0</v>
      </c>
      <c r="Q112" s="89" t="n">
        <v>0</v>
      </c>
      <c r="R112" s="89" t="n">
        <v>0</v>
      </c>
      <c r="S112" s="89" t="n">
        <f aca="false">F112+R112</f>
        <v>9.31116505265552E-005</v>
      </c>
      <c r="T112" s="89" t="n">
        <v>0</v>
      </c>
      <c r="U112" s="89" t="n">
        <v>0</v>
      </c>
      <c r="V112" s="309"/>
      <c r="W112" s="92"/>
      <c r="Z112" s="30"/>
    </row>
    <row r="113" s="209" customFormat="true" ht="17.4" hidden="false" customHeight="false" outlineLevel="0" collapsed="false">
      <c r="A113" s="107" t="s">
        <v>334</v>
      </c>
      <c r="B113" s="108"/>
      <c r="C113" s="69"/>
      <c r="D113" s="109"/>
      <c r="E113" s="110" t="s">
        <v>335</v>
      </c>
      <c r="F113" s="111" t="s">
        <v>335</v>
      </c>
      <c r="G113" s="112" t="s">
        <v>335</v>
      </c>
      <c r="H113" s="69"/>
      <c r="I113" s="69"/>
      <c r="J113" s="69"/>
      <c r="K113" s="113"/>
      <c r="L113" s="113"/>
      <c r="M113" s="114"/>
      <c r="N113" s="113"/>
      <c r="O113" s="113"/>
      <c r="P113" s="113"/>
      <c r="Q113" s="113"/>
      <c r="R113" s="113"/>
      <c r="S113" s="113"/>
      <c r="T113" s="113"/>
      <c r="U113" s="113"/>
      <c r="V113" s="309"/>
      <c r="W113" s="92"/>
      <c r="Z113" s="30"/>
    </row>
    <row r="114" s="209" customFormat="true" ht="17.4" hidden="false" customHeight="false" outlineLevel="0" collapsed="false">
      <c r="A114" s="75" t="s">
        <v>336</v>
      </c>
      <c r="B114" s="76" t="s">
        <v>254</v>
      </c>
      <c r="C114" s="77" t="n">
        <f aca="false">'Input data plant-based products'!D91</f>
        <v>1</v>
      </c>
      <c r="D114" s="78" t="s">
        <v>133</v>
      </c>
      <c r="E114" s="79" t="n">
        <f aca="false">IF($F$1="GWP100 without fb",E115+E116*'Common input data'!$C$5+E117*'Common input data'!$D$5,IF($F$1="GWP100 with fb",E115+E116*'Common input data'!$C$6+E117*'Common input data'!$D$6,IF($F$1="GTP100 without fb",E115+E116*'Common input data'!$C$7+E117*'Common input data'!$D$7,IF($F$1="GTP100 with fb",E115+E116*'Common input data'!$C$8+E117*'Common input data'!$D$8,E115+E116*'Common input data'!$C$9+E117*'Common input data'!$D$9))))</f>
        <v>-0.0135753381578307</v>
      </c>
      <c r="F114" s="80" t="n">
        <f aca="false">IF($F$1="GWP100 without fb",F115+F116*'Common input data'!$C$5+F117*'Common input data'!$D$5,IF($F$1="GWP100 with fb",F115+F116*'Common input data'!$C$6+F117*'Common input data'!$D$6,IF($F$1="GTP100 without fb",F115+F116*'Common input data'!$C$7+F117*'Common input data'!$D$7,IF($F$1="GTP100 with fb",F115+F116*'Common input data'!$C$8+F117*'Common input data'!$D$8,F115+F116*'Common input data'!$C$9+F117*'Common input data'!$D$9))))</f>
        <v>0.31686141427046</v>
      </c>
      <c r="G114" s="81" t="n">
        <f aca="false">IF($F$1="GWP100 without fb",G115+G116*'Common input data'!$C$5+G117*'Common input data'!$D$5,IF($F$1="GWP100 with fb",G115+G116*'Common input data'!$C$6+G117*'Common input data'!$D$6,IF($F$1="GTP100 without fb",G115+G116*'Common input data'!$C$7+G117*'Common input data'!$D$7,IF($F$1="GTP100 with fb",G115+G116*'Common input data'!$C$8+G117*'Common input data'!$D$8,G115+G116*'Common input data'!$C$9+G117*'Common input data'!$D$9))))</f>
        <v>1.09344834276094</v>
      </c>
      <c r="H114" s="95"/>
      <c r="I114" s="97"/>
      <c r="J114" s="97"/>
      <c r="K114" s="83"/>
      <c r="L114" s="83"/>
      <c r="M114" s="83"/>
      <c r="N114" s="83"/>
      <c r="O114" s="83"/>
      <c r="P114" s="83"/>
      <c r="Q114" s="83"/>
      <c r="R114" s="83"/>
      <c r="S114" s="83"/>
      <c r="T114" s="83"/>
      <c r="U114" s="83"/>
      <c r="V114" s="309"/>
      <c r="W114" s="92"/>
      <c r="Z114" s="30"/>
    </row>
    <row r="115" s="209" customFormat="true" ht="17.4" hidden="false" customHeight="false" outlineLevel="0" collapsed="false">
      <c r="A115" s="99"/>
      <c r="B115" s="31"/>
      <c r="C115" s="30"/>
      <c r="D115" s="85" t="s">
        <v>134</v>
      </c>
      <c r="E115" s="217" t="n">
        <f aca="false">IF(AND($F$2="No",$F$3="No"),SUM(J115:K115),IF(AND($F$2="Yes", $F$3="No"), SUM(J115:K115)+Q115, IF(AND($F$2="No", $F$3="Yes"),SUM(J115:K115)+P115, SUM(J115:K115)+Q115+P115)))</f>
        <v>-0.0911390481413813</v>
      </c>
      <c r="F115" s="89" t="n">
        <f aca="false">IF(AND($F$2="No",$F$3="No"),SUM(H115:O115),IF(AND($F$2="Yes", $F$3="No"), SUM(H115:O115)+Q115, IF(AND($F$2="No", $F$3="Yes"),SUM(H115:O115)+P115, SUM(H115:O115)+Q115+P115)))</f>
        <v>0.160177596835856</v>
      </c>
      <c r="G115" s="88" t="n">
        <f aca="false">SUM(S115:U115)/(1-'Common input data'!$H$121)</f>
        <v>0.878447769959734</v>
      </c>
      <c r="H115" s="87" t="n">
        <f aca="false">('Input data plant-based products'!$F$91*('Common input data'!$D$76*'Common input data'!B69+'Common input data'!$D$77*'Common input data'!C69))/'Input data plant-based products'!$E$91</f>
        <v>0.0417286910356959</v>
      </c>
      <c r="I115" s="87" t="n">
        <f aca="false">'Common input data'!B81</f>
        <v>0.03</v>
      </c>
      <c r="J115" s="87" t="n">
        <v>0</v>
      </c>
      <c r="K115" s="87" t="n">
        <v>0</v>
      </c>
      <c r="L115" s="87" t="n">
        <f aca="false">('Input data plant-based products'!$I$91*'Common input data'!$C$59*'Common input data'!H49)/'Input data plant-based products'!$E$91</f>
        <v>0.0295879539415412</v>
      </c>
      <c r="M115" s="87" t="n">
        <v>0</v>
      </c>
      <c r="N115" s="87" t="n">
        <f aca="false">'Input data plant-based products'!$E$152</f>
        <v>0.15</v>
      </c>
      <c r="O115" s="87" t="n">
        <v>0</v>
      </c>
      <c r="P115" s="87" t="n">
        <f aca="false">'Common input data'!$F$13</f>
        <v>-0.0911390481413813</v>
      </c>
      <c r="Q115" s="87" t="n">
        <v>0</v>
      </c>
      <c r="R115" s="87" t="n">
        <v>0</v>
      </c>
      <c r="S115" s="87" t="n">
        <f aca="false">F115+R115</f>
        <v>0.160177596835856</v>
      </c>
      <c r="T115" s="89" t="n">
        <f aca="false">'Common input data'!B88</f>
        <v>0.05</v>
      </c>
      <c r="U115" s="89" t="n">
        <f aca="false">'Common input data'!B108+'Common input data'!C108</f>
        <v>0.43</v>
      </c>
      <c r="V115" s="309"/>
      <c r="W115" s="92"/>
      <c r="Z115" s="30"/>
    </row>
    <row r="116" s="209" customFormat="true" ht="17.4" hidden="false" customHeight="false" outlineLevel="0" collapsed="false">
      <c r="A116" s="99"/>
      <c r="B116" s="31"/>
      <c r="C116" s="93"/>
      <c r="D116" s="85" t="s">
        <v>135</v>
      </c>
      <c r="E116" s="86" t="n">
        <f aca="false">SUM(J116:K116)</f>
        <v>0</v>
      </c>
      <c r="F116" s="87" t="n">
        <f aca="false">SUM(H116:O116)</f>
        <v>1.31066935153233E-005</v>
      </c>
      <c r="G116" s="88" t="n">
        <f aca="false">SUM(S116:U116)/(1-'Common input data'!$H$121)</f>
        <v>1.79849244131447E-005</v>
      </c>
      <c r="H116" s="87" t="n">
        <f aca="false">('Input data plant-based products'!$F$91*('Common input data'!$D$76*'Common input data'!B70+'Common input data'!$D$77*'Common input data'!C70))/'Input data plant-based products'!$E$91</f>
        <v>2.27616297608503E-010</v>
      </c>
      <c r="I116" s="87" t="n">
        <v>0</v>
      </c>
      <c r="J116" s="87" t="n">
        <v>0</v>
      </c>
      <c r="K116" s="87" t="n">
        <v>0</v>
      </c>
      <c r="L116" s="87" t="n">
        <f aca="false">('Input data plant-based products'!$I$91*'Common input data'!$C$59*'Common input data'!H50)/'Input data plant-based products'!$E$91</f>
        <v>1.31064658990257E-005</v>
      </c>
      <c r="M116" s="87" t="n">
        <v>0</v>
      </c>
      <c r="N116" s="87" t="n">
        <v>0</v>
      </c>
      <c r="O116" s="87" t="n">
        <v>0</v>
      </c>
      <c r="P116" s="87" t="n">
        <v>0</v>
      </c>
      <c r="Q116" s="87" t="n">
        <v>0</v>
      </c>
      <c r="R116" s="87" t="n">
        <v>0</v>
      </c>
      <c r="S116" s="87" t="n">
        <f aca="false">F116+R116</f>
        <v>1.31066935153233E-005</v>
      </c>
      <c r="T116" s="89" t="n">
        <v>0</v>
      </c>
      <c r="U116" s="89" t="n">
        <v>0</v>
      </c>
      <c r="V116" s="309"/>
      <c r="W116" s="92"/>
      <c r="Z116" s="30"/>
    </row>
    <row r="117" s="209" customFormat="true" ht="17.4" hidden="false" customHeight="false" outlineLevel="0" collapsed="false">
      <c r="A117" s="100"/>
      <c r="B117" s="101"/>
      <c r="C117" s="87"/>
      <c r="D117" s="31" t="s">
        <v>136</v>
      </c>
      <c r="E117" s="104" t="n">
        <f aca="false">SUM(J117:K117)</f>
        <v>0.000260280905985069</v>
      </c>
      <c r="F117" s="105" t="n">
        <f aca="false">SUM(H117:O117)</f>
        <v>0.000524289227701623</v>
      </c>
      <c r="G117" s="106" t="n">
        <f aca="false">SUM(S117:U117)/(1-'Common input data'!$H$121)</f>
        <v>0.000719426460977033</v>
      </c>
      <c r="H117" s="87" t="n">
        <f aca="false">('Input data plant-based products'!$F$91*('Common input data'!$D$76*'Common input data'!B71+'Common input data'!$D$77*'Common input data'!C71))/'Input data plant-based products'!$E$91</f>
        <v>0.000263213281858272</v>
      </c>
      <c r="I117" s="87" t="n">
        <v>0</v>
      </c>
      <c r="J117" s="87" t="n">
        <f aca="false">(SUM('Input data plant-based products'!F91:H91)*'Input data plant-based products'!B114*44/28)/'Input data plant-based products'!E91</f>
        <v>0.000236619005440972</v>
      </c>
      <c r="K117" s="87" t="n">
        <f aca="false">J117*'Input data plant-based products'!$B$115</f>
        <v>2.36619005440972E-005</v>
      </c>
      <c r="L117" s="87" t="n">
        <f aca="false">('Input data plant-based products'!$I$91*'Common input data'!$C$59*'Common input data'!H51)/'Input data plant-based products'!$E$91</f>
        <v>7.95039858281665E-007</v>
      </c>
      <c r="M117" s="87" t="n">
        <v>0</v>
      </c>
      <c r="N117" s="87" t="n">
        <v>0</v>
      </c>
      <c r="O117" s="87" t="n">
        <v>0</v>
      </c>
      <c r="P117" s="87" t="n">
        <v>0</v>
      </c>
      <c r="Q117" s="87" t="n">
        <v>0</v>
      </c>
      <c r="R117" s="87" t="n">
        <v>0</v>
      </c>
      <c r="S117" s="87" t="n">
        <f aca="false">F117+R117</f>
        <v>0.000524289227701623</v>
      </c>
      <c r="T117" s="89" t="n">
        <v>0</v>
      </c>
      <c r="U117" s="89" t="n">
        <v>0</v>
      </c>
      <c r="V117" s="309"/>
      <c r="W117" s="92"/>
      <c r="Z117" s="30"/>
    </row>
    <row r="118" s="209" customFormat="true" ht="17.4" hidden="false" customHeight="false" outlineLevel="0" collapsed="false">
      <c r="A118" s="107" t="s">
        <v>337</v>
      </c>
      <c r="B118" s="108"/>
      <c r="C118" s="69"/>
      <c r="D118" s="109"/>
      <c r="E118" s="110" t="s">
        <v>338</v>
      </c>
      <c r="F118" s="111" t="s">
        <v>338</v>
      </c>
      <c r="G118" s="112" t="s">
        <v>338</v>
      </c>
      <c r="H118" s="69"/>
      <c r="I118" s="69"/>
      <c r="J118" s="69"/>
      <c r="K118" s="113"/>
      <c r="L118" s="113"/>
      <c r="M118" s="114"/>
      <c r="N118" s="113"/>
      <c r="O118" s="113"/>
      <c r="P118" s="113"/>
      <c r="Q118" s="113"/>
      <c r="R118" s="113"/>
      <c r="S118" s="113"/>
      <c r="T118" s="113"/>
      <c r="U118" s="113"/>
      <c r="V118" s="309"/>
      <c r="W118" s="92"/>
      <c r="Z118" s="30"/>
    </row>
    <row r="119" s="209" customFormat="true" ht="17.4" hidden="false" customHeight="false" outlineLevel="0" collapsed="false">
      <c r="A119" s="330" t="s">
        <v>272</v>
      </c>
      <c r="B119" s="76"/>
      <c r="C119" s="77" t="n">
        <f aca="false">SUM(C123:C130)</f>
        <v>1</v>
      </c>
      <c r="D119" s="78" t="s">
        <v>133</v>
      </c>
      <c r="E119" s="79" t="n">
        <f aca="false">IF($F$1="GWP100 without fb",E120+E121*'Common input data'!$C$5+E122*'Common input data'!$D$5,IF($F$1="GWP100 with fb",E120+E121*'Common input data'!$C$6+E122*'Common input data'!$D$6,IF($F$1="GTP100 without fb",E120+E121*'Common input data'!$C$7+E122*'Common input data'!$D$7,IF($F$1="GTP100 with fb",E120+E121*'Common input data'!$C$8+E122*'Common input data'!$D$8,E120+E121*'Common input data'!$C$9+E122*'Common input data'!$D$9))))</f>
        <v>-0.0679998554583493</v>
      </c>
      <c r="F119" s="80" t="n">
        <f aca="false">IF($F$1="GWP100 without fb",F120+F121*'Common input data'!$C$5+F122*'Common input data'!$D$5,IF($F$1="GWP100 with fb",F120+F121*'Common input data'!$C$6+F122*'Common input data'!$D$6,IF($F$1="GTP100 without fb",F120+F121*'Common input data'!$C$7+F122*'Common input data'!$D$7,IF($F$1="GTP100 with fb",F120+F121*'Common input data'!$C$8+F122*'Common input data'!$D$8,F120+F121*'Common input data'!$C$9+F122*'Common input data'!$D$9))))</f>
        <v>0.103032775399437</v>
      </c>
      <c r="G119" s="81" t="n">
        <f aca="false">IF($F$1="GWP100 without fb",G120+G121*'Common input data'!$C$5+G122*'Common input data'!$D$5,IF($F$1="GWP100 with fb",G120+G121*'Common input data'!$C$6+G122*'Common input data'!$D$6,IF($F$1="GTP100 without fb",G120+G121*'Common input data'!$C$7+G122*'Common input data'!$D$7,IF($F$1="GTP100 with fb",G120+G121*'Common input data'!$C$8+G122*'Common input data'!$D$8,G120+G121*'Common input data'!$C$9+G122*'Common input data'!$D$9))))</f>
        <v>0.632535203318635</v>
      </c>
      <c r="H119" s="95"/>
      <c r="I119" s="97"/>
      <c r="J119" s="97"/>
      <c r="K119" s="83"/>
      <c r="L119" s="83"/>
      <c r="M119" s="83"/>
      <c r="N119" s="83"/>
      <c r="O119" s="83"/>
      <c r="P119" s="83"/>
      <c r="Q119" s="83"/>
      <c r="R119" s="83"/>
      <c r="S119" s="83"/>
      <c r="T119" s="83"/>
      <c r="U119" s="83"/>
      <c r="V119" s="309"/>
      <c r="W119" s="92"/>
      <c r="Z119" s="30"/>
    </row>
    <row r="120" s="209" customFormat="true" ht="17.4" hidden="false" customHeight="false" outlineLevel="0" collapsed="false">
      <c r="A120" s="315"/>
      <c r="B120" s="31"/>
      <c r="C120" s="30"/>
      <c r="D120" s="85" t="s">
        <v>134</v>
      </c>
      <c r="E120" s="217" t="n">
        <f aca="false">E124*$C$123+E128*$C$127</f>
        <v>-0.0911390481413813</v>
      </c>
      <c r="F120" s="89" t="n">
        <f aca="false">F124*$C$123+F128*$C$127</f>
        <v>0.0571072078193399</v>
      </c>
      <c r="G120" s="88" t="n">
        <f aca="false">G124*$C$123+G128*$C$127</f>
        <v>0.573344711493415</v>
      </c>
      <c r="H120" s="89" t="n">
        <f aca="false">H124*$C$123+H128*$C$127</f>
        <v>0.0122189354119957</v>
      </c>
      <c r="I120" s="89" t="n">
        <f aca="false">I124*$C$123+I128*$C$127</f>
        <v>0.03</v>
      </c>
      <c r="J120" s="89" t="n">
        <f aca="false">J124*$C$123+J128*$C$127</f>
        <v>0</v>
      </c>
      <c r="K120" s="89" t="n">
        <f aca="false">K124*$C$123+K128*$C$127</f>
        <v>0</v>
      </c>
      <c r="L120" s="89" t="n">
        <f aca="false">L124*$C$123+L128*$C$127</f>
        <v>0.0560273205487254</v>
      </c>
      <c r="M120" s="89" t="n">
        <f aca="false">M124*$C$123+M128*$C$127</f>
        <v>0</v>
      </c>
      <c r="N120" s="89" t="n">
        <f aca="false">N124*$C$123+N128*$C$127</f>
        <v>0.05</v>
      </c>
      <c r="O120" s="89" t="n">
        <f aca="false">O124*$C$123+O128*$C$127</f>
        <v>0</v>
      </c>
      <c r="P120" s="89" t="n">
        <f aca="false">P124*$C$123+P128*$C$127</f>
        <v>-0.0911390481413813</v>
      </c>
      <c r="Q120" s="89" t="n">
        <f aca="false">Q124*$C$123+Q128*$C$127</f>
        <v>0</v>
      </c>
      <c r="R120" s="89" t="n">
        <f aca="false">R124*$C$123+R128*$C$127</f>
        <v>0</v>
      </c>
      <c r="S120" s="89" t="n">
        <f aca="false">S124*$C$123+S128*$C$127</f>
        <v>0.0571072078193399</v>
      </c>
      <c r="T120" s="89" t="n">
        <f aca="false">T124*$C$123+T128*$C$127</f>
        <v>0.05</v>
      </c>
      <c r="U120" s="89" t="n">
        <f aca="false">U124*$C$123+U128*$C$127</f>
        <v>0.332</v>
      </c>
      <c r="V120" s="309"/>
      <c r="W120" s="92"/>
      <c r="Z120" s="30"/>
    </row>
    <row r="121" s="209" customFormat="true" ht="17.4" hidden="false" customHeight="false" outlineLevel="0" collapsed="false">
      <c r="A121" s="315"/>
      <c r="B121" s="31"/>
      <c r="C121" s="93"/>
      <c r="D121" s="85" t="s">
        <v>135</v>
      </c>
      <c r="E121" s="217" t="n">
        <f aca="false">E125*$C$123+E129*$C$127</f>
        <v>0</v>
      </c>
      <c r="F121" s="89" t="n">
        <f aca="false">F125*$C$123+F129*$C$127</f>
        <v>2.48182743118305E-005</v>
      </c>
      <c r="G121" s="88" t="n">
        <f aca="false">G125*$C$123+G129*$C$127</f>
        <v>3.20164731687556E-005</v>
      </c>
      <c r="H121" s="89" t="n">
        <f aca="false">H125*$C$123+H129*$C$127</f>
        <v>6.05334633416519E-011</v>
      </c>
      <c r="I121" s="89" t="n">
        <f aca="false">I125*$C$123+I129*$C$127</f>
        <v>0</v>
      </c>
      <c r="J121" s="89" t="n">
        <f aca="false">J125*$C$123+J129*$C$127</f>
        <v>0</v>
      </c>
      <c r="K121" s="89" t="n">
        <f aca="false">K125*$C$123+K129*$C$127</f>
        <v>0</v>
      </c>
      <c r="L121" s="89" t="n">
        <f aca="false">L125*$C$123+L129*$C$127</f>
        <v>2.48182137783672E-005</v>
      </c>
      <c r="M121" s="89" t="n">
        <f aca="false">M125*$C$123+M129*$C$127</f>
        <v>0</v>
      </c>
      <c r="N121" s="89" t="n">
        <f aca="false">N125*$C$123+N129*$C$127</f>
        <v>0</v>
      </c>
      <c r="O121" s="89" t="n">
        <f aca="false">O125*$C$123+O129*$C$127</f>
        <v>0</v>
      </c>
      <c r="P121" s="89" t="n">
        <f aca="false">P125*$C$123+P129*$C$127</f>
        <v>0</v>
      </c>
      <c r="Q121" s="89" t="n">
        <f aca="false">Q125*$C$123+Q129*$C$127</f>
        <v>0</v>
      </c>
      <c r="R121" s="89" t="n">
        <f aca="false">R125*$C$123+R129*$C$127</f>
        <v>0</v>
      </c>
      <c r="S121" s="89" t="n">
        <f aca="false">S125*$C$123+S129*$C$127</f>
        <v>2.48182743118305E-005</v>
      </c>
      <c r="T121" s="89" t="n">
        <f aca="false">T125*$C$123+T129*$C$127</f>
        <v>0</v>
      </c>
      <c r="U121" s="89" t="n">
        <f aca="false">U125*$C$123+U129*$C$127</f>
        <v>0</v>
      </c>
      <c r="V121" s="309"/>
      <c r="W121" s="92"/>
      <c r="Z121" s="30"/>
    </row>
    <row r="122" s="209" customFormat="true" ht="17.4" hidden="false" customHeight="false" outlineLevel="0" collapsed="false">
      <c r="A122" s="74"/>
      <c r="B122" s="101"/>
      <c r="C122" s="87"/>
      <c r="D122" s="31" t="s">
        <v>136</v>
      </c>
      <c r="E122" s="217" t="n">
        <f aca="false">E126*$C$123+E130*$C$127</f>
        <v>7.7648297594067E-005</v>
      </c>
      <c r="F122" s="89" t="n">
        <f aca="false">F126*$C$123+F130*$C$127</f>
        <v>0.00015128102769629</v>
      </c>
      <c r="G122" s="88" t="n">
        <f aca="false">G126*$C$123+G130*$C$127</f>
        <v>0.000194972925293566</v>
      </c>
      <c r="H122" s="89" t="n">
        <f aca="false">H126*$C$123+H130*$C$127</f>
        <v>7.21272541549178E-005</v>
      </c>
      <c r="I122" s="89" t="n">
        <f aca="false">I126*$C$123+I130*$C$127</f>
        <v>0</v>
      </c>
      <c r="J122" s="89" t="n">
        <f aca="false">J126*$C$123+J130*$C$127</f>
        <v>7.05893614491519E-005</v>
      </c>
      <c r="K122" s="89" t="n">
        <f aca="false">K126*$C$123+K130*$C$127</f>
        <v>7.05893614491519E-006</v>
      </c>
      <c r="L122" s="89" t="n">
        <f aca="false">L126*$C$123+L130*$C$127</f>
        <v>1.50547594730506E-006</v>
      </c>
      <c r="M122" s="89" t="n">
        <f aca="false">M126*$C$123+M130*$C$127</f>
        <v>0</v>
      </c>
      <c r="N122" s="89" t="n">
        <f aca="false">N126*$C$123+N130*$C$127</f>
        <v>0</v>
      </c>
      <c r="O122" s="89" t="n">
        <f aca="false">O126*$C$123+O130*$C$127</f>
        <v>0</v>
      </c>
      <c r="P122" s="89" t="n">
        <f aca="false">P126*$C$123+P130*$C$127</f>
        <v>0</v>
      </c>
      <c r="Q122" s="89" t="n">
        <f aca="false">Q126*$C$123+Q130*$C$127</f>
        <v>0</v>
      </c>
      <c r="R122" s="89" t="n">
        <f aca="false">R126*$C$123+R130*$C$127</f>
        <v>0</v>
      </c>
      <c r="S122" s="89" t="n">
        <f aca="false">S126*$C$123+S130*$C$127</f>
        <v>0.00015128102769629</v>
      </c>
      <c r="T122" s="89" t="n">
        <f aca="false">T126*$C$123+T130*$C$127</f>
        <v>0</v>
      </c>
      <c r="U122" s="89" t="n">
        <f aca="false">U126*$C$123+U130*$C$127</f>
        <v>0</v>
      </c>
      <c r="V122" s="309"/>
      <c r="W122" s="92"/>
      <c r="Z122" s="30"/>
    </row>
    <row r="123" s="209" customFormat="true" ht="17.4" hidden="false" customHeight="false" outlineLevel="0" collapsed="false">
      <c r="A123" s="330" t="s">
        <v>274</v>
      </c>
      <c r="B123" s="76" t="s">
        <v>254</v>
      </c>
      <c r="C123" s="84" t="n">
        <f aca="false">'Input data plant-based products'!D93</f>
        <v>0.49</v>
      </c>
      <c r="D123" s="78" t="s">
        <v>133</v>
      </c>
      <c r="E123" s="94" t="n">
        <f aca="false">IF($F$1="GWP100 without fb",E124+E125*'Common input data'!$C$5+E126*'Common input data'!$D$5,IF($F$1="GWP100 with fb",E124+E125*'Common input data'!$C$6+E126*'Common input data'!$D$6,IF($F$1="GTP100 without fb",E124+E125*'Common input data'!$C$7+E126*'Common input data'!$D$7,IF($F$1="GTP100 with fb",E124+E125*'Common input data'!$C$8+E126*'Common input data'!$D$8,E124+E125*'Common input data'!$C$9+E126*'Common input data'!$D$9))))</f>
        <v>-0.0680742908842384</v>
      </c>
      <c r="F123" s="95" t="n">
        <f aca="false">IF($F$1="GWP100 without fb",F124+F125*'Common input data'!$C$5+F126*'Common input data'!$D$5,IF($F$1="GWP100 with fb",F124+F125*'Common input data'!$C$6+F126*'Common input data'!$D$6,IF($F$1="GTP100 without fb",F124+F125*'Common input data'!$C$7+F126*'Common input data'!$D$7,IF($F$1="GTP100 with fb",F124+F125*'Common input data'!$C$8+F126*'Common input data'!$D$8,F124+F125*'Common input data'!$C$9+F126*'Common input data'!$D$9))))</f>
        <v>0.0970714612012162</v>
      </c>
      <c r="G123" s="96" t="n">
        <f aca="false">IF($F$1="GWP100 without fb",G124+G125*'Common input data'!$C$5+G126*'Common input data'!$D$5,IF($F$1="GWP100 with fb",G124+G125*'Common input data'!$C$6+G126*'Common input data'!$D$6,IF($F$1="GTP100 without fb",G124+G125*'Common input data'!$C$7+G126*'Common input data'!$D$7,IF($F$1="GTP100 with fb",G124+G125*'Common input data'!$C$8+G126*'Common input data'!$D$8,G124+G125*'Common input data'!$C$9+G126*'Common input data'!$D$9))))</f>
        <v>0.450019645782571</v>
      </c>
      <c r="H123" s="83"/>
      <c r="I123" s="83"/>
      <c r="J123" s="83"/>
      <c r="K123" s="83"/>
      <c r="L123" s="83"/>
      <c r="M123" s="83"/>
      <c r="N123" s="83"/>
      <c r="O123" s="83"/>
      <c r="P123" s="83"/>
      <c r="Q123" s="83"/>
      <c r="R123" s="83"/>
      <c r="S123" s="83"/>
      <c r="T123" s="83"/>
      <c r="U123" s="83"/>
      <c r="V123" s="309"/>
      <c r="W123" s="92"/>
      <c r="Z123" s="30"/>
    </row>
    <row r="124" s="209" customFormat="true" ht="17.4" hidden="false" customHeight="false" outlineLevel="0" collapsed="false">
      <c r="A124" s="315"/>
      <c r="B124" s="31"/>
      <c r="C124" s="30"/>
      <c r="D124" s="85" t="s">
        <v>134</v>
      </c>
      <c r="E124" s="217" t="n">
        <f aca="false">IF(AND($F$2="No",$F$3="No"),SUM(J124:K124),IF(AND($F$2="Yes", $F$3="No"), SUM(J124:K124)+Q124, IF(AND($F$2="No", $F$3="Yes"),SUM(J124:K124)+P124, SUM(J124:K124)+Q124+P124)))</f>
        <v>-0.0911390481413813</v>
      </c>
      <c r="F124" s="89" t="n">
        <f aca="false">IF(AND($F$2="No",$F$3="No"),SUM(H124:O124),IF(AND($F$2="Yes", $F$3="No"), SUM(H124:O124)+Q124, IF(AND($F$2="No", $F$3="Yes"),SUM(H124:O124)+P124, SUM(H124:O124)+Q124+P124)))</f>
        <v>0.0533593745656207</v>
      </c>
      <c r="G124" s="88" t="n">
        <f aca="false">SUM(S124:U124)/(1-'Common input data'!$B$121)</f>
        <v>0.397851025857048</v>
      </c>
      <c r="H124" s="89" t="n">
        <f aca="false">('Input data plant-based products'!$F$93*('Common input data'!$C$76*'Common input data'!B69+'Common input data'!$C$77*'Common input data'!C69))/'Input data plant-based products'!$E$93</f>
        <v>0.0119397353615311</v>
      </c>
      <c r="I124" s="89" t="n">
        <f aca="false">'Common input data'!$B$81</f>
        <v>0.03</v>
      </c>
      <c r="J124" s="89" t="n">
        <v>0</v>
      </c>
      <c r="K124" s="89" t="n">
        <v>0</v>
      </c>
      <c r="L124" s="89" t="n">
        <f aca="false">('Input data plant-based products'!$I$93*'Common input data'!$C$59*'Common input data'!H49)/'Input data plant-based products'!$E$93</f>
        <v>0.0525586873454709</v>
      </c>
      <c r="M124" s="89" t="n">
        <v>0</v>
      </c>
      <c r="N124" s="89" t="n">
        <f aca="false">'Input data plant-based products'!$F$152</f>
        <v>0.05</v>
      </c>
      <c r="O124" s="89" t="n">
        <v>0</v>
      </c>
      <c r="P124" s="89" t="n">
        <f aca="false">'Common input data'!$F$13</f>
        <v>-0.0911390481413813</v>
      </c>
      <c r="Q124" s="89" t="n">
        <v>0</v>
      </c>
      <c r="R124" s="89" t="n">
        <v>0</v>
      </c>
      <c r="S124" s="89" t="n">
        <f aca="false">F124+R124</f>
        <v>0.0533593745656207</v>
      </c>
      <c r="T124" s="89" t="n">
        <f aca="false">'Common input data'!$B$88</f>
        <v>0.05</v>
      </c>
      <c r="U124" s="89" t="n">
        <f aca="false">'Common input data'!B100+'Common input data'!C100</f>
        <v>0.23</v>
      </c>
      <c r="V124" s="309"/>
      <c r="W124" s="92"/>
      <c r="Z124" s="30"/>
    </row>
    <row r="125" s="209" customFormat="true" ht="17.4" hidden="false" customHeight="false" outlineLevel="0" collapsed="false">
      <c r="A125" s="74"/>
      <c r="B125" s="31"/>
      <c r="C125" s="93"/>
      <c r="D125" s="85" t="s">
        <v>135</v>
      </c>
      <c r="E125" s="217" t="n">
        <f aca="false">SUM(J125:K125)</f>
        <v>0</v>
      </c>
      <c r="F125" s="89" t="n">
        <f aca="false">SUM(H125:O125)</f>
        <v>2.32817788746523E-005</v>
      </c>
      <c r="G125" s="88" t="n">
        <f aca="false">SUM(S125:U125)/(1-'Common input data'!$B$121)</f>
        <v>2.77858680924363E-005</v>
      </c>
      <c r="H125" s="89" t="n">
        <f aca="false">('Input data plant-based products'!$F$93*('Common input data'!$C$76*'Common input data'!B70+'Common input data'!$C$77*'Common input data'!C70))/'Input data plant-based products'!$E$93</f>
        <v>5.264403872E-011</v>
      </c>
      <c r="I125" s="89" t="n">
        <v>0</v>
      </c>
      <c r="J125" s="89" t="n">
        <v>0</v>
      </c>
      <c r="K125" s="89" t="n">
        <v>0</v>
      </c>
      <c r="L125" s="89" t="n">
        <f aca="false">('Input data plant-based products'!$I$93*'Common input data'!$C$59*'Common input data'!H50)/'Input data plant-based products'!$E$93</f>
        <v>2.32817262306136E-005</v>
      </c>
      <c r="M125" s="89" t="n">
        <v>0</v>
      </c>
      <c r="N125" s="89" t="n">
        <v>0</v>
      </c>
      <c r="O125" s="89" t="n">
        <v>0</v>
      </c>
      <c r="P125" s="89" t="n">
        <v>0</v>
      </c>
      <c r="Q125" s="89" t="n">
        <v>0</v>
      </c>
      <c r="R125" s="89" t="n">
        <v>0</v>
      </c>
      <c r="S125" s="89" t="n">
        <f aca="false">F125+R125</f>
        <v>2.32817788746523E-005</v>
      </c>
      <c r="T125" s="89" t="n">
        <v>0</v>
      </c>
      <c r="U125" s="89" t="n">
        <v>0</v>
      </c>
      <c r="V125" s="309"/>
      <c r="W125" s="92"/>
      <c r="Z125" s="30"/>
    </row>
    <row r="126" s="209" customFormat="true" ht="17.4" hidden="false" customHeight="false" outlineLevel="0" collapsed="false">
      <c r="A126" s="100"/>
      <c r="B126" s="101"/>
      <c r="C126" s="87"/>
      <c r="D126" s="31" t="s">
        <v>136</v>
      </c>
      <c r="E126" s="217" t="n">
        <f aca="false">SUM(J126:K126)</f>
        <v>7.73985142857143E-005</v>
      </c>
      <c r="F126" s="89" t="n">
        <f aca="false">SUM(H126:O126)</f>
        <v>0.000144028544140461</v>
      </c>
      <c r="G126" s="88" t="n">
        <f aca="false">SUM(S126:U126)/(1-'Common input data'!$B$121)</f>
        <v>0.000171892283256309</v>
      </c>
      <c r="H126" s="89" t="n">
        <f aca="false">('Input data plant-based products'!$F$93*('Common input data'!$C$76*'Common input data'!B71+'Common input data'!$C$77*'Common input data'!C71))/'Input data plant-based products'!$E$93</f>
        <v>6.52177574339779E-005</v>
      </c>
      <c r="I126" s="89" t="n">
        <v>0</v>
      </c>
      <c r="J126" s="89" t="n">
        <f aca="false">(SUM('Input data plant-based products'!F93:H93)*'Input data plant-based products'!$B$114*44/28)/'Input data plant-based products'!E93</f>
        <v>7.03622857142857E-005</v>
      </c>
      <c r="K126" s="89" t="n">
        <f aca="false">J126*'Input data plant-based products'!$B$115</f>
        <v>7.03622857142857E-006</v>
      </c>
      <c r="L126" s="89" t="n">
        <f aca="false">('Input data plant-based products'!$I$93*'Common input data'!$C$59*'Common input data'!H51)/'Input data plant-based products'!$E$93</f>
        <v>1.41227242076871E-006</v>
      </c>
      <c r="M126" s="89" t="n">
        <v>0</v>
      </c>
      <c r="N126" s="89" t="n">
        <v>0</v>
      </c>
      <c r="O126" s="89" t="n">
        <v>0</v>
      </c>
      <c r="P126" s="89" t="n">
        <v>0</v>
      </c>
      <c r="Q126" s="89" t="n">
        <v>0</v>
      </c>
      <c r="R126" s="89" t="n">
        <v>0</v>
      </c>
      <c r="S126" s="89" t="n">
        <f aca="false">F126+R126</f>
        <v>0.000144028544140461</v>
      </c>
      <c r="T126" s="89" t="n">
        <v>0</v>
      </c>
      <c r="U126" s="89" t="n">
        <v>0</v>
      </c>
      <c r="V126" s="309"/>
      <c r="W126" s="92"/>
      <c r="Z126" s="30"/>
    </row>
    <row r="127" s="209" customFormat="true" ht="17.4" hidden="false" customHeight="false" outlineLevel="0" collapsed="false">
      <c r="A127" s="330" t="s">
        <v>171</v>
      </c>
      <c r="B127" s="76" t="s">
        <v>254</v>
      </c>
      <c r="C127" s="84" t="n">
        <f aca="false">'Input data plant-based products'!D94</f>
        <v>0.51</v>
      </c>
      <c r="D127" s="78" t="s">
        <v>133</v>
      </c>
      <c r="E127" s="94" t="n">
        <f aca="false">IF($F$1="GWP100 without fb",E128+E129*'Common input data'!$C$5+E130*'Common input data'!$D$5,IF($F$1="GWP100 with fb",E128+E129*'Common input data'!$C$6+E130*'Common input data'!$D$6,IF($F$1="GTP100 without fb",E128+E129*'Common input data'!$C$7+E130*'Common input data'!$D$7,IF($F$1="GTP100 with fb",E128+E129*'Common input data'!$C$8+E130*'Common input data'!$D$8,E128+E129*'Common input data'!$C$9+E130*'Common input data'!$D$9))))</f>
        <v>-0.0679283390687696</v>
      </c>
      <c r="F127" s="95" t="n">
        <f aca="false">IF($F$1="GWP100 without fb",F128+F129*'Common input data'!$C$5+F130*'Common input data'!$D$5,IF($F$1="GWP100 with fb",F128+F129*'Common input data'!$C$6+F130*'Common input data'!$D$6,IF($F$1="GTP100 without fb",F128+F129*'Common input data'!$C$7+F130*'Common input data'!$D$7,IF($F$1="GTP100 with fb",F128+F129*'Common input data'!$C$8+F130*'Common input data'!$D$8,F128+F129*'Common input data'!$C$9+F130*'Common input data'!$D$9))))</f>
        <v>0.108760312570276</v>
      </c>
      <c r="G127" s="96" t="n">
        <f aca="false">IF($F$1="GWP100 without fb",G128+G129*'Common input data'!$C$5+G130*'Common input data'!$D$5,IF($F$1="GWP100 with fb",G128+G129*'Common input data'!$C$6+G130*'Common input data'!$D$6,IF($F$1="GTP100 without fb",G128+G129*'Common input data'!$C$7+G130*'Common input data'!$D$7,IF($F$1="GTP100 with fb",G128+G129*'Common input data'!$C$8+G130*'Common input data'!$D$8,G128+G129*'Common input data'!$C$9+G130*'Common input data'!$D$9))))</f>
        <v>0.807893288010148</v>
      </c>
      <c r="H127" s="83"/>
      <c r="I127" s="83"/>
      <c r="J127" s="83"/>
      <c r="K127" s="83"/>
      <c r="L127" s="83"/>
      <c r="M127" s="83"/>
      <c r="N127" s="83"/>
      <c r="O127" s="83"/>
      <c r="P127" s="83"/>
      <c r="Q127" s="83"/>
      <c r="R127" s="83"/>
      <c r="S127" s="83"/>
      <c r="T127" s="83"/>
      <c r="U127" s="83"/>
      <c r="V127" s="309"/>
      <c r="W127" s="92"/>
      <c r="Z127" s="30"/>
    </row>
    <row r="128" s="209" customFormat="true" ht="17.4" hidden="false" customHeight="false" outlineLevel="0" collapsed="false">
      <c r="A128" s="99"/>
      <c r="B128" s="31"/>
      <c r="C128" s="30"/>
      <c r="D128" s="85" t="s">
        <v>134</v>
      </c>
      <c r="E128" s="217" t="n">
        <f aca="false">IF(AND($F$2="No",$F$3="No"),SUM(J128:K128),IF(AND($F$2="Yes", $F$3="No"), SUM(J128:K128)+Q128, IF(AND($F$2="No", $F$3="Yes"),SUM(J128:K128)+P128, SUM(J128:K128)+Q128+P128)))</f>
        <v>-0.0911390481413813</v>
      </c>
      <c r="F128" s="89" t="n">
        <f aca="false">IF(AND($F$2="No",$F$3="No"),SUM(H128:O128),IF(AND($F$2="Yes", $F$3="No"), SUM(H128:O128)+Q128, IF(AND($F$2="No", $F$3="Yes"),SUM(H128:O128)+P128, SUM(H128:O128)+Q128+P128)))</f>
        <v>0.060708067219972</v>
      </c>
      <c r="G128" s="88" t="n">
        <f aca="false">SUM(S128:U128)/(1-'Common input data'!$H$121)</f>
        <v>0.741956291810709</v>
      </c>
      <c r="H128" s="89" t="n">
        <f aca="false">('Input data plant-based products'!$F$94*('Common input data'!$D$76*'Common input data'!B69+'Common input data'!$D$77*'Common input data'!C69))/'Input data plant-based products'!$E$94</f>
        <v>0.0124871864408735</v>
      </c>
      <c r="I128" s="89" t="n">
        <f aca="false">'Common input data'!$B$81</f>
        <v>0.03</v>
      </c>
      <c r="J128" s="89" t="n">
        <v>0</v>
      </c>
      <c r="K128" s="89" t="n">
        <v>0</v>
      </c>
      <c r="L128" s="89" t="n">
        <f aca="false">('Input data plant-based products'!$I$94*'Common input data'!$C$59*'Common input data'!H49)/'Input data plant-based products'!$E$94</f>
        <v>0.0593599289204798</v>
      </c>
      <c r="M128" s="89" t="n">
        <v>0</v>
      </c>
      <c r="N128" s="89" t="n">
        <f aca="false">'Input data plant-based products'!$F$152</f>
        <v>0.05</v>
      </c>
      <c r="O128" s="89" t="n">
        <v>0</v>
      </c>
      <c r="P128" s="89" t="n">
        <f aca="false">'Common input data'!$F$13</f>
        <v>-0.0911390481413813</v>
      </c>
      <c r="Q128" s="89" t="n">
        <v>0</v>
      </c>
      <c r="R128" s="89" t="n">
        <v>0</v>
      </c>
      <c r="S128" s="89" t="n">
        <f aca="false">F128+R128</f>
        <v>0.060708067219972</v>
      </c>
      <c r="T128" s="89" t="n">
        <f aca="false">'Common input data'!$B$88</f>
        <v>0.05</v>
      </c>
      <c r="U128" s="89" t="n">
        <f aca="false">'Common input data'!B108+'Common input data'!C108</f>
        <v>0.43</v>
      </c>
      <c r="V128" s="309"/>
      <c r="W128" s="92"/>
      <c r="Z128" s="30"/>
    </row>
    <row r="129" s="209" customFormat="true" ht="17.4" hidden="false" customHeight="false" outlineLevel="0" collapsed="false">
      <c r="A129" s="74"/>
      <c r="B129" s="31"/>
      <c r="C129" s="93"/>
      <c r="D129" s="85" t="s">
        <v>135</v>
      </c>
      <c r="E129" s="217" t="n">
        <f aca="false">SUM(J129:K129)</f>
        <v>0</v>
      </c>
      <c r="F129" s="89" t="n">
        <f aca="false">SUM(H129:O129)</f>
        <v>2.62945150259821E-005</v>
      </c>
      <c r="G129" s="88" t="n">
        <f aca="false">SUM(S129:U129)/(1-'Common input data'!$H$121)</f>
        <v>3.60811721636507E-005</v>
      </c>
      <c r="H129" s="89" t="n">
        <f aca="false">('Input data plant-based products'!$F$94*('Common input data'!$D$76*'Common input data'!B70+'Common input data'!$D$77*'Common input data'!C70))/'Input data plant-based products'!$E$94</f>
        <v>6.81134987624548E-011</v>
      </c>
      <c r="I129" s="89" t="n">
        <v>0</v>
      </c>
      <c r="J129" s="89" t="n">
        <v>0</v>
      </c>
      <c r="K129" s="89" t="n">
        <v>0</v>
      </c>
      <c r="L129" s="89" t="n">
        <f aca="false">('Input data plant-based products'!$I$94*'Common input data'!$C$59*'Common input data'!H50)/'Input data plant-based products'!$E$94</f>
        <v>2.62944469124833E-005</v>
      </c>
      <c r="M129" s="89" t="n">
        <v>0</v>
      </c>
      <c r="N129" s="89" t="n">
        <v>0</v>
      </c>
      <c r="O129" s="89" t="n">
        <v>0</v>
      </c>
      <c r="P129" s="89" t="n">
        <v>0</v>
      </c>
      <c r="Q129" s="89" t="n">
        <v>0</v>
      </c>
      <c r="R129" s="89" t="n">
        <v>0</v>
      </c>
      <c r="S129" s="89" t="n">
        <f aca="false">F129+R129</f>
        <v>2.62945150259821E-005</v>
      </c>
      <c r="T129" s="89" t="n">
        <v>0</v>
      </c>
      <c r="U129" s="89" t="n">
        <v>0</v>
      </c>
      <c r="V129" s="309"/>
      <c r="W129" s="92"/>
      <c r="Z129" s="30"/>
    </row>
    <row r="130" s="209" customFormat="true" ht="17.4" hidden="false" customHeight="false" outlineLevel="0" collapsed="false">
      <c r="A130" s="100"/>
      <c r="B130" s="101"/>
      <c r="C130" s="87"/>
      <c r="D130" s="31" t="s">
        <v>136</v>
      </c>
      <c r="E130" s="219" t="n">
        <f aca="false">SUM(J130:K130)</f>
        <v>7.78882854785628E-005</v>
      </c>
      <c r="F130" s="126" t="n">
        <f aca="false">SUM(H130:O130)</f>
        <v>0.000158249100132282</v>
      </c>
      <c r="G130" s="106" t="n">
        <f aca="false">SUM(S130:U130)/(1-'Common input data'!$H$121)</f>
        <v>0.000217148444113676</v>
      </c>
      <c r="H130" s="89" t="n">
        <f aca="false">('Input data plant-based products'!$F$94*('Common input data'!$D$76*'Common input data'!B71+'Common input data'!$D$77*'Common input data'!C71))/'Input data plant-based products'!$E$94</f>
        <v>7.87657902201345E-005</v>
      </c>
      <c r="I130" s="89" t="n">
        <v>0</v>
      </c>
      <c r="J130" s="89" t="n">
        <f aca="false">(SUM('Input data plant-based products'!F94:H94)*'Input data plant-based products'!$B$114*44/28)/'Input data plant-based products'!E94</f>
        <v>7.08075322532389E-005</v>
      </c>
      <c r="K130" s="89" t="n">
        <f aca="false">J130*'Input data plant-based products'!$B$115</f>
        <v>7.08075322532389E-006</v>
      </c>
      <c r="L130" s="89" t="n">
        <f aca="false">('Input data plant-based products'!$I$94*'Common input data'!$C$59*'Common input data'!H51)/'Input data plant-based products'!$E$94</f>
        <v>1.59502443358507E-006</v>
      </c>
      <c r="M130" s="89" t="n">
        <v>0</v>
      </c>
      <c r="N130" s="89" t="n">
        <v>0</v>
      </c>
      <c r="O130" s="89" t="n">
        <v>0</v>
      </c>
      <c r="P130" s="89" t="n">
        <v>0</v>
      </c>
      <c r="Q130" s="89" t="n">
        <v>0</v>
      </c>
      <c r="R130" s="89" t="n">
        <v>0</v>
      </c>
      <c r="S130" s="89" t="n">
        <f aca="false">F130+R130</f>
        <v>0.000158249100132282</v>
      </c>
      <c r="T130" s="89" t="n">
        <v>0</v>
      </c>
      <c r="U130" s="89" t="n">
        <v>0</v>
      </c>
      <c r="V130" s="309"/>
      <c r="W130" s="92"/>
      <c r="Z130" s="30"/>
    </row>
    <row r="131" s="334" customFormat="true" ht="17.4" hidden="false" customHeight="false" outlineLevel="0" collapsed="false">
      <c r="A131" s="107" t="s">
        <v>339</v>
      </c>
      <c r="B131" s="108"/>
      <c r="C131" s="69"/>
      <c r="D131" s="109"/>
      <c r="E131" s="110" t="s">
        <v>340</v>
      </c>
      <c r="F131" s="111" t="s">
        <v>340</v>
      </c>
      <c r="G131" s="112" t="s">
        <v>340</v>
      </c>
      <c r="H131" s="69"/>
      <c r="I131" s="69"/>
      <c r="J131" s="69"/>
      <c r="K131" s="113"/>
      <c r="L131" s="113"/>
      <c r="M131" s="114"/>
      <c r="N131" s="113"/>
      <c r="O131" s="113"/>
      <c r="P131" s="113"/>
      <c r="Q131" s="113"/>
      <c r="R131" s="113"/>
      <c r="S131" s="113"/>
      <c r="T131" s="113"/>
      <c r="U131" s="113"/>
      <c r="V131" s="309"/>
      <c r="W131" s="92"/>
      <c r="X131" s="209"/>
      <c r="Y131" s="209"/>
      <c r="Z131" s="30"/>
      <c r="AA131" s="209"/>
      <c r="AB131" s="209"/>
      <c r="AC131" s="209"/>
      <c r="AD131" s="209"/>
      <c r="AE131" s="209"/>
      <c r="AF131" s="209"/>
      <c r="AG131" s="209"/>
      <c r="AH131" s="209"/>
      <c r="AI131" s="209"/>
      <c r="AJ131" s="209"/>
      <c r="AK131" s="209"/>
      <c r="AL131" s="209"/>
      <c r="AM131" s="209"/>
      <c r="AN131" s="209"/>
      <c r="AO131" s="209"/>
      <c r="AP131" s="209"/>
      <c r="AQ131" s="209"/>
      <c r="AR131" s="209"/>
      <c r="AS131" s="209"/>
      <c r="AT131" s="209"/>
      <c r="AU131" s="209"/>
      <c r="AV131" s="209"/>
      <c r="AW131" s="209"/>
      <c r="AX131" s="209"/>
      <c r="AY131" s="209"/>
      <c r="AZ131" s="209"/>
      <c r="BA131" s="209"/>
      <c r="BB131" s="209"/>
      <c r="BC131" s="209"/>
      <c r="BD131" s="209"/>
      <c r="BE131" s="209"/>
      <c r="BF131" s="209"/>
      <c r="BG131" s="209"/>
      <c r="BH131" s="209"/>
      <c r="BI131" s="209"/>
      <c r="BJ131" s="209"/>
      <c r="BK131" s="209"/>
      <c r="BL131" s="209"/>
      <c r="BM131" s="209"/>
      <c r="BN131" s="209"/>
      <c r="BO131" s="209"/>
      <c r="BP131" s="209"/>
      <c r="BQ131" s="209"/>
      <c r="BR131" s="209"/>
      <c r="BS131" s="209"/>
      <c r="BT131" s="209"/>
      <c r="BU131" s="209"/>
      <c r="BV131" s="209"/>
      <c r="BW131" s="209"/>
      <c r="BX131" s="209"/>
      <c r="BY131" s="209"/>
      <c r="BZ131" s="209"/>
      <c r="CA131" s="209"/>
      <c r="CB131" s="209"/>
      <c r="CC131" s="209"/>
      <c r="CD131" s="209"/>
      <c r="CE131" s="209"/>
      <c r="CF131" s="209"/>
      <c r="CG131" s="209"/>
      <c r="CH131" s="209"/>
      <c r="CI131" s="209"/>
      <c r="CJ131" s="209"/>
      <c r="CK131" s="209"/>
      <c r="CL131" s="209"/>
      <c r="CM131" s="209"/>
      <c r="CN131" s="209"/>
      <c r="CO131" s="209"/>
      <c r="CP131" s="209"/>
      <c r="CQ131" s="209"/>
      <c r="CR131" s="209"/>
      <c r="CS131" s="209"/>
      <c r="CT131" s="209"/>
      <c r="CU131" s="209"/>
      <c r="CV131" s="209"/>
      <c r="CW131" s="209"/>
      <c r="CX131" s="209"/>
      <c r="CY131" s="209"/>
      <c r="CZ131" s="209"/>
      <c r="DA131" s="209"/>
      <c r="DB131" s="209"/>
      <c r="DC131" s="209"/>
      <c r="DD131" s="209"/>
      <c r="DE131" s="209"/>
      <c r="DF131" s="209"/>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09"/>
      <c r="EC131" s="209"/>
      <c r="ED131" s="209"/>
      <c r="EE131" s="209"/>
      <c r="EF131" s="209"/>
      <c r="EG131" s="209"/>
      <c r="EH131" s="209"/>
      <c r="EI131" s="209"/>
      <c r="EJ131" s="209"/>
      <c r="EK131" s="209"/>
      <c r="EL131" s="209"/>
      <c r="EM131" s="209"/>
      <c r="EN131" s="209"/>
      <c r="EO131" s="209"/>
      <c r="EP131" s="209"/>
      <c r="EQ131" s="209"/>
      <c r="ER131" s="209"/>
      <c r="ES131" s="209"/>
      <c r="ET131" s="209"/>
      <c r="EU131" s="209"/>
      <c r="EV131" s="209"/>
      <c r="EW131" s="209"/>
      <c r="EX131" s="209"/>
      <c r="EY131" s="209"/>
      <c r="EZ131" s="209"/>
      <c r="FA131" s="209"/>
      <c r="FB131" s="209"/>
      <c r="FC131" s="209"/>
      <c r="FD131" s="209"/>
      <c r="FE131" s="209"/>
      <c r="FF131" s="209"/>
      <c r="FG131" s="209"/>
      <c r="FH131" s="209"/>
      <c r="FI131" s="209"/>
      <c r="FJ131" s="209"/>
      <c r="FK131" s="209"/>
      <c r="FL131" s="209"/>
      <c r="FM131" s="209"/>
      <c r="FN131" s="209"/>
      <c r="FO131" s="209"/>
      <c r="FP131" s="209"/>
      <c r="FQ131" s="209"/>
      <c r="FR131" s="209"/>
      <c r="FS131" s="209"/>
      <c r="FT131" s="209"/>
      <c r="FU131" s="209"/>
      <c r="FV131" s="209"/>
      <c r="FW131" s="209"/>
      <c r="FX131" s="209"/>
      <c r="FY131" s="209"/>
      <c r="FZ131" s="209"/>
      <c r="GA131" s="209"/>
      <c r="GB131" s="209"/>
      <c r="GC131" s="209"/>
      <c r="GD131" s="209"/>
      <c r="GE131" s="209"/>
      <c r="GF131" s="209"/>
      <c r="GG131" s="209"/>
      <c r="GH131" s="209"/>
      <c r="GI131" s="209"/>
      <c r="GJ131" s="209"/>
      <c r="GK131" s="209"/>
      <c r="GL131" s="209"/>
      <c r="GM131" s="209"/>
      <c r="GN131" s="209"/>
      <c r="GO131" s="209"/>
      <c r="GP131" s="209"/>
      <c r="GQ131" s="209"/>
      <c r="GR131" s="209"/>
      <c r="GS131" s="209"/>
      <c r="GT131" s="209"/>
      <c r="GU131" s="209"/>
      <c r="GV131" s="209"/>
      <c r="GW131" s="209"/>
      <c r="GX131" s="209"/>
      <c r="GY131" s="209"/>
      <c r="GZ131" s="209"/>
      <c r="HA131" s="209"/>
      <c r="HB131" s="209"/>
      <c r="HC131" s="209"/>
      <c r="HD131" s="209"/>
      <c r="HE131" s="209"/>
      <c r="HF131" s="209"/>
      <c r="HG131" s="209"/>
      <c r="HH131" s="209"/>
      <c r="HI131" s="209"/>
      <c r="HJ131" s="209"/>
      <c r="HK131" s="209"/>
      <c r="HL131" s="209"/>
      <c r="HM131" s="209"/>
      <c r="HN131" s="209"/>
      <c r="HO131" s="209"/>
      <c r="HP131" s="209"/>
      <c r="HQ131" s="209"/>
      <c r="HR131" s="209"/>
      <c r="HS131" s="209"/>
      <c r="HT131" s="209"/>
      <c r="HU131" s="209"/>
      <c r="HV131" s="209"/>
      <c r="HW131" s="209"/>
      <c r="HX131" s="209"/>
      <c r="HY131" s="209"/>
      <c r="HZ131" s="209"/>
      <c r="IA131" s="209"/>
      <c r="IB131" s="209"/>
      <c r="IC131" s="209"/>
      <c r="ID131" s="209"/>
      <c r="IE131" s="209"/>
      <c r="IF131" s="209"/>
      <c r="IG131" s="209"/>
      <c r="IH131" s="209"/>
      <c r="II131" s="209"/>
      <c r="IJ131" s="209"/>
      <c r="IK131" s="209"/>
      <c r="IL131" s="209"/>
      <c r="IM131" s="209"/>
      <c r="IN131" s="209"/>
      <c r="IO131" s="209"/>
      <c r="IP131" s="209"/>
      <c r="IQ131" s="209"/>
      <c r="IR131" s="209"/>
      <c r="IS131" s="209"/>
      <c r="IT131" s="209"/>
      <c r="IU131" s="209"/>
      <c r="IV131" s="209"/>
      <c r="IW131" s="209"/>
      <c r="IX131" s="209"/>
    </row>
    <row r="132" s="332" customFormat="true" ht="17.4" hidden="false" customHeight="false" outlineLevel="0" collapsed="false">
      <c r="A132" s="330" t="s">
        <v>272</v>
      </c>
      <c r="B132" s="76"/>
      <c r="C132" s="77" t="n">
        <f aca="false">SUM(C136:C151)</f>
        <v>1</v>
      </c>
      <c r="D132" s="78" t="s">
        <v>133</v>
      </c>
      <c r="E132" s="79" t="n">
        <f aca="false">IF($F$1="GWP100 without fb",E133+E134*'Common input data'!$C$5+E135*'Common input data'!$D$5,IF($F$1="GWP100 with fb",E133+E134*'Common input data'!$C$6+E135*'Common input data'!$D$6,IF($F$1="GTP100 without fb",E133+E134*'Common input data'!$C$7+E135*'Common input data'!$D$7,IF($F$1="GTP100 with fb",E133+E134*'Common input data'!$C$8+E135*'Common input data'!$D$8,E133+E134*'Common input data'!$C$9+E135*'Common input data'!$D$9))))</f>
        <v>-0.0597082032357179</v>
      </c>
      <c r="F132" s="80" t="n">
        <f aca="false">IF($F$1="GWP100 without fb",F133+F134*'Common input data'!$C$5+F135*'Common input data'!$D$5,IF($F$1="GWP100 with fb",F133+F134*'Common input data'!$C$6+F135*'Common input data'!$D$6,IF($F$1="GTP100 without fb",F133+F134*'Common input data'!$C$7+F135*'Common input data'!$D$7,IF($F$1="GTP100 with fb",F133+F134*'Common input data'!$C$8+F135*'Common input data'!$D$8,F133+F134*'Common input data'!$C$9+F135*'Common input data'!$D$9))))</f>
        <v>0.390862575528514</v>
      </c>
      <c r="G132" s="81" t="n">
        <f aca="false">IF($F$1="GWP100 without fb",G133+G134*'Common input data'!$C$5+G135*'Common input data'!$D$5,IF($F$1="GWP100 with fb",G133+G134*'Common input data'!$C$6+G135*'Common input data'!$D$6,IF($F$1="GTP100 without fb",G133+G134*'Common input data'!$C$7+G135*'Common input data'!$D$7,IF($F$1="GTP100 with fb",G133+G134*'Common input data'!$C$8+G135*'Common input data'!$D$8,G133+G134*'Common input data'!$C$9+G135*'Common input data'!$D$9))))</f>
        <v>0.738587630419518</v>
      </c>
      <c r="H132" s="95"/>
      <c r="I132" s="97"/>
      <c r="J132" s="97"/>
      <c r="K132" s="83"/>
      <c r="L132" s="83"/>
      <c r="M132" s="83"/>
      <c r="N132" s="83"/>
      <c r="O132" s="83"/>
      <c r="P132" s="83"/>
      <c r="Q132" s="83"/>
      <c r="R132" s="83"/>
      <c r="S132" s="83"/>
      <c r="T132" s="83"/>
      <c r="U132" s="83"/>
      <c r="V132" s="309"/>
      <c r="W132" s="92"/>
      <c r="X132" s="209"/>
      <c r="Y132" s="209"/>
      <c r="Z132" s="30"/>
      <c r="AA132" s="209"/>
      <c r="AB132" s="209"/>
      <c r="AC132" s="209"/>
      <c r="AD132" s="209"/>
      <c r="AE132" s="209"/>
      <c r="AF132" s="209"/>
      <c r="AG132" s="209"/>
      <c r="AH132" s="209"/>
      <c r="AI132" s="209"/>
      <c r="AJ132" s="209"/>
      <c r="AK132" s="209"/>
      <c r="AL132" s="209"/>
      <c r="AM132" s="209"/>
      <c r="AN132" s="209"/>
      <c r="AO132" s="209"/>
      <c r="AP132" s="209"/>
      <c r="AQ132" s="209"/>
      <c r="AR132" s="209"/>
      <c r="AS132" s="209"/>
      <c r="AT132" s="209"/>
      <c r="AU132" s="209"/>
      <c r="AV132" s="209"/>
      <c r="AW132" s="209"/>
      <c r="AX132" s="209"/>
      <c r="AY132" s="209"/>
      <c r="AZ132" s="209"/>
      <c r="BA132" s="209"/>
      <c r="BB132" s="209"/>
      <c r="BC132" s="209"/>
      <c r="BD132" s="209"/>
      <c r="BE132" s="209"/>
      <c r="BF132" s="209"/>
      <c r="BG132" s="209"/>
      <c r="BH132" s="209"/>
      <c r="BI132" s="209"/>
      <c r="BJ132" s="209"/>
      <c r="BK132" s="209"/>
      <c r="BL132" s="209"/>
      <c r="BM132" s="209"/>
      <c r="BN132" s="209"/>
      <c r="BO132" s="209"/>
      <c r="BP132" s="209"/>
      <c r="BQ132" s="209"/>
      <c r="BR132" s="209"/>
      <c r="BS132" s="209"/>
      <c r="BT132" s="209"/>
      <c r="BU132" s="209"/>
      <c r="BV132" s="209"/>
      <c r="BW132" s="209"/>
      <c r="BX132" s="209"/>
      <c r="BY132" s="209"/>
      <c r="BZ132" s="209"/>
      <c r="CA132" s="209"/>
      <c r="CB132" s="209"/>
      <c r="CC132" s="209"/>
      <c r="CD132" s="209"/>
      <c r="CE132" s="209"/>
      <c r="CF132" s="209"/>
      <c r="CG132" s="209"/>
      <c r="CH132" s="209"/>
      <c r="CI132" s="209"/>
      <c r="CJ132" s="209"/>
      <c r="CK132" s="209"/>
      <c r="CL132" s="209"/>
      <c r="CM132" s="209"/>
      <c r="CN132" s="209"/>
      <c r="CO132" s="209"/>
      <c r="CP132" s="209"/>
      <c r="CQ132" s="209"/>
      <c r="CR132" s="209"/>
      <c r="CS132" s="209"/>
      <c r="CT132" s="209"/>
      <c r="CU132" s="209"/>
      <c r="CV132" s="209"/>
      <c r="CW132" s="209"/>
      <c r="CX132" s="209"/>
      <c r="CY132" s="209"/>
      <c r="CZ132" s="209"/>
      <c r="DA132" s="209"/>
      <c r="DB132" s="209"/>
      <c r="DC132" s="209"/>
      <c r="DD132" s="209"/>
      <c r="DE132" s="209"/>
      <c r="DF132" s="209"/>
      <c r="DG132" s="209"/>
      <c r="DH132" s="209"/>
      <c r="DI132" s="209"/>
      <c r="DJ132" s="209"/>
      <c r="DK132" s="209"/>
      <c r="DL132" s="209"/>
      <c r="DM132" s="209"/>
      <c r="DN132" s="209"/>
      <c r="DO132" s="209"/>
      <c r="DP132" s="209"/>
      <c r="DQ132" s="209"/>
      <c r="DR132" s="209"/>
      <c r="DS132" s="209"/>
      <c r="DT132" s="209"/>
      <c r="DU132" s="209"/>
      <c r="DV132" s="209"/>
      <c r="DW132" s="209"/>
      <c r="DX132" s="209"/>
      <c r="DY132" s="209"/>
      <c r="DZ132" s="209"/>
      <c r="EA132" s="209"/>
      <c r="EB132" s="209"/>
      <c r="EC132" s="209"/>
      <c r="ED132" s="209"/>
      <c r="EE132" s="209"/>
      <c r="EF132" s="209"/>
      <c r="EG132" s="209"/>
      <c r="EH132" s="209"/>
      <c r="EI132" s="209"/>
      <c r="EJ132" s="209"/>
      <c r="EK132" s="209"/>
      <c r="EL132" s="209"/>
      <c r="EM132" s="209"/>
      <c r="EN132" s="209"/>
      <c r="EO132" s="209"/>
      <c r="EP132" s="209"/>
      <c r="EQ132" s="209"/>
      <c r="ER132" s="209"/>
      <c r="ES132" s="209"/>
      <c r="ET132" s="209"/>
      <c r="EU132" s="209"/>
      <c r="EV132" s="209"/>
      <c r="EW132" s="209"/>
      <c r="EX132" s="209"/>
      <c r="EY132" s="209"/>
      <c r="EZ132" s="209"/>
      <c r="FA132" s="209"/>
      <c r="FB132" s="209"/>
      <c r="FC132" s="209"/>
      <c r="FD132" s="209"/>
      <c r="FE132" s="209"/>
      <c r="FF132" s="209"/>
      <c r="FG132" s="209"/>
      <c r="FH132" s="209"/>
      <c r="FI132" s="209"/>
      <c r="FJ132" s="209"/>
      <c r="FK132" s="209"/>
      <c r="FL132" s="209"/>
      <c r="FM132" s="209"/>
      <c r="FN132" s="209"/>
      <c r="FO132" s="209"/>
      <c r="FP132" s="209"/>
      <c r="FQ132" s="209"/>
      <c r="FR132" s="209"/>
      <c r="FS132" s="209"/>
      <c r="FT132" s="209"/>
      <c r="FU132" s="209"/>
      <c r="FV132" s="209"/>
      <c r="FW132" s="209"/>
      <c r="FX132" s="209"/>
      <c r="FY132" s="209"/>
      <c r="FZ132" s="209"/>
      <c r="GA132" s="209"/>
      <c r="GB132" s="209"/>
      <c r="GC132" s="209"/>
      <c r="GD132" s="209"/>
      <c r="GE132" s="209"/>
      <c r="GF132" s="209"/>
      <c r="GG132" s="209"/>
      <c r="GH132" s="209"/>
      <c r="GI132" s="209"/>
      <c r="GJ132" s="209"/>
      <c r="GK132" s="209"/>
      <c r="GL132" s="209"/>
      <c r="GM132" s="209"/>
      <c r="GN132" s="209"/>
      <c r="GO132" s="209"/>
      <c r="GP132" s="209"/>
      <c r="GQ132" s="209"/>
      <c r="GR132" s="209"/>
      <c r="GS132" s="209"/>
      <c r="GT132" s="209"/>
      <c r="GU132" s="209"/>
      <c r="GV132" s="209"/>
      <c r="GW132" s="209"/>
      <c r="GX132" s="209"/>
      <c r="GY132" s="209"/>
      <c r="GZ132" s="209"/>
      <c r="HA132" s="209"/>
      <c r="HB132" s="209"/>
      <c r="HC132" s="209"/>
      <c r="HD132" s="209"/>
      <c r="HE132" s="209"/>
      <c r="HF132" s="209"/>
      <c r="HG132" s="209"/>
      <c r="HH132" s="209"/>
      <c r="HI132" s="209"/>
      <c r="HJ132" s="209"/>
      <c r="HK132" s="209"/>
      <c r="HL132" s="209"/>
      <c r="HM132" s="209"/>
      <c r="HN132" s="209"/>
      <c r="HO132" s="209"/>
      <c r="HP132" s="209"/>
      <c r="HQ132" s="209"/>
      <c r="HR132" s="209"/>
      <c r="HS132" s="209"/>
      <c r="HT132" s="209"/>
      <c r="HU132" s="209"/>
      <c r="HV132" s="209"/>
      <c r="HW132" s="209"/>
      <c r="HX132" s="209"/>
      <c r="HY132" s="209"/>
      <c r="HZ132" s="209"/>
      <c r="IA132" s="209"/>
      <c r="IB132" s="209"/>
      <c r="IC132" s="209"/>
      <c r="ID132" s="209"/>
      <c r="IE132" s="209"/>
      <c r="IF132" s="209"/>
      <c r="IG132" s="209"/>
      <c r="IH132" s="209"/>
      <c r="II132" s="209"/>
      <c r="IJ132" s="209"/>
      <c r="IK132" s="209"/>
      <c r="IL132" s="209"/>
      <c r="IM132" s="209"/>
      <c r="IN132" s="209"/>
      <c r="IO132" s="209"/>
      <c r="IP132" s="209"/>
      <c r="IQ132" s="209"/>
      <c r="IR132" s="209"/>
      <c r="IS132" s="209"/>
      <c r="IT132" s="209"/>
      <c r="IU132" s="209"/>
      <c r="IV132" s="209"/>
      <c r="IW132" s="209"/>
      <c r="IX132" s="209"/>
    </row>
    <row r="133" s="209" customFormat="true" ht="17.4" hidden="false" customHeight="false" outlineLevel="0" collapsed="false">
      <c r="A133" s="315"/>
      <c r="B133" s="31"/>
      <c r="C133" s="30"/>
      <c r="D133" s="85" t="s">
        <v>134</v>
      </c>
      <c r="E133" s="217" t="n">
        <f aca="false">E137*$C$136+E141*$C$140+$C$144*E145+$C$148*E149</f>
        <v>-0.0833922290493639</v>
      </c>
      <c r="F133" s="89" t="n">
        <f aca="false">F137*$C$136+F141*$C$140+$C$144*F145+$C$148*F149</f>
        <v>0.314214079176323</v>
      </c>
      <c r="G133" s="88" t="n">
        <f aca="false">G137*$C$136+G141*$C$140+$C$144*G145+$C$148*G149</f>
        <v>0.647110728220937</v>
      </c>
      <c r="H133" s="89" t="n">
        <f aca="false">H137*$C$136+H141*$C$140+$C$144*H145+$C$148*H149</f>
        <v>0.0118193289024993</v>
      </c>
      <c r="I133" s="89" t="n">
        <f aca="false">I137*$C$136+I141*$C$140+$C$144*I145+$C$148*I149</f>
        <v>0.03</v>
      </c>
      <c r="J133" s="89" t="n">
        <f aca="false">J137*$C$136+J141*$C$140+$C$144*J145+$C$148*J149</f>
        <v>0</v>
      </c>
      <c r="K133" s="89" t="n">
        <f aca="false">K137*$C$136+K141*$C$140+$C$144*K145+$C$148*K149</f>
        <v>0</v>
      </c>
      <c r="L133" s="89" t="n">
        <f aca="false">L137*$C$136+L141*$C$140+$C$144*L145+$C$148*L149</f>
        <v>0.0955529790868925</v>
      </c>
      <c r="M133" s="89" t="n">
        <f aca="false">M137*$C$136+M141*$C$140+$C$144*M145+$C$148*M149</f>
        <v>0.214484000236295</v>
      </c>
      <c r="N133" s="89" t="n">
        <f aca="false">N137*$C$136+N141*$C$140+$C$144*N145+$C$148*N149</f>
        <v>0.04575</v>
      </c>
      <c r="O133" s="89" t="n">
        <f aca="false">O137*$C$136+O141*$C$140+$C$144*O145+$C$148*O149</f>
        <v>0</v>
      </c>
      <c r="P133" s="89" t="n">
        <f aca="false">P137*$C$136+P141*$C$140+$C$144*P145+$C$148*P149</f>
        <v>-0.0833922290493639</v>
      </c>
      <c r="Q133" s="89" t="n">
        <f aca="false">Q137*$C$136+Q141*$C$140+$C$144*Q145+$C$148*Q149</f>
        <v>0</v>
      </c>
      <c r="R133" s="89" t="n">
        <f aca="false">R137*$C$136+R141*$C$140+$C$144*R145+$C$148*R149</f>
        <v>0</v>
      </c>
      <c r="S133" s="89" t="n">
        <f aca="false">S137*$C$136+S141*$C$140+$C$144*S145+$C$148*S149</f>
        <v>0.314214079176323</v>
      </c>
      <c r="T133" s="89" t="n">
        <f aca="false">T137*$C$136+T141*$C$140+$C$144*T145+$C$148*T149</f>
        <v>0.15</v>
      </c>
      <c r="U133" s="89" t="n">
        <f aca="false">U137*$C$136+U141*$C$140+$C$144*U145+$C$148*U149</f>
        <v>0.078</v>
      </c>
      <c r="V133" s="309"/>
      <c r="W133" s="92"/>
      <c r="Z133" s="30"/>
    </row>
    <row r="134" s="209" customFormat="true" ht="17.4" hidden="false" customHeight="false" outlineLevel="0" collapsed="false">
      <c r="A134" s="315"/>
      <c r="B134" s="31"/>
      <c r="C134" s="93"/>
      <c r="D134" s="85" t="s">
        <v>135</v>
      </c>
      <c r="E134" s="217" t="n">
        <f aca="false">E138*$C$136+E142*$C$140+$C$144*E146+$C$148*E150</f>
        <v>0</v>
      </c>
      <c r="F134" s="89" t="n">
        <f aca="false">F138*$C$136+F142*$C$140+$C$144*F146+$C$148*F150</f>
        <v>0.00101076147797877</v>
      </c>
      <c r="G134" s="88" t="n">
        <f aca="false">G138*$C$136+G142*$C$140+$C$144*G146+$C$148*G150</f>
        <v>0.00120630323186391</v>
      </c>
      <c r="H134" s="89" t="n">
        <f aca="false">H138*$C$136+H142*$C$140+$C$144*H146+$C$148*H150</f>
        <v>3.71765727702987E-011</v>
      </c>
      <c r="I134" s="89" t="n">
        <f aca="false">I138*$C$136+I142*$C$140+$C$144*I146+$C$148*I150</f>
        <v>0</v>
      </c>
      <c r="J134" s="89" t="n">
        <f aca="false">J138*$C$136+J142*$C$140+$C$144*J146+$C$148*J150</f>
        <v>0</v>
      </c>
      <c r="K134" s="89" t="n">
        <f aca="false">K138*$C$136+K142*$C$140+$C$144*K146+$C$148*K150</f>
        <v>0</v>
      </c>
      <c r="L134" s="89" t="n">
        <f aca="false">L138*$C$136+L142*$C$140+$C$144*L146+$C$148*L150</f>
        <v>4.23267477172312E-005</v>
      </c>
      <c r="M134" s="89" t="n">
        <f aca="false">M138*$C$136+M142*$C$140+$C$144*M146+$C$148*M150</f>
        <v>0.000968434693084967</v>
      </c>
      <c r="N134" s="89" t="n">
        <f aca="false">N138*$C$136+N142*$C$140+$C$144*N146+$C$148*N150</f>
        <v>0</v>
      </c>
      <c r="O134" s="89" t="n">
        <f aca="false">O138*$C$136+O142*$C$140+$C$144*O146+$C$148*O150</f>
        <v>0</v>
      </c>
      <c r="P134" s="89" t="n">
        <f aca="false">P138*$C$136+P142*$C$140+$C$144*P146+$C$148*P150</f>
        <v>0</v>
      </c>
      <c r="Q134" s="89" t="n">
        <f aca="false">Q138*$C$136+Q142*$C$140+$C$144*Q146+$C$148*Q150</f>
        <v>0</v>
      </c>
      <c r="R134" s="89" t="n">
        <f aca="false">R138*$C$136+R142*$C$140+$C$144*R146+$C$148*R150</f>
        <v>0</v>
      </c>
      <c r="S134" s="89" t="n">
        <f aca="false">S138*$C$136+S142*$C$140+$C$144*S146+$C$148*S150</f>
        <v>0.00101076147797877</v>
      </c>
      <c r="T134" s="89" t="n">
        <f aca="false">T138*$C$136+T142*$C$140+$C$144*T146+$C$148*T150</f>
        <v>0</v>
      </c>
      <c r="U134" s="89" t="n">
        <f aca="false">U138*$C$136+U142*$C$140+$C$144*U146+$C$148*U150</f>
        <v>0</v>
      </c>
      <c r="V134" s="309"/>
      <c r="W134" s="92"/>
      <c r="Z134" s="30"/>
    </row>
    <row r="135" s="209" customFormat="true" ht="17.4" hidden="false" customHeight="false" outlineLevel="0" collapsed="false">
      <c r="A135" s="74"/>
      <c r="B135" s="101"/>
      <c r="C135" s="87"/>
      <c r="D135" s="31" t="s">
        <v>136</v>
      </c>
      <c r="E135" s="217" t="n">
        <f aca="false">E139*$C$136+E143*$C$140+$C$144*E147+$C$148*E151</f>
        <v>7.94765966900872E-005</v>
      </c>
      <c r="F135" s="89" t="n">
        <f aca="false">F139*$C$136+F143*$C$140+$C$144*F147+$C$148*F151</f>
        <v>0.000141887939935949</v>
      </c>
      <c r="G135" s="88" t="n">
        <f aca="false">G139*$C$136+G143*$C$140+$C$144*G147+$C$148*G151</f>
        <v>0.000169337558104724</v>
      </c>
      <c r="H135" s="89" t="n">
        <f aca="false">H139*$C$136+H143*$C$140+$C$144*H147+$C$148*H151</f>
        <v>5.24813138751672E-005</v>
      </c>
      <c r="I135" s="89" t="n">
        <f aca="false">I139*$C$136+I143*$C$140+$C$144*I147+$C$148*I151</f>
        <v>0</v>
      </c>
      <c r="J135" s="89" t="n">
        <f aca="false">J139*$C$136+J143*$C$140+$C$144*J147+$C$148*J151</f>
        <v>7.28343105833369E-005</v>
      </c>
      <c r="K135" s="89" t="n">
        <f aca="false">K139*$C$136+K143*$C$140+$C$144*K147+$C$148*K151</f>
        <v>6.64228610675039E-006</v>
      </c>
      <c r="L135" s="89" t="n">
        <f aca="false">L139*$C$136+L143*$C$140+$C$144*L147+$C$148*L151</f>
        <v>2.56754580265096E-006</v>
      </c>
      <c r="M135" s="89" t="n">
        <f aca="false">M139*$C$136+M143*$C$140+$C$144*M147+$C$148*M151</f>
        <v>7.36248356804327E-006</v>
      </c>
      <c r="N135" s="89" t="n">
        <f aca="false">N139*$C$136+N143*$C$140+$C$144*N147+$C$148*N151</f>
        <v>0</v>
      </c>
      <c r="O135" s="89" t="n">
        <f aca="false">O139*$C$136+O143*$C$140+$C$144*O147+$C$148*O151</f>
        <v>0</v>
      </c>
      <c r="P135" s="89" t="n">
        <f aca="false">P139*$C$136+P143*$C$140+$C$144*P147+$C$148*P151</f>
        <v>0</v>
      </c>
      <c r="Q135" s="89" t="n">
        <f aca="false">Q139*$C$136+Q143*$C$140+$C$144*Q147+$C$148*Q151</f>
        <v>0</v>
      </c>
      <c r="R135" s="89" t="n">
        <f aca="false">R139*$C$136+R143*$C$140+$C$144*R147+$C$148*R151</f>
        <v>0</v>
      </c>
      <c r="S135" s="89" t="n">
        <f aca="false">S139*$C$136+S143*$C$140+$C$144*S147+$C$148*S151</f>
        <v>0.000141887939935949</v>
      </c>
      <c r="T135" s="89" t="n">
        <f aca="false">T139*$C$136+T143*$C$140+$C$144*T147+$C$148*T151</f>
        <v>0</v>
      </c>
      <c r="U135" s="89" t="n">
        <f aca="false">U139*$C$136+U143*$C$140+$C$144*U147+$C$148*U151</f>
        <v>0</v>
      </c>
      <c r="V135" s="309"/>
      <c r="W135" s="92"/>
      <c r="Z135" s="30"/>
    </row>
    <row r="136" s="332" customFormat="true" ht="17.4" hidden="false" customHeight="false" outlineLevel="0" collapsed="false">
      <c r="A136" s="330" t="s">
        <v>137</v>
      </c>
      <c r="B136" s="76" t="s">
        <v>254</v>
      </c>
      <c r="C136" s="97" t="n">
        <f aca="false">'Input data plant-based products'!D83</f>
        <v>0.69</v>
      </c>
      <c r="D136" s="78" t="s">
        <v>133</v>
      </c>
      <c r="E136" s="94" t="n">
        <f aca="false">IF($F$1="GWP100 without fb",E137+E138*'Common input data'!$C$5+E139*'Common input data'!$D$5,IF($F$1="GWP100 with fb",E137+E138*'Common input data'!$C$6+E139*'Common input data'!$D$6,IF($F$1="GTP100 without fb",E137+E138*'Common input data'!$C$7+E139*'Common input data'!$D$7,IF($F$1="GTP100 with fb",E137+E138*'Common input data'!$C$8+E139*'Common input data'!$D$8,E137+E138*'Common input data'!$C$9+E139*'Common input data'!$D$9))))</f>
        <v>-0.0654823942952275</v>
      </c>
      <c r="F136" s="95" t="n">
        <f aca="false">IF($F$1="GWP100 without fb",F137+F138*'Common input data'!$C$5+F139*'Common input data'!$D$5,IF($F$1="GWP100 with fb",F137+F138*'Common input data'!$C$6+F139*'Common input data'!$D$6,IF($F$1="GTP100 without fb",F137+F138*'Common input data'!$C$7+F139*'Common input data'!$D$7,IF($F$1="GTP100 with fb",F137+F138*'Common input data'!$C$8+F139*'Common input data'!$D$8,F137+F138*'Common input data'!$C$9+F139*'Common input data'!$D$9))))</f>
        <v>0.165969150905155</v>
      </c>
      <c r="G136" s="96" t="n">
        <f aca="false">IF($F$1="GWP100 without fb",G137+G138*'Common input data'!$C$5+G139*'Common input data'!$D$5,IF($F$1="GWP100 with fb",G137+G138*'Common input data'!$C$6+G139*'Common input data'!$D$6,IF($F$1="GTP100 without fb",G137+G138*'Common input data'!$C$7+G139*'Common input data'!$D$7,IF($F$1="GTP100 with fb",G137+G138*'Common input data'!$C$8+G139*'Common input data'!$D$8,G137+G138*'Common input data'!$C$9+G139*'Common input data'!$D$9))))</f>
        <v>0.412900287510628</v>
      </c>
      <c r="H136" s="83"/>
      <c r="I136" s="83"/>
      <c r="J136" s="83"/>
      <c r="K136" s="83"/>
      <c r="L136" s="83"/>
      <c r="M136" s="83"/>
      <c r="N136" s="83"/>
      <c r="O136" s="83"/>
      <c r="P136" s="83"/>
      <c r="Q136" s="83"/>
      <c r="R136" s="83"/>
      <c r="S136" s="83"/>
      <c r="T136" s="83"/>
      <c r="U136" s="83"/>
      <c r="V136" s="309"/>
      <c r="W136" s="92"/>
      <c r="X136" s="209"/>
      <c r="Y136" s="209"/>
      <c r="Z136" s="30"/>
      <c r="AA136" s="209"/>
      <c r="AB136" s="209"/>
      <c r="AC136" s="209"/>
      <c r="AD136" s="209"/>
      <c r="AE136" s="209"/>
      <c r="AF136" s="209"/>
      <c r="AG136" s="209"/>
      <c r="AH136" s="209"/>
      <c r="AI136" s="209"/>
      <c r="AJ136" s="209"/>
      <c r="AK136" s="209"/>
      <c r="AL136" s="209"/>
      <c r="AM136" s="209"/>
      <c r="AN136" s="209"/>
      <c r="AO136" s="209"/>
      <c r="AP136" s="209"/>
      <c r="AQ136" s="209"/>
      <c r="AR136" s="209"/>
      <c r="AS136" s="209"/>
      <c r="AT136" s="209"/>
      <c r="AU136" s="209"/>
      <c r="AV136" s="209"/>
      <c r="AW136" s="209"/>
      <c r="AX136" s="209"/>
      <c r="AY136" s="209"/>
      <c r="AZ136" s="209"/>
      <c r="BA136" s="209"/>
      <c r="BB136" s="209"/>
      <c r="BC136" s="209"/>
      <c r="BD136" s="209"/>
      <c r="BE136" s="209"/>
      <c r="BF136" s="209"/>
      <c r="BG136" s="209"/>
      <c r="BH136" s="209"/>
      <c r="BI136" s="209"/>
      <c r="BJ136" s="209"/>
      <c r="BK136" s="209"/>
      <c r="BL136" s="209"/>
      <c r="BM136" s="209"/>
      <c r="BN136" s="209"/>
      <c r="BO136" s="209"/>
      <c r="BP136" s="209"/>
      <c r="BQ136" s="209"/>
      <c r="BR136" s="209"/>
      <c r="BS136" s="209"/>
      <c r="BT136" s="209"/>
      <c r="BU136" s="209"/>
      <c r="BV136" s="209"/>
      <c r="BW136" s="209"/>
      <c r="BX136" s="209"/>
      <c r="BY136" s="209"/>
      <c r="BZ136" s="209"/>
      <c r="CA136" s="209"/>
      <c r="CB136" s="209"/>
      <c r="CC136" s="209"/>
      <c r="CD136" s="209"/>
      <c r="CE136" s="209"/>
      <c r="CF136" s="209"/>
      <c r="CG136" s="209"/>
      <c r="CH136" s="209"/>
      <c r="CI136" s="209"/>
      <c r="CJ136" s="209"/>
      <c r="CK136" s="209"/>
      <c r="CL136" s="209"/>
      <c r="CM136" s="209"/>
      <c r="CN136" s="209"/>
      <c r="CO136" s="209"/>
      <c r="CP136" s="209"/>
      <c r="CQ136" s="209"/>
      <c r="CR136" s="209"/>
      <c r="CS136" s="209"/>
      <c r="CT136" s="209"/>
      <c r="CU136" s="209"/>
      <c r="CV136" s="209"/>
      <c r="CW136" s="209"/>
      <c r="CX136" s="209"/>
      <c r="CY136" s="209"/>
      <c r="CZ136" s="209"/>
      <c r="DA136" s="209"/>
      <c r="DB136" s="209"/>
      <c r="DC136" s="209"/>
      <c r="DD136" s="209"/>
      <c r="DE136" s="209"/>
      <c r="DF136" s="209"/>
      <c r="DG136" s="209"/>
      <c r="DH136" s="209"/>
      <c r="DI136" s="209"/>
      <c r="DJ136" s="209"/>
      <c r="DK136" s="209"/>
      <c r="DL136" s="209"/>
      <c r="DM136" s="209"/>
      <c r="DN136" s="209"/>
      <c r="DO136" s="209"/>
      <c r="DP136" s="209"/>
      <c r="DQ136" s="209"/>
      <c r="DR136" s="209"/>
      <c r="DS136" s="209"/>
      <c r="DT136" s="209"/>
      <c r="DU136" s="209"/>
      <c r="DV136" s="209"/>
      <c r="DW136" s="209"/>
      <c r="DX136" s="209"/>
      <c r="DY136" s="209"/>
      <c r="DZ136" s="209"/>
      <c r="EA136" s="209"/>
      <c r="EB136" s="209"/>
      <c r="EC136" s="209"/>
      <c r="ED136" s="209"/>
      <c r="EE136" s="209"/>
      <c r="EF136" s="209"/>
      <c r="EG136" s="209"/>
      <c r="EH136" s="209"/>
      <c r="EI136" s="209"/>
      <c r="EJ136" s="209"/>
      <c r="EK136" s="209"/>
      <c r="EL136" s="209"/>
      <c r="EM136" s="209"/>
      <c r="EN136" s="209"/>
      <c r="EO136" s="209"/>
      <c r="EP136" s="209"/>
      <c r="EQ136" s="209"/>
      <c r="ER136" s="209"/>
      <c r="ES136" s="209"/>
      <c r="ET136" s="209"/>
      <c r="EU136" s="209"/>
      <c r="EV136" s="209"/>
      <c r="EW136" s="209"/>
      <c r="EX136" s="209"/>
      <c r="EY136" s="209"/>
      <c r="EZ136" s="209"/>
      <c r="FA136" s="209"/>
      <c r="FB136" s="209"/>
      <c r="FC136" s="209"/>
      <c r="FD136" s="209"/>
      <c r="FE136" s="209"/>
      <c r="FF136" s="209"/>
      <c r="FG136" s="209"/>
      <c r="FH136" s="209"/>
      <c r="FI136" s="209"/>
      <c r="FJ136" s="209"/>
      <c r="FK136" s="209"/>
      <c r="FL136" s="209"/>
      <c r="FM136" s="209"/>
      <c r="FN136" s="209"/>
      <c r="FO136" s="209"/>
      <c r="FP136" s="209"/>
      <c r="FQ136" s="209"/>
      <c r="FR136" s="209"/>
      <c r="FS136" s="209"/>
      <c r="FT136" s="209"/>
      <c r="FU136" s="209"/>
      <c r="FV136" s="209"/>
      <c r="FW136" s="209"/>
      <c r="FX136" s="209"/>
      <c r="FY136" s="209"/>
      <c r="FZ136" s="209"/>
      <c r="GA136" s="209"/>
      <c r="GB136" s="209"/>
      <c r="GC136" s="209"/>
      <c r="GD136" s="209"/>
      <c r="GE136" s="209"/>
      <c r="GF136" s="209"/>
      <c r="GG136" s="209"/>
      <c r="GH136" s="209"/>
      <c r="GI136" s="209"/>
      <c r="GJ136" s="209"/>
      <c r="GK136" s="209"/>
      <c r="GL136" s="209"/>
      <c r="GM136" s="209"/>
      <c r="GN136" s="209"/>
      <c r="GO136" s="209"/>
      <c r="GP136" s="209"/>
      <c r="GQ136" s="209"/>
      <c r="GR136" s="209"/>
      <c r="GS136" s="209"/>
      <c r="GT136" s="209"/>
      <c r="GU136" s="209"/>
      <c r="GV136" s="209"/>
      <c r="GW136" s="209"/>
      <c r="GX136" s="209"/>
      <c r="GY136" s="209"/>
      <c r="GZ136" s="209"/>
      <c r="HA136" s="209"/>
      <c r="HB136" s="209"/>
      <c r="HC136" s="209"/>
      <c r="HD136" s="209"/>
      <c r="HE136" s="209"/>
      <c r="HF136" s="209"/>
      <c r="HG136" s="209"/>
      <c r="HH136" s="209"/>
      <c r="HI136" s="209"/>
      <c r="HJ136" s="209"/>
      <c r="HK136" s="209"/>
      <c r="HL136" s="209"/>
      <c r="HM136" s="209"/>
      <c r="HN136" s="209"/>
      <c r="HO136" s="209"/>
      <c r="HP136" s="209"/>
      <c r="HQ136" s="209"/>
      <c r="HR136" s="209"/>
      <c r="HS136" s="209"/>
      <c r="HT136" s="209"/>
      <c r="HU136" s="209"/>
      <c r="HV136" s="209"/>
      <c r="HW136" s="209"/>
      <c r="HX136" s="209"/>
      <c r="HY136" s="209"/>
      <c r="HZ136" s="209"/>
      <c r="IA136" s="209"/>
      <c r="IB136" s="209"/>
      <c r="IC136" s="209"/>
      <c r="ID136" s="209"/>
      <c r="IE136" s="209"/>
      <c r="IF136" s="209"/>
      <c r="IG136" s="209"/>
      <c r="IH136" s="209"/>
      <c r="II136" s="209"/>
      <c r="IJ136" s="209"/>
      <c r="IK136" s="209"/>
      <c r="IL136" s="209"/>
      <c r="IM136" s="209"/>
      <c r="IN136" s="209"/>
      <c r="IO136" s="209"/>
      <c r="IP136" s="209"/>
      <c r="IQ136" s="209"/>
      <c r="IR136" s="209"/>
      <c r="IS136" s="209"/>
      <c r="IT136" s="209"/>
      <c r="IU136" s="209"/>
      <c r="IV136" s="209"/>
      <c r="IW136" s="209"/>
      <c r="IX136" s="209"/>
    </row>
    <row r="137" s="209" customFormat="true" ht="17.4" hidden="false" customHeight="false" outlineLevel="0" collapsed="false">
      <c r="A137" s="315"/>
      <c r="B137" s="31"/>
      <c r="C137" s="30"/>
      <c r="D137" s="85" t="s">
        <v>134</v>
      </c>
      <c r="E137" s="217" t="n">
        <f aca="false">IF(AND($F$2="No",$F$3="No"),SUM(J137:K137),IF(AND($F$2="Yes", $F$3="No"), SUM(J137:K137)+Q137, IF(AND($F$2="No", $F$3="Yes"),SUM(J137:K137)+P137, SUM(J137:K137)+Q137+P137)))</f>
        <v>-0.0911390481413813</v>
      </c>
      <c r="F137" s="89" t="n">
        <f aca="false">IF(AND($F$2="No",$F$3="No"),SUM(H137:O137),IF(AND($F$2="Yes", $F$3="No"), SUM(H137:O137)+Q137, IF(AND($F$2="No", $F$3="Yes"),SUM(H137:O137)+P137, SUM(H137:O137)+Q137+P137)))</f>
        <v>0.122391857170707</v>
      </c>
      <c r="G137" s="88" t="n">
        <f aca="false">SUM(S137:U137)/(1-'Common input data'!$B$121)</f>
        <v>0.360892537499352</v>
      </c>
      <c r="H137" s="89" t="n">
        <f aca="false">('Input data plant-based products'!$F$83*('Common input data'!$B$76*'Common input data'!B69+'Common input data'!$B$77*'Common input data'!C69))/'Input data plant-based products'!$E$83</f>
        <v>0.0124990212541171</v>
      </c>
      <c r="I137" s="89" t="n">
        <f aca="false">'Common input data'!$B$81</f>
        <v>0.03</v>
      </c>
      <c r="J137" s="89" t="n">
        <v>0</v>
      </c>
      <c r="K137" s="89" t="n">
        <v>0</v>
      </c>
      <c r="L137" s="89" t="n">
        <f aca="false">('Input data plant-based products'!$I$83*'Common input data'!$C$59*'Common input data'!H49)/'Input data plant-based products'!$E$83</f>
        <v>0.121031884057971</v>
      </c>
      <c r="M137" s="89" t="n">
        <v>0</v>
      </c>
      <c r="N137" s="89" t="n">
        <f aca="false">'Input data plant-based products'!F$152</f>
        <v>0.05</v>
      </c>
      <c r="O137" s="89" t="n">
        <v>0</v>
      </c>
      <c r="P137" s="89" t="n">
        <f aca="false">'Common input data'!$F$13</f>
        <v>-0.0911390481413813</v>
      </c>
      <c r="Q137" s="89" t="n">
        <v>0</v>
      </c>
      <c r="R137" s="89" t="n">
        <v>0</v>
      </c>
      <c r="S137" s="89" t="n">
        <f aca="false">F137+R137</f>
        <v>0.122391857170707</v>
      </c>
      <c r="T137" s="89" t="n">
        <f aca="false">'Common input data'!B$86</f>
        <v>0.15</v>
      </c>
      <c r="U137" s="89" t="n">
        <f aca="false">'Common input data'!C98</f>
        <v>0.03</v>
      </c>
      <c r="V137" s="309"/>
      <c r="W137" s="92"/>
      <c r="Z137" s="30"/>
    </row>
    <row r="138" s="209" customFormat="true" ht="17.4" hidden="false" customHeight="false" outlineLevel="0" collapsed="false">
      <c r="A138" s="74"/>
      <c r="B138" s="31"/>
      <c r="C138" s="93"/>
      <c r="D138" s="85" t="s">
        <v>135</v>
      </c>
      <c r="E138" s="217" t="n">
        <f aca="false">SUM(J138:K138)</f>
        <v>0</v>
      </c>
      <c r="F138" s="89" t="n">
        <f aca="false">SUM(H138:O138)</f>
        <v>5.36130769410609E-005</v>
      </c>
      <c r="G138" s="88" t="n">
        <f aca="false">SUM(S138:U138)/(1-'Common input data'!$B$121)</f>
        <v>6.39850542320812E-005</v>
      </c>
      <c r="H138" s="89" t="n">
        <f aca="false">('Input data plant-based products'!$F$83*('Common input data'!$B$76*'Common input data'!B70+'Common input data'!$B$77*'Common input data'!C70))/'Input data plant-based products'!$E$83</f>
        <v>3.34628E-011</v>
      </c>
      <c r="I138" s="89" t="n">
        <v>0</v>
      </c>
      <c r="J138" s="89" t="n">
        <v>0</v>
      </c>
      <c r="K138" s="89" t="n">
        <v>0</v>
      </c>
      <c r="L138" s="89" t="n">
        <f aca="false">('Input data plant-based products'!$I$83*'Common input data'!$C$59*'Common input data'!H50)/'Input data plant-based products'!$E$83</f>
        <v>5.36130434782609E-005</v>
      </c>
      <c r="M138" s="89" t="n">
        <v>0</v>
      </c>
      <c r="N138" s="89" t="n">
        <v>0</v>
      </c>
      <c r="O138" s="89" t="n">
        <v>0</v>
      </c>
      <c r="P138" s="89" t="n">
        <v>0</v>
      </c>
      <c r="Q138" s="89" t="n">
        <v>0</v>
      </c>
      <c r="R138" s="89" t="n">
        <v>0</v>
      </c>
      <c r="S138" s="89" t="n">
        <f aca="false">F138+R138</f>
        <v>5.36130769410609E-005</v>
      </c>
      <c r="T138" s="89" t="n">
        <v>0</v>
      </c>
      <c r="U138" s="89" t="n">
        <v>0</v>
      </c>
      <c r="V138" s="309"/>
      <c r="W138" s="92"/>
      <c r="Z138" s="30"/>
    </row>
    <row r="139" s="209" customFormat="true" ht="17.4" hidden="false" customHeight="false" outlineLevel="0" collapsed="false">
      <c r="A139" s="100"/>
      <c r="B139" s="101"/>
      <c r="C139" s="87"/>
      <c r="D139" s="31" t="s">
        <v>136</v>
      </c>
      <c r="E139" s="217" t="n">
        <f aca="false">SUM(J139:K139)</f>
        <v>8.60961538461538E-005</v>
      </c>
      <c r="F139" s="89" t="n">
        <f aca="false">SUM(H139:O139)</f>
        <v>0.000140115601068632</v>
      </c>
      <c r="G139" s="88" t="n">
        <f aca="false">SUM(S139:U139)/(1-'Common input data'!$B$121)</f>
        <v>0.000167222342843576</v>
      </c>
      <c r="H139" s="89" t="n">
        <f aca="false">('Input data plant-based products'!$F$83*('Common input data'!$B$76*'Common input data'!B71+'Common input data'!$B$77*'Common input data'!C71))/'Input data plant-based products'!$E$83</f>
        <v>5.07672733094348E-005</v>
      </c>
      <c r="I139" s="89" t="n">
        <v>0</v>
      </c>
      <c r="J139" s="89" t="n">
        <f aca="false">(SUM('Input data plant-based products'!F83:H83)*'Input data plant-based products'!$B$114*44/28)/'Input data plant-based products'!E83</f>
        <v>7.82692307692307E-005</v>
      </c>
      <c r="K139" s="89" t="n">
        <f aca="false">J139*'Input data plant-based products'!$B$115</f>
        <v>7.82692307692308E-006</v>
      </c>
      <c r="L139" s="89" t="n">
        <f aca="false">('Input data plant-based products'!$I$83*'Common input data'!$C$59*'Common input data'!H51)/'Input data plant-based products'!$E$83</f>
        <v>3.25217391304348E-006</v>
      </c>
      <c r="M139" s="89" t="n">
        <v>0</v>
      </c>
      <c r="N139" s="89" t="n">
        <v>0</v>
      </c>
      <c r="O139" s="89" t="n">
        <v>0</v>
      </c>
      <c r="P139" s="89" t="n">
        <v>0</v>
      </c>
      <c r="Q139" s="89" t="n">
        <v>0</v>
      </c>
      <c r="R139" s="89" t="n">
        <v>0</v>
      </c>
      <c r="S139" s="89" t="n">
        <f aca="false">F139+R139</f>
        <v>0.000140115601068632</v>
      </c>
      <c r="T139" s="89" t="n">
        <v>0</v>
      </c>
      <c r="U139" s="89" t="n">
        <v>0</v>
      </c>
      <c r="V139" s="309"/>
      <c r="W139" s="92"/>
      <c r="Z139" s="30"/>
    </row>
    <row r="140" s="332" customFormat="true" ht="17.4" hidden="false" customHeight="false" outlineLevel="0" collapsed="false">
      <c r="A140" s="330" t="s">
        <v>322</v>
      </c>
      <c r="B140" s="76" t="s">
        <v>254</v>
      </c>
      <c r="C140" s="97" t="n">
        <f aca="false">'Input data plant-based products'!D84</f>
        <v>0.14</v>
      </c>
      <c r="D140" s="78" t="s">
        <v>133</v>
      </c>
      <c r="E140" s="94" t="n">
        <f aca="false">IF($F$1="GWP100 without fb",E141+E142*'Common input data'!$C$5+E143*'Common input data'!$D$5,IF($F$1="GWP100 with fb",E141+E142*'Common input data'!$C$6+E143*'Common input data'!$D$6,IF($F$1="GTP100 without fb",E141+E142*'Common input data'!$C$7+E143*'Common input data'!$D$7,IF($F$1="GTP100 with fb",E141+E142*'Common input data'!$C$8+E143*'Common input data'!$D$8,E141+E142*'Common input data'!$C$9+E143*'Common input data'!$D$9))))</f>
        <v>-0.0731485218572299</v>
      </c>
      <c r="F140" s="95" t="n">
        <f aca="false">IF($F$1="GWP100 without fb",F141+F142*'Common input data'!$C$5+F143*'Common input data'!$D$5,IF($F$1="GWP100 with fb",F141+F142*'Common input data'!$C$6+F143*'Common input data'!$D$6,IF($F$1="GTP100 without fb",F141+F142*'Common input data'!$C$7+F143*'Common input data'!$D$7,IF($F$1="GTP100 with fb",F141+F142*'Common input data'!$C$8+F143*'Common input data'!$D$8,F141+F142*'Common input data'!$C$9+F143*'Common input data'!$D$9))))</f>
        <v>0.0658370425602031</v>
      </c>
      <c r="G140" s="96" t="n">
        <f aca="false">IF($F$1="GWP100 without fb",G141+G142*'Common input data'!$C$5+G143*'Common input data'!$D$5,IF($F$1="GWP100 with fb",G141+G142*'Common input data'!$C$6+G143*'Common input data'!$D$6,IF($F$1="GTP100 without fb",G141+G142*'Common input data'!$C$7+G143*'Common input data'!$D$7,IF($F$1="GTP100 with fb",G141+G142*'Common input data'!$C$8+G143*'Common input data'!$D$8,G141+G142*'Common input data'!$C$9+G143*'Common input data'!$D$9))))</f>
        <v>0.412742621506389</v>
      </c>
      <c r="H140" s="83"/>
      <c r="I140" s="83"/>
      <c r="J140" s="83"/>
      <c r="K140" s="83"/>
      <c r="L140" s="83"/>
      <c r="M140" s="83"/>
      <c r="N140" s="83"/>
      <c r="O140" s="83"/>
      <c r="P140" s="83"/>
      <c r="Q140" s="83"/>
      <c r="R140" s="83"/>
      <c r="S140" s="83"/>
      <c r="T140" s="83"/>
      <c r="U140" s="83"/>
      <c r="V140" s="309"/>
      <c r="W140" s="92"/>
      <c r="X140" s="209"/>
      <c r="Y140" s="209"/>
      <c r="Z140" s="30"/>
      <c r="AA140" s="209"/>
      <c r="AB140" s="209"/>
      <c r="AC140" s="209"/>
      <c r="AD140" s="209"/>
      <c r="AE140" s="209"/>
      <c r="AF140" s="209"/>
      <c r="AG140" s="209"/>
      <c r="AH140" s="209"/>
      <c r="AI140" s="209"/>
      <c r="AJ140" s="209"/>
      <c r="AK140" s="209"/>
      <c r="AL140" s="209"/>
      <c r="AM140" s="209"/>
      <c r="AN140" s="209"/>
      <c r="AO140" s="209"/>
      <c r="AP140" s="209"/>
      <c r="AQ140" s="209"/>
      <c r="AR140" s="209"/>
      <c r="AS140" s="209"/>
      <c r="AT140" s="209"/>
      <c r="AU140" s="209"/>
      <c r="AV140" s="209"/>
      <c r="AW140" s="209"/>
      <c r="AX140" s="209"/>
      <c r="AY140" s="209"/>
      <c r="AZ140" s="209"/>
      <c r="BA140" s="209"/>
      <c r="BB140" s="209"/>
      <c r="BC140" s="209"/>
      <c r="BD140" s="209"/>
      <c r="BE140" s="209"/>
      <c r="BF140" s="209"/>
      <c r="BG140" s="209"/>
      <c r="BH140" s="209"/>
      <c r="BI140" s="209"/>
      <c r="BJ140" s="209"/>
      <c r="BK140" s="209"/>
      <c r="BL140" s="209"/>
      <c r="BM140" s="209"/>
      <c r="BN140" s="209"/>
      <c r="BO140" s="209"/>
      <c r="BP140" s="209"/>
      <c r="BQ140" s="209"/>
      <c r="BR140" s="209"/>
      <c r="BS140" s="209"/>
      <c r="BT140" s="209"/>
      <c r="BU140" s="209"/>
      <c r="BV140" s="209"/>
      <c r="BW140" s="209"/>
      <c r="BX140" s="209"/>
      <c r="BY140" s="209"/>
      <c r="BZ140" s="209"/>
      <c r="CA140" s="209"/>
      <c r="CB140" s="209"/>
      <c r="CC140" s="209"/>
      <c r="CD140" s="209"/>
      <c r="CE140" s="209"/>
      <c r="CF140" s="209"/>
      <c r="CG140" s="209"/>
      <c r="CH140" s="209"/>
      <c r="CI140" s="209"/>
      <c r="CJ140" s="209"/>
      <c r="CK140" s="209"/>
      <c r="CL140" s="209"/>
      <c r="CM140" s="209"/>
      <c r="CN140" s="209"/>
      <c r="CO140" s="209"/>
      <c r="CP140" s="209"/>
      <c r="CQ140" s="209"/>
      <c r="CR140" s="209"/>
      <c r="CS140" s="209"/>
      <c r="CT140" s="209"/>
      <c r="CU140" s="209"/>
      <c r="CV140" s="209"/>
      <c r="CW140" s="209"/>
      <c r="CX140" s="209"/>
      <c r="CY140" s="209"/>
      <c r="CZ140" s="209"/>
      <c r="DA140" s="209"/>
      <c r="DB140" s="209"/>
      <c r="DC140" s="209"/>
      <c r="DD140" s="209"/>
      <c r="DE140" s="209"/>
      <c r="DF140" s="209"/>
      <c r="DG140" s="209"/>
      <c r="DH140" s="209"/>
      <c r="DI140" s="209"/>
      <c r="DJ140" s="209"/>
      <c r="DK140" s="209"/>
      <c r="DL140" s="209"/>
      <c r="DM140" s="209"/>
      <c r="DN140" s="209"/>
      <c r="DO140" s="209"/>
      <c r="DP140" s="209"/>
      <c r="DQ140" s="209"/>
      <c r="DR140" s="209"/>
      <c r="DS140" s="209"/>
      <c r="DT140" s="209"/>
      <c r="DU140" s="209"/>
      <c r="DV140" s="209"/>
      <c r="DW140" s="209"/>
      <c r="DX140" s="209"/>
      <c r="DY140" s="209"/>
      <c r="DZ140" s="209"/>
      <c r="EA140" s="209"/>
      <c r="EB140" s="209"/>
      <c r="EC140" s="209"/>
      <c r="ED140" s="209"/>
      <c r="EE140" s="209"/>
      <c r="EF140" s="209"/>
      <c r="EG140" s="209"/>
      <c r="EH140" s="209"/>
      <c r="EI140" s="209"/>
      <c r="EJ140" s="209"/>
      <c r="EK140" s="209"/>
      <c r="EL140" s="209"/>
      <c r="EM140" s="209"/>
      <c r="EN140" s="209"/>
      <c r="EO140" s="209"/>
      <c r="EP140" s="209"/>
      <c r="EQ140" s="209"/>
      <c r="ER140" s="209"/>
      <c r="ES140" s="209"/>
      <c r="ET140" s="209"/>
      <c r="EU140" s="209"/>
      <c r="EV140" s="209"/>
      <c r="EW140" s="209"/>
      <c r="EX140" s="209"/>
      <c r="EY140" s="209"/>
      <c r="EZ140" s="209"/>
      <c r="FA140" s="209"/>
      <c r="FB140" s="209"/>
      <c r="FC140" s="209"/>
      <c r="FD140" s="209"/>
      <c r="FE140" s="209"/>
      <c r="FF140" s="209"/>
      <c r="FG140" s="209"/>
      <c r="FH140" s="209"/>
      <c r="FI140" s="209"/>
      <c r="FJ140" s="209"/>
      <c r="FK140" s="209"/>
      <c r="FL140" s="209"/>
      <c r="FM140" s="209"/>
      <c r="FN140" s="209"/>
      <c r="FO140" s="209"/>
      <c r="FP140" s="209"/>
      <c r="FQ140" s="209"/>
      <c r="FR140" s="209"/>
      <c r="FS140" s="209"/>
      <c r="FT140" s="209"/>
      <c r="FU140" s="209"/>
      <c r="FV140" s="209"/>
      <c r="FW140" s="209"/>
      <c r="FX140" s="209"/>
      <c r="FY140" s="209"/>
      <c r="FZ140" s="209"/>
      <c r="GA140" s="209"/>
      <c r="GB140" s="209"/>
      <c r="GC140" s="209"/>
      <c r="GD140" s="209"/>
      <c r="GE140" s="209"/>
      <c r="GF140" s="209"/>
      <c r="GG140" s="209"/>
      <c r="GH140" s="209"/>
      <c r="GI140" s="209"/>
      <c r="GJ140" s="209"/>
      <c r="GK140" s="209"/>
      <c r="GL140" s="209"/>
      <c r="GM140" s="209"/>
      <c r="GN140" s="209"/>
      <c r="GO140" s="209"/>
      <c r="GP140" s="209"/>
      <c r="GQ140" s="209"/>
      <c r="GR140" s="209"/>
      <c r="GS140" s="209"/>
      <c r="GT140" s="209"/>
      <c r="GU140" s="209"/>
      <c r="GV140" s="209"/>
      <c r="GW140" s="209"/>
      <c r="GX140" s="209"/>
      <c r="GY140" s="209"/>
      <c r="GZ140" s="209"/>
      <c r="HA140" s="209"/>
      <c r="HB140" s="209"/>
      <c r="HC140" s="209"/>
      <c r="HD140" s="209"/>
      <c r="HE140" s="209"/>
      <c r="HF140" s="209"/>
      <c r="HG140" s="209"/>
      <c r="HH140" s="209"/>
      <c r="HI140" s="209"/>
      <c r="HJ140" s="209"/>
      <c r="HK140" s="209"/>
      <c r="HL140" s="209"/>
      <c r="HM140" s="209"/>
      <c r="HN140" s="209"/>
      <c r="HO140" s="209"/>
      <c r="HP140" s="209"/>
      <c r="HQ140" s="209"/>
      <c r="HR140" s="209"/>
      <c r="HS140" s="209"/>
      <c r="HT140" s="209"/>
      <c r="HU140" s="209"/>
      <c r="HV140" s="209"/>
      <c r="HW140" s="209"/>
      <c r="HX140" s="209"/>
      <c r="HY140" s="209"/>
      <c r="HZ140" s="209"/>
      <c r="IA140" s="209"/>
      <c r="IB140" s="209"/>
      <c r="IC140" s="209"/>
      <c r="ID140" s="209"/>
      <c r="IE140" s="209"/>
      <c r="IF140" s="209"/>
      <c r="IG140" s="209"/>
      <c r="IH140" s="209"/>
      <c r="II140" s="209"/>
      <c r="IJ140" s="209"/>
      <c r="IK140" s="209"/>
      <c r="IL140" s="209"/>
      <c r="IM140" s="209"/>
      <c r="IN140" s="209"/>
      <c r="IO140" s="209"/>
      <c r="IP140" s="209"/>
      <c r="IQ140" s="209"/>
      <c r="IR140" s="209"/>
      <c r="IS140" s="209"/>
      <c r="IT140" s="209"/>
      <c r="IU140" s="209"/>
      <c r="IV140" s="209"/>
      <c r="IW140" s="209"/>
      <c r="IX140" s="209"/>
    </row>
    <row r="141" s="209" customFormat="true" ht="17.4" hidden="false" customHeight="false" outlineLevel="0" collapsed="false">
      <c r="A141" s="99"/>
      <c r="B141" s="31"/>
      <c r="C141" s="30"/>
      <c r="D141" s="85" t="s">
        <v>134</v>
      </c>
      <c r="E141" s="217" t="n">
        <f aca="false">IF(AND($F$2="No",$F$3="No"),SUM(J141:K141),IF(AND($F$2="Yes", $F$3="No"), SUM(J141:K141)+Q141, IF(AND($F$2="No", $F$3="Yes"),SUM(J141:K141)+P141, SUM(J141:K141)+Q141+P141)))</f>
        <v>-0.0911390481413813</v>
      </c>
      <c r="F141" s="89" t="n">
        <f aca="false">IF(AND($F$2="No",$F$3="No"),SUM(H141:O141),IF(AND($F$2="Yes", $F$3="No"), SUM(H141:O141)+Q141, IF(AND($F$2="No", $F$3="Yes"),SUM(H141:O141)+P141, SUM(H141:O141)+Q141+P141)))</f>
        <v>0.0319090766084977</v>
      </c>
      <c r="G141" s="88" t="n">
        <f aca="false">SUM(S141:U141)/(1-'Common input data'!$B$121)</f>
        <v>0.372250956687549</v>
      </c>
      <c r="H141" s="89" t="n">
        <f aca="false">('Input data plant-based products'!$F$84*('Common input data'!$C$76*'Common input data'!B69+'Common input data'!$C$77*'Common input data'!C69))/'Input data plant-based products'!$E$84</f>
        <v>0.00931300166971908</v>
      </c>
      <c r="I141" s="89" t="n">
        <f aca="false">'Common input data'!$B$81</f>
        <v>0.03</v>
      </c>
      <c r="J141" s="89" t="n">
        <v>0</v>
      </c>
      <c r="K141" s="89" t="n">
        <v>0</v>
      </c>
      <c r="L141" s="89" t="n">
        <f aca="false">('Input data plant-based products'!$I$84*'Common input data'!$C$59*'Common input data'!H49)/'Input data plant-based products'!$E$84</f>
        <v>0.0337351230801599</v>
      </c>
      <c r="M141" s="89" t="n">
        <v>0</v>
      </c>
      <c r="N141" s="89" t="n">
        <f aca="false">'Input data plant-based products'!F$152</f>
        <v>0.05</v>
      </c>
      <c r="O141" s="89" t="n">
        <v>0</v>
      </c>
      <c r="P141" s="89" t="n">
        <f aca="false">'Common input data'!$F$13</f>
        <v>-0.0911390481413813</v>
      </c>
      <c r="Q141" s="89" t="n">
        <v>0</v>
      </c>
      <c r="R141" s="89" t="n">
        <v>0</v>
      </c>
      <c r="S141" s="89" t="n">
        <f aca="false">F141+R141</f>
        <v>0.0319090766084977</v>
      </c>
      <c r="T141" s="89" t="n">
        <f aca="false">'Common input data'!B$86</f>
        <v>0.15</v>
      </c>
      <c r="U141" s="89" t="n">
        <f aca="false">'Common input data'!B99+'Common input data'!C99</f>
        <v>0.13</v>
      </c>
      <c r="V141" s="309"/>
      <c r="W141" s="92"/>
      <c r="Z141" s="30"/>
    </row>
    <row r="142" s="209" customFormat="true" ht="17.4" hidden="false" customHeight="false" outlineLevel="0" collapsed="false">
      <c r="A142" s="74"/>
      <c r="B142" s="31"/>
      <c r="C142" s="93"/>
      <c r="D142" s="85" t="s">
        <v>135</v>
      </c>
      <c r="E142" s="217" t="n">
        <f aca="false">SUM(J142:K142)</f>
        <v>0</v>
      </c>
      <c r="F142" s="89" t="n">
        <f aca="false">SUM(H142:O142)</f>
        <v>1.49435630484999E-005</v>
      </c>
      <c r="G142" s="88" t="n">
        <f aca="false">SUM(S142:U142)/(1-'Common input data'!$B$121)</f>
        <v>1.7834542366034E-005</v>
      </c>
      <c r="H142" s="89" t="n">
        <f aca="false">('Input data plant-based products'!$F$84*('Common input data'!$C$76*'Common input data'!B70+'Common input data'!$C$77*'Common input data'!C70))/'Input data plant-based products'!$E$84</f>
        <v>4.10623858615611E-011</v>
      </c>
      <c r="I142" s="89" t="n">
        <v>0</v>
      </c>
      <c r="J142" s="89" t="n">
        <v>0</v>
      </c>
      <c r="K142" s="89" t="n">
        <v>0</v>
      </c>
      <c r="L142" s="89" t="n">
        <f aca="false">('Input data plant-based products'!$I$84*'Common input data'!$C$59*'Common input data'!H50)/'Input data plant-based products'!$E$84</f>
        <v>1.4943521986114E-005</v>
      </c>
      <c r="M142" s="89" t="n">
        <v>0</v>
      </c>
      <c r="N142" s="89" t="n">
        <v>0</v>
      </c>
      <c r="O142" s="89" t="n">
        <v>0</v>
      </c>
      <c r="P142" s="89" t="n">
        <v>0</v>
      </c>
      <c r="Q142" s="89" t="n">
        <v>0</v>
      </c>
      <c r="R142" s="89" t="n">
        <v>0</v>
      </c>
      <c r="S142" s="89" t="n">
        <f aca="false">F142+R142</f>
        <v>1.49435630484999E-005</v>
      </c>
      <c r="T142" s="89" t="n">
        <v>0</v>
      </c>
      <c r="U142" s="89" t="n">
        <v>0</v>
      </c>
      <c r="V142" s="309"/>
      <c r="W142" s="92"/>
      <c r="Z142" s="30"/>
    </row>
    <row r="143" s="209" customFormat="true" ht="17.4" hidden="false" customHeight="false" outlineLevel="0" collapsed="false">
      <c r="A143" s="100"/>
      <c r="B143" s="101"/>
      <c r="C143" s="87"/>
      <c r="D143" s="31" t="s">
        <v>136</v>
      </c>
      <c r="E143" s="217" t="n">
        <f aca="false">SUM(J143:K143)</f>
        <v>6.03708935709777E-005</v>
      </c>
      <c r="F143" s="89" t="n">
        <f aca="false">SUM(H143:O143)</f>
        <v>0.000112147264456565</v>
      </c>
      <c r="G143" s="88" t="n">
        <f aca="false">SUM(S143:U143)/(1-'Common input data'!$B$121)</f>
        <v>0.000133843256303336</v>
      </c>
      <c r="H143" s="89" t="n">
        <f aca="false">('Input data plant-based products'!$F$84*('Common input data'!$C$76*'Common input data'!B71+'Common input data'!$C$77*'Common input data'!C71))/'Input data plant-based products'!$E$84</f>
        <v>5.08698949756357E-005</v>
      </c>
      <c r="I143" s="89" t="n">
        <v>0</v>
      </c>
      <c r="J143" s="89" t="n">
        <f aca="false">(SUM('Input data plant-based products'!F84:H84)*'Input data plant-based products'!$B$114*44/28)/'Input data plant-based products'!E84</f>
        <v>5.48826305190707E-005</v>
      </c>
      <c r="K143" s="89" t="n">
        <f aca="false">J143*'Input data plant-based products'!$B$115</f>
        <v>5.48826305190707E-006</v>
      </c>
      <c r="L143" s="89" t="n">
        <f aca="false">('Input data plant-based products'!$I$84*'Common input data'!$C$59*'Common input data'!H51)/'Input data plant-based products'!$E$84</f>
        <v>9.0647590995161E-007</v>
      </c>
      <c r="M143" s="89" t="n">
        <v>0</v>
      </c>
      <c r="N143" s="89" t="n">
        <v>0</v>
      </c>
      <c r="O143" s="89" t="n">
        <v>0</v>
      </c>
      <c r="P143" s="89" t="n">
        <v>0</v>
      </c>
      <c r="Q143" s="89" t="n">
        <v>0</v>
      </c>
      <c r="R143" s="89" t="n">
        <v>0</v>
      </c>
      <c r="S143" s="89" t="n">
        <f aca="false">F143+R143</f>
        <v>0.000112147264456565</v>
      </c>
      <c r="T143" s="89" t="n">
        <v>0</v>
      </c>
      <c r="U143" s="89" t="n">
        <v>0</v>
      </c>
      <c r="V143" s="309"/>
      <c r="W143" s="92"/>
      <c r="Z143" s="30"/>
    </row>
    <row r="144" s="332" customFormat="true" ht="17.4" hidden="false" customHeight="false" outlineLevel="0" collapsed="false">
      <c r="A144" s="330" t="s">
        <v>141</v>
      </c>
      <c r="B144" s="76" t="s">
        <v>291</v>
      </c>
      <c r="C144" s="97" t="n">
        <f aca="false">'Input data plant-based products'!D85</f>
        <v>0.085</v>
      </c>
      <c r="D144" s="78" t="s">
        <v>133</v>
      </c>
      <c r="E144" s="94" t="n">
        <f aca="false">IF($F$1="GWP100 without fb",E145+E146*'Common input data'!$C$5+E147*'Common input data'!$D$5,IF($F$1="GWP100 with fb",E145+E146*'Common input data'!$C$6+E147*'Common input data'!$D$6,IF($F$1="GTP100 without fb",E145+E146*'Common input data'!$C$7+E147*'Common input data'!$D$7,IF($F$1="GTP100 with fb",E145+E146*'Common input data'!$C$8+E147*'Common input data'!$D$8,E145+E146*'Common input data'!$C$9+E147*'Common input data'!$D$9))))</f>
        <v>0.0224777877143319</v>
      </c>
      <c r="F144" s="95" t="n">
        <f aca="false">IF($F$1="GWP100 without fb",F145+F146*'Common input data'!$C$5+F147*'Common input data'!$D$5,IF($F$1="GWP100 with fb",F145+F146*'Common input data'!$C$6+F147*'Common input data'!$D$6,IF($F$1="GTP100 without fb",F145+F146*'Common input data'!$C$7+F147*'Common input data'!$D$7,IF($F$1="GTP100 with fb",F145+F146*'Common input data'!$C$8+F147*'Common input data'!$D$8,F145+F146*'Common input data'!$C$9+F147*'Common input data'!$D$9))))</f>
        <v>3.02263864712106</v>
      </c>
      <c r="G144" s="96" t="n">
        <f aca="false">IF($F$1="GWP100 without fb",G145+G146*'Common input data'!$C$5+G147*'Common input data'!$D$5,IF($F$1="GWP100 with fb",G145+G146*'Common input data'!$C$6+G147*'Common input data'!$D$6,IF($F$1="GTP100 without fb",G145+G146*'Common input data'!$C$7+G147*'Common input data'!$D$7,IF($F$1="GTP100 with fb",G145+G146*'Common input data'!$C$8+G147*'Common input data'!$D$8,G145+G146*'Common input data'!$C$9+G147*'Common input data'!$D$9))))</f>
        <v>4.06091257563081</v>
      </c>
      <c r="H144" s="83"/>
      <c r="I144" s="83"/>
      <c r="J144" s="83"/>
      <c r="K144" s="83"/>
      <c r="L144" s="83"/>
      <c r="M144" s="83"/>
      <c r="N144" s="83"/>
      <c r="O144" s="83"/>
      <c r="P144" s="83"/>
      <c r="Q144" s="83"/>
      <c r="R144" s="83"/>
      <c r="S144" s="83"/>
      <c r="T144" s="83"/>
      <c r="U144" s="83"/>
      <c r="V144" s="309"/>
      <c r="W144" s="92"/>
      <c r="X144" s="209"/>
      <c r="Y144" s="209"/>
      <c r="Z144" s="30"/>
      <c r="AA144" s="209"/>
      <c r="AB144" s="209"/>
      <c r="AC144" s="209"/>
      <c r="AD144" s="209"/>
      <c r="AE144" s="209"/>
      <c r="AF144" s="209"/>
      <c r="AG144" s="209"/>
      <c r="AH144" s="209"/>
      <c r="AI144" s="209"/>
      <c r="AJ144" s="209"/>
      <c r="AK144" s="209"/>
      <c r="AL144" s="209"/>
      <c r="AM144" s="209"/>
      <c r="AN144" s="209"/>
      <c r="AO144" s="209"/>
      <c r="AP144" s="209"/>
      <c r="AQ144" s="209"/>
      <c r="AR144" s="209"/>
      <c r="AS144" s="209"/>
      <c r="AT144" s="209"/>
      <c r="AU144" s="209"/>
      <c r="AV144" s="209"/>
      <c r="AW144" s="209"/>
      <c r="AX144" s="209"/>
      <c r="AY144" s="209"/>
      <c r="AZ144" s="209"/>
      <c r="BA144" s="209"/>
      <c r="BB144" s="209"/>
      <c r="BC144" s="209"/>
      <c r="BD144" s="209"/>
      <c r="BE144" s="209"/>
      <c r="BF144" s="209"/>
      <c r="BG144" s="209"/>
      <c r="BH144" s="209"/>
      <c r="BI144" s="209"/>
      <c r="BJ144" s="209"/>
      <c r="BK144" s="209"/>
      <c r="BL144" s="209"/>
      <c r="BM144" s="209"/>
      <c r="BN144" s="209"/>
      <c r="BO144" s="209"/>
      <c r="BP144" s="209"/>
      <c r="BQ144" s="209"/>
      <c r="BR144" s="209"/>
      <c r="BS144" s="209"/>
      <c r="BT144" s="209"/>
      <c r="BU144" s="209"/>
      <c r="BV144" s="209"/>
      <c r="BW144" s="209"/>
      <c r="BX144" s="209"/>
      <c r="BY144" s="209"/>
      <c r="BZ144" s="209"/>
      <c r="CA144" s="209"/>
      <c r="CB144" s="209"/>
      <c r="CC144" s="209"/>
      <c r="CD144" s="209"/>
      <c r="CE144" s="209"/>
      <c r="CF144" s="209"/>
      <c r="CG144" s="209"/>
      <c r="CH144" s="209"/>
      <c r="CI144" s="209"/>
      <c r="CJ144" s="209"/>
      <c r="CK144" s="209"/>
      <c r="CL144" s="209"/>
      <c r="CM144" s="209"/>
      <c r="CN144" s="209"/>
      <c r="CO144" s="209"/>
      <c r="CP144" s="209"/>
      <c r="CQ144" s="209"/>
      <c r="CR144" s="209"/>
      <c r="CS144" s="209"/>
      <c r="CT144" s="209"/>
      <c r="CU144" s="209"/>
      <c r="CV144" s="209"/>
      <c r="CW144" s="209"/>
      <c r="CX144" s="209"/>
      <c r="CY144" s="209"/>
      <c r="CZ144" s="209"/>
      <c r="DA144" s="209"/>
      <c r="DB144" s="209"/>
      <c r="DC144" s="209"/>
      <c r="DD144" s="209"/>
      <c r="DE144" s="209"/>
      <c r="DF144" s="209"/>
      <c r="DG144" s="209"/>
      <c r="DH144" s="209"/>
      <c r="DI144" s="209"/>
      <c r="DJ144" s="209"/>
      <c r="DK144" s="209"/>
      <c r="DL144" s="209"/>
      <c r="DM144" s="209"/>
      <c r="DN144" s="209"/>
      <c r="DO144" s="209"/>
      <c r="DP144" s="209"/>
      <c r="DQ144" s="209"/>
      <c r="DR144" s="209"/>
      <c r="DS144" s="209"/>
      <c r="DT144" s="209"/>
      <c r="DU144" s="209"/>
      <c r="DV144" s="209"/>
      <c r="DW144" s="209"/>
      <c r="DX144" s="209"/>
      <c r="DY144" s="209"/>
      <c r="DZ144" s="209"/>
      <c r="EA144" s="209"/>
      <c r="EB144" s="209"/>
      <c r="EC144" s="209"/>
      <c r="ED144" s="209"/>
      <c r="EE144" s="209"/>
      <c r="EF144" s="209"/>
      <c r="EG144" s="209"/>
      <c r="EH144" s="209"/>
      <c r="EI144" s="209"/>
      <c r="EJ144" s="209"/>
      <c r="EK144" s="209"/>
      <c r="EL144" s="209"/>
      <c r="EM144" s="209"/>
      <c r="EN144" s="209"/>
      <c r="EO144" s="209"/>
      <c r="EP144" s="209"/>
      <c r="EQ144" s="209"/>
      <c r="ER144" s="209"/>
      <c r="ES144" s="209"/>
      <c r="ET144" s="209"/>
      <c r="EU144" s="209"/>
      <c r="EV144" s="209"/>
      <c r="EW144" s="209"/>
      <c r="EX144" s="209"/>
      <c r="EY144" s="209"/>
      <c r="EZ144" s="209"/>
      <c r="FA144" s="209"/>
      <c r="FB144" s="209"/>
      <c r="FC144" s="209"/>
      <c r="FD144" s="209"/>
      <c r="FE144" s="209"/>
      <c r="FF144" s="209"/>
      <c r="FG144" s="209"/>
      <c r="FH144" s="209"/>
      <c r="FI144" s="209"/>
      <c r="FJ144" s="209"/>
      <c r="FK144" s="209"/>
      <c r="FL144" s="209"/>
      <c r="FM144" s="209"/>
      <c r="FN144" s="209"/>
      <c r="FO144" s="209"/>
      <c r="FP144" s="209"/>
      <c r="FQ144" s="209"/>
      <c r="FR144" s="209"/>
      <c r="FS144" s="209"/>
      <c r="FT144" s="209"/>
      <c r="FU144" s="209"/>
      <c r="FV144" s="209"/>
      <c r="FW144" s="209"/>
      <c r="FX144" s="209"/>
      <c r="FY144" s="209"/>
      <c r="FZ144" s="209"/>
      <c r="GA144" s="209"/>
      <c r="GB144" s="209"/>
      <c r="GC144" s="209"/>
      <c r="GD144" s="209"/>
      <c r="GE144" s="209"/>
      <c r="GF144" s="209"/>
      <c r="GG144" s="209"/>
      <c r="GH144" s="209"/>
      <c r="GI144" s="209"/>
      <c r="GJ144" s="209"/>
      <c r="GK144" s="209"/>
      <c r="GL144" s="209"/>
      <c r="GM144" s="209"/>
      <c r="GN144" s="209"/>
      <c r="GO144" s="209"/>
      <c r="GP144" s="209"/>
      <c r="GQ144" s="209"/>
      <c r="GR144" s="209"/>
      <c r="GS144" s="209"/>
      <c r="GT144" s="209"/>
      <c r="GU144" s="209"/>
      <c r="GV144" s="209"/>
      <c r="GW144" s="209"/>
      <c r="GX144" s="209"/>
      <c r="GY144" s="209"/>
      <c r="GZ144" s="209"/>
      <c r="HA144" s="209"/>
      <c r="HB144" s="209"/>
      <c r="HC144" s="209"/>
      <c r="HD144" s="209"/>
      <c r="HE144" s="209"/>
      <c r="HF144" s="209"/>
      <c r="HG144" s="209"/>
      <c r="HH144" s="209"/>
      <c r="HI144" s="209"/>
      <c r="HJ144" s="209"/>
      <c r="HK144" s="209"/>
      <c r="HL144" s="209"/>
      <c r="HM144" s="209"/>
      <c r="HN144" s="209"/>
      <c r="HO144" s="209"/>
      <c r="HP144" s="209"/>
      <c r="HQ144" s="209"/>
      <c r="HR144" s="209"/>
      <c r="HS144" s="209"/>
      <c r="HT144" s="209"/>
      <c r="HU144" s="209"/>
      <c r="HV144" s="209"/>
      <c r="HW144" s="209"/>
      <c r="HX144" s="209"/>
      <c r="HY144" s="209"/>
      <c r="HZ144" s="209"/>
      <c r="IA144" s="209"/>
      <c r="IB144" s="209"/>
      <c r="IC144" s="209"/>
      <c r="ID144" s="209"/>
      <c r="IE144" s="209"/>
      <c r="IF144" s="209"/>
      <c r="IG144" s="209"/>
      <c r="IH144" s="209"/>
      <c r="II144" s="209"/>
      <c r="IJ144" s="209"/>
      <c r="IK144" s="209"/>
      <c r="IL144" s="209"/>
      <c r="IM144" s="209"/>
      <c r="IN144" s="209"/>
      <c r="IO144" s="209"/>
      <c r="IP144" s="209"/>
      <c r="IQ144" s="209"/>
      <c r="IR144" s="209"/>
      <c r="IS144" s="209"/>
      <c r="IT144" s="209"/>
      <c r="IU144" s="209"/>
      <c r="IV144" s="209"/>
      <c r="IW144" s="209"/>
      <c r="IX144" s="209"/>
    </row>
    <row r="145" s="209" customFormat="true" ht="17.4" hidden="false" customHeight="false" outlineLevel="0" collapsed="false">
      <c r="A145" s="99"/>
      <c r="B145" s="31"/>
      <c r="C145" s="30"/>
      <c r="D145" s="85" t="s">
        <v>134</v>
      </c>
      <c r="E145" s="217" t="n">
        <f aca="false">IF(AND($F$2="No",$F$3="No"),SUM(J145:K145),IF(AND($F$2="Yes", $F$3="No"), SUM(J145:K145)+Q145, IF(AND($F$2="No", $F$3="Yes"),SUM(J145:K145)+P145, SUM(J145:K145)+Q145+P145)))</f>
        <v>0</v>
      </c>
      <c r="F145" s="89" t="n">
        <f aca="false">IF(AND($F$2="No",$F$3="No"),SUM(H145:O145),IF(AND($F$2="Yes", $F$3="No"), SUM(H145:O145)+Q145, IF(AND($F$2="No", $F$3="Yes"),SUM(H145:O145)+P145, SUM(H145:O145)+Q145+P145)))</f>
        <v>2.56614065150219</v>
      </c>
      <c r="G145" s="88" t="n">
        <f aca="false">SUM(S145:U145)/(1-'Common input data'!$B$121)</f>
        <v>3.51610055078433</v>
      </c>
      <c r="H145" s="87" t="n">
        <f aca="false">('Input data plant-based products'!$F$85*('Common input data'!$C$76*'Common input data'!B69+'Common input data'!$C$77*'Common input data'!C69))/'Input data plant-based products'!$E$85</f>
        <v>0.0127994722516558</v>
      </c>
      <c r="I145" s="89" t="n">
        <f aca="false">'Common input data'!$B$81</f>
        <v>0.03</v>
      </c>
      <c r="J145" s="87" t="n">
        <v>0</v>
      </c>
      <c r="K145" s="89" t="n">
        <v>0</v>
      </c>
      <c r="L145" s="87" t="n">
        <v>0</v>
      </c>
      <c r="M145" s="89" t="n">
        <f aca="false">'Input data plant-based products'!M145/'Input data plant-based products'!E$85*'Common input data'!D$36</f>
        <v>2.52334117925053</v>
      </c>
      <c r="N145" s="89" t="n">
        <v>0</v>
      </c>
      <c r="O145" s="89" t="n">
        <v>0</v>
      </c>
      <c r="P145" s="89" t="n">
        <v>0</v>
      </c>
      <c r="Q145" s="89" t="n">
        <v>0</v>
      </c>
      <c r="R145" s="89" t="n">
        <v>0</v>
      </c>
      <c r="S145" s="89" t="n">
        <f aca="false">F145+R145</f>
        <v>2.56614065150219</v>
      </c>
      <c r="T145" s="89" t="n">
        <f aca="false">'Common input data'!B$86</f>
        <v>0.15</v>
      </c>
      <c r="U145" s="89" t="n">
        <f aca="false">'Common input data'!B102+'Common input data'!C102</f>
        <v>0.23</v>
      </c>
      <c r="V145" s="309"/>
      <c r="W145" s="92"/>
      <c r="Z145" s="30"/>
    </row>
    <row r="146" s="209" customFormat="true" ht="17.4" hidden="false" customHeight="false" outlineLevel="0" collapsed="false">
      <c r="A146" s="74"/>
      <c r="B146" s="31"/>
      <c r="C146" s="93"/>
      <c r="D146" s="85" t="s">
        <v>135</v>
      </c>
      <c r="E146" s="217" t="n">
        <f aca="false">SUM(J146:K146)</f>
        <v>0</v>
      </c>
      <c r="F146" s="89" t="n">
        <f aca="false">SUM(H146:O146)</f>
        <v>0.0113933493868461</v>
      </c>
      <c r="G146" s="88" t="n">
        <f aca="false">SUM(S146:U146)/(1-'Common input data'!$B$121)</f>
        <v>0.0135975049371597</v>
      </c>
      <c r="H146" s="87" t="n">
        <f aca="false">('Input data plant-based products'!$F$85*('Common input data'!$C$76*'Common input data'!B70+'Common input data'!$C$77*'Common input data'!C70))/'Input data plant-based products'!$E$85</f>
        <v>5.64347443564551E-011</v>
      </c>
      <c r="I146" s="89" t="n">
        <v>0</v>
      </c>
      <c r="J146" s="87" t="n">
        <v>0</v>
      </c>
      <c r="K146" s="89" t="n">
        <v>0</v>
      </c>
      <c r="L146" s="87" t="n">
        <v>0</v>
      </c>
      <c r="M146" s="89" t="n">
        <f aca="false">'Input data plant-based products'!N145/'Input data plant-based products'!E$85*'Common input data'!D$36</f>
        <v>0.0113933493304114</v>
      </c>
      <c r="N146" s="89" t="n">
        <v>0</v>
      </c>
      <c r="O146" s="89" t="n">
        <v>0</v>
      </c>
      <c r="P146" s="89" t="n">
        <v>0</v>
      </c>
      <c r="Q146" s="89" t="n">
        <v>0</v>
      </c>
      <c r="R146" s="89" t="n">
        <v>0</v>
      </c>
      <c r="S146" s="89" t="n">
        <f aca="false">F146+R146</f>
        <v>0.0113933493868461</v>
      </c>
      <c r="T146" s="89" t="n">
        <v>0</v>
      </c>
      <c r="U146" s="89" t="n">
        <v>0</v>
      </c>
      <c r="V146" s="309"/>
      <c r="W146" s="92"/>
      <c r="Z146" s="30"/>
    </row>
    <row r="147" s="209" customFormat="true" ht="17.4" hidden="false" customHeight="false" outlineLevel="0" collapsed="false">
      <c r="A147" s="100"/>
      <c r="B147" s="101"/>
      <c r="C147" s="87"/>
      <c r="D147" s="31" t="s">
        <v>136</v>
      </c>
      <c r="E147" s="217" t="n">
        <f aca="false">SUM(J147:K147)</f>
        <v>7.54288178333285E-005</v>
      </c>
      <c r="F147" s="89" t="n">
        <f aca="false">SUM(H147:O147)</f>
        <v>0.000231960122369474</v>
      </c>
      <c r="G147" s="88" t="n">
        <f aca="false">SUM(S147:U147)/(1-'Common input data'!$B$121)</f>
        <v>0.00027683509054717</v>
      </c>
      <c r="H147" s="87" t="n">
        <f aca="false">('Input data plant-based products'!$F$85*('Common input data'!$C$76*'Common input data'!B71+'Common input data'!$C$77*'Common input data'!C71))/'Input data plant-based products'!$E$85</f>
        <v>6.99138507944598E-005</v>
      </c>
      <c r="I147" s="87" t="n">
        <v>0</v>
      </c>
      <c r="J147" s="87" t="n">
        <f aca="false">(SUM('Input data plant-based products'!F85:H85)*'Input data plant-based products'!$B$114*44/28)/'Input data plant-based products'!E85</f>
        <v>7.54288178333285E-005</v>
      </c>
      <c r="K147" s="89" t="n">
        <f aca="false">J147*'Input data plant-based products'!$B$115*(1-'Input data plant-based products'!$L$145)</f>
        <v>0</v>
      </c>
      <c r="L147" s="87" t="n">
        <v>0</v>
      </c>
      <c r="M147" s="89" t="n">
        <f aca="false">'Input data plant-based products'!O145/'Input data plant-based products'!E$85*'Common input data'!D$36</f>
        <v>8.66174537416855E-005</v>
      </c>
      <c r="N147" s="89" t="n">
        <v>0</v>
      </c>
      <c r="O147" s="89" t="n">
        <v>0</v>
      </c>
      <c r="P147" s="89" t="n">
        <v>0</v>
      </c>
      <c r="Q147" s="89" t="n">
        <v>0</v>
      </c>
      <c r="R147" s="89" t="n">
        <v>0</v>
      </c>
      <c r="S147" s="89" t="n">
        <f aca="false">F147+R147</f>
        <v>0.000231960122369474</v>
      </c>
      <c r="T147" s="89" t="n">
        <v>0</v>
      </c>
      <c r="U147" s="89" t="n">
        <v>0</v>
      </c>
      <c r="V147" s="309"/>
      <c r="W147" s="92"/>
      <c r="Z147" s="30"/>
    </row>
    <row r="148" s="332" customFormat="true" ht="17.4" hidden="false" customHeight="false" outlineLevel="0" collapsed="false">
      <c r="A148" s="330" t="s">
        <v>141</v>
      </c>
      <c r="B148" s="76" t="s">
        <v>254</v>
      </c>
      <c r="C148" s="97" t="n">
        <f aca="false">'Input data plant-based products'!D86</f>
        <v>0.085</v>
      </c>
      <c r="D148" s="78" t="s">
        <v>133</v>
      </c>
      <c r="E148" s="94" t="n">
        <f aca="false">IF($F$1="GWP100 without fb",E149+E150*'Common input data'!$C$5+E151*'Common input data'!$D$5,IF($F$1="GWP100 with fb",E149+E150*'Common input data'!$C$6+E151*'Common input data'!$D$6,IF($F$1="GTP100 without fb",E149+E150*'Common input data'!$C$7+E151*'Common input data'!$D$7,IF($F$1="GTP100 with fb",E149+E150*'Common input data'!$C$8+E151*'Common input data'!$D$8,E149+E150*'Common input data'!$C$9+E151*'Common input data'!$D$9))))</f>
        <v>-0.0728843537378467</v>
      </c>
      <c r="F148" s="95" t="n">
        <f aca="false">IF($F$1="GWP100 without fb",F149+F150*'Common input data'!$C$5+F151*'Common input data'!$D$5,IF($F$1="GWP100 with fb",F149+F150*'Common input data'!$C$6+F151*'Common input data'!$D$6,IF($F$1="GTP100 without fb",F149+F150*'Common input data'!$C$7+F151*'Common input data'!$D$7,IF($F$1="GTP100 with fb",F149+F150*'Common input data'!$C$8+F151*'Common input data'!$D$8,F149+F150*'Common input data'!$C$9+F151*'Common input data'!$D$9))))</f>
        <v>0.120028122826335</v>
      </c>
      <c r="G148" s="96" t="n">
        <f aca="false">IF($F$1="GWP100 without fb",G149+G150*'Common input data'!$C$5+G151*'Common input data'!$D$5,IF($F$1="GWP100 with fb",G149+G150*'Common input data'!$C$6+G151*'Common input data'!$D$6,IF($F$1="GTP100 without fb",G149+G150*'Common input data'!$C$7+G151*'Common input data'!$D$7,IF($F$1="GTP100 with fb",G149+G150*'Common input data'!$C$8+G151*'Common input data'!$D$8,G149+G150*'Common input data'!$C$9+G151*'Common input data'!$D$9))))</f>
        <v>0.596763483502011</v>
      </c>
      <c r="H148" s="83"/>
      <c r="I148" s="83"/>
      <c r="J148" s="83"/>
      <c r="K148" s="83"/>
      <c r="L148" s="83"/>
      <c r="M148" s="83"/>
      <c r="N148" s="83"/>
      <c r="O148" s="83"/>
      <c r="P148" s="83"/>
      <c r="Q148" s="83"/>
      <c r="R148" s="83"/>
      <c r="S148" s="83"/>
      <c r="T148" s="83"/>
      <c r="U148" s="83"/>
      <c r="V148" s="309"/>
      <c r="W148" s="92"/>
      <c r="X148" s="209"/>
      <c r="Y148" s="209"/>
      <c r="Z148" s="30"/>
      <c r="AA148" s="209"/>
      <c r="AB148" s="209"/>
      <c r="AC148" s="209"/>
      <c r="AD148" s="209"/>
      <c r="AE148" s="209"/>
      <c r="AF148" s="209"/>
      <c r="AG148" s="209"/>
      <c r="AH148" s="209"/>
      <c r="AI148" s="209"/>
      <c r="AJ148" s="209"/>
      <c r="AK148" s="209"/>
      <c r="AL148" s="209"/>
      <c r="AM148" s="209"/>
      <c r="AN148" s="209"/>
      <c r="AO148" s="209"/>
      <c r="AP148" s="209"/>
      <c r="AQ148" s="209"/>
      <c r="AR148" s="209"/>
      <c r="AS148" s="209"/>
      <c r="AT148" s="209"/>
      <c r="AU148" s="209"/>
      <c r="AV148" s="209"/>
      <c r="AW148" s="209"/>
      <c r="AX148" s="209"/>
      <c r="AY148" s="209"/>
      <c r="AZ148" s="209"/>
      <c r="BA148" s="209"/>
      <c r="BB148" s="209"/>
      <c r="BC148" s="209"/>
      <c r="BD148" s="209"/>
      <c r="BE148" s="209"/>
      <c r="BF148" s="209"/>
      <c r="BG148" s="209"/>
      <c r="BH148" s="209"/>
      <c r="BI148" s="209"/>
      <c r="BJ148" s="209"/>
      <c r="BK148" s="209"/>
      <c r="BL148" s="209"/>
      <c r="BM148" s="209"/>
      <c r="BN148" s="209"/>
      <c r="BO148" s="209"/>
      <c r="BP148" s="209"/>
      <c r="BQ148" s="209"/>
      <c r="BR148" s="209"/>
      <c r="BS148" s="209"/>
      <c r="BT148" s="209"/>
      <c r="BU148" s="209"/>
      <c r="BV148" s="209"/>
      <c r="BW148" s="209"/>
      <c r="BX148" s="209"/>
      <c r="BY148" s="209"/>
      <c r="BZ148" s="209"/>
      <c r="CA148" s="209"/>
      <c r="CB148" s="209"/>
      <c r="CC148" s="209"/>
      <c r="CD148" s="209"/>
      <c r="CE148" s="209"/>
      <c r="CF148" s="209"/>
      <c r="CG148" s="209"/>
      <c r="CH148" s="209"/>
      <c r="CI148" s="209"/>
      <c r="CJ148" s="209"/>
      <c r="CK148" s="209"/>
      <c r="CL148" s="209"/>
      <c r="CM148" s="209"/>
      <c r="CN148" s="209"/>
      <c r="CO148" s="209"/>
      <c r="CP148" s="209"/>
      <c r="CQ148" s="209"/>
      <c r="CR148" s="209"/>
      <c r="CS148" s="209"/>
      <c r="CT148" s="209"/>
      <c r="CU148" s="209"/>
      <c r="CV148" s="209"/>
      <c r="CW148" s="209"/>
      <c r="CX148" s="209"/>
      <c r="CY148" s="209"/>
      <c r="CZ148" s="209"/>
      <c r="DA148" s="209"/>
      <c r="DB148" s="209"/>
      <c r="DC148" s="209"/>
      <c r="DD148" s="209"/>
      <c r="DE148" s="209"/>
      <c r="DF148" s="209"/>
      <c r="DG148" s="209"/>
      <c r="DH148" s="209"/>
      <c r="DI148" s="209"/>
      <c r="DJ148" s="209"/>
      <c r="DK148" s="209"/>
      <c r="DL148" s="209"/>
      <c r="DM148" s="209"/>
      <c r="DN148" s="209"/>
      <c r="DO148" s="209"/>
      <c r="DP148" s="209"/>
      <c r="DQ148" s="209"/>
      <c r="DR148" s="209"/>
      <c r="DS148" s="209"/>
      <c r="DT148" s="209"/>
      <c r="DU148" s="209"/>
      <c r="DV148" s="209"/>
      <c r="DW148" s="209"/>
      <c r="DX148" s="209"/>
      <c r="DY148" s="209"/>
      <c r="DZ148" s="209"/>
      <c r="EA148" s="209"/>
      <c r="EB148" s="209"/>
      <c r="EC148" s="209"/>
      <c r="ED148" s="209"/>
      <c r="EE148" s="209"/>
      <c r="EF148" s="209"/>
      <c r="EG148" s="209"/>
      <c r="EH148" s="209"/>
      <c r="EI148" s="209"/>
      <c r="EJ148" s="209"/>
      <c r="EK148" s="209"/>
      <c r="EL148" s="209"/>
      <c r="EM148" s="209"/>
      <c r="EN148" s="209"/>
      <c r="EO148" s="209"/>
      <c r="EP148" s="209"/>
      <c r="EQ148" s="209"/>
      <c r="ER148" s="209"/>
      <c r="ES148" s="209"/>
      <c r="ET148" s="209"/>
      <c r="EU148" s="209"/>
      <c r="EV148" s="209"/>
      <c r="EW148" s="209"/>
      <c r="EX148" s="209"/>
      <c r="EY148" s="209"/>
      <c r="EZ148" s="209"/>
      <c r="FA148" s="209"/>
      <c r="FB148" s="209"/>
      <c r="FC148" s="209"/>
      <c r="FD148" s="209"/>
      <c r="FE148" s="209"/>
      <c r="FF148" s="209"/>
      <c r="FG148" s="209"/>
      <c r="FH148" s="209"/>
      <c r="FI148" s="209"/>
      <c r="FJ148" s="209"/>
      <c r="FK148" s="209"/>
      <c r="FL148" s="209"/>
      <c r="FM148" s="209"/>
      <c r="FN148" s="209"/>
      <c r="FO148" s="209"/>
      <c r="FP148" s="209"/>
      <c r="FQ148" s="209"/>
      <c r="FR148" s="209"/>
      <c r="FS148" s="209"/>
      <c r="FT148" s="209"/>
      <c r="FU148" s="209"/>
      <c r="FV148" s="209"/>
      <c r="FW148" s="209"/>
      <c r="FX148" s="209"/>
      <c r="FY148" s="209"/>
      <c r="FZ148" s="209"/>
      <c r="GA148" s="209"/>
      <c r="GB148" s="209"/>
      <c r="GC148" s="209"/>
      <c r="GD148" s="209"/>
      <c r="GE148" s="209"/>
      <c r="GF148" s="209"/>
      <c r="GG148" s="209"/>
      <c r="GH148" s="209"/>
      <c r="GI148" s="209"/>
      <c r="GJ148" s="209"/>
      <c r="GK148" s="209"/>
      <c r="GL148" s="209"/>
      <c r="GM148" s="209"/>
      <c r="GN148" s="209"/>
      <c r="GO148" s="209"/>
      <c r="GP148" s="209"/>
      <c r="GQ148" s="209"/>
      <c r="GR148" s="209"/>
      <c r="GS148" s="209"/>
      <c r="GT148" s="209"/>
      <c r="GU148" s="209"/>
      <c r="GV148" s="209"/>
      <c r="GW148" s="209"/>
      <c r="GX148" s="209"/>
      <c r="GY148" s="209"/>
      <c r="GZ148" s="209"/>
      <c r="HA148" s="209"/>
      <c r="HB148" s="209"/>
      <c r="HC148" s="209"/>
      <c r="HD148" s="209"/>
      <c r="HE148" s="209"/>
      <c r="HF148" s="209"/>
      <c r="HG148" s="209"/>
      <c r="HH148" s="209"/>
      <c r="HI148" s="209"/>
      <c r="HJ148" s="209"/>
      <c r="HK148" s="209"/>
      <c r="HL148" s="209"/>
      <c r="HM148" s="209"/>
      <c r="HN148" s="209"/>
      <c r="HO148" s="209"/>
      <c r="HP148" s="209"/>
      <c r="HQ148" s="209"/>
      <c r="HR148" s="209"/>
      <c r="HS148" s="209"/>
      <c r="HT148" s="209"/>
      <c r="HU148" s="209"/>
      <c r="HV148" s="209"/>
      <c r="HW148" s="209"/>
      <c r="HX148" s="209"/>
      <c r="HY148" s="209"/>
      <c r="HZ148" s="209"/>
      <c r="IA148" s="209"/>
      <c r="IB148" s="209"/>
      <c r="IC148" s="209"/>
      <c r="ID148" s="209"/>
      <c r="IE148" s="209"/>
      <c r="IF148" s="209"/>
      <c r="IG148" s="209"/>
      <c r="IH148" s="209"/>
      <c r="II148" s="209"/>
      <c r="IJ148" s="209"/>
      <c r="IK148" s="209"/>
      <c r="IL148" s="209"/>
      <c r="IM148" s="209"/>
      <c r="IN148" s="209"/>
      <c r="IO148" s="209"/>
      <c r="IP148" s="209"/>
      <c r="IQ148" s="209"/>
      <c r="IR148" s="209"/>
      <c r="IS148" s="209"/>
      <c r="IT148" s="209"/>
      <c r="IU148" s="209"/>
      <c r="IV148" s="209"/>
      <c r="IW148" s="209"/>
      <c r="IX148" s="209"/>
    </row>
    <row r="149" s="209" customFormat="true" ht="17.4" hidden="false" customHeight="false" outlineLevel="0" collapsed="false">
      <c r="A149" s="99"/>
      <c r="B149" s="31"/>
      <c r="C149" s="30"/>
      <c r="D149" s="85" t="s">
        <v>134</v>
      </c>
      <c r="E149" s="217" t="n">
        <f aca="false">IF(AND($F$2="No",$F$3="No"),SUM(J149:K149),IF(AND($F$2="Yes", $F$3="No"), SUM(J149:K149)+Q149, IF(AND($F$2="No", $F$3="Yes"),SUM(J149:K149)+P149, SUM(J149:K149)+Q149+P149)))</f>
        <v>-0.0911390481413813</v>
      </c>
      <c r="F149" s="89" t="n">
        <f aca="false">IF(AND($F$2="No",$F$3="No"),SUM(H149:O149),IF(AND($F$2="Yes", $F$3="No"), SUM(H149:O149)+Q149, IF(AND($F$2="No", $F$3="Yes"),SUM(H149:O149)+P149, SUM(H149:O149)+Q149+P149)))</f>
        <v>0.0844055485371742</v>
      </c>
      <c r="G149" s="88" t="n">
        <f aca="false">SUM(S149:U149)/(1-'Common input data'!$B$121)</f>
        <v>0.55424937168776</v>
      </c>
      <c r="H149" s="87" t="n">
        <f aca="false">('Input data plant-based products'!$F$86*('Common input data'!$C$76*'Common input data'!B69+'Common input data'!$C$77*'Common input data'!C69))/'Input data plant-based products'!$E$86</f>
        <v>0.00944975131773077</v>
      </c>
      <c r="I149" s="89" t="n">
        <f aca="false">'Common input data'!$B$81</f>
        <v>0.03</v>
      </c>
      <c r="J149" s="87" t="n">
        <v>0</v>
      </c>
      <c r="K149" s="89" t="n">
        <v>0</v>
      </c>
      <c r="L149" s="87" t="n">
        <f aca="false">('Input data plant-based products'!$I$86*'Common input data'!$C$59*'Common input data'!H49)/'Input data plant-based products'!$E$86</f>
        <v>0.0860948453608247</v>
      </c>
      <c r="M149" s="89" t="n">
        <v>0</v>
      </c>
      <c r="N149" s="89" t="n">
        <f aca="false">'Input data plant-based products'!F$152</f>
        <v>0.05</v>
      </c>
      <c r="O149" s="89" t="n">
        <v>0</v>
      </c>
      <c r="P149" s="89" t="n">
        <f aca="false">'Common input data'!$F$13</f>
        <v>-0.0911390481413813</v>
      </c>
      <c r="Q149" s="89" t="n">
        <v>0</v>
      </c>
      <c r="R149" s="89" t="n">
        <v>0</v>
      </c>
      <c r="S149" s="89" t="n">
        <f aca="false">F149+R149</f>
        <v>0.0844055485371742</v>
      </c>
      <c r="T149" s="89" t="n">
        <f aca="false">'Common input data'!B$86</f>
        <v>0.15</v>
      </c>
      <c r="U149" s="87" t="n">
        <f aca="false">'Common input data'!B102+'Common input data'!C102</f>
        <v>0.23</v>
      </c>
      <c r="V149" s="309"/>
      <c r="W149" s="92"/>
      <c r="Z149" s="30"/>
    </row>
    <row r="150" s="209" customFormat="true" ht="17.4" hidden="false" customHeight="false" outlineLevel="0" collapsed="false">
      <c r="A150" s="74"/>
      <c r="B150" s="31"/>
      <c r="C150" s="93"/>
      <c r="D150" s="85" t="s">
        <v>135</v>
      </c>
      <c r="E150" s="217" t="n">
        <f aca="false">SUM(J150:K150)</f>
        <v>0</v>
      </c>
      <c r="F150" s="89" t="n">
        <f aca="false">SUM(H150:O150)</f>
        <v>3.81371550673969E-005</v>
      </c>
      <c r="G150" s="88" t="n">
        <f aca="false">SUM(S150:U150)/(1-'Common input data'!$B$121)</f>
        <v>4.55151629877037E-005</v>
      </c>
      <c r="H150" s="87" t="n">
        <f aca="false">('Input data plant-based products'!$F$86*('Common input data'!$C$76*'Common input data'!B70+'Common input data'!$C$77*'Common input data'!C70))/'Input data plant-based products'!$E$86</f>
        <v>4.16653350515464E-011</v>
      </c>
      <c r="I150" s="87" t="n">
        <v>0</v>
      </c>
      <c r="J150" s="87" t="n">
        <v>0</v>
      </c>
      <c r="K150" s="87" t="n">
        <v>0</v>
      </c>
      <c r="L150" s="87" t="n">
        <f aca="false">('Input data plant-based products'!$I$86*'Common input data'!$C$59*'Common input data'!H50)/'Input data plant-based products'!$E$86</f>
        <v>3.81371134020619E-005</v>
      </c>
      <c r="M150" s="89" t="n">
        <v>0</v>
      </c>
      <c r="N150" s="89" t="n">
        <v>0</v>
      </c>
      <c r="O150" s="89" t="n">
        <v>0</v>
      </c>
      <c r="P150" s="89" t="n">
        <v>0</v>
      </c>
      <c r="Q150" s="89" t="n">
        <v>0</v>
      </c>
      <c r="R150" s="89" t="n">
        <v>0</v>
      </c>
      <c r="S150" s="89" t="n">
        <f aca="false">F150+R150</f>
        <v>3.81371550673969E-005</v>
      </c>
      <c r="T150" s="89" t="n">
        <v>0</v>
      </c>
      <c r="U150" s="89" t="n">
        <v>0</v>
      </c>
      <c r="V150" s="309"/>
      <c r="W150" s="92"/>
      <c r="Z150" s="30"/>
    </row>
    <row r="151" s="209" customFormat="true" ht="17.4" hidden="false" customHeight="false" outlineLevel="0" collapsed="false">
      <c r="A151" s="100"/>
      <c r="B151" s="101"/>
      <c r="C151" s="87"/>
      <c r="D151" s="31" t="s">
        <v>136</v>
      </c>
      <c r="E151" s="219" t="n">
        <f aca="false">SUM(J151:K151)</f>
        <v>6.12573637702504E-005</v>
      </c>
      <c r="F151" s="126" t="n">
        <f aca="false">SUM(H151:O151)</f>
        <v>0.000115187620861977</v>
      </c>
      <c r="G151" s="106" t="n">
        <f aca="false">SUM(S151:U151)/(1-'Common input data'!$B$121)</f>
        <v>0.000137471799572714</v>
      </c>
      <c r="H151" s="87" t="n">
        <f aca="false">('Input data plant-based products'!$F$86*('Common input data'!$C$76*'Common input data'!B71+'Common input data'!$C$77*'Common input data'!C71))/'Input data plant-based products'!$E$86</f>
        <v>5.16168550298713E-005</v>
      </c>
      <c r="I151" s="87" t="n">
        <v>0</v>
      </c>
      <c r="J151" s="87" t="n">
        <f aca="false">(SUM('Input data plant-based products'!F86:H86)*'Input data plant-based products'!$B$114*44/28)/'Input data plant-based products'!E86</f>
        <v>5.56885125184094E-005</v>
      </c>
      <c r="K151" s="89" t="n">
        <f aca="false">J151*'Input data plant-based products'!$B$115</f>
        <v>5.56885125184094E-006</v>
      </c>
      <c r="L151" s="87" t="n">
        <f aca="false">('Input data plant-based products'!$I$86*'Common input data'!$C$59*'Common input data'!H51)/'Input data plant-based products'!$E$86</f>
        <v>2.31340206185567E-006</v>
      </c>
      <c r="M151" s="89" t="n">
        <v>0</v>
      </c>
      <c r="N151" s="89" t="n">
        <v>0</v>
      </c>
      <c r="O151" s="89" t="n">
        <v>0</v>
      </c>
      <c r="P151" s="89" t="n">
        <v>0</v>
      </c>
      <c r="Q151" s="89" t="n">
        <v>0</v>
      </c>
      <c r="R151" s="89" t="n">
        <v>0</v>
      </c>
      <c r="S151" s="89" t="n">
        <f aca="false">F151+R151</f>
        <v>0.000115187620861977</v>
      </c>
      <c r="T151" s="89" t="n">
        <v>0</v>
      </c>
      <c r="U151" s="89" t="n">
        <v>0</v>
      </c>
      <c r="V151" s="309"/>
      <c r="W151" s="92"/>
      <c r="Z151" s="30"/>
    </row>
    <row r="152" s="334" customFormat="true" ht="17.4" hidden="false" customHeight="false" outlineLevel="0" collapsed="false">
      <c r="A152" s="107" t="s">
        <v>341</v>
      </c>
      <c r="B152" s="108"/>
      <c r="C152" s="69"/>
      <c r="D152" s="109"/>
      <c r="E152" s="110" t="s">
        <v>342</v>
      </c>
      <c r="F152" s="111" t="s">
        <v>342</v>
      </c>
      <c r="G152" s="112" t="s">
        <v>342</v>
      </c>
      <c r="H152" s="69"/>
      <c r="I152" s="69"/>
      <c r="J152" s="69"/>
      <c r="K152" s="113"/>
      <c r="L152" s="113"/>
      <c r="M152" s="114"/>
      <c r="N152" s="113"/>
      <c r="O152" s="113"/>
      <c r="P152" s="113"/>
      <c r="Q152" s="113"/>
      <c r="R152" s="113"/>
      <c r="S152" s="113"/>
      <c r="T152" s="113"/>
      <c r="U152" s="113"/>
      <c r="V152" s="309"/>
      <c r="W152" s="92"/>
      <c r="X152" s="209"/>
      <c r="Y152" s="209"/>
      <c r="Z152" s="30"/>
      <c r="AA152" s="209"/>
      <c r="AB152" s="209"/>
      <c r="AC152" s="209"/>
      <c r="AD152" s="209"/>
      <c r="AE152" s="209"/>
      <c r="AF152" s="209"/>
      <c r="AG152" s="209"/>
      <c r="AH152" s="209"/>
      <c r="AI152" s="209"/>
      <c r="AJ152" s="209"/>
      <c r="AK152" s="209"/>
      <c r="AL152" s="209"/>
      <c r="AM152" s="209"/>
      <c r="AN152" s="209"/>
      <c r="AO152" s="209"/>
      <c r="AP152" s="209"/>
      <c r="AQ152" s="209"/>
      <c r="AR152" s="209"/>
      <c r="AS152" s="209"/>
      <c r="AT152" s="209"/>
      <c r="AU152" s="209"/>
      <c r="AV152" s="209"/>
      <c r="AW152" s="209"/>
      <c r="AX152" s="209"/>
      <c r="AY152" s="209"/>
      <c r="AZ152" s="209"/>
      <c r="BA152" s="209"/>
      <c r="BB152" s="209"/>
      <c r="BC152" s="209"/>
      <c r="BD152" s="209"/>
      <c r="BE152" s="209"/>
      <c r="BF152" s="209"/>
      <c r="BG152" s="209"/>
      <c r="BH152" s="209"/>
      <c r="BI152" s="209"/>
      <c r="BJ152" s="209"/>
      <c r="BK152" s="209"/>
      <c r="BL152" s="209"/>
      <c r="BM152" s="209"/>
      <c r="BN152" s="209"/>
      <c r="BO152" s="209"/>
      <c r="BP152" s="209"/>
      <c r="BQ152" s="209"/>
      <c r="BR152" s="209"/>
      <c r="BS152" s="209"/>
      <c r="BT152" s="209"/>
      <c r="BU152" s="209"/>
      <c r="BV152" s="209"/>
      <c r="BW152" s="209"/>
      <c r="BX152" s="209"/>
      <c r="BY152" s="209"/>
      <c r="BZ152" s="209"/>
      <c r="CA152" s="209"/>
      <c r="CB152" s="209"/>
      <c r="CC152" s="209"/>
      <c r="CD152" s="209"/>
      <c r="CE152" s="209"/>
      <c r="CF152" s="209"/>
      <c r="CG152" s="209"/>
      <c r="CH152" s="209"/>
      <c r="CI152" s="209"/>
      <c r="CJ152" s="209"/>
      <c r="CK152" s="209"/>
      <c r="CL152" s="209"/>
      <c r="CM152" s="209"/>
      <c r="CN152" s="209"/>
      <c r="CO152" s="209"/>
      <c r="CP152" s="209"/>
      <c r="CQ152" s="209"/>
      <c r="CR152" s="209"/>
      <c r="CS152" s="209"/>
      <c r="CT152" s="209"/>
      <c r="CU152" s="209"/>
      <c r="CV152" s="209"/>
      <c r="CW152" s="209"/>
      <c r="CX152" s="209"/>
      <c r="CY152" s="209"/>
      <c r="CZ152" s="209"/>
      <c r="DA152" s="209"/>
      <c r="DB152" s="209"/>
      <c r="DC152" s="209"/>
      <c r="DD152" s="209"/>
      <c r="DE152" s="209"/>
      <c r="DF152" s="209"/>
      <c r="DG152" s="209"/>
      <c r="DH152" s="209"/>
      <c r="DI152" s="209"/>
      <c r="DJ152" s="209"/>
      <c r="DK152" s="209"/>
      <c r="DL152" s="209"/>
      <c r="DM152" s="209"/>
      <c r="DN152" s="209"/>
      <c r="DO152" s="209"/>
      <c r="DP152" s="209"/>
      <c r="DQ152" s="209"/>
      <c r="DR152" s="209"/>
      <c r="DS152" s="209"/>
      <c r="DT152" s="209"/>
      <c r="DU152" s="209"/>
      <c r="DV152" s="209"/>
      <c r="DW152" s="209"/>
      <c r="DX152" s="209"/>
      <c r="DY152" s="209"/>
      <c r="DZ152" s="209"/>
      <c r="EA152" s="209"/>
      <c r="EB152" s="209"/>
      <c r="EC152" s="209"/>
      <c r="ED152" s="209"/>
      <c r="EE152" s="209"/>
      <c r="EF152" s="209"/>
      <c r="EG152" s="209"/>
      <c r="EH152" s="209"/>
      <c r="EI152" s="209"/>
      <c r="EJ152" s="209"/>
      <c r="EK152" s="209"/>
      <c r="EL152" s="209"/>
      <c r="EM152" s="209"/>
      <c r="EN152" s="209"/>
      <c r="EO152" s="209"/>
      <c r="EP152" s="209"/>
      <c r="EQ152" s="209"/>
      <c r="ER152" s="209"/>
      <c r="ES152" s="209"/>
      <c r="ET152" s="209"/>
      <c r="EU152" s="209"/>
      <c r="EV152" s="209"/>
      <c r="EW152" s="209"/>
      <c r="EX152" s="209"/>
      <c r="EY152" s="209"/>
      <c r="EZ152" s="209"/>
      <c r="FA152" s="209"/>
      <c r="FB152" s="209"/>
      <c r="FC152" s="209"/>
      <c r="FD152" s="209"/>
      <c r="FE152" s="209"/>
      <c r="FF152" s="209"/>
      <c r="FG152" s="209"/>
      <c r="FH152" s="209"/>
      <c r="FI152" s="209"/>
      <c r="FJ152" s="209"/>
      <c r="FK152" s="209"/>
      <c r="FL152" s="209"/>
      <c r="FM152" s="209"/>
      <c r="FN152" s="209"/>
      <c r="FO152" s="209"/>
      <c r="FP152" s="209"/>
      <c r="FQ152" s="209"/>
      <c r="FR152" s="209"/>
      <c r="FS152" s="209"/>
      <c r="FT152" s="209"/>
      <c r="FU152" s="209"/>
      <c r="FV152" s="209"/>
      <c r="FW152" s="209"/>
      <c r="FX152" s="209"/>
      <c r="FY152" s="209"/>
      <c r="FZ152" s="209"/>
      <c r="GA152" s="209"/>
      <c r="GB152" s="209"/>
      <c r="GC152" s="209"/>
      <c r="GD152" s="209"/>
      <c r="GE152" s="209"/>
      <c r="GF152" s="209"/>
      <c r="GG152" s="209"/>
      <c r="GH152" s="209"/>
      <c r="GI152" s="209"/>
      <c r="GJ152" s="209"/>
      <c r="GK152" s="209"/>
      <c r="GL152" s="209"/>
      <c r="GM152" s="209"/>
      <c r="GN152" s="209"/>
      <c r="GO152" s="209"/>
      <c r="GP152" s="209"/>
      <c r="GQ152" s="209"/>
      <c r="GR152" s="209"/>
      <c r="GS152" s="209"/>
      <c r="GT152" s="209"/>
      <c r="GU152" s="209"/>
      <c r="GV152" s="209"/>
      <c r="GW152" s="209"/>
      <c r="GX152" s="209"/>
      <c r="GY152" s="209"/>
      <c r="GZ152" s="209"/>
      <c r="HA152" s="209"/>
      <c r="HB152" s="209"/>
      <c r="HC152" s="209"/>
      <c r="HD152" s="209"/>
      <c r="HE152" s="209"/>
      <c r="HF152" s="209"/>
      <c r="HG152" s="209"/>
      <c r="HH152" s="209"/>
      <c r="HI152" s="209"/>
      <c r="HJ152" s="209"/>
      <c r="HK152" s="209"/>
      <c r="HL152" s="209"/>
      <c r="HM152" s="209"/>
      <c r="HN152" s="209"/>
      <c r="HO152" s="209"/>
      <c r="HP152" s="209"/>
      <c r="HQ152" s="209"/>
      <c r="HR152" s="209"/>
      <c r="HS152" s="209"/>
      <c r="HT152" s="209"/>
      <c r="HU152" s="209"/>
      <c r="HV152" s="209"/>
      <c r="HW152" s="209"/>
      <c r="HX152" s="209"/>
      <c r="HY152" s="209"/>
      <c r="HZ152" s="209"/>
      <c r="IA152" s="209"/>
      <c r="IB152" s="209"/>
      <c r="IC152" s="209"/>
      <c r="ID152" s="209"/>
      <c r="IE152" s="209"/>
      <c r="IF152" s="209"/>
      <c r="IG152" s="209"/>
      <c r="IH152" s="209"/>
      <c r="II152" s="209"/>
      <c r="IJ152" s="209"/>
      <c r="IK152" s="209"/>
      <c r="IL152" s="209"/>
      <c r="IM152" s="209"/>
      <c r="IN152" s="209"/>
      <c r="IO152" s="209"/>
      <c r="IP152" s="209"/>
      <c r="IQ152" s="209"/>
      <c r="IR152" s="209"/>
      <c r="IS152" s="209"/>
      <c r="IT152" s="209"/>
      <c r="IU152" s="209"/>
      <c r="IV152" s="209"/>
      <c r="IW152" s="209"/>
      <c r="IX152" s="209"/>
    </row>
    <row r="153" s="332" customFormat="true" ht="17.4" hidden="false" customHeight="false" outlineLevel="0" collapsed="false">
      <c r="A153" s="330" t="s">
        <v>272</v>
      </c>
      <c r="B153" s="76"/>
      <c r="C153" s="188" t="n">
        <f aca="false">SUM(C157:C172)</f>
        <v>1</v>
      </c>
      <c r="D153" s="78" t="s">
        <v>133</v>
      </c>
      <c r="E153" s="79" t="n">
        <f aca="false">IF($F$1="GWP100 without fb",E154+E155*'Common input data'!$C$5+E156*'Common input data'!$D$5,IF($F$1="GWP100 with fb",E154+E155*'Common input data'!$C$6+E156*'Common input data'!$D$6,IF($F$1="GTP100 without fb",E154+E155*'Common input data'!$C$7+E156*'Common input data'!$D$7,IF($F$1="GTP100 with fb",E154+E155*'Common input data'!$C$8+E156*'Common input data'!$D$8,E154+E155*'Common input data'!$C$9+E156*'Common input data'!$D$9))))</f>
        <v>0.0137869166797947</v>
      </c>
      <c r="F153" s="80" t="n">
        <f aca="false">IF($F$1="GWP100 without fb",F154+F155*'Common input data'!$C$5+F156*'Common input data'!$D$5,IF($F$1="GWP100 with fb",F154+F155*'Common input data'!$C$6+F156*'Common input data'!$D$6,IF($F$1="GTP100 without fb",F154+F155*'Common input data'!$C$7+F156*'Common input data'!$D$7,IF($F$1="GTP100 with fb",F154+F155*'Common input data'!$C$8+F156*'Common input data'!$D$8,F154+F155*'Common input data'!$C$9+F156*'Common input data'!$D$9))))</f>
        <v>0.384369968075499</v>
      </c>
      <c r="G153" s="81" t="n">
        <f aca="false">IF($F$1="GWP100 without fb",G154+G155*'Common input data'!$C$5+G156*'Common input data'!$D$5,IF($F$1="GWP100 with fb",G154+G155*'Common input data'!$C$6+G156*'Common input data'!$D$6,IF($F$1="GTP100 without fb",G154+G155*'Common input data'!$C$7+G156*'Common input data'!$D$7,IF($F$1="GTP100 with fb",G154+G155*'Common input data'!$C$8+G156*'Common input data'!$D$8,G154+G155*'Common input data'!$C$9+G156*'Common input data'!$D$9))))</f>
        <v>0.759482000328797</v>
      </c>
      <c r="H153" s="95"/>
      <c r="I153" s="97"/>
      <c r="J153" s="97"/>
      <c r="K153" s="83"/>
      <c r="L153" s="83"/>
      <c r="M153" s="83"/>
      <c r="N153" s="83"/>
      <c r="O153" s="83"/>
      <c r="P153" s="83"/>
      <c r="Q153" s="83"/>
      <c r="R153" s="83"/>
      <c r="S153" s="83"/>
      <c r="T153" s="83"/>
      <c r="U153" s="83"/>
      <c r="V153" s="309"/>
      <c r="W153" s="92"/>
      <c r="X153" s="209"/>
      <c r="Y153" s="209"/>
      <c r="Z153" s="30"/>
      <c r="AA153" s="209"/>
      <c r="AB153" s="209"/>
      <c r="AC153" s="209"/>
      <c r="AD153" s="209"/>
      <c r="AE153" s="209"/>
      <c r="AF153" s="209"/>
      <c r="AG153" s="209"/>
      <c r="AH153" s="209"/>
      <c r="AI153" s="209"/>
      <c r="AJ153" s="209"/>
      <c r="AK153" s="209"/>
      <c r="AL153" s="209"/>
      <c r="AM153" s="209"/>
      <c r="AN153" s="209"/>
      <c r="AO153" s="209"/>
      <c r="AP153" s="209"/>
      <c r="AQ153" s="209"/>
      <c r="AR153" s="209"/>
      <c r="AS153" s="209"/>
      <c r="AT153" s="209"/>
      <c r="AU153" s="209"/>
      <c r="AV153" s="209"/>
      <c r="AW153" s="209"/>
      <c r="AX153" s="209"/>
      <c r="AY153" s="209"/>
      <c r="AZ153" s="209"/>
      <c r="BA153" s="209"/>
      <c r="BB153" s="209"/>
      <c r="BC153" s="209"/>
      <c r="BD153" s="209"/>
      <c r="BE153" s="209"/>
      <c r="BF153" s="209"/>
      <c r="BG153" s="209"/>
      <c r="BH153" s="209"/>
      <c r="BI153" s="209"/>
      <c r="BJ153" s="209"/>
      <c r="BK153" s="209"/>
      <c r="BL153" s="209"/>
      <c r="BM153" s="209"/>
      <c r="BN153" s="209"/>
      <c r="BO153" s="209"/>
      <c r="BP153" s="209"/>
      <c r="BQ153" s="209"/>
      <c r="BR153" s="209"/>
      <c r="BS153" s="209"/>
      <c r="BT153" s="209"/>
      <c r="BU153" s="209"/>
      <c r="BV153" s="209"/>
      <c r="BW153" s="209"/>
      <c r="BX153" s="209"/>
      <c r="BY153" s="209"/>
      <c r="BZ153" s="209"/>
      <c r="CA153" s="209"/>
      <c r="CB153" s="209"/>
      <c r="CC153" s="209"/>
      <c r="CD153" s="209"/>
      <c r="CE153" s="209"/>
      <c r="CF153" s="209"/>
      <c r="CG153" s="209"/>
      <c r="CH153" s="209"/>
      <c r="CI153" s="209"/>
      <c r="CJ153" s="209"/>
      <c r="CK153" s="209"/>
      <c r="CL153" s="209"/>
      <c r="CM153" s="209"/>
      <c r="CN153" s="209"/>
      <c r="CO153" s="209"/>
      <c r="CP153" s="209"/>
      <c r="CQ153" s="209"/>
      <c r="CR153" s="209"/>
      <c r="CS153" s="209"/>
      <c r="CT153" s="209"/>
      <c r="CU153" s="209"/>
      <c r="CV153" s="209"/>
      <c r="CW153" s="209"/>
      <c r="CX153" s="209"/>
      <c r="CY153" s="209"/>
      <c r="CZ153" s="209"/>
      <c r="DA153" s="209"/>
      <c r="DB153" s="209"/>
      <c r="DC153" s="209"/>
      <c r="DD153" s="209"/>
      <c r="DE153" s="209"/>
      <c r="DF153" s="209"/>
      <c r="DG153" s="209"/>
      <c r="DH153" s="209"/>
      <c r="DI153" s="209"/>
      <c r="DJ153" s="209"/>
      <c r="DK153" s="209"/>
      <c r="DL153" s="209"/>
      <c r="DM153" s="209"/>
      <c r="DN153" s="209"/>
      <c r="DO153" s="209"/>
      <c r="DP153" s="209"/>
      <c r="DQ153" s="209"/>
      <c r="DR153" s="209"/>
      <c r="DS153" s="209"/>
      <c r="DT153" s="209"/>
      <c r="DU153" s="209"/>
      <c r="DV153" s="209"/>
      <c r="DW153" s="209"/>
      <c r="DX153" s="209"/>
      <c r="DY153" s="209"/>
      <c r="DZ153" s="209"/>
      <c r="EA153" s="209"/>
      <c r="EB153" s="209"/>
      <c r="EC153" s="209"/>
      <c r="ED153" s="209"/>
      <c r="EE153" s="209"/>
      <c r="EF153" s="209"/>
      <c r="EG153" s="209"/>
      <c r="EH153" s="209"/>
      <c r="EI153" s="209"/>
      <c r="EJ153" s="209"/>
      <c r="EK153" s="209"/>
      <c r="EL153" s="209"/>
      <c r="EM153" s="209"/>
      <c r="EN153" s="209"/>
      <c r="EO153" s="209"/>
      <c r="EP153" s="209"/>
      <c r="EQ153" s="209"/>
      <c r="ER153" s="209"/>
      <c r="ES153" s="209"/>
      <c r="ET153" s="209"/>
      <c r="EU153" s="209"/>
      <c r="EV153" s="209"/>
      <c r="EW153" s="209"/>
      <c r="EX153" s="209"/>
      <c r="EY153" s="209"/>
      <c r="EZ153" s="209"/>
      <c r="FA153" s="209"/>
      <c r="FB153" s="209"/>
      <c r="FC153" s="209"/>
      <c r="FD153" s="209"/>
      <c r="FE153" s="209"/>
      <c r="FF153" s="209"/>
      <c r="FG153" s="209"/>
      <c r="FH153" s="209"/>
      <c r="FI153" s="209"/>
      <c r="FJ153" s="209"/>
      <c r="FK153" s="209"/>
      <c r="FL153" s="209"/>
      <c r="FM153" s="209"/>
      <c r="FN153" s="209"/>
      <c r="FO153" s="209"/>
      <c r="FP153" s="209"/>
      <c r="FQ153" s="209"/>
      <c r="FR153" s="209"/>
      <c r="FS153" s="209"/>
      <c r="FT153" s="209"/>
      <c r="FU153" s="209"/>
      <c r="FV153" s="209"/>
      <c r="FW153" s="209"/>
      <c r="FX153" s="209"/>
      <c r="FY153" s="209"/>
      <c r="FZ153" s="209"/>
      <c r="GA153" s="209"/>
      <c r="GB153" s="209"/>
      <c r="GC153" s="209"/>
      <c r="GD153" s="209"/>
      <c r="GE153" s="209"/>
      <c r="GF153" s="209"/>
      <c r="GG153" s="209"/>
      <c r="GH153" s="209"/>
      <c r="GI153" s="209"/>
      <c r="GJ153" s="209"/>
      <c r="GK153" s="209"/>
      <c r="GL153" s="209"/>
      <c r="GM153" s="209"/>
      <c r="GN153" s="209"/>
      <c r="GO153" s="209"/>
      <c r="GP153" s="209"/>
      <c r="GQ153" s="209"/>
      <c r="GR153" s="209"/>
      <c r="GS153" s="209"/>
      <c r="GT153" s="209"/>
      <c r="GU153" s="209"/>
      <c r="GV153" s="209"/>
      <c r="GW153" s="209"/>
      <c r="GX153" s="209"/>
      <c r="GY153" s="209"/>
      <c r="GZ153" s="209"/>
      <c r="HA153" s="209"/>
      <c r="HB153" s="209"/>
      <c r="HC153" s="209"/>
      <c r="HD153" s="209"/>
      <c r="HE153" s="209"/>
      <c r="HF153" s="209"/>
      <c r="HG153" s="209"/>
      <c r="HH153" s="209"/>
      <c r="HI153" s="209"/>
      <c r="HJ153" s="209"/>
      <c r="HK153" s="209"/>
      <c r="HL153" s="209"/>
      <c r="HM153" s="209"/>
      <c r="HN153" s="209"/>
      <c r="HO153" s="209"/>
      <c r="HP153" s="209"/>
      <c r="HQ153" s="209"/>
      <c r="HR153" s="209"/>
      <c r="HS153" s="209"/>
      <c r="HT153" s="209"/>
      <c r="HU153" s="209"/>
      <c r="HV153" s="209"/>
      <c r="HW153" s="209"/>
      <c r="HX153" s="209"/>
      <c r="HY153" s="209"/>
      <c r="HZ153" s="209"/>
      <c r="IA153" s="209"/>
      <c r="IB153" s="209"/>
      <c r="IC153" s="209"/>
      <c r="ID153" s="209"/>
      <c r="IE153" s="209"/>
      <c r="IF153" s="209"/>
      <c r="IG153" s="209"/>
      <c r="IH153" s="209"/>
      <c r="II153" s="209"/>
      <c r="IJ153" s="209"/>
      <c r="IK153" s="209"/>
      <c r="IL153" s="209"/>
      <c r="IM153" s="209"/>
      <c r="IN153" s="209"/>
      <c r="IO153" s="209"/>
      <c r="IP153" s="209"/>
      <c r="IQ153" s="209"/>
      <c r="IR153" s="209"/>
      <c r="IS153" s="209"/>
      <c r="IT153" s="209"/>
      <c r="IU153" s="209"/>
      <c r="IV153" s="209"/>
      <c r="IW153" s="209"/>
      <c r="IX153" s="209"/>
    </row>
    <row r="154" s="209" customFormat="true" ht="17.4" hidden="false" customHeight="false" outlineLevel="0" collapsed="false">
      <c r="A154" s="315"/>
      <c r="B154" s="31"/>
      <c r="C154" s="30"/>
      <c r="D154" s="85" t="s">
        <v>134</v>
      </c>
      <c r="E154" s="217" t="n">
        <f aca="false">E158*$C$157+E162*$C$161+$C$165*E166+$C$169*E170</f>
        <v>-0.0911390481413813</v>
      </c>
      <c r="F154" s="89" t="n">
        <f aca="false">F158*$C$157+F162*$C$161+$C$165*F166+$C$169*F170</f>
        <v>0.204414463866109</v>
      </c>
      <c r="G154" s="88" t="n">
        <f aca="false">G158*$C$157+G162*$C$161+$C$165*G166+$C$169*G170</f>
        <v>0.544712333054194</v>
      </c>
      <c r="H154" s="89" t="n">
        <f aca="false">H158*$C$157+H162*$C$161+$C$165*H166+$C$169*H170</f>
        <v>0.0522485072644057</v>
      </c>
      <c r="I154" s="89" t="n">
        <f aca="false">I158*$C$157+I162*$C$161+$C$165*I166+$C$169*I170</f>
        <v>0.03</v>
      </c>
      <c r="J154" s="89" t="n">
        <f aca="false">J158*$C$157+J162*$C$161+$C$165*J166+$C$169*J170</f>
        <v>0</v>
      </c>
      <c r="K154" s="89" t="n">
        <f aca="false">K158*$C$157+K162*$C$161+$C$165*K166+$C$169*K170</f>
        <v>0</v>
      </c>
      <c r="L154" s="89" t="n">
        <f aca="false">L158*$C$157+L162*$C$161+$C$165*L166+$C$169*L170</f>
        <v>0.163305004743085</v>
      </c>
      <c r="M154" s="89" t="n">
        <f aca="false">M158*$C$157+M162*$C$161+$C$165*M166+$C$169*M170</f>
        <v>0</v>
      </c>
      <c r="N154" s="89" t="n">
        <f aca="false">N158*$C$157+N162*$C$161+$C$165*N166+$C$169*N170</f>
        <v>0.05</v>
      </c>
      <c r="O154" s="89" t="n">
        <f aca="false">O158*$C$157+O162*$C$161+$C$165*O166+$C$169*O170</f>
        <v>0</v>
      </c>
      <c r="P154" s="89" t="n">
        <f aca="false">P158*$C$157+P162*$C$161+$C$165*P166+$C$169*P170</f>
        <v>-0.0911390481413813</v>
      </c>
      <c r="Q154" s="89" t="n">
        <f aca="false">Q158*$C$157+Q162*$C$161+$C$165*Q166+$C$169*Q170</f>
        <v>0</v>
      </c>
      <c r="R154" s="89" t="n">
        <f aca="false">R158*$C$157+R162*$C$161+$C$165*R166+$C$169*R170</f>
        <v>0</v>
      </c>
      <c r="S154" s="89" t="n">
        <f aca="false">S158*$C$157+S162*$C$161+$C$165*S166+$C$169*S170</f>
        <v>0.204414463866109</v>
      </c>
      <c r="T154" s="89" t="n">
        <f aca="false">T158*$C$157+T162*$C$161+$C$165*T166+$C$169*T170</f>
        <v>0.15</v>
      </c>
      <c r="U154" s="89" t="n">
        <f aca="false">U158*$C$157+U162*$C$161+$C$165*U166+$C$169*U170</f>
        <v>0.102</v>
      </c>
      <c r="V154" s="309"/>
      <c r="W154" s="92"/>
      <c r="Z154" s="30"/>
    </row>
    <row r="155" s="209" customFormat="true" ht="17.4" hidden="false" customHeight="false" outlineLevel="0" collapsed="false">
      <c r="A155" s="315"/>
      <c r="B155" s="31"/>
      <c r="C155" s="93"/>
      <c r="D155" s="85" t="s">
        <v>135</v>
      </c>
      <c r="E155" s="217" t="n">
        <f aca="false">E159*$C$157+E163*$C$161+$C$165*E167+$C$169*E171</f>
        <v>0</v>
      </c>
      <c r="F155" s="89" t="n">
        <f aca="false">F159*$C$157+F163*$C$161+$C$165*F167+$C$169*F171</f>
        <v>7.23387836725153E-005</v>
      </c>
      <c r="G155" s="88" t="n">
        <f aca="false">G159*$C$157+G163*$C$161+$C$165*G167+$C$169*G171</f>
        <v>8.633343319312E-005</v>
      </c>
      <c r="H155" s="89" t="n">
        <f aca="false">H159*$C$157+H163*$C$161+$C$165*H167+$C$169*H171</f>
        <v>1.73167906023519E-010</v>
      </c>
      <c r="I155" s="89" t="n">
        <f aca="false">I159*$C$157+I163*$C$161+$C$165*I167+$C$169*I171</f>
        <v>0</v>
      </c>
      <c r="J155" s="89" t="n">
        <f aca="false">J159*$C$157+J163*$C$161+$C$165*J167+$C$169*J171</f>
        <v>0</v>
      </c>
      <c r="K155" s="89" t="n">
        <f aca="false">K159*$C$157+K163*$C$161+$C$165*K167+$C$169*K171</f>
        <v>0</v>
      </c>
      <c r="L155" s="89" t="n">
        <f aca="false">L159*$C$157+L163*$C$161+$C$165*L167+$C$169*L171</f>
        <v>7.23386105046092E-005</v>
      </c>
      <c r="M155" s="89" t="n">
        <f aca="false">M159*$C$157+M163*$C$161+$C$165*M167+$C$169*M171</f>
        <v>0</v>
      </c>
      <c r="N155" s="89" t="n">
        <f aca="false">N159*$C$157+N163*$C$161+$C$165*N167+$C$169*N171</f>
        <v>0</v>
      </c>
      <c r="O155" s="89" t="n">
        <f aca="false">O159*$C$157+O163*$C$161+$C$165*O167+$C$169*O171</f>
        <v>0</v>
      </c>
      <c r="P155" s="89" t="n">
        <f aca="false">P159*$C$157+P163*$C$161+$C$165*P167+$C$169*P171</f>
        <v>0</v>
      </c>
      <c r="Q155" s="89" t="n">
        <f aca="false">Q159*$C$157+Q163*$C$161+$C$165*Q167+$C$169*Q171</f>
        <v>0</v>
      </c>
      <c r="R155" s="89" t="n">
        <f aca="false">R159*$C$157+R163*$C$161+$C$165*R167+$C$169*R171</f>
        <v>0</v>
      </c>
      <c r="S155" s="89" t="n">
        <f aca="false">S159*$C$157+S163*$C$161+$C$165*S167+$C$169*S171</f>
        <v>7.23387836725153E-005</v>
      </c>
      <c r="T155" s="89" t="n">
        <f aca="false">T159*$C$157+T163*$C$161+$C$165*T167+$C$169*T171</f>
        <v>0</v>
      </c>
      <c r="U155" s="89" t="n">
        <f aca="false">U159*$C$157+U163*$C$161+$C$165*U167+$C$169*U171</f>
        <v>0</v>
      </c>
      <c r="V155" s="309"/>
      <c r="W155" s="92"/>
      <c r="Z155" s="30"/>
    </row>
    <row r="156" s="209" customFormat="true" ht="17.4" hidden="false" customHeight="false" outlineLevel="0" collapsed="false">
      <c r="A156" s="74"/>
      <c r="B156" s="101"/>
      <c r="C156" s="87"/>
      <c r="D156" s="31" t="s">
        <v>136</v>
      </c>
      <c r="E156" s="217" t="n">
        <f aca="false">E160*$C$157+E164*$C$161+$C$165*E168+$C$169*E172</f>
        <v>0.000352100553091195</v>
      </c>
      <c r="F156" s="89" t="n">
        <f aca="false">F160*$C$157+F164*$C$161+$C$165*F168+$C$169*F172</f>
        <v>0.000595624112632633</v>
      </c>
      <c r="G156" s="88" t="n">
        <f aca="false">G160*$C$157+G164*$C$161+$C$165*G168+$C$169*G172</f>
        <v>0.000710853458208179</v>
      </c>
      <c r="H156" s="89" t="n">
        <f aca="false">H160*$C$157+H164*$C$161+$C$165*H168+$C$169*H172</f>
        <v>0.000239135490393969</v>
      </c>
      <c r="I156" s="89" t="n">
        <f aca="false">I160*$C$157+I164*$C$161+$C$165*I168+$C$169*I172</f>
        <v>0</v>
      </c>
      <c r="J156" s="89" t="n">
        <f aca="false">J160*$C$157+J164*$C$161+$C$165*J168+$C$169*J172</f>
        <v>0.000320091411901086</v>
      </c>
      <c r="K156" s="89" t="n">
        <f aca="false">K160*$C$157+K164*$C$161+$C$165*K168+$C$169*K172</f>
        <v>3.20091411901086E-005</v>
      </c>
      <c r="L156" s="89" t="n">
        <f aca="false">L160*$C$157+L164*$C$161+$C$165*L168+$C$169*L172</f>
        <v>4.38806914746961E-006</v>
      </c>
      <c r="M156" s="89" t="n">
        <f aca="false">M160*$C$157+M164*$C$161+$C$165*M168+$C$169*M172</f>
        <v>0</v>
      </c>
      <c r="N156" s="89" t="n">
        <f aca="false">N160*$C$157+N164*$C$161+$C$165*N168+$C$169*N172</f>
        <v>0</v>
      </c>
      <c r="O156" s="89" t="n">
        <f aca="false">O160*$C$157+O164*$C$161+$C$165*O168+$C$169*O172</f>
        <v>0</v>
      </c>
      <c r="P156" s="89" t="n">
        <f aca="false">P160*$C$157+P164*$C$161+$C$165*P168+$C$169*P172</f>
        <v>0</v>
      </c>
      <c r="Q156" s="89" t="n">
        <f aca="false">Q160*$C$157+Q164*$C$161+$C$165*Q168+$C$169*Q172</f>
        <v>0</v>
      </c>
      <c r="R156" s="89" t="n">
        <f aca="false">R160*$C$157+R164*$C$161+$C$165*R168+$C$169*R172</f>
        <v>0</v>
      </c>
      <c r="S156" s="89" t="n">
        <f aca="false">S160*$C$157+S164*$C$161+$C$165*S168+$C$169*S172</f>
        <v>0.000595624112632633</v>
      </c>
      <c r="T156" s="89" t="n">
        <f aca="false">T160*$C$157+T164*$C$161+$C$165*T168+$C$169*T172</f>
        <v>0</v>
      </c>
      <c r="U156" s="89" t="n">
        <f aca="false">U160*$C$157+U164*$C$161+$C$165*U168+$C$169*U172</f>
        <v>0</v>
      </c>
      <c r="V156" s="309"/>
      <c r="W156" s="92"/>
      <c r="Z156" s="30"/>
    </row>
    <row r="157" s="332" customFormat="true" ht="17.4" hidden="false" customHeight="false" outlineLevel="0" collapsed="false">
      <c r="A157" s="330" t="s">
        <v>137</v>
      </c>
      <c r="B157" s="76" t="s">
        <v>254</v>
      </c>
      <c r="C157" s="97" t="n">
        <f aca="false">'Input data plant-based products'!D87</f>
        <v>0.44</v>
      </c>
      <c r="D157" s="78" t="s">
        <v>133</v>
      </c>
      <c r="E157" s="94" t="n">
        <f aca="false">IF($F$1="GWP100 without fb",E158+E159*'Common input data'!$C$5+E160*'Common input data'!$D$5,IF($F$1="GWP100 with fb",E158+E159*'Common input data'!$C$6+E160*'Common input data'!$D$6,IF($F$1="GTP100 without fb",E158+E159*'Common input data'!$C$7+E160*'Common input data'!$D$7,IF($F$1="GTP100 with fb",E158+E159*'Common input data'!$C$8+E160*'Common input data'!$D$8,E158+E159*'Common input data'!$C$9+E160*'Common input data'!$D$9))))</f>
        <v>0.0629483840196375</v>
      </c>
      <c r="F157" s="95" t="n">
        <f aca="false">IF($F$1="GWP100 without fb",F158+F159*'Common input data'!$C$5+F160*'Common input data'!$D$5,IF($F$1="GWP100 with fb",F158+F159*'Common input data'!$C$6+F160*'Common input data'!$D$6,IF($F$1="GTP100 without fb",F158+F159*'Common input data'!$C$7+F160*'Common input data'!$D$7,IF($F$1="GTP100 with fb",F158+F159*'Common input data'!$C$8+F160*'Common input data'!$D$8,F158+F159*'Common input data'!$C$9+F160*'Common input data'!$D$9))))</f>
        <v>0.55422453058248</v>
      </c>
      <c r="G157" s="96" t="n">
        <f aca="false">IF($F$1="GWP100 without fb",G158+G159*'Common input data'!$C$5+G160*'Common input data'!$D$5,IF($F$1="GWP100 with fb",G158+G159*'Common input data'!$C$6+G160*'Common input data'!$D$6,IF($F$1="GTP100 without fb",G158+G159*'Common input data'!$C$7+G160*'Common input data'!$D$7,IF($F$1="GTP100 with fb",G158+G159*'Common input data'!$C$8+G160*'Common input data'!$D$8,G158+G159*'Common input data'!$C$9+G160*'Common input data'!$D$9))))</f>
        <v>0.876267490849123</v>
      </c>
      <c r="H157" s="83"/>
      <c r="I157" s="83"/>
      <c r="J157" s="83"/>
      <c r="K157" s="83"/>
      <c r="L157" s="83"/>
      <c r="M157" s="83"/>
      <c r="N157" s="83"/>
      <c r="O157" s="83"/>
      <c r="P157" s="83"/>
      <c r="Q157" s="83"/>
      <c r="R157" s="83"/>
      <c r="S157" s="83"/>
      <c r="T157" s="83"/>
      <c r="U157" s="83"/>
      <c r="V157" s="309"/>
      <c r="W157" s="92"/>
      <c r="X157" s="209"/>
      <c r="Y157" s="209"/>
      <c r="Z157" s="30"/>
      <c r="AA157" s="209"/>
      <c r="AB157" s="209"/>
      <c r="AC157" s="209"/>
      <c r="AD157" s="209"/>
      <c r="AE157" s="209"/>
      <c r="AF157" s="209"/>
      <c r="AG157" s="209"/>
      <c r="AH157" s="209"/>
      <c r="AI157" s="209"/>
      <c r="AJ157" s="209"/>
      <c r="AK157" s="209"/>
      <c r="AL157" s="209"/>
      <c r="AM157" s="209"/>
      <c r="AN157" s="209"/>
      <c r="AO157" s="209"/>
      <c r="AP157" s="209"/>
      <c r="AQ157" s="209"/>
      <c r="AR157" s="209"/>
      <c r="AS157" s="209"/>
      <c r="AT157" s="209"/>
      <c r="AU157" s="209"/>
      <c r="AV157" s="209"/>
      <c r="AW157" s="209"/>
      <c r="AX157" s="209"/>
      <c r="AY157" s="209"/>
      <c r="AZ157" s="209"/>
      <c r="BA157" s="209"/>
      <c r="BB157" s="209"/>
      <c r="BC157" s="209"/>
      <c r="BD157" s="209"/>
      <c r="BE157" s="209"/>
      <c r="BF157" s="209"/>
      <c r="BG157" s="209"/>
      <c r="BH157" s="209"/>
      <c r="BI157" s="209"/>
      <c r="BJ157" s="209"/>
      <c r="BK157" s="209"/>
      <c r="BL157" s="209"/>
      <c r="BM157" s="209"/>
      <c r="BN157" s="209"/>
      <c r="BO157" s="209"/>
      <c r="BP157" s="209"/>
      <c r="BQ157" s="209"/>
      <c r="BR157" s="209"/>
      <c r="BS157" s="209"/>
      <c r="BT157" s="209"/>
      <c r="BU157" s="209"/>
      <c r="BV157" s="209"/>
      <c r="BW157" s="209"/>
      <c r="BX157" s="209"/>
      <c r="BY157" s="209"/>
      <c r="BZ157" s="209"/>
      <c r="CA157" s="209"/>
      <c r="CB157" s="209"/>
      <c r="CC157" s="209"/>
      <c r="CD157" s="209"/>
      <c r="CE157" s="209"/>
      <c r="CF157" s="209"/>
      <c r="CG157" s="209"/>
      <c r="CH157" s="209"/>
      <c r="CI157" s="209"/>
      <c r="CJ157" s="209"/>
      <c r="CK157" s="209"/>
      <c r="CL157" s="209"/>
      <c r="CM157" s="209"/>
      <c r="CN157" s="209"/>
      <c r="CO157" s="209"/>
      <c r="CP157" s="209"/>
      <c r="CQ157" s="209"/>
      <c r="CR157" s="209"/>
      <c r="CS157" s="209"/>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09"/>
      <c r="EC157" s="209"/>
      <c r="ED157" s="209"/>
      <c r="EE157" s="209"/>
      <c r="EF157" s="209"/>
      <c r="EG157" s="209"/>
      <c r="EH157" s="209"/>
      <c r="EI157" s="209"/>
      <c r="EJ157" s="209"/>
      <c r="EK157" s="209"/>
      <c r="EL157" s="209"/>
      <c r="EM157" s="209"/>
      <c r="EN157" s="209"/>
      <c r="EO157" s="209"/>
      <c r="EP157" s="209"/>
      <c r="EQ157" s="209"/>
      <c r="ER157" s="209"/>
      <c r="ES157" s="209"/>
      <c r="ET157" s="209"/>
      <c r="EU157" s="209"/>
      <c r="EV157" s="209"/>
      <c r="EW157" s="209"/>
      <c r="EX157" s="209"/>
      <c r="EY157" s="209"/>
      <c r="EZ157" s="209"/>
      <c r="FA157" s="209"/>
      <c r="FB157" s="209"/>
      <c r="FC157" s="209"/>
      <c r="FD157" s="209"/>
      <c r="FE157" s="209"/>
      <c r="FF157" s="209"/>
      <c r="FG157" s="209"/>
      <c r="FH157" s="209"/>
      <c r="FI157" s="209"/>
      <c r="FJ157" s="209"/>
      <c r="FK157" s="209"/>
      <c r="FL157" s="209"/>
      <c r="FM157" s="209"/>
      <c r="FN157" s="209"/>
      <c r="FO157" s="209"/>
      <c r="FP157" s="209"/>
      <c r="FQ157" s="209"/>
      <c r="FR157" s="209"/>
      <c r="FS157" s="209"/>
      <c r="FT157" s="209"/>
      <c r="FU157" s="209"/>
      <c r="FV157" s="209"/>
      <c r="FW157" s="209"/>
      <c r="FX157" s="209"/>
      <c r="FY157" s="209"/>
      <c r="FZ157" s="209"/>
      <c r="GA157" s="209"/>
      <c r="GB157" s="209"/>
      <c r="GC157" s="209"/>
      <c r="GD157" s="209"/>
      <c r="GE157" s="209"/>
      <c r="GF157" s="209"/>
      <c r="GG157" s="209"/>
      <c r="GH157" s="209"/>
      <c r="GI157" s="209"/>
      <c r="GJ157" s="209"/>
      <c r="GK157" s="209"/>
      <c r="GL157" s="209"/>
      <c r="GM157" s="209"/>
      <c r="GN157" s="209"/>
      <c r="GO157" s="209"/>
      <c r="GP157" s="209"/>
      <c r="GQ157" s="209"/>
      <c r="GR157" s="209"/>
      <c r="GS157" s="209"/>
      <c r="GT157" s="209"/>
      <c r="GU157" s="209"/>
      <c r="GV157" s="209"/>
      <c r="GW157" s="209"/>
      <c r="GX157" s="209"/>
      <c r="GY157" s="209"/>
      <c r="GZ157" s="209"/>
      <c r="HA157" s="209"/>
      <c r="HB157" s="209"/>
      <c r="HC157" s="209"/>
      <c r="HD157" s="209"/>
      <c r="HE157" s="209"/>
      <c r="HF157" s="209"/>
      <c r="HG157" s="209"/>
      <c r="HH157" s="209"/>
      <c r="HI157" s="209"/>
      <c r="HJ157" s="209"/>
      <c r="HK157" s="209"/>
      <c r="HL157" s="209"/>
      <c r="HM157" s="209"/>
      <c r="HN157" s="209"/>
      <c r="HO157" s="209"/>
      <c r="HP157" s="209"/>
      <c r="HQ157" s="209"/>
      <c r="HR157" s="209"/>
      <c r="HS157" s="209"/>
      <c r="HT157" s="209"/>
      <c r="HU157" s="209"/>
      <c r="HV157" s="209"/>
      <c r="HW157" s="209"/>
      <c r="HX157" s="209"/>
      <c r="HY157" s="209"/>
      <c r="HZ157" s="209"/>
      <c r="IA157" s="209"/>
      <c r="IB157" s="209"/>
      <c r="IC157" s="209"/>
      <c r="ID157" s="209"/>
      <c r="IE157" s="209"/>
      <c r="IF157" s="209"/>
      <c r="IG157" s="209"/>
      <c r="IH157" s="209"/>
      <c r="II157" s="209"/>
      <c r="IJ157" s="209"/>
      <c r="IK157" s="209"/>
      <c r="IL157" s="209"/>
      <c r="IM157" s="209"/>
      <c r="IN157" s="209"/>
      <c r="IO157" s="209"/>
      <c r="IP157" s="209"/>
      <c r="IQ157" s="209"/>
      <c r="IR157" s="209"/>
      <c r="IS157" s="209"/>
      <c r="IT157" s="209"/>
      <c r="IU157" s="209"/>
      <c r="IV157" s="209"/>
      <c r="IW157" s="209"/>
      <c r="IX157" s="209"/>
    </row>
    <row r="158" s="209" customFormat="true" ht="17.4" hidden="false" customHeight="false" outlineLevel="0" collapsed="false">
      <c r="A158" s="315"/>
      <c r="B158" s="31"/>
      <c r="C158" s="30"/>
      <c r="D158" s="85" t="s">
        <v>134</v>
      </c>
      <c r="E158" s="217" t="n">
        <f aca="false">IF(AND($F$2="No",$F$3="No"),SUM(J158:K158),IF(AND($F$2="Yes", $F$3="No"), SUM(J158:K158)+Q158, IF(AND($F$2="No", $F$3="Yes"),SUM(J158:K158)+P158, SUM(J158:K158)+Q158+P158)))</f>
        <v>-0.0911390481413813</v>
      </c>
      <c r="F158" s="89" t="n">
        <f aca="false">IF(AND($F$2="No",$F$3="No"),SUM(H158:O158),IF(AND($F$2="Yes", $F$3="No"), SUM(H158:O158)+Q158, IF(AND($F$2="No", $F$3="Yes"),SUM(H158:O158)+P158, SUM(H158:O158)+Q158+P158)))</f>
        <v>0.303746025286306</v>
      </c>
      <c r="G158" s="88" t="n">
        <f aca="false">SUM(S158:U158)/(1-'Common input data'!$B$121)</f>
        <v>0.577331453975781</v>
      </c>
      <c r="H158" s="89" t="n">
        <f aca="false">('Input data plant-based products'!$F$87*('Common input data'!$B$76*'Common input data'!B69+'Common input data'!$B$77*'Common input data'!C69))/'Input data plant-based products'!$E$87</f>
        <v>0.0750659887731858</v>
      </c>
      <c r="I158" s="89" t="n">
        <f aca="false">'Common input data'!$B$81</f>
        <v>0.03</v>
      </c>
      <c r="J158" s="89" t="n">
        <v>0</v>
      </c>
      <c r="K158" s="89" t="n">
        <v>0</v>
      </c>
      <c r="L158" s="89" t="n">
        <f aca="false">('Input data plant-based products'!$I$87*'Common input data'!$C$59*'Common input data'!H49)/'Input data plant-based products'!$E$87</f>
        <v>0.239819084654502</v>
      </c>
      <c r="M158" s="89" t="n">
        <v>0</v>
      </c>
      <c r="N158" s="89" t="n">
        <f aca="false">'Input data plant-based products'!F$152</f>
        <v>0.05</v>
      </c>
      <c r="O158" s="89" t="n">
        <v>0</v>
      </c>
      <c r="P158" s="89" t="n">
        <f aca="false">'Common input data'!$F$13</f>
        <v>-0.0911390481413813</v>
      </c>
      <c r="Q158" s="89" t="n">
        <v>0</v>
      </c>
      <c r="R158" s="89" t="n">
        <v>0</v>
      </c>
      <c r="S158" s="89" t="n">
        <f aca="false">F158+R158</f>
        <v>0.303746025286306</v>
      </c>
      <c r="T158" s="89" t="n">
        <f aca="false">'Common input data'!B$86</f>
        <v>0.15</v>
      </c>
      <c r="U158" s="89" t="n">
        <f aca="false">'Common input data'!C98</f>
        <v>0.03</v>
      </c>
      <c r="V158" s="309"/>
      <c r="W158" s="92"/>
      <c r="Z158" s="30"/>
    </row>
    <row r="159" s="209" customFormat="true" ht="17.4" hidden="false" customHeight="false" outlineLevel="0" collapsed="false">
      <c r="A159" s="315"/>
      <c r="B159" s="31"/>
      <c r="C159" s="93"/>
      <c r="D159" s="85" t="s">
        <v>135</v>
      </c>
      <c r="E159" s="217" t="n">
        <f aca="false">SUM(J159:K159)</f>
        <v>0</v>
      </c>
      <c r="F159" s="89" t="n">
        <f aca="false">SUM(H159:O159)</f>
        <v>0.000106231968842357</v>
      </c>
      <c r="G159" s="88" t="n">
        <f aca="false">SUM(S159:U159)/(1-'Common input data'!$B$121)</f>
        <v>0.000126783588545599</v>
      </c>
      <c r="H159" s="89" t="n">
        <f aca="false">('Input data plant-based products'!$F$87*('Common input data'!$B$76*'Common input data'!B70+'Common input data'!$B$77*'Common input data'!C70))/'Input data plant-based products'!$E$87</f>
        <v>2.00969189350882E-010</v>
      </c>
      <c r="I159" s="89" t="n">
        <v>0</v>
      </c>
      <c r="J159" s="89" t="n">
        <v>0</v>
      </c>
      <c r="K159" s="89" t="n">
        <v>0</v>
      </c>
      <c r="L159" s="89" t="n">
        <f aca="false">('Input data plant-based products'!$I$87*'Common input data'!$C$59*'Common input data'!H50)/'Input data plant-based products'!$E$87</f>
        <v>0.000106231767873168</v>
      </c>
      <c r="M159" s="89" t="n">
        <v>0</v>
      </c>
      <c r="N159" s="89" t="n">
        <v>0</v>
      </c>
      <c r="O159" s="89" t="n">
        <v>0</v>
      </c>
      <c r="P159" s="89" t="n">
        <v>0</v>
      </c>
      <c r="Q159" s="89" t="n">
        <v>0</v>
      </c>
      <c r="R159" s="89" t="n">
        <v>0</v>
      </c>
      <c r="S159" s="89" t="n">
        <f aca="false">F159+R159</f>
        <v>0.000106231968842357</v>
      </c>
      <c r="T159" s="89" t="n">
        <v>0</v>
      </c>
      <c r="U159" s="89" t="n">
        <v>0</v>
      </c>
      <c r="V159" s="309"/>
      <c r="W159" s="92"/>
      <c r="Z159" s="30"/>
    </row>
    <row r="160" s="209" customFormat="true" ht="17.4" hidden="false" customHeight="false" outlineLevel="0" collapsed="false">
      <c r="A160" s="74"/>
      <c r="B160" s="101"/>
      <c r="C160" s="87"/>
      <c r="D160" s="31" t="s">
        <v>136</v>
      </c>
      <c r="E160" s="217" t="n">
        <f aca="false">SUM(J160:K160)</f>
        <v>0.000517071920003419</v>
      </c>
      <c r="F160" s="89" t="n">
        <f aca="false">SUM(H160:O160)</f>
        <v>0.000828411470991724</v>
      </c>
      <c r="G160" s="88" t="n">
        <f aca="false">SUM(S160:U160)/(1-'Common input data'!$B$121)</f>
        <v>0.000988675821687222</v>
      </c>
      <c r="H160" s="89" t="n">
        <f aca="false">('Input data plant-based products'!$F$87*('Common input data'!$B$76*'Common input data'!B71+'Common input data'!$B$77*'Common input data'!C71))/'Input data plant-based products'!$E$87</f>
        <v>0.000304895518681993</v>
      </c>
      <c r="I160" s="89" t="n">
        <v>0</v>
      </c>
      <c r="J160" s="89" t="n">
        <f aca="false">(SUM('Input data plant-based products'!F87:H87)*'Input data plant-based products'!$B$114*44/28)/'Input data plant-based products'!E87</f>
        <v>0.00047006538182129</v>
      </c>
      <c r="K160" s="89" t="n">
        <f aca="false">J160*'Input data plant-based products'!$B$115</f>
        <v>4.7006538182129E-005</v>
      </c>
      <c r="L160" s="89" t="n">
        <f aca="false">('Input data plant-based products'!$I$87*'Common input data'!$C$59*'Common input data'!H51)/'Input data plant-based products'!$E$87</f>
        <v>6.4440323063117E-006</v>
      </c>
      <c r="M160" s="89" t="n">
        <v>0</v>
      </c>
      <c r="N160" s="89" t="n">
        <v>0</v>
      </c>
      <c r="O160" s="89" t="n">
        <v>0</v>
      </c>
      <c r="P160" s="89" t="n">
        <v>0</v>
      </c>
      <c r="Q160" s="89" t="n">
        <v>0</v>
      </c>
      <c r="R160" s="89" t="n">
        <v>0</v>
      </c>
      <c r="S160" s="89" t="n">
        <f aca="false">F160+R160</f>
        <v>0.000828411470991724</v>
      </c>
      <c r="T160" s="89" t="n">
        <v>0</v>
      </c>
      <c r="U160" s="89" t="n">
        <v>0</v>
      </c>
      <c r="V160" s="309"/>
      <c r="W160" s="92"/>
      <c r="Z160" s="30"/>
    </row>
    <row r="161" s="332" customFormat="true" ht="17.4" hidden="false" customHeight="false" outlineLevel="0" collapsed="false">
      <c r="A161" s="330" t="s">
        <v>322</v>
      </c>
      <c r="B161" s="76" t="s">
        <v>254</v>
      </c>
      <c r="C161" s="97" t="n">
        <f aca="false">'Input data plant-based products'!D88</f>
        <v>0.15</v>
      </c>
      <c r="D161" s="78" t="s">
        <v>133</v>
      </c>
      <c r="E161" s="94" t="n">
        <f aca="false">IF($F$1="GWP100 without fb",E162+E163*'Common input data'!$C$5+E164*'Common input data'!$D$5,IF($F$1="GWP100 with fb",E162+E163*'Common input data'!$C$6+E164*'Common input data'!$D$6,IF($F$1="GTP100 without fb",E162+E163*'Common input data'!$C$7+E164*'Common input data'!$D$7,IF($F$1="GTP100 with fb",E162+E163*'Common input data'!$C$8+E164*'Common input data'!$D$8,E162+E163*'Common input data'!$C$9+E164*'Common input data'!$D$9))))</f>
        <v>-0.0470745241281832</v>
      </c>
      <c r="F161" s="95" t="n">
        <f aca="false">IF($F$1="GWP100 without fb",F162+F163*'Common input data'!$C$5+F164*'Common input data'!$D$5,IF($F$1="GWP100 with fb",F162+F163*'Common input data'!$C$6+F164*'Common input data'!$D$6,IF($F$1="GTP100 without fb",F162+F163*'Common input data'!$C$7+F164*'Common input data'!$D$7,IF($F$1="GTP100 with fb",F162+F163*'Common input data'!$C$8+F164*'Common input data'!$D$8,F162+F163*'Common input data'!$C$9+F164*'Common input data'!$D$9))))</f>
        <v>0.163029091237879</v>
      </c>
      <c r="G161" s="96" t="n">
        <f aca="false">IF($F$1="GWP100 without fb",G162+G163*'Common input data'!$C$5+G164*'Common input data'!$D$5,IF($F$1="GWP100 with fb",G162+G163*'Common input data'!$C$6+G164*'Common input data'!$D$6,IF($F$1="GTP100 without fb",G162+G163*'Common input data'!$C$7+G164*'Common input data'!$D$7,IF($F$1="GTP100 with fb",G162+G163*'Common input data'!$C$8+G164*'Common input data'!$D$8,G162+G163*'Common input data'!$C$9+G164*'Common input data'!$D$9))))</f>
        <v>0.528737428377944</v>
      </c>
      <c r="H161" s="83"/>
      <c r="I161" s="83"/>
      <c r="J161" s="83"/>
      <c r="K161" s="83"/>
      <c r="L161" s="83"/>
      <c r="M161" s="83"/>
      <c r="N161" s="83"/>
      <c r="O161" s="83"/>
      <c r="P161" s="83"/>
      <c r="Q161" s="83"/>
      <c r="R161" s="83"/>
      <c r="S161" s="83"/>
      <c r="T161" s="83"/>
      <c r="U161" s="83"/>
      <c r="V161" s="309"/>
      <c r="W161" s="92"/>
      <c r="X161" s="209"/>
      <c r="Y161" s="209"/>
      <c r="Z161" s="30"/>
      <c r="AA161" s="209"/>
      <c r="AB161" s="209"/>
      <c r="AC161" s="209"/>
      <c r="AD161" s="209"/>
      <c r="AE161" s="209"/>
      <c r="AF161" s="209"/>
      <c r="AG161" s="209"/>
      <c r="AH161" s="209"/>
      <c r="AI161" s="209"/>
      <c r="AJ161" s="209"/>
      <c r="AK161" s="209"/>
      <c r="AL161" s="209"/>
      <c r="AM161" s="209"/>
      <c r="AN161" s="209"/>
      <c r="AO161" s="209"/>
      <c r="AP161" s="209"/>
      <c r="AQ161" s="209"/>
      <c r="AR161" s="209"/>
      <c r="AS161" s="209"/>
      <c r="AT161" s="209"/>
      <c r="AU161" s="209"/>
      <c r="AV161" s="209"/>
      <c r="AW161" s="209"/>
      <c r="AX161" s="209"/>
      <c r="AY161" s="209"/>
      <c r="AZ161" s="209"/>
      <c r="BA161" s="209"/>
      <c r="BB161" s="209"/>
      <c r="BC161" s="209"/>
      <c r="BD161" s="209"/>
      <c r="BE161" s="209"/>
      <c r="BF161" s="209"/>
      <c r="BG161" s="209"/>
      <c r="BH161" s="209"/>
      <c r="BI161" s="209"/>
      <c r="BJ161" s="209"/>
      <c r="BK161" s="209"/>
      <c r="BL161" s="209"/>
      <c r="BM161" s="209"/>
      <c r="BN161" s="209"/>
      <c r="BO161" s="209"/>
      <c r="BP161" s="209"/>
      <c r="BQ161" s="209"/>
      <c r="BR161" s="209"/>
      <c r="BS161" s="209"/>
      <c r="BT161" s="209"/>
      <c r="BU161" s="209"/>
      <c r="BV161" s="209"/>
      <c r="BW161" s="209"/>
      <c r="BX161" s="209"/>
      <c r="BY161" s="209"/>
      <c r="BZ161" s="209"/>
      <c r="CA161" s="209"/>
      <c r="CB161" s="209"/>
      <c r="CC161" s="209"/>
      <c r="CD161" s="209"/>
      <c r="CE161" s="209"/>
      <c r="CF161" s="209"/>
      <c r="CG161" s="209"/>
      <c r="CH161" s="209"/>
      <c r="CI161" s="209"/>
      <c r="CJ161" s="209"/>
      <c r="CK161" s="209"/>
      <c r="CL161" s="209"/>
      <c r="CM161" s="209"/>
      <c r="CN161" s="209"/>
      <c r="CO161" s="209"/>
      <c r="CP161" s="209"/>
      <c r="CQ161" s="209"/>
      <c r="CR161" s="209"/>
      <c r="CS161" s="209"/>
      <c r="CT161" s="209"/>
      <c r="CU161" s="209"/>
      <c r="CV161" s="209"/>
      <c r="CW161" s="209"/>
      <c r="CX161" s="209"/>
      <c r="CY161" s="209"/>
      <c r="CZ161" s="209"/>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09"/>
      <c r="EC161" s="209"/>
      <c r="ED161" s="209"/>
      <c r="EE161" s="209"/>
      <c r="EF161" s="209"/>
      <c r="EG161" s="209"/>
      <c r="EH161" s="209"/>
      <c r="EI161" s="209"/>
      <c r="EJ161" s="209"/>
      <c r="EK161" s="209"/>
      <c r="EL161" s="209"/>
      <c r="EM161" s="209"/>
      <c r="EN161" s="209"/>
      <c r="EO161" s="209"/>
      <c r="EP161" s="209"/>
      <c r="EQ161" s="209"/>
      <c r="ER161" s="209"/>
      <c r="ES161" s="209"/>
      <c r="ET161" s="209"/>
      <c r="EU161" s="209"/>
      <c r="EV161" s="209"/>
      <c r="EW161" s="209"/>
      <c r="EX161" s="209"/>
      <c r="EY161" s="209"/>
      <c r="EZ161" s="209"/>
      <c r="FA161" s="209"/>
      <c r="FB161" s="209"/>
      <c r="FC161" s="209"/>
      <c r="FD161" s="209"/>
      <c r="FE161" s="209"/>
      <c r="FF161" s="209"/>
      <c r="FG161" s="209"/>
      <c r="FH161" s="209"/>
      <c r="FI161" s="209"/>
      <c r="FJ161" s="209"/>
      <c r="FK161" s="209"/>
      <c r="FL161" s="209"/>
      <c r="FM161" s="209"/>
      <c r="FN161" s="209"/>
      <c r="FO161" s="209"/>
      <c r="FP161" s="209"/>
      <c r="FQ161" s="209"/>
      <c r="FR161" s="209"/>
      <c r="FS161" s="209"/>
      <c r="FT161" s="209"/>
      <c r="FU161" s="209"/>
      <c r="FV161" s="209"/>
      <c r="FW161" s="209"/>
      <c r="FX161" s="209"/>
      <c r="FY161" s="209"/>
      <c r="FZ161" s="209"/>
      <c r="GA161" s="209"/>
      <c r="GB161" s="209"/>
      <c r="GC161" s="209"/>
      <c r="GD161" s="209"/>
      <c r="GE161" s="209"/>
      <c r="GF161" s="209"/>
      <c r="GG161" s="209"/>
      <c r="GH161" s="209"/>
      <c r="GI161" s="209"/>
      <c r="GJ161" s="209"/>
      <c r="GK161" s="209"/>
      <c r="GL161" s="209"/>
      <c r="GM161" s="209"/>
      <c r="GN161" s="209"/>
      <c r="GO161" s="209"/>
      <c r="GP161" s="209"/>
      <c r="GQ161" s="209"/>
      <c r="GR161" s="209"/>
      <c r="GS161" s="209"/>
      <c r="GT161" s="209"/>
      <c r="GU161" s="209"/>
      <c r="GV161" s="209"/>
      <c r="GW161" s="209"/>
      <c r="GX161" s="209"/>
      <c r="GY161" s="209"/>
      <c r="GZ161" s="209"/>
      <c r="HA161" s="209"/>
      <c r="HB161" s="209"/>
      <c r="HC161" s="209"/>
      <c r="HD161" s="209"/>
      <c r="HE161" s="209"/>
      <c r="HF161" s="209"/>
      <c r="HG161" s="209"/>
      <c r="HH161" s="209"/>
      <c r="HI161" s="209"/>
      <c r="HJ161" s="209"/>
      <c r="HK161" s="209"/>
      <c r="HL161" s="209"/>
      <c r="HM161" s="209"/>
      <c r="HN161" s="209"/>
      <c r="HO161" s="209"/>
      <c r="HP161" s="209"/>
      <c r="HQ161" s="209"/>
      <c r="HR161" s="209"/>
      <c r="HS161" s="209"/>
      <c r="HT161" s="209"/>
      <c r="HU161" s="209"/>
      <c r="HV161" s="209"/>
      <c r="HW161" s="209"/>
      <c r="HX161" s="209"/>
      <c r="HY161" s="209"/>
      <c r="HZ161" s="209"/>
      <c r="IA161" s="209"/>
      <c r="IB161" s="209"/>
      <c r="IC161" s="209"/>
      <c r="ID161" s="209"/>
      <c r="IE161" s="209"/>
      <c r="IF161" s="209"/>
      <c r="IG161" s="209"/>
      <c r="IH161" s="209"/>
      <c r="II161" s="209"/>
      <c r="IJ161" s="209"/>
      <c r="IK161" s="209"/>
      <c r="IL161" s="209"/>
      <c r="IM161" s="209"/>
      <c r="IN161" s="209"/>
      <c r="IO161" s="209"/>
      <c r="IP161" s="209"/>
      <c r="IQ161" s="209"/>
      <c r="IR161" s="209"/>
      <c r="IS161" s="209"/>
      <c r="IT161" s="209"/>
      <c r="IU161" s="209"/>
      <c r="IV161" s="209"/>
      <c r="IW161" s="209"/>
      <c r="IX161" s="209"/>
    </row>
    <row r="162" s="209" customFormat="true" ht="17.4" hidden="false" customHeight="false" outlineLevel="0" collapsed="false">
      <c r="A162" s="315"/>
      <c r="B162" s="31"/>
      <c r="C162" s="30"/>
      <c r="D162" s="85" t="s">
        <v>134</v>
      </c>
      <c r="E162" s="217" t="n">
        <f aca="false">IF(AND($F$2="No",$F$3="No"),SUM(J162:K162),IF(AND($F$2="Yes", $F$3="No"), SUM(J162:K162)+Q162, IF(AND($F$2="No", $F$3="Yes"),SUM(J162:K162)+P162, SUM(J162:K162)+Q162+P162)))</f>
        <v>-0.0911390481413813</v>
      </c>
      <c r="F162" s="89" t="n">
        <f aca="false">IF(AND($F$2="No",$F$3="No"),SUM(H162:O162),IF(AND($F$2="Yes", $F$3="No"), SUM(H162:O162)+Q162, IF(AND($F$2="No", $F$3="Yes"),SUM(H162:O162)+P162, SUM(H162:O162)+Q162+P162)))</f>
        <v>0.0802527397816581</v>
      </c>
      <c r="G162" s="88" t="n">
        <f aca="false">SUM(S162:U162)/(1-'Common input data'!$B$121)</f>
        <v>0.429947177206896</v>
      </c>
      <c r="H162" s="89" t="n">
        <f aca="false">('Input data plant-based products'!$F$88*('Common input data'!$C$76*'Common input data'!B69+'Common input data'!$C$77*'Common input data'!C69))/'Input data plant-based products'!$E$88</f>
        <v>0.0228105047750496</v>
      </c>
      <c r="I162" s="89" t="n">
        <f aca="false">'Common input data'!$B$81</f>
        <v>0.03</v>
      </c>
      <c r="J162" s="89" t="n">
        <v>0</v>
      </c>
      <c r="K162" s="89" t="n">
        <v>0</v>
      </c>
      <c r="L162" s="89" t="n">
        <f aca="false">('Input data plant-based products'!$I$88*'Common input data'!$C$59*'Common input data'!H49)/'Input data plant-based products'!$E$88</f>
        <v>0.0685812831479897</v>
      </c>
      <c r="M162" s="89" t="n">
        <v>0</v>
      </c>
      <c r="N162" s="89" t="n">
        <f aca="false">'Input data plant-based products'!F$152</f>
        <v>0.05</v>
      </c>
      <c r="O162" s="89" t="n">
        <v>0</v>
      </c>
      <c r="P162" s="89" t="n">
        <f aca="false">'Common input data'!$F$13</f>
        <v>-0.0911390481413813</v>
      </c>
      <c r="Q162" s="89" t="n">
        <v>0</v>
      </c>
      <c r="R162" s="89" t="n">
        <v>0</v>
      </c>
      <c r="S162" s="89" t="n">
        <f aca="false">F162+R162</f>
        <v>0.0802527397816581</v>
      </c>
      <c r="T162" s="89" t="n">
        <f aca="false">'Common input data'!B$86</f>
        <v>0.15</v>
      </c>
      <c r="U162" s="89" t="n">
        <f aca="false">'Common input data'!B99+'Common input data'!C99</f>
        <v>0.13</v>
      </c>
      <c r="V162" s="309"/>
      <c r="W162" s="92"/>
      <c r="Z162" s="30"/>
    </row>
    <row r="163" s="209" customFormat="true" ht="17.4" hidden="false" customHeight="false" outlineLevel="0" collapsed="false">
      <c r="A163" s="315"/>
      <c r="B163" s="31"/>
      <c r="C163" s="93"/>
      <c r="D163" s="85" t="s">
        <v>135</v>
      </c>
      <c r="E163" s="217" t="n">
        <f aca="false">SUM(J163:K163)</f>
        <v>0</v>
      </c>
      <c r="F163" s="89" t="n">
        <f aca="false">SUM(H163:O163)</f>
        <v>3.03792964687767E-005</v>
      </c>
      <c r="G163" s="88" t="n">
        <f aca="false">SUM(S163:U163)/(1-'Common input data'!$B$121)</f>
        <v>3.62564703052593E-005</v>
      </c>
      <c r="H163" s="89" t="n">
        <f aca="false">('Input data plant-based products'!$F$88*('Common input data'!$C$76*'Common input data'!B70+'Common input data'!$C$77*'Common input data'!C70))/'Input data plant-based products'!$E$88</f>
        <v>1.00574850299401E-010</v>
      </c>
      <c r="I163" s="89" t="n">
        <v>0</v>
      </c>
      <c r="J163" s="89" t="n">
        <v>0</v>
      </c>
      <c r="K163" s="89" t="n">
        <v>0</v>
      </c>
      <c r="L163" s="89" t="n">
        <f aca="false">('Input data plant-based products'!$I$88*'Common input data'!$C$59*'Common input data'!H50)/'Input data plant-based products'!$E$88</f>
        <v>3.03791958939264E-005</v>
      </c>
      <c r="M163" s="89" t="n">
        <v>0</v>
      </c>
      <c r="N163" s="89" t="n">
        <v>0</v>
      </c>
      <c r="O163" s="89" t="n">
        <v>0</v>
      </c>
      <c r="P163" s="89" t="n">
        <v>0</v>
      </c>
      <c r="Q163" s="89" t="n">
        <v>0</v>
      </c>
      <c r="R163" s="89" t="n">
        <v>0</v>
      </c>
      <c r="S163" s="89" t="n">
        <f aca="false">F163+R163</f>
        <v>3.03792964687767E-005</v>
      </c>
      <c r="T163" s="89" t="n">
        <v>0</v>
      </c>
      <c r="U163" s="89" t="n">
        <v>0</v>
      </c>
      <c r="V163" s="309"/>
      <c r="W163" s="92"/>
      <c r="Z163" s="30"/>
    </row>
    <row r="164" s="209" customFormat="true" ht="17.4" hidden="false" customHeight="false" outlineLevel="0" collapsed="false">
      <c r="A164" s="74"/>
      <c r="B164" s="101"/>
      <c r="C164" s="87"/>
      <c r="D164" s="31" t="s">
        <v>136</v>
      </c>
      <c r="E164" s="217" t="n">
        <f aca="false">SUM(J164:K164)</f>
        <v>0.000147867530245631</v>
      </c>
      <c r="F164" s="89" t="n">
        <f aca="false">SUM(H164:O164)</f>
        <v>0.000274306897235848</v>
      </c>
      <c r="G164" s="88" t="n">
        <f aca="false">SUM(S164:U164)/(1-'Common input data'!$B$121)</f>
        <v>0.000327374265706944</v>
      </c>
      <c r="H164" s="89" t="n">
        <f aca="false">('Input data plant-based products'!$F$88*('Common input data'!$C$76*'Common input data'!B71+'Common input data'!$C$77*'Common input data'!C71))/'Input data plant-based products'!$E$88</f>
        <v>0.00012459656117328</v>
      </c>
      <c r="I164" s="89" t="n">
        <v>0</v>
      </c>
      <c r="J164" s="89" t="n">
        <f aca="false">(SUM('Input data plant-based products'!F88:H88)*'Input data plant-based products'!$B$114*44/28)/'Input data plant-based products'!E88</f>
        <v>0.000134425027496028</v>
      </c>
      <c r="K164" s="89" t="n">
        <f aca="false">J164*'Input data plant-based products'!$B$115</f>
        <v>1.34425027496028E-005</v>
      </c>
      <c r="L164" s="89" t="n">
        <f aca="false">('Input data plant-based products'!$I$88*'Common input data'!$C$59*'Common input data'!H51)/'Input data plant-based products'!$E$88</f>
        <v>1.84280581693755E-006</v>
      </c>
      <c r="M164" s="89" t="n">
        <v>0</v>
      </c>
      <c r="N164" s="89" t="n">
        <v>0</v>
      </c>
      <c r="O164" s="89" t="n">
        <v>0</v>
      </c>
      <c r="P164" s="89" t="n">
        <v>0</v>
      </c>
      <c r="Q164" s="89" t="n">
        <v>0</v>
      </c>
      <c r="R164" s="89" t="n">
        <v>0</v>
      </c>
      <c r="S164" s="89" t="n">
        <f aca="false">F164+R164</f>
        <v>0.000274306897235848</v>
      </c>
      <c r="T164" s="89" t="n">
        <v>0</v>
      </c>
      <c r="U164" s="89" t="n">
        <v>0</v>
      </c>
      <c r="V164" s="309"/>
      <c r="W164" s="92"/>
      <c r="Z164" s="30"/>
    </row>
    <row r="165" s="332" customFormat="true" ht="17.4" hidden="false" customHeight="false" outlineLevel="0" collapsed="false">
      <c r="A165" s="330" t="s">
        <v>187</v>
      </c>
      <c r="B165" s="76" t="s">
        <v>254</v>
      </c>
      <c r="C165" s="97" t="n">
        <f aca="false">'Input data plant-based products'!D89</f>
        <v>0.25</v>
      </c>
      <c r="D165" s="78" t="s">
        <v>133</v>
      </c>
      <c r="E165" s="94" t="n">
        <f aca="false">IF($F$1="GWP100 without fb",E166+E167*'Common input data'!$C$5+E168*'Common input data'!$D$5,IF($F$1="GWP100 with fb",E166+E167*'Common input data'!$C$6+E168*'Common input data'!$D$6,IF($F$1="GTP100 without fb",E166+E167*'Common input data'!$C$7+E168*'Common input data'!$D$7,IF($F$1="GTP100 with fb",E166+E167*'Common input data'!$C$8+E168*'Common input data'!$D$8,E166+E167*'Common input data'!$C$9+E168*'Common input data'!$D$9))))</f>
        <v>-0.0288670116672172</v>
      </c>
      <c r="F165" s="95" t="n">
        <f aca="false">IF($F$1="GWP100 without fb",F166+F167*'Common input data'!$C$5+F168*'Common input data'!$D$5,IF($F$1="GWP100 with fb",F166+F167*'Common input data'!$C$6+F168*'Common input data'!$D$6,IF($F$1="GTP100 without fb",F166+F167*'Common input data'!$C$7+F168*'Common input data'!$D$7,IF($F$1="GTP100 with fb",F166+F167*'Common input data'!$C$8+F168*'Common input data'!$D$8,F166+F167*'Common input data'!$C$9+F168*'Common input data'!$D$9))))</f>
        <v>0.234995568558758</v>
      </c>
      <c r="G165" s="96" t="n">
        <f aca="false">IF($F$1="GWP100 without fb",G166+G167*'Common input data'!$C$5+G168*'Common input data'!$D$5,IF($F$1="GWP100 with fb",G166+G167*'Common input data'!$C$6+G168*'Common input data'!$D$6,IF($F$1="GTP100 without fb",G166+G167*'Common input data'!$C$7+G168*'Common input data'!$D$7,IF($F$1="GTP100 with fb",G166+G167*'Common input data'!$C$8+G168*'Common input data'!$D$8,G166+G167*'Common input data'!$C$9+G168*'Common input data'!$D$9))))</f>
        <v>0.614626528892181</v>
      </c>
      <c r="H165" s="83"/>
      <c r="I165" s="83"/>
      <c r="J165" s="83"/>
      <c r="K165" s="83"/>
      <c r="L165" s="83"/>
      <c r="M165" s="83"/>
      <c r="N165" s="83"/>
      <c r="O165" s="83"/>
      <c r="P165" s="83"/>
      <c r="Q165" s="83"/>
      <c r="R165" s="83"/>
      <c r="S165" s="83"/>
      <c r="T165" s="83"/>
      <c r="U165" s="83"/>
      <c r="V165" s="309"/>
      <c r="W165" s="92"/>
      <c r="X165" s="209"/>
      <c r="Y165" s="209"/>
      <c r="Z165" s="30"/>
      <c r="AA165" s="209"/>
      <c r="AB165" s="209"/>
      <c r="AC165" s="209"/>
      <c r="AD165" s="209"/>
      <c r="AE165" s="209"/>
      <c r="AF165" s="209"/>
      <c r="AG165" s="209"/>
      <c r="AH165" s="209"/>
      <c r="AI165" s="209"/>
      <c r="AJ165" s="209"/>
      <c r="AK165" s="209"/>
      <c r="AL165" s="209"/>
      <c r="AM165" s="209"/>
      <c r="AN165" s="209"/>
      <c r="AO165" s="209"/>
      <c r="AP165" s="209"/>
      <c r="AQ165" s="209"/>
      <c r="AR165" s="209"/>
      <c r="AS165" s="209"/>
      <c r="AT165" s="209"/>
      <c r="AU165" s="209"/>
      <c r="AV165" s="209"/>
      <c r="AW165" s="209"/>
      <c r="AX165" s="209"/>
      <c r="AY165" s="209"/>
      <c r="AZ165" s="209"/>
      <c r="BA165" s="209"/>
      <c r="BB165" s="209"/>
      <c r="BC165" s="209"/>
      <c r="BD165" s="209"/>
      <c r="BE165" s="209"/>
      <c r="BF165" s="209"/>
      <c r="BG165" s="209"/>
      <c r="BH165" s="209"/>
      <c r="BI165" s="209"/>
      <c r="BJ165" s="209"/>
      <c r="BK165" s="209"/>
      <c r="BL165" s="209"/>
      <c r="BM165" s="209"/>
      <c r="BN165" s="209"/>
      <c r="BO165" s="209"/>
      <c r="BP165" s="209"/>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209"/>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209"/>
      <c r="EC165" s="209"/>
      <c r="ED165" s="209"/>
      <c r="EE165" s="209"/>
      <c r="EF165" s="209"/>
      <c r="EG165" s="209"/>
      <c r="EH165" s="209"/>
      <c r="EI165" s="209"/>
      <c r="EJ165" s="209"/>
      <c r="EK165" s="209"/>
      <c r="EL165" s="209"/>
      <c r="EM165" s="209"/>
      <c r="EN165" s="209"/>
      <c r="EO165" s="209"/>
      <c r="EP165" s="209"/>
      <c r="EQ165" s="209"/>
      <c r="ER165" s="209"/>
      <c r="ES165" s="209"/>
      <c r="ET165" s="209"/>
      <c r="EU165" s="209"/>
      <c r="EV165" s="209"/>
      <c r="EW165" s="209"/>
      <c r="EX165" s="209"/>
      <c r="EY165" s="209"/>
      <c r="EZ165" s="209"/>
      <c r="FA165" s="209"/>
      <c r="FB165" s="209"/>
      <c r="FC165" s="209"/>
      <c r="FD165" s="209"/>
      <c r="FE165" s="209"/>
      <c r="FF165" s="209"/>
      <c r="FG165" s="209"/>
      <c r="FH165" s="209"/>
      <c r="FI165" s="209"/>
      <c r="FJ165" s="209"/>
      <c r="FK165" s="209"/>
      <c r="FL165" s="209"/>
      <c r="FM165" s="209"/>
      <c r="FN165" s="209"/>
      <c r="FO165" s="209"/>
      <c r="FP165" s="209"/>
      <c r="FQ165" s="209"/>
      <c r="FR165" s="209"/>
      <c r="FS165" s="209"/>
      <c r="FT165" s="209"/>
      <c r="FU165" s="209"/>
      <c r="FV165" s="209"/>
      <c r="FW165" s="209"/>
      <c r="FX165" s="209"/>
      <c r="FY165" s="209"/>
      <c r="FZ165" s="209"/>
      <c r="GA165" s="209"/>
      <c r="GB165" s="209"/>
      <c r="GC165" s="209"/>
      <c r="GD165" s="209"/>
      <c r="GE165" s="209"/>
      <c r="GF165" s="209"/>
      <c r="GG165" s="209"/>
      <c r="GH165" s="209"/>
      <c r="GI165" s="209"/>
      <c r="GJ165" s="209"/>
      <c r="GK165" s="209"/>
      <c r="GL165" s="209"/>
      <c r="GM165" s="209"/>
      <c r="GN165" s="209"/>
      <c r="GO165" s="209"/>
      <c r="GP165" s="209"/>
      <c r="GQ165" s="209"/>
      <c r="GR165" s="209"/>
      <c r="GS165" s="209"/>
      <c r="GT165" s="209"/>
      <c r="GU165" s="209"/>
      <c r="GV165" s="209"/>
      <c r="GW165" s="209"/>
      <c r="GX165" s="209"/>
      <c r="GY165" s="209"/>
      <c r="GZ165" s="209"/>
      <c r="HA165" s="209"/>
      <c r="HB165" s="209"/>
      <c r="HC165" s="209"/>
      <c r="HD165" s="209"/>
      <c r="HE165" s="209"/>
      <c r="HF165" s="209"/>
      <c r="HG165" s="209"/>
      <c r="HH165" s="209"/>
      <c r="HI165" s="209"/>
      <c r="HJ165" s="209"/>
      <c r="HK165" s="209"/>
      <c r="HL165" s="209"/>
      <c r="HM165" s="209"/>
      <c r="HN165" s="209"/>
      <c r="HO165" s="209"/>
      <c r="HP165" s="209"/>
      <c r="HQ165" s="209"/>
      <c r="HR165" s="209"/>
      <c r="HS165" s="209"/>
      <c r="HT165" s="209"/>
      <c r="HU165" s="209"/>
      <c r="HV165" s="209"/>
      <c r="HW165" s="209"/>
      <c r="HX165" s="209"/>
      <c r="HY165" s="209"/>
      <c r="HZ165" s="209"/>
      <c r="IA165" s="209"/>
      <c r="IB165" s="209"/>
      <c r="IC165" s="209"/>
      <c r="ID165" s="209"/>
      <c r="IE165" s="209"/>
      <c r="IF165" s="209"/>
      <c r="IG165" s="209"/>
      <c r="IH165" s="209"/>
      <c r="II165" s="209"/>
      <c r="IJ165" s="209"/>
      <c r="IK165" s="209"/>
      <c r="IL165" s="209"/>
      <c r="IM165" s="209"/>
      <c r="IN165" s="209"/>
      <c r="IO165" s="209"/>
      <c r="IP165" s="209"/>
      <c r="IQ165" s="209"/>
      <c r="IR165" s="209"/>
      <c r="IS165" s="209"/>
      <c r="IT165" s="209"/>
      <c r="IU165" s="209"/>
      <c r="IV165" s="209"/>
      <c r="IW165" s="209"/>
      <c r="IX165" s="209"/>
    </row>
    <row r="166" s="209" customFormat="true" ht="17.4" hidden="false" customHeight="false" outlineLevel="0" collapsed="false">
      <c r="A166" s="74"/>
      <c r="B166" s="31"/>
      <c r="C166" s="30"/>
      <c r="D166" s="85" t="s">
        <v>134</v>
      </c>
      <c r="E166" s="217" t="n">
        <f aca="false">IF(AND($F$2="No",$F$3="No"),SUM(J166:K166),IF(AND($F$2="Yes", $F$3="No"), SUM(J166:K166)+Q166, IF(AND($F$2="No", $F$3="Yes"),SUM(J166:K166)+P166, SUM(J166:K166)+Q166+P166)))</f>
        <v>-0.0911390481413813</v>
      </c>
      <c r="F166" s="89" t="n">
        <f aca="false">IF(AND($F$2="No",$F$3="No"),SUM(H166:O166),IF(AND($F$2="Yes", $F$3="No"), SUM(H166:O166)+Q166, IF(AND($F$2="No", $F$3="Yes"),SUM(H166:O166)+P166, SUM(H166:O166)+Q166+P166)))</f>
        <v>0.118015932615428</v>
      </c>
      <c r="G166" s="88" t="n">
        <f aca="false">SUM(S166:U166)/(1-'Common input data'!$B$121)</f>
        <v>0.475016031287061</v>
      </c>
      <c r="H166" s="87" t="n">
        <f aca="false">('Input data plant-based products'!$F$89*('Common input data'!$C$76*'Common input data'!B69+'Common input data'!$C$77*'Common input data'!C69))/'Input data plant-based products'!$E$89</f>
        <v>0.0322358318206395</v>
      </c>
      <c r="I166" s="89" t="n">
        <f aca="false">'Common input data'!$B$81</f>
        <v>0.03</v>
      </c>
      <c r="J166" s="87" t="n">
        <v>0</v>
      </c>
      <c r="K166" s="89" t="n">
        <v>0</v>
      </c>
      <c r="L166" s="87" t="n">
        <f aca="false">('Input data plant-based products'!$I$89*'Common input data'!$C$59*'Common input data'!H49)/'Input data plant-based products'!$E$89</f>
        <v>0.0969191489361702</v>
      </c>
      <c r="M166" s="89" t="n">
        <v>0</v>
      </c>
      <c r="N166" s="89" t="n">
        <f aca="false">'Input data plant-based products'!F$152</f>
        <v>0.05</v>
      </c>
      <c r="O166" s="89" t="n">
        <v>0</v>
      </c>
      <c r="P166" s="89" t="n">
        <f aca="false">'Common input data'!$F$13</f>
        <v>-0.0911390481413813</v>
      </c>
      <c r="Q166" s="89" t="n">
        <v>0</v>
      </c>
      <c r="R166" s="89" t="n">
        <v>0</v>
      </c>
      <c r="S166" s="89" t="n">
        <f aca="false">F166+R166</f>
        <v>0.118015932615428</v>
      </c>
      <c r="T166" s="89" t="n">
        <f aca="false">'Common input data'!B$86</f>
        <v>0.15</v>
      </c>
      <c r="U166" s="89" t="n">
        <f aca="false">'Common input data'!B99+'Common input data'!C99</f>
        <v>0.13</v>
      </c>
      <c r="V166" s="309"/>
      <c r="W166" s="92"/>
      <c r="Z166" s="30"/>
    </row>
    <row r="167" s="209" customFormat="true" ht="17.4" hidden="false" customHeight="false" outlineLevel="0" collapsed="false">
      <c r="A167" s="74"/>
      <c r="B167" s="31"/>
      <c r="C167" s="93"/>
      <c r="D167" s="85" t="s">
        <v>135</v>
      </c>
      <c r="E167" s="217" t="n">
        <f aca="false">SUM(J167:K167)</f>
        <v>0</v>
      </c>
      <c r="F167" s="89" t="n">
        <f aca="false">SUM(H167:O167)</f>
        <v>4.29320570261122E-005</v>
      </c>
      <c r="G167" s="88" t="n">
        <f aca="false">SUM(S167:U167)/(1-'Common input data'!$B$121)</f>
        <v>5.12376859125339E-005</v>
      </c>
      <c r="H167" s="87" t="n">
        <f aca="false">('Input data plant-based products'!$F$89*('Common input data'!$C$76*'Common input data'!B70+'Common input data'!$C$77*'Common input data'!C70))/'Input data plant-based products'!$E$89</f>
        <v>1.4213249516441E-010</v>
      </c>
      <c r="I167" s="89" t="n">
        <v>0</v>
      </c>
      <c r="J167" s="87" t="n">
        <v>0</v>
      </c>
      <c r="K167" s="89" t="n">
        <v>0</v>
      </c>
      <c r="L167" s="87" t="n">
        <f aca="false">('Input data plant-based products'!$I$89*'Common input data'!$C$59*'Common input data'!H50)/'Input data plant-based products'!$E$89</f>
        <v>4.2931914893617E-005</v>
      </c>
      <c r="M167" s="89" t="n">
        <v>0</v>
      </c>
      <c r="N167" s="89" t="n">
        <v>0</v>
      </c>
      <c r="O167" s="89" t="n">
        <v>0</v>
      </c>
      <c r="P167" s="89" t="n">
        <v>0</v>
      </c>
      <c r="Q167" s="89" t="n">
        <v>0</v>
      </c>
      <c r="R167" s="89" t="n">
        <v>0</v>
      </c>
      <c r="S167" s="89" t="n">
        <f aca="false">F167+R167</f>
        <v>4.29320570261122E-005</v>
      </c>
      <c r="T167" s="89" t="n">
        <v>0</v>
      </c>
      <c r="U167" s="89" t="n">
        <v>0</v>
      </c>
      <c r="V167" s="309"/>
      <c r="W167" s="92"/>
      <c r="Z167" s="30"/>
    </row>
    <row r="168" s="209" customFormat="true" ht="17.4" hidden="false" customHeight="false" outlineLevel="0" collapsed="false">
      <c r="A168" s="74"/>
      <c r="B168" s="101"/>
      <c r="C168" s="87"/>
      <c r="D168" s="31" t="s">
        <v>136</v>
      </c>
      <c r="E168" s="217" t="n">
        <f aca="false">SUM(J168:K168)</f>
        <v>0.000208966565349544</v>
      </c>
      <c r="F168" s="89" t="n">
        <f aca="false">SUM(H168:O168)</f>
        <v>0.000387650825518263</v>
      </c>
      <c r="G168" s="88" t="n">
        <f aca="false">SUM(S168:U168)/(1-'Common input data'!$B$121)</f>
        <v>0.000462645692228503</v>
      </c>
      <c r="H168" s="87" t="n">
        <f aca="false">('Input data plant-based products'!$F$89*('Common input data'!$C$76*'Common input data'!B71+'Common input data'!$C$77*'Common input data'!C71))/'Input data plant-based products'!$E$89</f>
        <v>0.00017608000484957</v>
      </c>
      <c r="I168" s="87" t="n">
        <v>0</v>
      </c>
      <c r="J168" s="87" t="n">
        <f aca="false">(SUM('Input data plant-based products'!F89:H89)*'Input data plant-based products'!$B$114*44/28)/'Input data plant-based products'!E89</f>
        <v>0.000189969604863222</v>
      </c>
      <c r="K168" s="89" t="n">
        <f aca="false">J168*'Input data plant-based products'!$B$115</f>
        <v>1.89969604863222E-005</v>
      </c>
      <c r="L168" s="87" t="n">
        <f aca="false">('Input data plant-based products'!$I$89*'Common input data'!$C$59*'Common input data'!H51)/'Input data plant-based products'!$E$89</f>
        <v>2.60425531914894E-006</v>
      </c>
      <c r="M168" s="89" t="n">
        <v>0</v>
      </c>
      <c r="N168" s="89" t="n">
        <v>0</v>
      </c>
      <c r="O168" s="89" t="n">
        <v>0</v>
      </c>
      <c r="P168" s="89" t="n">
        <v>0</v>
      </c>
      <c r="Q168" s="89" t="n">
        <v>0</v>
      </c>
      <c r="R168" s="89" t="n">
        <v>0</v>
      </c>
      <c r="S168" s="89" t="n">
        <f aca="false">F168+R168</f>
        <v>0.000387650825518263</v>
      </c>
      <c r="T168" s="89" t="n">
        <v>0</v>
      </c>
      <c r="U168" s="89" t="n">
        <v>0</v>
      </c>
      <c r="V168" s="309"/>
      <c r="W168" s="92"/>
      <c r="Z168" s="30"/>
    </row>
    <row r="169" s="332" customFormat="true" ht="17.4" hidden="false" customHeight="false" outlineLevel="0" collapsed="false">
      <c r="A169" s="330" t="s">
        <v>141</v>
      </c>
      <c r="B169" s="76" t="s">
        <v>254</v>
      </c>
      <c r="C169" s="97" t="n">
        <f aca="false">'Input data plant-based products'!D90</f>
        <v>0.16</v>
      </c>
      <c r="D169" s="78" t="s">
        <v>133</v>
      </c>
      <c r="E169" s="94" t="n">
        <f aca="false">IF($F$1="GWP100 without fb",E170+E171*'Common input data'!$C$5+E172*'Common input data'!$D$5,IF($F$1="GWP100 with fb",E170+E171*'Common input data'!$C$6+E172*'Common input data'!$D$6,IF($F$1="GTP100 without fb",E170+E171*'Common input data'!$C$7+E172*'Common input data'!$D$7,IF($F$1="GTP100 with fb",E170+E171*'Common input data'!$C$8+E172*'Common input data'!$D$8,E170+E171*'Common input data'!$C$9+E172*'Common input data'!$D$9))))</f>
        <v>0.00229724529491214</v>
      </c>
      <c r="F169" s="95" t="n">
        <f aca="false">IF($F$1="GWP100 without fb",F170+F171*'Common input data'!$C$5+F172*'Common input data'!$D$5,IF($F$1="GWP100 with fb",F170+F171*'Common input data'!$C$6+F172*'Common input data'!$D$6,IF($F$1="GTP100 without fb",F170+F171*'Common input data'!$C$7+F172*'Common input data'!$D$7,IF($F$1="GTP100 with fb",F170+F171*'Common input data'!$C$8+F172*'Common input data'!$D$8,F170+F171*'Common input data'!$C$9+F172*'Common input data'!$D$9))))</f>
        <v>0.358174492461477</v>
      </c>
      <c r="G169" s="96" t="n">
        <f aca="false">IF($F$1="GWP100 without fb",G170+G171*'Common input data'!$C$5+G172*'Common input data'!$D$5,IF($F$1="GWP100 with fb",G170+G171*'Common input data'!$C$6+G172*'Common input data'!$D$6,IF($F$1="GTP100 without fb",G170+G171*'Common input data'!$C$7+G172*'Common input data'!$D$7,IF($F$1="GTP100 with fb",G170+G171*'Common input data'!$C$8+G172*'Common input data'!$D$8,G170+G171*'Common input data'!$C$9+G172*'Common input data'!$D$9))))</f>
        <v>0.880981611721538</v>
      </c>
      <c r="H169" s="83"/>
      <c r="I169" s="83"/>
      <c r="J169" s="83"/>
      <c r="K169" s="83"/>
      <c r="L169" s="83"/>
      <c r="M169" s="83"/>
      <c r="N169" s="83"/>
      <c r="O169" s="83"/>
      <c r="P169" s="83"/>
      <c r="Q169" s="83"/>
      <c r="R169" s="83"/>
      <c r="S169" s="83"/>
      <c r="T169" s="83"/>
      <c r="U169" s="83"/>
      <c r="V169" s="309"/>
      <c r="W169" s="92"/>
      <c r="X169" s="209"/>
      <c r="Y169" s="209"/>
      <c r="Z169" s="30"/>
      <c r="AA169" s="209"/>
      <c r="AB169" s="209"/>
      <c r="AC169" s="209"/>
      <c r="AD169" s="209"/>
      <c r="AE169" s="209"/>
      <c r="AF169" s="209"/>
      <c r="AG169" s="209"/>
      <c r="AH169" s="209"/>
      <c r="AI169" s="209"/>
      <c r="AJ169" s="209"/>
      <c r="AK169" s="209"/>
      <c r="AL169" s="209"/>
      <c r="AM169" s="209"/>
      <c r="AN169" s="209"/>
      <c r="AO169" s="209"/>
      <c r="AP169" s="209"/>
      <c r="AQ169" s="209"/>
      <c r="AR169" s="209"/>
      <c r="AS169" s="209"/>
      <c r="AT169" s="209"/>
      <c r="AU169" s="209"/>
      <c r="AV169" s="209"/>
      <c r="AW169" s="209"/>
      <c r="AX169" s="209"/>
      <c r="AY169" s="209"/>
      <c r="AZ169" s="209"/>
      <c r="BA169" s="209"/>
      <c r="BB169" s="209"/>
      <c r="BC169" s="209"/>
      <c r="BD169" s="209"/>
      <c r="BE169" s="209"/>
      <c r="BF169" s="209"/>
      <c r="BG169" s="209"/>
      <c r="BH169" s="209"/>
      <c r="BI169" s="209"/>
      <c r="BJ169" s="209"/>
      <c r="BK169" s="209"/>
      <c r="BL169" s="209"/>
      <c r="BM169" s="209"/>
      <c r="BN169" s="209"/>
      <c r="BO169" s="209"/>
      <c r="BP169" s="209"/>
      <c r="BQ169" s="209"/>
      <c r="BR169" s="209"/>
      <c r="BS169" s="209"/>
      <c r="BT169" s="209"/>
      <c r="BU169" s="209"/>
      <c r="BV169" s="209"/>
      <c r="BW169" s="209"/>
      <c r="BX169" s="209"/>
      <c r="BY169" s="209"/>
      <c r="BZ169" s="209"/>
      <c r="CA169" s="209"/>
      <c r="CB169" s="209"/>
      <c r="CC169" s="209"/>
      <c r="CD169" s="209"/>
      <c r="CE169" s="209"/>
      <c r="CF169" s="209"/>
      <c r="CG169" s="209"/>
      <c r="CH169" s="209"/>
      <c r="CI169" s="209"/>
      <c r="CJ169" s="209"/>
      <c r="CK169" s="209"/>
      <c r="CL169" s="209"/>
      <c r="CM169" s="209"/>
      <c r="CN169" s="209"/>
      <c r="CO169" s="209"/>
      <c r="CP169" s="209"/>
      <c r="CQ169" s="209"/>
      <c r="CR169" s="209"/>
      <c r="CS169" s="209"/>
      <c r="CT169" s="209"/>
      <c r="CU169" s="209"/>
      <c r="CV169" s="209"/>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209"/>
      <c r="DR169" s="209"/>
      <c r="DS169" s="209"/>
      <c r="DT169" s="209"/>
      <c r="DU169" s="209"/>
      <c r="DV169" s="209"/>
      <c r="DW169" s="209"/>
      <c r="DX169" s="209"/>
      <c r="DY169" s="209"/>
      <c r="DZ169" s="209"/>
      <c r="EA169" s="209"/>
      <c r="EB169" s="209"/>
      <c r="EC169" s="209"/>
      <c r="ED169" s="209"/>
      <c r="EE169" s="209"/>
      <c r="EF169" s="209"/>
      <c r="EG169" s="209"/>
      <c r="EH169" s="209"/>
      <c r="EI169" s="209"/>
      <c r="EJ169" s="209"/>
      <c r="EK169" s="209"/>
      <c r="EL169" s="209"/>
      <c r="EM169" s="209"/>
      <c r="EN169" s="209"/>
      <c r="EO169" s="209"/>
      <c r="EP169" s="209"/>
      <c r="EQ169" s="209"/>
      <c r="ER169" s="209"/>
      <c r="ES169" s="209"/>
      <c r="ET169" s="209"/>
      <c r="EU169" s="209"/>
      <c r="EV169" s="209"/>
      <c r="EW169" s="209"/>
      <c r="EX169" s="209"/>
      <c r="EY169" s="209"/>
      <c r="EZ169" s="209"/>
      <c r="FA169" s="209"/>
      <c r="FB169" s="209"/>
      <c r="FC169" s="209"/>
      <c r="FD169" s="209"/>
      <c r="FE169" s="209"/>
      <c r="FF169" s="209"/>
      <c r="FG169" s="209"/>
      <c r="FH169" s="209"/>
      <c r="FI169" s="209"/>
      <c r="FJ169" s="209"/>
      <c r="FK169" s="209"/>
      <c r="FL169" s="209"/>
      <c r="FM169" s="209"/>
      <c r="FN169" s="209"/>
      <c r="FO169" s="209"/>
      <c r="FP169" s="209"/>
      <c r="FQ169" s="209"/>
      <c r="FR169" s="209"/>
      <c r="FS169" s="209"/>
      <c r="FT169" s="209"/>
      <c r="FU169" s="209"/>
      <c r="FV169" s="209"/>
      <c r="FW169" s="209"/>
      <c r="FX169" s="209"/>
      <c r="FY169" s="209"/>
      <c r="FZ169" s="209"/>
      <c r="GA169" s="209"/>
      <c r="GB169" s="209"/>
      <c r="GC169" s="209"/>
      <c r="GD169" s="209"/>
      <c r="GE169" s="209"/>
      <c r="GF169" s="209"/>
      <c r="GG169" s="209"/>
      <c r="GH169" s="209"/>
      <c r="GI169" s="209"/>
      <c r="GJ169" s="209"/>
      <c r="GK169" s="209"/>
      <c r="GL169" s="209"/>
      <c r="GM169" s="209"/>
      <c r="GN169" s="209"/>
      <c r="GO169" s="209"/>
      <c r="GP169" s="209"/>
      <c r="GQ169" s="209"/>
      <c r="GR169" s="209"/>
      <c r="GS169" s="209"/>
      <c r="GT169" s="209"/>
      <c r="GU169" s="209"/>
      <c r="GV169" s="209"/>
      <c r="GW169" s="209"/>
      <c r="GX169" s="209"/>
      <c r="GY169" s="209"/>
      <c r="GZ169" s="209"/>
      <c r="HA169" s="209"/>
      <c r="HB169" s="209"/>
      <c r="HC169" s="209"/>
      <c r="HD169" s="209"/>
      <c r="HE169" s="209"/>
      <c r="HF169" s="209"/>
      <c r="HG169" s="209"/>
      <c r="HH169" s="209"/>
      <c r="HI169" s="209"/>
      <c r="HJ169" s="209"/>
      <c r="HK169" s="209"/>
      <c r="HL169" s="209"/>
      <c r="HM169" s="209"/>
      <c r="HN169" s="209"/>
      <c r="HO169" s="209"/>
      <c r="HP169" s="209"/>
      <c r="HQ169" s="209"/>
      <c r="HR169" s="209"/>
      <c r="HS169" s="209"/>
      <c r="HT169" s="209"/>
      <c r="HU169" s="209"/>
      <c r="HV169" s="209"/>
      <c r="HW169" s="209"/>
      <c r="HX169" s="209"/>
      <c r="HY169" s="209"/>
      <c r="HZ169" s="209"/>
      <c r="IA169" s="209"/>
      <c r="IB169" s="209"/>
      <c r="IC169" s="209"/>
      <c r="ID169" s="209"/>
      <c r="IE169" s="209"/>
      <c r="IF169" s="209"/>
      <c r="IG169" s="209"/>
      <c r="IH169" s="209"/>
      <c r="II169" s="209"/>
      <c r="IJ169" s="209"/>
      <c r="IK169" s="209"/>
      <c r="IL169" s="209"/>
      <c r="IM169" s="209"/>
      <c r="IN169" s="209"/>
      <c r="IO169" s="209"/>
      <c r="IP169" s="209"/>
      <c r="IQ169" s="209"/>
      <c r="IR169" s="209"/>
      <c r="IS169" s="209"/>
      <c r="IT169" s="209"/>
      <c r="IU169" s="209"/>
      <c r="IV169" s="209"/>
      <c r="IW169" s="209"/>
      <c r="IX169" s="209"/>
    </row>
    <row r="170" s="209" customFormat="true" ht="17.4" hidden="false" customHeight="false" outlineLevel="0" collapsed="false">
      <c r="A170" s="99"/>
      <c r="B170" s="31"/>
      <c r="C170" s="30"/>
      <c r="D170" s="85" t="s">
        <v>134</v>
      </c>
      <c r="E170" s="217" t="n">
        <f aca="false">IF(AND($F$2="No",$F$3="No"),SUM(J170:K170),IF(AND($F$2="Yes", $F$3="No"), SUM(J170:K170)+Q170, IF(AND($F$2="No", $F$3="Yes"),SUM(J170:K170)+P170, SUM(J170:K170)+Q170+P170)))</f>
        <v>-0.0911390481413813</v>
      </c>
      <c r="F170" s="89" t="n">
        <f aca="false">IF(AND($F$2="No",$F$3="No"),SUM(H170:O170),IF(AND($F$2="Yes", $F$3="No"), SUM(H170:O170)+Q170, IF(AND($F$2="No", $F$3="Yes"),SUM(H170:O170)+P170, SUM(H170:O170)+Q170+P170)))</f>
        <v>0.182651991368927</v>
      </c>
      <c r="G170" s="88" t="n">
        <f aca="false">SUM(S170:U170)/(1-'Common input data'!$B$121)</f>
        <v>0.671502555637817</v>
      </c>
      <c r="H170" s="87" t="n">
        <f aca="false">('Input data plant-based products'!$F$90*('Common input data'!$C$76*'Common input data'!B69+'Common input data'!$C$77*'Common input data'!C69))/'Input data plant-based products'!$E$90</f>
        <v>0.0483683658299166</v>
      </c>
      <c r="I170" s="89" t="n">
        <f aca="false">'Common input data'!$B$81</f>
        <v>0.03</v>
      </c>
      <c r="J170" s="87" t="n">
        <v>0</v>
      </c>
      <c r="K170" s="89" t="n">
        <v>0</v>
      </c>
      <c r="L170" s="87" t="n">
        <f aca="false">('Input data plant-based products'!$I$90*'Common input data'!$C$59*'Common input data'!H49)/'Input data plant-based products'!$E$90</f>
        <v>0.145422673680392</v>
      </c>
      <c r="M170" s="89" t="n">
        <v>0</v>
      </c>
      <c r="N170" s="89" t="n">
        <f aca="false">'Input data plant-based products'!F$152</f>
        <v>0.05</v>
      </c>
      <c r="O170" s="89" t="n">
        <v>0</v>
      </c>
      <c r="P170" s="89" t="n">
        <f aca="false">'Common input data'!$F$13</f>
        <v>-0.0911390481413813</v>
      </c>
      <c r="Q170" s="89" t="n">
        <v>0</v>
      </c>
      <c r="R170" s="89" t="n">
        <v>0</v>
      </c>
      <c r="S170" s="89" t="n">
        <f aca="false">F170+R170</f>
        <v>0.182651991368927</v>
      </c>
      <c r="T170" s="89" t="n">
        <f aca="false">'Common input data'!B$86</f>
        <v>0.15</v>
      </c>
      <c r="U170" s="87" t="n">
        <f aca="false">'Common input data'!B102+'Common input data'!C102</f>
        <v>0.23</v>
      </c>
      <c r="V170" s="309"/>
      <c r="W170" s="92"/>
      <c r="Z170" s="30"/>
    </row>
    <row r="171" s="209" customFormat="true" ht="17.4" hidden="false" customHeight="false" outlineLevel="0" collapsed="false">
      <c r="A171" s="74"/>
      <c r="B171" s="31"/>
      <c r="C171" s="93"/>
      <c r="D171" s="85" t="s">
        <v>135</v>
      </c>
      <c r="E171" s="217" t="n">
        <f aca="false">SUM(J171:K171)</f>
        <v>0</v>
      </c>
      <c r="F171" s="89" t="n">
        <f aca="false">SUM(H171:O171)</f>
        <v>6.44175540939597E-005</v>
      </c>
      <c r="G171" s="88" t="n">
        <f aca="false">SUM(S171:U171)/(1-'Common input data'!$B$121)</f>
        <v>7.68797638070889E-005</v>
      </c>
      <c r="H171" s="87" t="n">
        <f aca="false">('Input data plant-based products'!$F$90*('Common input data'!$C$76*'Common input data'!B70+'Common input data'!$C$77*'Common input data'!C70))/'Input data plant-based products'!$E$90</f>
        <v>2.13263196081988E-010</v>
      </c>
      <c r="I171" s="87" t="n">
        <v>0</v>
      </c>
      <c r="J171" s="87" t="n">
        <v>0</v>
      </c>
      <c r="K171" s="87" t="n">
        <v>0</v>
      </c>
      <c r="L171" s="87" t="n">
        <f aca="false">('Input data plant-based products'!$I$90*'Common input data'!$C$59*'Common input data'!H50)/'Input data plant-based products'!$E$90</f>
        <v>6.44173408307637E-005</v>
      </c>
      <c r="M171" s="89" t="n">
        <v>0</v>
      </c>
      <c r="N171" s="89" t="n">
        <v>0</v>
      </c>
      <c r="O171" s="89" t="n">
        <v>0</v>
      </c>
      <c r="P171" s="89" t="n">
        <v>0</v>
      </c>
      <c r="Q171" s="89" t="n">
        <v>0</v>
      </c>
      <c r="R171" s="89" t="n">
        <v>0</v>
      </c>
      <c r="S171" s="89" t="n">
        <f aca="false">F171+R171</f>
        <v>6.44175540939597E-005</v>
      </c>
      <c r="T171" s="89" t="n">
        <v>0</v>
      </c>
      <c r="U171" s="89" t="n">
        <v>0</v>
      </c>
      <c r="V171" s="309"/>
      <c r="W171" s="92"/>
      <c r="Z171" s="30"/>
    </row>
    <row r="172" s="209" customFormat="true" ht="17.4" hidden="false" customHeight="false" outlineLevel="0" collapsed="false">
      <c r="A172" s="100"/>
      <c r="B172" s="101"/>
      <c r="C172" s="87"/>
      <c r="D172" s="31" t="s">
        <v>136</v>
      </c>
      <c r="E172" s="219" t="n">
        <f aca="false">SUM(J172:K172)</f>
        <v>0.000313544608846622</v>
      </c>
      <c r="F172" s="126" t="n">
        <f aca="false">SUM(H172:O172)</f>
        <v>0.000581652027695822</v>
      </c>
      <c r="G172" s="106" t="n">
        <f aca="false">SUM(S172:U172)/(1-'Common input data'!$B$121)</f>
        <v>0.000694178335953959</v>
      </c>
      <c r="H172" s="87" t="n">
        <f aca="false">('Input data plant-based products'!$F$90*('Common input data'!$C$76*'Common input data'!B71+'Common input data'!$C$77*'Common input data'!C71))/'Input data plant-based products'!$E$90</f>
        <v>0.000264199854909421</v>
      </c>
      <c r="I172" s="87" t="n">
        <v>0</v>
      </c>
      <c r="J172" s="87" t="n">
        <f aca="false">(SUM('Input data plant-based products'!F90:H90)*'Input data plant-based products'!$B$114*44/28)/'Input data plant-based products'!E90</f>
        <v>0.000285040553496929</v>
      </c>
      <c r="K172" s="89" t="n">
        <f aca="false">J172*'Input data plant-based products'!$B$115</f>
        <v>2.85040553496929E-005</v>
      </c>
      <c r="L172" s="87" t="n">
        <f aca="false">('Input data plant-based products'!$I$90*'Common input data'!$C$59*'Common input data'!H51)/'Input data plant-based products'!$E$90</f>
        <v>3.9075639397787E-006</v>
      </c>
      <c r="M172" s="89" t="n">
        <v>0</v>
      </c>
      <c r="N172" s="89" t="n">
        <v>0</v>
      </c>
      <c r="O172" s="89" t="n">
        <v>0</v>
      </c>
      <c r="P172" s="89" t="n">
        <v>0</v>
      </c>
      <c r="Q172" s="89" t="n">
        <v>0</v>
      </c>
      <c r="R172" s="89" t="n">
        <v>0</v>
      </c>
      <c r="S172" s="89" t="n">
        <f aca="false">F172+R172</f>
        <v>0.000581652027695822</v>
      </c>
      <c r="T172" s="89" t="n">
        <v>0</v>
      </c>
      <c r="U172" s="89" t="n">
        <v>0</v>
      </c>
      <c r="V172" s="309"/>
      <c r="W172" s="92"/>
      <c r="Z172" s="30"/>
    </row>
    <row r="173" s="334" customFormat="true" ht="17.4" hidden="false" customHeight="false" outlineLevel="0" collapsed="false">
      <c r="A173" s="107" t="s">
        <v>343</v>
      </c>
      <c r="B173" s="108"/>
      <c r="C173" s="69"/>
      <c r="D173" s="109"/>
      <c r="E173" s="110" t="s">
        <v>344</v>
      </c>
      <c r="F173" s="111" t="s">
        <v>344</v>
      </c>
      <c r="G173" s="112"/>
      <c r="H173" s="69"/>
      <c r="I173" s="69"/>
      <c r="J173" s="69"/>
      <c r="K173" s="113"/>
      <c r="L173" s="113"/>
      <c r="M173" s="114"/>
      <c r="N173" s="113"/>
      <c r="O173" s="113"/>
      <c r="P173" s="113"/>
      <c r="Q173" s="113"/>
      <c r="R173" s="113"/>
      <c r="S173" s="113"/>
      <c r="T173" s="113"/>
      <c r="U173" s="113"/>
      <c r="V173" s="74"/>
      <c r="W173" s="92"/>
      <c r="X173" s="209"/>
      <c r="Y173" s="209"/>
      <c r="Z173" s="30"/>
      <c r="AA173" s="209"/>
      <c r="AB173" s="209"/>
      <c r="AC173" s="209"/>
      <c r="AD173" s="209"/>
      <c r="AE173" s="209"/>
      <c r="AF173" s="209"/>
      <c r="AG173" s="209"/>
      <c r="AH173" s="209"/>
      <c r="AI173" s="209"/>
      <c r="AJ173" s="209"/>
      <c r="AK173" s="209"/>
      <c r="AL173" s="209"/>
      <c r="AM173" s="209"/>
      <c r="AN173" s="209"/>
      <c r="AO173" s="209"/>
      <c r="AP173" s="209"/>
      <c r="AQ173" s="209"/>
      <c r="AR173" s="209"/>
      <c r="AS173" s="209"/>
      <c r="AT173" s="209"/>
      <c r="AU173" s="209"/>
      <c r="AV173" s="209"/>
      <c r="AW173" s="209"/>
      <c r="AX173" s="209"/>
      <c r="AY173" s="209"/>
      <c r="AZ173" s="209"/>
      <c r="BA173" s="209"/>
      <c r="BB173" s="209"/>
      <c r="BC173" s="209"/>
      <c r="BD173" s="209"/>
      <c r="BE173" s="209"/>
      <c r="BF173" s="209"/>
      <c r="BG173" s="209"/>
      <c r="BH173" s="209"/>
      <c r="BI173" s="209"/>
      <c r="BJ173" s="209"/>
      <c r="BK173" s="209"/>
      <c r="BL173" s="209"/>
      <c r="BM173" s="209"/>
      <c r="BN173" s="209"/>
      <c r="BO173" s="209"/>
      <c r="BP173" s="209"/>
      <c r="BQ173" s="209"/>
      <c r="BR173" s="209"/>
      <c r="BS173" s="209"/>
      <c r="BT173" s="209"/>
      <c r="BU173" s="209"/>
      <c r="BV173" s="209"/>
      <c r="BW173" s="209"/>
      <c r="BX173" s="209"/>
      <c r="BY173" s="209"/>
      <c r="BZ173" s="209"/>
      <c r="CA173" s="209"/>
      <c r="CB173" s="209"/>
      <c r="CC173" s="209"/>
      <c r="CD173" s="209"/>
      <c r="CE173" s="209"/>
      <c r="CF173" s="209"/>
      <c r="CG173" s="209"/>
      <c r="CH173" s="209"/>
      <c r="CI173" s="209"/>
      <c r="CJ173" s="209"/>
      <c r="CK173" s="209"/>
      <c r="CL173" s="209"/>
      <c r="CM173" s="209"/>
      <c r="CN173" s="209"/>
      <c r="CO173" s="209"/>
      <c r="CP173" s="209"/>
      <c r="CQ173" s="209"/>
      <c r="CR173" s="209"/>
      <c r="CS173" s="209"/>
      <c r="CT173" s="209"/>
      <c r="CU173" s="209"/>
      <c r="CV173" s="209"/>
      <c r="CW173" s="209"/>
      <c r="CX173" s="209"/>
      <c r="CY173" s="209"/>
      <c r="CZ173" s="209"/>
      <c r="DA173" s="209"/>
      <c r="DB173" s="209"/>
      <c r="DC173" s="209"/>
      <c r="DD173" s="209"/>
      <c r="DE173" s="209"/>
      <c r="DF173" s="209"/>
      <c r="DG173" s="209"/>
      <c r="DH173" s="209"/>
      <c r="DI173" s="209"/>
      <c r="DJ173" s="209"/>
      <c r="DK173" s="209"/>
      <c r="DL173" s="209"/>
      <c r="DM173" s="209"/>
      <c r="DN173" s="209"/>
      <c r="DO173" s="209"/>
      <c r="DP173" s="209"/>
      <c r="DQ173" s="209"/>
      <c r="DR173" s="209"/>
      <c r="DS173" s="209"/>
      <c r="DT173" s="209"/>
      <c r="DU173" s="209"/>
      <c r="DV173" s="209"/>
      <c r="DW173" s="209"/>
      <c r="DX173" s="209"/>
      <c r="DY173" s="209"/>
      <c r="DZ173" s="209"/>
      <c r="EA173" s="209"/>
      <c r="EB173" s="209"/>
      <c r="EC173" s="209"/>
      <c r="ED173" s="209"/>
      <c r="EE173" s="209"/>
      <c r="EF173" s="209"/>
      <c r="EG173" s="209"/>
      <c r="EH173" s="209"/>
      <c r="EI173" s="209"/>
      <c r="EJ173" s="209"/>
      <c r="EK173" s="209"/>
      <c r="EL173" s="209"/>
      <c r="EM173" s="209"/>
      <c r="EN173" s="209"/>
      <c r="EO173" s="209"/>
      <c r="EP173" s="209"/>
      <c r="EQ173" s="209"/>
      <c r="ER173" s="209"/>
      <c r="ES173" s="209"/>
      <c r="ET173" s="209"/>
      <c r="EU173" s="209"/>
      <c r="EV173" s="209"/>
      <c r="EW173" s="209"/>
      <c r="EX173" s="209"/>
      <c r="EY173" s="209"/>
      <c r="EZ173" s="209"/>
      <c r="FA173" s="209"/>
      <c r="FB173" s="209"/>
      <c r="FC173" s="209"/>
      <c r="FD173" s="209"/>
      <c r="FE173" s="209"/>
      <c r="FF173" s="209"/>
      <c r="FG173" s="209"/>
      <c r="FH173" s="209"/>
      <c r="FI173" s="209"/>
      <c r="FJ173" s="209"/>
      <c r="FK173" s="209"/>
      <c r="FL173" s="209"/>
      <c r="FM173" s="209"/>
      <c r="FN173" s="209"/>
      <c r="FO173" s="209"/>
      <c r="FP173" s="209"/>
      <c r="FQ173" s="209"/>
      <c r="FR173" s="209"/>
      <c r="FS173" s="209"/>
      <c r="FT173" s="209"/>
      <c r="FU173" s="209"/>
      <c r="FV173" s="209"/>
      <c r="FW173" s="209"/>
      <c r="FX173" s="209"/>
      <c r="FY173" s="209"/>
      <c r="FZ173" s="209"/>
      <c r="GA173" s="209"/>
      <c r="GB173" s="209"/>
      <c r="GC173" s="209"/>
      <c r="GD173" s="209"/>
      <c r="GE173" s="209"/>
      <c r="GF173" s="209"/>
      <c r="GG173" s="209"/>
      <c r="GH173" s="209"/>
      <c r="GI173" s="209"/>
      <c r="GJ173" s="209"/>
      <c r="GK173" s="209"/>
      <c r="GL173" s="209"/>
      <c r="GM173" s="209"/>
      <c r="GN173" s="209"/>
      <c r="GO173" s="209"/>
      <c r="GP173" s="209"/>
      <c r="GQ173" s="209"/>
      <c r="GR173" s="209"/>
      <c r="GS173" s="209"/>
      <c r="GT173" s="209"/>
      <c r="GU173" s="209"/>
      <c r="GV173" s="209"/>
      <c r="GW173" s="209"/>
      <c r="GX173" s="209"/>
      <c r="GY173" s="209"/>
      <c r="GZ173" s="209"/>
      <c r="HA173" s="209"/>
      <c r="HB173" s="209"/>
      <c r="HC173" s="209"/>
      <c r="HD173" s="209"/>
      <c r="HE173" s="209"/>
      <c r="HF173" s="209"/>
      <c r="HG173" s="209"/>
      <c r="HH173" s="209"/>
      <c r="HI173" s="209"/>
      <c r="HJ173" s="209"/>
      <c r="HK173" s="209"/>
      <c r="HL173" s="209"/>
      <c r="HM173" s="209"/>
      <c r="HN173" s="209"/>
      <c r="HO173" s="209"/>
      <c r="HP173" s="209"/>
      <c r="HQ173" s="209"/>
      <c r="HR173" s="209"/>
      <c r="HS173" s="209"/>
      <c r="HT173" s="209"/>
      <c r="HU173" s="209"/>
      <c r="HV173" s="209"/>
      <c r="HW173" s="209"/>
      <c r="HX173" s="209"/>
      <c r="HY173" s="209"/>
      <c r="HZ173" s="209"/>
      <c r="IA173" s="209"/>
      <c r="IB173" s="209"/>
      <c r="IC173" s="209"/>
      <c r="ID173" s="209"/>
      <c r="IE173" s="209"/>
      <c r="IF173" s="209"/>
      <c r="IG173" s="209"/>
      <c r="IH173" s="209"/>
      <c r="II173" s="209"/>
      <c r="IJ173" s="209"/>
      <c r="IK173" s="209"/>
      <c r="IL173" s="209"/>
      <c r="IM173" s="209"/>
      <c r="IN173" s="209"/>
      <c r="IO173" s="209"/>
      <c r="IP173" s="209"/>
      <c r="IQ173" s="209"/>
      <c r="IR173" s="209"/>
      <c r="IS173" s="209"/>
      <c r="IT173" s="209"/>
      <c r="IU173" s="209"/>
      <c r="IV173" s="209"/>
      <c r="IW173" s="209"/>
      <c r="IX173" s="209"/>
    </row>
    <row r="174" s="332" customFormat="true" ht="17.4" hidden="false" customHeight="false" outlineLevel="0" collapsed="false">
      <c r="A174" s="330" t="s">
        <v>345</v>
      </c>
      <c r="B174" s="76" t="s">
        <v>254</v>
      </c>
      <c r="C174" s="77" t="n">
        <f aca="false">'Input data plant-based products'!D38</f>
        <v>1</v>
      </c>
      <c r="D174" s="78" t="s">
        <v>133</v>
      </c>
      <c r="E174" s="79" t="n">
        <f aca="false">IF($F$1="GWP100 without fb",E175+E176*'Common input data'!$C$5+E177*'Common input data'!$D$5,IF($F$1="GWP100 with fb",E175+E176*'Common input data'!$C$6+E177*'Common input data'!$D$6,IF($F$1="GTP100 without fb",E175+E176*'Common input data'!$C$7+E177*'Common input data'!$D$7,IF($F$1="GTP100 with fb",E175+E176*'Common input data'!$C$8+E177*'Common input data'!$D$8,E175+E176*'Common input data'!$C$9+E177*'Common input data'!$D$9))))</f>
        <v>0.438937704941077</v>
      </c>
      <c r="F174" s="80" t="n">
        <f aca="false">IF($F$1="GWP100 without fb",F175+F176*'Common input data'!$C$5+F177*'Common input data'!$D$5,IF($F$1="GWP100 with fb",F175+F176*'Common input data'!$C$6+F177*'Common input data'!$D$6,IF($F$1="GTP100 without fb",F175+F176*'Common input data'!$C$7+F177*'Common input data'!$D$7,IF($F$1="GTP100 with fb",F175+F176*'Common input data'!$C$8+F177*'Common input data'!$D$8,F175+F176*'Common input data'!$C$9+F177*'Common input data'!$D$9))))</f>
        <v>2.81008709908334</v>
      </c>
      <c r="G174" s="81"/>
      <c r="H174" s="95"/>
      <c r="I174" s="97"/>
      <c r="J174" s="97"/>
      <c r="K174" s="83"/>
      <c r="L174" s="83"/>
      <c r="M174" s="83"/>
      <c r="N174" s="83"/>
      <c r="O174" s="83"/>
      <c r="P174" s="83"/>
      <c r="Q174" s="83"/>
      <c r="R174" s="83"/>
      <c r="S174" s="83"/>
      <c r="T174" s="83"/>
      <c r="U174" s="83"/>
      <c r="V174" s="74"/>
      <c r="W174" s="92"/>
      <c r="X174" s="209"/>
      <c r="Y174" s="209"/>
      <c r="Z174" s="30"/>
      <c r="AA174" s="209"/>
      <c r="AB174" s="209"/>
      <c r="AC174" s="209"/>
      <c r="AD174" s="209"/>
      <c r="AE174" s="209"/>
      <c r="AF174" s="209"/>
      <c r="AG174" s="209"/>
      <c r="AH174" s="209"/>
      <c r="AI174" s="209"/>
      <c r="AJ174" s="209"/>
      <c r="AK174" s="209"/>
      <c r="AL174" s="209"/>
      <c r="AM174" s="209"/>
      <c r="AN174" s="209"/>
      <c r="AO174" s="209"/>
      <c r="AP174" s="209"/>
      <c r="AQ174" s="209"/>
      <c r="AR174" s="209"/>
      <c r="AS174" s="209"/>
      <c r="AT174" s="209"/>
      <c r="AU174" s="209"/>
      <c r="AV174" s="209"/>
      <c r="AW174" s="209"/>
      <c r="AX174" s="209"/>
      <c r="AY174" s="209"/>
      <c r="AZ174" s="209"/>
      <c r="BA174" s="209"/>
      <c r="BB174" s="209"/>
      <c r="BC174" s="209"/>
      <c r="BD174" s="209"/>
      <c r="BE174" s="209"/>
      <c r="BF174" s="209"/>
      <c r="BG174" s="209"/>
      <c r="BH174" s="209"/>
      <c r="BI174" s="209"/>
      <c r="BJ174" s="209"/>
      <c r="BK174" s="209"/>
      <c r="BL174" s="209"/>
      <c r="BM174" s="209"/>
      <c r="BN174" s="209"/>
      <c r="BO174" s="209"/>
      <c r="BP174" s="209"/>
      <c r="BQ174" s="209"/>
      <c r="BR174" s="209"/>
      <c r="BS174" s="209"/>
      <c r="BT174" s="209"/>
      <c r="BU174" s="209"/>
      <c r="BV174" s="209"/>
      <c r="BW174" s="209"/>
      <c r="BX174" s="209"/>
      <c r="BY174" s="209"/>
      <c r="BZ174" s="209"/>
      <c r="CA174" s="209"/>
      <c r="CB174" s="209"/>
      <c r="CC174" s="209"/>
      <c r="CD174" s="209"/>
      <c r="CE174" s="209"/>
      <c r="CF174" s="209"/>
      <c r="CG174" s="209"/>
      <c r="CH174" s="209"/>
      <c r="CI174" s="209"/>
      <c r="CJ174" s="209"/>
      <c r="CK174" s="209"/>
      <c r="CL174" s="209"/>
      <c r="CM174" s="209"/>
      <c r="CN174" s="209"/>
      <c r="CO174" s="209"/>
      <c r="CP174" s="209"/>
      <c r="CQ174" s="209"/>
      <c r="CR174" s="209"/>
      <c r="CS174" s="209"/>
      <c r="CT174" s="209"/>
      <c r="CU174" s="209"/>
      <c r="CV174" s="209"/>
      <c r="CW174" s="209"/>
      <c r="CX174" s="209"/>
      <c r="CY174" s="209"/>
      <c r="CZ174" s="209"/>
      <c r="DA174" s="209"/>
      <c r="DB174" s="209"/>
      <c r="DC174" s="209"/>
      <c r="DD174" s="209"/>
      <c r="DE174" s="209"/>
      <c r="DF174" s="209"/>
      <c r="DG174" s="209"/>
      <c r="DH174" s="209"/>
      <c r="DI174" s="209"/>
      <c r="DJ174" s="209"/>
      <c r="DK174" s="209"/>
      <c r="DL174" s="209"/>
      <c r="DM174" s="209"/>
      <c r="DN174" s="209"/>
      <c r="DO174" s="209"/>
      <c r="DP174" s="209"/>
      <c r="DQ174" s="209"/>
      <c r="DR174" s="209"/>
      <c r="DS174" s="209"/>
      <c r="DT174" s="209"/>
      <c r="DU174" s="209"/>
      <c r="DV174" s="209"/>
      <c r="DW174" s="209"/>
      <c r="DX174" s="209"/>
      <c r="DY174" s="209"/>
      <c r="DZ174" s="209"/>
      <c r="EA174" s="209"/>
      <c r="EB174" s="209"/>
      <c r="EC174" s="209"/>
      <c r="ED174" s="209"/>
      <c r="EE174" s="209"/>
      <c r="EF174" s="209"/>
      <c r="EG174" s="209"/>
      <c r="EH174" s="209"/>
      <c r="EI174" s="209"/>
      <c r="EJ174" s="209"/>
      <c r="EK174" s="209"/>
      <c r="EL174" s="209"/>
      <c r="EM174" s="209"/>
      <c r="EN174" s="209"/>
      <c r="EO174" s="209"/>
      <c r="EP174" s="209"/>
      <c r="EQ174" s="209"/>
      <c r="ER174" s="209"/>
      <c r="ES174" s="209"/>
      <c r="ET174" s="209"/>
      <c r="EU174" s="209"/>
      <c r="EV174" s="209"/>
      <c r="EW174" s="209"/>
      <c r="EX174" s="209"/>
      <c r="EY174" s="209"/>
      <c r="EZ174" s="209"/>
      <c r="FA174" s="209"/>
      <c r="FB174" s="209"/>
      <c r="FC174" s="209"/>
      <c r="FD174" s="209"/>
      <c r="FE174" s="209"/>
      <c r="FF174" s="209"/>
      <c r="FG174" s="209"/>
      <c r="FH174" s="209"/>
      <c r="FI174" s="209"/>
      <c r="FJ174" s="209"/>
      <c r="FK174" s="209"/>
      <c r="FL174" s="209"/>
      <c r="FM174" s="209"/>
      <c r="FN174" s="209"/>
      <c r="FO174" s="209"/>
      <c r="FP174" s="209"/>
      <c r="FQ174" s="209"/>
      <c r="FR174" s="209"/>
      <c r="FS174" s="209"/>
      <c r="FT174" s="209"/>
      <c r="FU174" s="209"/>
      <c r="FV174" s="209"/>
      <c r="FW174" s="209"/>
      <c r="FX174" s="209"/>
      <c r="FY174" s="209"/>
      <c r="FZ174" s="209"/>
      <c r="GA174" s="209"/>
      <c r="GB174" s="209"/>
      <c r="GC174" s="209"/>
      <c r="GD174" s="209"/>
      <c r="GE174" s="209"/>
      <c r="GF174" s="209"/>
      <c r="GG174" s="209"/>
      <c r="GH174" s="209"/>
      <c r="GI174" s="209"/>
      <c r="GJ174" s="209"/>
      <c r="GK174" s="209"/>
      <c r="GL174" s="209"/>
      <c r="GM174" s="209"/>
      <c r="GN174" s="209"/>
      <c r="GO174" s="209"/>
      <c r="GP174" s="209"/>
      <c r="GQ174" s="209"/>
      <c r="GR174" s="209"/>
      <c r="GS174" s="209"/>
      <c r="GT174" s="209"/>
      <c r="GU174" s="209"/>
      <c r="GV174" s="209"/>
      <c r="GW174" s="209"/>
      <c r="GX174" s="209"/>
      <c r="GY174" s="209"/>
      <c r="GZ174" s="209"/>
      <c r="HA174" s="209"/>
      <c r="HB174" s="209"/>
      <c r="HC174" s="209"/>
      <c r="HD174" s="209"/>
      <c r="HE174" s="209"/>
      <c r="HF174" s="209"/>
      <c r="HG174" s="209"/>
      <c r="HH174" s="209"/>
      <c r="HI174" s="209"/>
      <c r="HJ174" s="209"/>
      <c r="HK174" s="209"/>
      <c r="HL174" s="209"/>
      <c r="HM174" s="209"/>
      <c r="HN174" s="209"/>
      <c r="HO174" s="209"/>
      <c r="HP174" s="209"/>
      <c r="HQ174" s="209"/>
      <c r="HR174" s="209"/>
      <c r="HS174" s="209"/>
      <c r="HT174" s="209"/>
      <c r="HU174" s="209"/>
      <c r="HV174" s="209"/>
      <c r="HW174" s="209"/>
      <c r="HX174" s="209"/>
      <c r="HY174" s="209"/>
      <c r="HZ174" s="209"/>
      <c r="IA174" s="209"/>
      <c r="IB174" s="209"/>
      <c r="IC174" s="209"/>
      <c r="ID174" s="209"/>
      <c r="IE174" s="209"/>
      <c r="IF174" s="209"/>
      <c r="IG174" s="209"/>
      <c r="IH174" s="209"/>
      <c r="II174" s="209"/>
      <c r="IJ174" s="209"/>
      <c r="IK174" s="209"/>
      <c r="IL174" s="209"/>
      <c r="IM174" s="209"/>
      <c r="IN174" s="209"/>
      <c r="IO174" s="209"/>
      <c r="IP174" s="209"/>
      <c r="IQ174" s="209"/>
      <c r="IR174" s="209"/>
      <c r="IS174" s="209"/>
      <c r="IT174" s="209"/>
      <c r="IU174" s="209"/>
      <c r="IV174" s="209"/>
      <c r="IW174" s="209"/>
      <c r="IX174" s="209"/>
    </row>
    <row r="175" s="209" customFormat="true" ht="17.4" hidden="false" customHeight="false" outlineLevel="0" collapsed="false">
      <c r="A175" s="99"/>
      <c r="B175" s="31"/>
      <c r="C175" s="30"/>
      <c r="D175" s="85" t="s">
        <v>134</v>
      </c>
      <c r="E175" s="86" t="n">
        <f aca="false">IF(AND($F$2="No",$F$3="No"),SUM(J175:K175)*'Input data plant-based products'!O$127,IF(AND($F$2="Yes", $F$3="No"), (SUM(J175:K175)+Q175)*'Input data plant-based products'!O$127, IF(AND($F$2="No", $F$3="Yes"),(SUM(J175:K175)+P175)*'Input data plant-based products'!O$127, (SUM(J175:K175)+Q175+P175)*'Input data plant-based products'!O$127)))</f>
        <v>-0.210759048826944</v>
      </c>
      <c r="F175" s="87" t="n">
        <f aca="false">IF(AND($F$2="No",$F$3="No"),SUM(H175:O175)*'Input data plant-based products'!O$127,IF(AND($F$2="Yes", $F$3="No"), (SUM(H175:O175)+Q175)*'Input data plant-based products'!O$127, IF(AND($F$2="No", $F$3="Yes"),(SUM(H175:O175)+P175)*'Input data plant-based products'!O$127, (SUM(H175:O175)+Q175+P175)*'Input data plant-based products'!O$127)))</f>
        <v>1.56360502623459</v>
      </c>
      <c r="G175" s="343"/>
      <c r="H175" s="87" t="n">
        <f aca="false">('Input data plant-based products'!$F$97*('Common input data'!$D$76*'Common input data'!B69+'Common input data'!$D$77*'Common input data'!C69))/'Input data plant-based products'!$E$97</f>
        <v>0.137292572999581</v>
      </c>
      <c r="I175" s="87" t="n">
        <f aca="false">'Common input data'!B81</f>
        <v>0.03</v>
      </c>
      <c r="J175" s="87" t="n">
        <v>0</v>
      </c>
      <c r="K175" s="87" t="n">
        <v>0</v>
      </c>
      <c r="L175" s="87" t="n">
        <f aca="false">('Input data plant-based products'!$I$97*'Common input data'!$C$59*'Common input data'!H49)/'Input data plant-based products'!$E$97</f>
        <v>0</v>
      </c>
      <c r="M175" s="87" t="n">
        <v>0</v>
      </c>
      <c r="N175" s="87" t="n">
        <f aca="false">'Input data plant-based products'!$D$152</f>
        <v>0.6</v>
      </c>
      <c r="O175" s="87" t="n">
        <v>0</v>
      </c>
      <c r="P175" s="87" t="n">
        <f aca="false">'Common input data'!F13</f>
        <v>-0.0911390481413813</v>
      </c>
      <c r="Q175" s="87" t="n">
        <v>0</v>
      </c>
      <c r="R175" s="87" t="n">
        <f aca="false">'Input data plant-based products'!B134</f>
        <v>0.2</v>
      </c>
      <c r="S175" s="30"/>
      <c r="T175" s="30"/>
      <c r="U175" s="30"/>
      <c r="V175" s="74"/>
      <c r="W175" s="92"/>
      <c r="Z175" s="30"/>
    </row>
    <row r="176" s="209" customFormat="true" ht="17.4" hidden="false" customHeight="false" outlineLevel="0" collapsed="false">
      <c r="A176" s="99"/>
      <c r="B176" s="31"/>
      <c r="C176" s="93"/>
      <c r="D176" s="85" t="s">
        <v>135</v>
      </c>
      <c r="E176" s="86" t="n">
        <f aca="false">SUM(J176:K176)*'Input data plant-based products'!O$127</f>
        <v>0</v>
      </c>
      <c r="F176" s="87" t="n">
        <f aca="false">SUM(H176:O176)*'Input data plant-based products'!O$127</f>
        <v>1.73179857798165E-009</v>
      </c>
      <c r="G176" s="343"/>
      <c r="H176" s="87" t="n">
        <f aca="false">('Input data plant-based products'!$F$97*('Common input data'!$D$76*'Common input data'!B70+'Common input data'!$D$77*'Common input data'!C70))/'Input data plant-based products'!$E$97</f>
        <v>7.48885871559633E-010</v>
      </c>
      <c r="I176" s="87" t="n">
        <v>0</v>
      </c>
      <c r="J176" s="87" t="n">
        <v>0</v>
      </c>
      <c r="K176" s="87" t="n">
        <v>0</v>
      </c>
      <c r="L176" s="87" t="n">
        <f aca="false">('Input data plant-based products'!$I$97*'Common input data'!$C$59*'Common input data'!H50)/'Input data plant-based products'!$E$97</f>
        <v>0</v>
      </c>
      <c r="M176" s="87" t="n">
        <v>0</v>
      </c>
      <c r="N176" s="87" t="n">
        <v>0</v>
      </c>
      <c r="O176" s="87" t="n">
        <v>0</v>
      </c>
      <c r="P176" s="87" t="n">
        <v>0</v>
      </c>
      <c r="Q176" s="87" t="n">
        <v>0</v>
      </c>
      <c r="R176" s="87" t="n">
        <v>0</v>
      </c>
      <c r="S176" s="30"/>
      <c r="T176" s="30"/>
      <c r="U176" s="30"/>
      <c r="V176" s="74"/>
      <c r="W176" s="92"/>
      <c r="Z176" s="30"/>
    </row>
    <row r="177" s="209" customFormat="true" ht="17.4" hidden="false" customHeight="false" outlineLevel="0" collapsed="false">
      <c r="A177" s="100"/>
      <c r="B177" s="101"/>
      <c r="C177" s="87"/>
      <c r="D177" s="31" t="s">
        <v>136</v>
      </c>
      <c r="E177" s="104" t="n">
        <f aca="false">SUM(J177:K177)*'Input data plant-based products'!O$127</f>
        <v>0.00218019044888598</v>
      </c>
      <c r="F177" s="105" t="n">
        <f aca="false">SUM(H177:O177)*'Input data plant-based products'!O$127</f>
        <v>0.00418282555022685</v>
      </c>
      <c r="G177" s="344"/>
      <c r="H177" s="87" t="n">
        <f aca="false">('Input data plant-based products'!$F$97*('Common input data'!$D$76*'Common input data'!B71+'Common input data'!$D$77*'Common input data'!C71))/'Input data plant-based products'!$E$97</f>
        <v>0.000866004368147405</v>
      </c>
      <c r="I177" s="87" t="n">
        <v>0</v>
      </c>
      <c r="J177" s="87" t="n">
        <f aca="false">(SUM('Input data plant-based products'!F97:H97)*'Input data plant-based products'!$B$114*44/28)/'Input data plant-based products'!E97</f>
        <v>0.000857077326343381</v>
      </c>
      <c r="K177" s="87" t="n">
        <f aca="false">J177*'Input data plant-based products'!$B$115</f>
        <v>8.57077326343381E-005</v>
      </c>
      <c r="L177" s="87" t="n">
        <f aca="false">('Input data plant-based products'!$I$97*'Common input data'!$C$59*'Common input data'!H51)/'Input data plant-based products'!$E$97</f>
        <v>0</v>
      </c>
      <c r="M177" s="87" t="n">
        <v>0</v>
      </c>
      <c r="N177" s="87" t="n">
        <v>0</v>
      </c>
      <c r="O177" s="87" t="n">
        <v>0</v>
      </c>
      <c r="P177" s="87" t="n">
        <v>0</v>
      </c>
      <c r="Q177" s="87" t="n">
        <v>0</v>
      </c>
      <c r="R177" s="87" t="n">
        <v>0</v>
      </c>
      <c r="S177" s="30"/>
      <c r="T177" s="30"/>
      <c r="U177" s="30"/>
      <c r="V177" s="74"/>
      <c r="W177" s="92"/>
      <c r="Z177" s="30"/>
    </row>
    <row r="178" s="334" customFormat="true" ht="17.4" hidden="false" customHeight="false" outlineLevel="0" collapsed="false">
      <c r="A178" s="107" t="s">
        <v>346</v>
      </c>
      <c r="B178" s="108"/>
      <c r="C178" s="69"/>
      <c r="D178" s="109"/>
      <c r="E178" s="110" t="s">
        <v>344</v>
      </c>
      <c r="F178" s="111" t="s">
        <v>344</v>
      </c>
      <c r="G178" s="112" t="s">
        <v>347</v>
      </c>
      <c r="H178" s="69"/>
      <c r="I178" s="69"/>
      <c r="J178" s="69"/>
      <c r="K178" s="113"/>
      <c r="L178" s="113"/>
      <c r="M178" s="114"/>
      <c r="N178" s="113"/>
      <c r="O178" s="113"/>
      <c r="P178" s="113"/>
      <c r="Q178" s="113"/>
      <c r="R178" s="113"/>
      <c r="S178" s="113"/>
      <c r="T178" s="113"/>
      <c r="U178" s="113"/>
      <c r="V178" s="74"/>
      <c r="W178" s="92"/>
      <c r="X178" s="209"/>
      <c r="Y178" s="209"/>
      <c r="Z178" s="30"/>
      <c r="AA178" s="209"/>
      <c r="AB178" s="209"/>
      <c r="AC178" s="209"/>
      <c r="AD178" s="209"/>
      <c r="AE178" s="209"/>
      <c r="AF178" s="209"/>
      <c r="AG178" s="209"/>
      <c r="AH178" s="209"/>
      <c r="AI178" s="209"/>
      <c r="AJ178" s="209"/>
      <c r="AK178" s="209"/>
      <c r="AL178" s="209"/>
      <c r="AM178" s="209"/>
      <c r="AN178" s="209"/>
      <c r="AO178" s="209"/>
      <c r="AP178" s="209"/>
      <c r="AQ178" s="209"/>
      <c r="AR178" s="209"/>
      <c r="AS178" s="209"/>
      <c r="AT178" s="209"/>
      <c r="AU178" s="209"/>
      <c r="AV178" s="209"/>
      <c r="AW178" s="209"/>
      <c r="AX178" s="209"/>
      <c r="AY178" s="209"/>
      <c r="AZ178" s="209"/>
      <c r="BA178" s="209"/>
      <c r="BB178" s="209"/>
      <c r="BC178" s="209"/>
      <c r="BD178" s="209"/>
      <c r="BE178" s="209"/>
      <c r="BF178" s="209"/>
      <c r="BG178" s="209"/>
      <c r="BH178" s="209"/>
      <c r="BI178" s="209"/>
      <c r="BJ178" s="209"/>
      <c r="BK178" s="209"/>
      <c r="BL178" s="209"/>
      <c r="BM178" s="209"/>
      <c r="BN178" s="209"/>
      <c r="BO178" s="209"/>
      <c r="BP178" s="209"/>
      <c r="BQ178" s="209"/>
      <c r="BR178" s="209"/>
      <c r="BS178" s="209"/>
      <c r="BT178" s="209"/>
      <c r="BU178" s="209"/>
      <c r="BV178" s="209"/>
      <c r="BW178" s="209"/>
      <c r="BX178" s="209"/>
      <c r="BY178" s="209"/>
      <c r="BZ178" s="209"/>
      <c r="CA178" s="209"/>
      <c r="CB178" s="209"/>
      <c r="CC178" s="209"/>
      <c r="CD178" s="209"/>
      <c r="CE178" s="209"/>
      <c r="CF178" s="209"/>
      <c r="CG178" s="209"/>
      <c r="CH178" s="209"/>
      <c r="CI178" s="209"/>
      <c r="CJ178" s="209"/>
      <c r="CK178" s="209"/>
      <c r="CL178" s="209"/>
      <c r="CM178" s="209"/>
      <c r="CN178" s="209"/>
      <c r="CO178" s="209"/>
      <c r="CP178" s="209"/>
      <c r="CQ178" s="209"/>
      <c r="CR178" s="209"/>
      <c r="CS178" s="209"/>
      <c r="CT178" s="209"/>
      <c r="CU178" s="209"/>
      <c r="CV178" s="209"/>
      <c r="CW178" s="209"/>
      <c r="CX178" s="209"/>
      <c r="CY178" s="209"/>
      <c r="CZ178" s="209"/>
      <c r="DA178" s="209"/>
      <c r="DB178" s="209"/>
      <c r="DC178" s="209"/>
      <c r="DD178" s="209"/>
      <c r="DE178" s="209"/>
      <c r="DF178" s="209"/>
      <c r="DG178" s="209"/>
      <c r="DH178" s="209"/>
      <c r="DI178" s="209"/>
      <c r="DJ178" s="209"/>
      <c r="DK178" s="209"/>
      <c r="DL178" s="209"/>
      <c r="DM178" s="209"/>
      <c r="DN178" s="209"/>
      <c r="DO178" s="209"/>
      <c r="DP178" s="209"/>
      <c r="DQ178" s="209"/>
      <c r="DR178" s="209"/>
      <c r="DS178" s="209"/>
      <c r="DT178" s="209"/>
      <c r="DU178" s="209"/>
      <c r="DV178" s="209"/>
      <c r="DW178" s="209"/>
      <c r="DX178" s="209"/>
      <c r="DY178" s="209"/>
      <c r="DZ178" s="209"/>
      <c r="EA178" s="209"/>
      <c r="EB178" s="209"/>
      <c r="EC178" s="209"/>
      <c r="ED178" s="209"/>
      <c r="EE178" s="209"/>
      <c r="EF178" s="209"/>
      <c r="EG178" s="209"/>
      <c r="EH178" s="209"/>
      <c r="EI178" s="209"/>
      <c r="EJ178" s="209"/>
      <c r="EK178" s="209"/>
      <c r="EL178" s="209"/>
      <c r="EM178" s="209"/>
      <c r="EN178" s="209"/>
      <c r="EO178" s="209"/>
      <c r="EP178" s="209"/>
      <c r="EQ178" s="209"/>
      <c r="ER178" s="209"/>
      <c r="ES178" s="209"/>
      <c r="ET178" s="209"/>
      <c r="EU178" s="209"/>
      <c r="EV178" s="209"/>
      <c r="EW178" s="209"/>
      <c r="EX178" s="209"/>
      <c r="EY178" s="209"/>
      <c r="EZ178" s="209"/>
      <c r="FA178" s="209"/>
      <c r="FB178" s="209"/>
      <c r="FC178" s="209"/>
      <c r="FD178" s="209"/>
      <c r="FE178" s="209"/>
      <c r="FF178" s="209"/>
      <c r="FG178" s="209"/>
      <c r="FH178" s="209"/>
      <c r="FI178" s="209"/>
      <c r="FJ178" s="209"/>
      <c r="FK178" s="209"/>
      <c r="FL178" s="209"/>
      <c r="FM178" s="209"/>
      <c r="FN178" s="209"/>
      <c r="FO178" s="209"/>
      <c r="FP178" s="209"/>
      <c r="FQ178" s="209"/>
      <c r="FR178" s="209"/>
      <c r="FS178" s="209"/>
      <c r="FT178" s="209"/>
      <c r="FU178" s="209"/>
      <c r="FV178" s="209"/>
      <c r="FW178" s="209"/>
      <c r="FX178" s="209"/>
      <c r="FY178" s="209"/>
      <c r="FZ178" s="209"/>
      <c r="GA178" s="209"/>
      <c r="GB178" s="209"/>
      <c r="GC178" s="209"/>
      <c r="GD178" s="209"/>
      <c r="GE178" s="209"/>
      <c r="GF178" s="209"/>
      <c r="GG178" s="209"/>
      <c r="GH178" s="209"/>
      <c r="GI178" s="209"/>
      <c r="GJ178" s="209"/>
      <c r="GK178" s="209"/>
      <c r="GL178" s="209"/>
      <c r="GM178" s="209"/>
      <c r="GN178" s="209"/>
      <c r="GO178" s="209"/>
      <c r="GP178" s="209"/>
      <c r="GQ178" s="209"/>
      <c r="GR178" s="209"/>
      <c r="GS178" s="209"/>
      <c r="GT178" s="209"/>
      <c r="GU178" s="209"/>
      <c r="GV178" s="209"/>
      <c r="GW178" s="209"/>
      <c r="GX178" s="209"/>
      <c r="GY178" s="209"/>
      <c r="GZ178" s="209"/>
      <c r="HA178" s="209"/>
      <c r="HB178" s="209"/>
      <c r="HC178" s="209"/>
      <c r="HD178" s="209"/>
      <c r="HE178" s="209"/>
      <c r="HF178" s="209"/>
      <c r="HG178" s="209"/>
      <c r="HH178" s="209"/>
      <c r="HI178" s="209"/>
      <c r="HJ178" s="209"/>
      <c r="HK178" s="209"/>
      <c r="HL178" s="209"/>
      <c r="HM178" s="209"/>
      <c r="HN178" s="209"/>
      <c r="HO178" s="209"/>
      <c r="HP178" s="209"/>
      <c r="HQ178" s="209"/>
      <c r="HR178" s="209"/>
      <c r="HS178" s="209"/>
      <c r="HT178" s="209"/>
      <c r="HU178" s="209"/>
      <c r="HV178" s="209"/>
      <c r="HW178" s="209"/>
      <c r="HX178" s="209"/>
      <c r="HY178" s="209"/>
      <c r="HZ178" s="209"/>
      <c r="IA178" s="209"/>
      <c r="IB178" s="209"/>
      <c r="IC178" s="209"/>
      <c r="ID178" s="209"/>
      <c r="IE178" s="209"/>
      <c r="IF178" s="209"/>
      <c r="IG178" s="209"/>
      <c r="IH178" s="209"/>
      <c r="II178" s="209"/>
      <c r="IJ178" s="209"/>
      <c r="IK178" s="209"/>
      <c r="IL178" s="209"/>
      <c r="IM178" s="209"/>
      <c r="IN178" s="209"/>
      <c r="IO178" s="209"/>
      <c r="IP178" s="209"/>
      <c r="IQ178" s="209"/>
      <c r="IR178" s="209"/>
      <c r="IS178" s="209"/>
      <c r="IT178" s="209"/>
      <c r="IU178" s="209"/>
      <c r="IV178" s="209"/>
      <c r="IW178" s="209"/>
      <c r="IX178" s="209"/>
    </row>
    <row r="179" s="332" customFormat="true" ht="17.4" hidden="false" customHeight="false" outlineLevel="0" collapsed="false">
      <c r="A179" s="330" t="s">
        <v>345</v>
      </c>
      <c r="B179" s="76" t="s">
        <v>254</v>
      </c>
      <c r="C179" s="77" t="n">
        <f aca="false">'Input data plant-based products'!D38</f>
        <v>1</v>
      </c>
      <c r="D179" s="78" t="s">
        <v>133</v>
      </c>
      <c r="E179" s="79" t="n">
        <f aca="false">IF($F$1="GWP100 without fb",E180+E181*'Common input data'!$C$5+E182*'Common input data'!$D$5,IF($F$1="GWP100 with fb",E180+E181*'Common input data'!$C$6+E182*'Common input data'!$D$6,IF($F$1="GTP100 without fb",E180+E181*'Common input data'!$C$7+E182*'Common input data'!$D$7,IF($F$1="GTP100 with fb",E180+E181*'Common input data'!$C$8+E182*'Common input data'!$D$8,E180+E181*'Common input data'!$C$9+E182*'Common input data'!$D$9))))</f>
        <v>0.438937704941077</v>
      </c>
      <c r="F179" s="80" t="n">
        <f aca="false">IF($F$1="GWP100 without fb",F180+F181*'Common input data'!$C$5+F182*'Common input data'!$D$5,IF($F$1="GWP100 with fb",F180+F181*'Common input data'!$C$6+F182*'Common input data'!$D$6,IF($F$1="GTP100 without fb",F180+F181*'Common input data'!$C$7+F182*'Common input data'!$D$7,IF($F$1="GTP100 with fb",F180+F181*'Common input data'!$C$8+F182*'Common input data'!$D$8,F180+F181*'Common input data'!$C$9+F182*'Common input data'!$D$9))))</f>
        <v>2.81008709908334</v>
      </c>
      <c r="G179" s="81" t="n">
        <f aca="false">IF($F$1="GWP100 without fb",G180+G181*'Common input data'!$C$5+G182*'Common input data'!$D$5,IF($F$1="GWP100 with fb",G180+G181*'Common input data'!$C$6+G182*'Common input data'!$D$6,IF($F$1="GTP100 without fb",G180+G181*'Common input data'!$C$7+G182*'Common input data'!$D$7,IF($F$1="GTP100 with fb",G180+G181*'Common input data'!$C$8+G182*'Common input data'!$D$8,G180+G181*'Common input data'!$C$9+G182*'Common input data'!$D$9))))</f>
        <v>4.43715492856351</v>
      </c>
      <c r="H179" s="97"/>
      <c r="I179" s="97"/>
      <c r="J179" s="97"/>
      <c r="K179" s="97"/>
      <c r="L179" s="97"/>
      <c r="M179" s="97"/>
      <c r="N179" s="97"/>
      <c r="O179" s="97"/>
      <c r="P179" s="97"/>
      <c r="Q179" s="97"/>
      <c r="R179" s="97"/>
      <c r="S179" s="78" t="s">
        <v>347</v>
      </c>
      <c r="T179" s="83"/>
      <c r="U179" s="83"/>
      <c r="V179" s="74"/>
      <c r="W179" s="92"/>
      <c r="X179" s="209"/>
      <c r="Y179" s="209"/>
      <c r="Z179" s="30"/>
      <c r="AA179" s="209"/>
      <c r="AB179" s="209"/>
      <c r="AC179" s="209"/>
      <c r="AD179" s="209"/>
      <c r="AE179" s="209"/>
      <c r="AF179" s="209"/>
      <c r="AG179" s="209"/>
      <c r="AH179" s="209"/>
      <c r="AI179" s="209"/>
      <c r="AJ179" s="209"/>
      <c r="AK179" s="209"/>
      <c r="AL179" s="209"/>
      <c r="AM179" s="209"/>
      <c r="AN179" s="209"/>
      <c r="AO179" s="209"/>
      <c r="AP179" s="209"/>
      <c r="AQ179" s="209"/>
      <c r="AR179" s="209"/>
      <c r="AS179" s="209"/>
      <c r="AT179" s="209"/>
      <c r="AU179" s="209"/>
      <c r="AV179" s="209"/>
      <c r="AW179" s="209"/>
      <c r="AX179" s="209"/>
      <c r="AY179" s="209"/>
      <c r="AZ179" s="209"/>
      <c r="BA179" s="209"/>
      <c r="BB179" s="209"/>
      <c r="BC179" s="209"/>
      <c r="BD179" s="209"/>
      <c r="BE179" s="209"/>
      <c r="BF179" s="209"/>
      <c r="BG179" s="209"/>
      <c r="BH179" s="209"/>
      <c r="BI179" s="209"/>
      <c r="BJ179" s="209"/>
      <c r="BK179" s="209"/>
      <c r="BL179" s="209"/>
      <c r="BM179" s="209"/>
      <c r="BN179" s="209"/>
      <c r="BO179" s="209"/>
      <c r="BP179" s="209"/>
      <c r="BQ179" s="209"/>
      <c r="BR179" s="209"/>
      <c r="BS179" s="209"/>
      <c r="BT179" s="209"/>
      <c r="BU179" s="209"/>
      <c r="BV179" s="209"/>
      <c r="BW179" s="209"/>
      <c r="BX179" s="209"/>
      <c r="BY179" s="209"/>
      <c r="BZ179" s="209"/>
      <c r="CA179" s="209"/>
      <c r="CB179" s="209"/>
      <c r="CC179" s="209"/>
      <c r="CD179" s="209"/>
      <c r="CE179" s="209"/>
      <c r="CF179" s="209"/>
      <c r="CG179" s="209"/>
      <c r="CH179" s="209"/>
      <c r="CI179" s="209"/>
      <c r="CJ179" s="209"/>
      <c r="CK179" s="209"/>
      <c r="CL179" s="209"/>
      <c r="CM179" s="209"/>
      <c r="CN179" s="209"/>
      <c r="CO179" s="209"/>
      <c r="CP179" s="209"/>
      <c r="CQ179" s="209"/>
      <c r="CR179" s="209"/>
      <c r="CS179" s="209"/>
      <c r="CT179" s="209"/>
      <c r="CU179" s="209"/>
      <c r="CV179" s="209"/>
      <c r="CW179" s="209"/>
      <c r="CX179" s="209"/>
      <c r="CY179" s="209"/>
      <c r="CZ179" s="209"/>
      <c r="DA179" s="209"/>
      <c r="DB179" s="209"/>
      <c r="DC179" s="209"/>
      <c r="DD179" s="209"/>
      <c r="DE179" s="209"/>
      <c r="DF179" s="209"/>
      <c r="DG179" s="209"/>
      <c r="DH179" s="209"/>
      <c r="DI179" s="209"/>
      <c r="DJ179" s="209"/>
      <c r="DK179" s="209"/>
      <c r="DL179" s="209"/>
      <c r="DM179" s="209"/>
      <c r="DN179" s="209"/>
      <c r="DO179" s="209"/>
      <c r="DP179" s="209"/>
      <c r="DQ179" s="209"/>
      <c r="DR179" s="209"/>
      <c r="DS179" s="209"/>
      <c r="DT179" s="209"/>
      <c r="DU179" s="209"/>
      <c r="DV179" s="209"/>
      <c r="DW179" s="209"/>
      <c r="DX179" s="209"/>
      <c r="DY179" s="209"/>
      <c r="DZ179" s="209"/>
      <c r="EA179" s="209"/>
      <c r="EB179" s="209"/>
      <c r="EC179" s="209"/>
      <c r="ED179" s="209"/>
      <c r="EE179" s="209"/>
      <c r="EF179" s="209"/>
      <c r="EG179" s="209"/>
      <c r="EH179" s="209"/>
      <c r="EI179" s="209"/>
      <c r="EJ179" s="209"/>
      <c r="EK179" s="209"/>
      <c r="EL179" s="209"/>
      <c r="EM179" s="209"/>
      <c r="EN179" s="209"/>
      <c r="EO179" s="209"/>
      <c r="EP179" s="209"/>
      <c r="EQ179" s="209"/>
      <c r="ER179" s="209"/>
      <c r="ES179" s="209"/>
      <c r="ET179" s="209"/>
      <c r="EU179" s="209"/>
      <c r="EV179" s="209"/>
      <c r="EW179" s="209"/>
      <c r="EX179" s="209"/>
      <c r="EY179" s="209"/>
      <c r="EZ179" s="209"/>
      <c r="FA179" s="209"/>
      <c r="FB179" s="209"/>
      <c r="FC179" s="209"/>
      <c r="FD179" s="209"/>
      <c r="FE179" s="209"/>
      <c r="FF179" s="209"/>
      <c r="FG179" s="209"/>
      <c r="FH179" s="209"/>
      <c r="FI179" s="209"/>
      <c r="FJ179" s="209"/>
      <c r="FK179" s="209"/>
      <c r="FL179" s="209"/>
      <c r="FM179" s="209"/>
      <c r="FN179" s="209"/>
      <c r="FO179" s="209"/>
      <c r="FP179" s="209"/>
      <c r="FQ179" s="209"/>
      <c r="FR179" s="209"/>
      <c r="FS179" s="209"/>
      <c r="FT179" s="209"/>
      <c r="FU179" s="209"/>
      <c r="FV179" s="209"/>
      <c r="FW179" s="209"/>
      <c r="FX179" s="209"/>
      <c r="FY179" s="209"/>
      <c r="FZ179" s="209"/>
      <c r="GA179" s="209"/>
      <c r="GB179" s="209"/>
      <c r="GC179" s="209"/>
      <c r="GD179" s="209"/>
      <c r="GE179" s="209"/>
      <c r="GF179" s="209"/>
      <c r="GG179" s="209"/>
      <c r="GH179" s="209"/>
      <c r="GI179" s="209"/>
      <c r="GJ179" s="209"/>
      <c r="GK179" s="209"/>
      <c r="GL179" s="209"/>
      <c r="GM179" s="209"/>
      <c r="GN179" s="209"/>
      <c r="GO179" s="209"/>
      <c r="GP179" s="209"/>
      <c r="GQ179" s="209"/>
      <c r="GR179" s="209"/>
      <c r="GS179" s="209"/>
      <c r="GT179" s="209"/>
      <c r="GU179" s="209"/>
      <c r="GV179" s="209"/>
      <c r="GW179" s="209"/>
      <c r="GX179" s="209"/>
      <c r="GY179" s="209"/>
      <c r="GZ179" s="209"/>
      <c r="HA179" s="209"/>
      <c r="HB179" s="209"/>
      <c r="HC179" s="209"/>
      <c r="HD179" s="209"/>
      <c r="HE179" s="209"/>
      <c r="HF179" s="209"/>
      <c r="HG179" s="209"/>
      <c r="HH179" s="209"/>
      <c r="HI179" s="209"/>
      <c r="HJ179" s="209"/>
      <c r="HK179" s="209"/>
      <c r="HL179" s="209"/>
      <c r="HM179" s="209"/>
      <c r="HN179" s="209"/>
      <c r="HO179" s="209"/>
      <c r="HP179" s="209"/>
      <c r="HQ179" s="209"/>
      <c r="HR179" s="209"/>
      <c r="HS179" s="209"/>
      <c r="HT179" s="209"/>
      <c r="HU179" s="209"/>
      <c r="HV179" s="209"/>
      <c r="HW179" s="209"/>
      <c r="HX179" s="209"/>
      <c r="HY179" s="209"/>
      <c r="HZ179" s="209"/>
      <c r="IA179" s="209"/>
      <c r="IB179" s="209"/>
      <c r="IC179" s="209"/>
      <c r="ID179" s="209"/>
      <c r="IE179" s="209"/>
      <c r="IF179" s="209"/>
      <c r="IG179" s="209"/>
      <c r="IH179" s="209"/>
      <c r="II179" s="209"/>
      <c r="IJ179" s="209"/>
      <c r="IK179" s="209"/>
      <c r="IL179" s="209"/>
      <c r="IM179" s="209"/>
      <c r="IN179" s="209"/>
      <c r="IO179" s="209"/>
      <c r="IP179" s="209"/>
      <c r="IQ179" s="209"/>
      <c r="IR179" s="209"/>
      <c r="IS179" s="209"/>
      <c r="IT179" s="209"/>
      <c r="IU179" s="209"/>
      <c r="IV179" s="209"/>
      <c r="IW179" s="209"/>
      <c r="IX179" s="209"/>
    </row>
    <row r="180" s="209" customFormat="true" ht="17.4" hidden="false" customHeight="false" outlineLevel="0" collapsed="false">
      <c r="A180" s="100"/>
      <c r="B180" s="101"/>
      <c r="C180" s="87"/>
      <c r="D180" s="85" t="s">
        <v>134</v>
      </c>
      <c r="E180" s="217" t="n">
        <f aca="false">E175</f>
        <v>-0.210759048826944</v>
      </c>
      <c r="F180" s="89" t="n">
        <f aca="false">F175</f>
        <v>1.56360502623459</v>
      </c>
      <c r="G180" s="88" t="n">
        <f aca="false">SUM(S180:U180)/(1-'Common input data'!$G$121)</f>
        <v>2.85590180346797</v>
      </c>
      <c r="H180" s="87"/>
      <c r="I180" s="87"/>
      <c r="J180" s="87"/>
      <c r="K180" s="87"/>
      <c r="L180" s="87"/>
      <c r="M180" s="87"/>
      <c r="N180" s="87"/>
      <c r="O180" s="87"/>
      <c r="P180" s="87"/>
      <c r="Q180" s="87"/>
      <c r="R180" s="87"/>
      <c r="S180" s="87" t="n">
        <f aca="false">(F180+R175)*'Common input data'!D$32/'Common input data'!C$32</f>
        <v>1.3742376827802</v>
      </c>
      <c r="T180" s="89" t="n">
        <f aca="false">'Common input data'!B$88</f>
        <v>0.05</v>
      </c>
      <c r="U180" s="89" t="n">
        <f aca="false">'Common input data'!B$103+'Common input data'!C$103</f>
        <v>0.33</v>
      </c>
      <c r="V180" s="74"/>
      <c r="W180" s="92"/>
      <c r="Z180" s="30"/>
    </row>
    <row r="181" s="209" customFormat="true" ht="17.4" hidden="false" customHeight="false" outlineLevel="0" collapsed="false">
      <c r="A181" s="100"/>
      <c r="B181" s="101"/>
      <c r="C181" s="87"/>
      <c r="D181" s="85" t="s">
        <v>135</v>
      </c>
      <c r="E181" s="217" t="n">
        <f aca="false">E176</f>
        <v>0</v>
      </c>
      <c r="F181" s="89" t="n">
        <f aca="false">F176</f>
        <v>1.73179857798165E-009</v>
      </c>
      <c r="G181" s="88" t="n">
        <f aca="false">SUM(S181:U181)/(1-'Common input data'!$G$121)</f>
        <v>2.19691239298055E-009</v>
      </c>
      <c r="H181" s="87"/>
      <c r="I181" s="87"/>
      <c r="J181" s="87"/>
      <c r="K181" s="87"/>
      <c r="L181" s="87"/>
      <c r="M181" s="87"/>
      <c r="N181" s="87"/>
      <c r="O181" s="87"/>
      <c r="P181" s="87"/>
      <c r="Q181" s="87"/>
      <c r="R181" s="87"/>
      <c r="S181" s="87" t="n">
        <f aca="false">(F181+R176)*'Common input data'!D$32/'Common input data'!C$32</f>
        <v>1.3494534373883E-009</v>
      </c>
      <c r="T181" s="89" t="n">
        <v>0</v>
      </c>
      <c r="U181" s="89" t="n">
        <v>0</v>
      </c>
      <c r="V181" s="74"/>
      <c r="W181" s="92"/>
      <c r="Z181" s="30"/>
    </row>
    <row r="182" s="209" customFormat="true" ht="17.4" hidden="false" customHeight="false" outlineLevel="0" collapsed="false">
      <c r="A182" s="100"/>
      <c r="B182" s="101"/>
      <c r="C182" s="87"/>
      <c r="D182" s="31" t="s">
        <v>136</v>
      </c>
      <c r="E182" s="219" t="n">
        <f aca="false">E177</f>
        <v>0.00218019044888598</v>
      </c>
      <c r="F182" s="126" t="n">
        <f aca="false">F177</f>
        <v>0.00418282555022685</v>
      </c>
      <c r="G182" s="106" t="n">
        <f aca="false">SUM(S182:U182)/(1-'Common input data'!$G$121)</f>
        <v>0.00530621828993464</v>
      </c>
      <c r="H182" s="87"/>
      <c r="I182" s="87"/>
      <c r="J182" s="87"/>
      <c r="K182" s="87"/>
      <c r="L182" s="87"/>
      <c r="M182" s="87"/>
      <c r="N182" s="87"/>
      <c r="O182" s="87"/>
      <c r="P182" s="87"/>
      <c r="Q182" s="87"/>
      <c r="R182" s="87"/>
      <c r="S182" s="87" t="n">
        <f aca="false">(F182+R177)*'Common input data'!D$32/'Common input data'!C$32</f>
        <v>0.00325934458459235</v>
      </c>
      <c r="T182" s="89" t="n">
        <v>0</v>
      </c>
      <c r="U182" s="89" t="n">
        <v>0</v>
      </c>
      <c r="V182" s="74"/>
      <c r="W182" s="92"/>
      <c r="Z182" s="30"/>
    </row>
    <row r="183" s="334" customFormat="true" ht="17.4" hidden="false" customHeight="false" outlineLevel="0" collapsed="false">
      <c r="A183" s="107" t="s">
        <v>348</v>
      </c>
      <c r="B183" s="108"/>
      <c r="C183" s="69"/>
      <c r="D183" s="109"/>
      <c r="E183" s="110" t="s">
        <v>344</v>
      </c>
      <c r="F183" s="111" t="s">
        <v>344</v>
      </c>
      <c r="G183" s="112" t="s">
        <v>349</v>
      </c>
      <c r="H183" s="69"/>
      <c r="I183" s="69"/>
      <c r="J183" s="69"/>
      <c r="K183" s="113"/>
      <c r="L183" s="113"/>
      <c r="M183" s="114"/>
      <c r="N183" s="113"/>
      <c r="O183" s="113"/>
      <c r="P183" s="113"/>
      <c r="Q183" s="113"/>
      <c r="R183" s="113"/>
      <c r="S183" s="109"/>
      <c r="T183" s="113"/>
      <c r="U183" s="113"/>
      <c r="V183" s="74"/>
      <c r="W183" s="92"/>
      <c r="X183" s="209"/>
      <c r="Y183" s="209"/>
      <c r="Z183" s="30"/>
      <c r="AA183" s="209"/>
      <c r="AB183" s="209"/>
      <c r="AC183" s="209"/>
      <c r="AD183" s="209"/>
      <c r="AE183" s="209"/>
      <c r="AF183" s="209"/>
      <c r="AG183" s="209"/>
      <c r="AH183" s="209"/>
      <c r="AI183" s="209"/>
      <c r="AJ183" s="209"/>
      <c r="AK183" s="209"/>
      <c r="AL183" s="209"/>
      <c r="AM183" s="209"/>
      <c r="AN183" s="209"/>
      <c r="AO183" s="209"/>
      <c r="AP183" s="209"/>
      <c r="AQ183" s="209"/>
      <c r="AR183" s="209"/>
      <c r="AS183" s="209"/>
      <c r="AT183" s="209"/>
      <c r="AU183" s="209"/>
      <c r="AV183" s="209"/>
      <c r="AW183" s="209"/>
      <c r="AX183" s="209"/>
      <c r="AY183" s="209"/>
      <c r="AZ183" s="209"/>
      <c r="BA183" s="209"/>
      <c r="BB183" s="209"/>
      <c r="BC183" s="209"/>
      <c r="BD183" s="209"/>
      <c r="BE183" s="209"/>
      <c r="BF183" s="209"/>
      <c r="BG183" s="209"/>
      <c r="BH183" s="209"/>
      <c r="BI183" s="209"/>
      <c r="BJ183" s="209"/>
      <c r="BK183" s="209"/>
      <c r="BL183" s="209"/>
      <c r="BM183" s="209"/>
      <c r="BN183" s="209"/>
      <c r="BO183" s="209"/>
      <c r="BP183" s="209"/>
      <c r="BQ183" s="209"/>
      <c r="BR183" s="209"/>
      <c r="BS183" s="209"/>
      <c r="BT183" s="209"/>
      <c r="BU183" s="209"/>
      <c r="BV183" s="209"/>
      <c r="BW183" s="209"/>
      <c r="BX183" s="209"/>
      <c r="BY183" s="209"/>
      <c r="BZ183" s="209"/>
      <c r="CA183" s="209"/>
      <c r="CB183" s="209"/>
      <c r="CC183" s="209"/>
      <c r="CD183" s="209"/>
      <c r="CE183" s="209"/>
      <c r="CF183" s="209"/>
      <c r="CG183" s="209"/>
      <c r="CH183" s="209"/>
      <c r="CI183" s="209"/>
      <c r="CJ183" s="209"/>
      <c r="CK183" s="209"/>
      <c r="CL183" s="209"/>
      <c r="CM183" s="209"/>
      <c r="CN183" s="209"/>
      <c r="CO183" s="209"/>
      <c r="CP183" s="209"/>
      <c r="CQ183" s="209"/>
      <c r="CR183" s="209"/>
      <c r="CS183" s="209"/>
      <c r="CT183" s="209"/>
      <c r="CU183" s="209"/>
      <c r="CV183" s="209"/>
      <c r="CW183" s="209"/>
      <c r="CX183" s="209"/>
      <c r="CY183" s="209"/>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09"/>
      <c r="EC183" s="209"/>
      <c r="ED183" s="209"/>
      <c r="EE183" s="209"/>
      <c r="EF183" s="209"/>
      <c r="EG183" s="209"/>
      <c r="EH183" s="209"/>
      <c r="EI183" s="209"/>
      <c r="EJ183" s="209"/>
      <c r="EK183" s="209"/>
      <c r="EL183" s="209"/>
      <c r="EM183" s="209"/>
      <c r="EN183" s="209"/>
      <c r="EO183" s="209"/>
      <c r="EP183" s="209"/>
      <c r="EQ183" s="209"/>
      <c r="ER183" s="209"/>
      <c r="ES183" s="209"/>
      <c r="ET183" s="209"/>
      <c r="EU183" s="209"/>
      <c r="EV183" s="209"/>
      <c r="EW183" s="209"/>
      <c r="EX183" s="209"/>
      <c r="EY183" s="209"/>
      <c r="EZ183" s="209"/>
      <c r="FA183" s="209"/>
      <c r="FB183" s="209"/>
      <c r="FC183" s="209"/>
      <c r="FD183" s="209"/>
      <c r="FE183" s="209"/>
      <c r="FF183" s="209"/>
      <c r="FG183" s="209"/>
      <c r="FH183" s="209"/>
      <c r="FI183" s="209"/>
      <c r="FJ183" s="209"/>
      <c r="FK183" s="209"/>
      <c r="FL183" s="209"/>
      <c r="FM183" s="209"/>
      <c r="FN183" s="209"/>
      <c r="FO183" s="209"/>
      <c r="FP183" s="209"/>
      <c r="FQ183" s="209"/>
      <c r="FR183" s="209"/>
      <c r="FS183" s="209"/>
      <c r="FT183" s="209"/>
      <c r="FU183" s="209"/>
      <c r="FV183" s="209"/>
      <c r="FW183" s="209"/>
      <c r="FX183" s="209"/>
      <c r="FY183" s="209"/>
      <c r="FZ183" s="209"/>
      <c r="GA183" s="209"/>
      <c r="GB183" s="209"/>
      <c r="GC183" s="209"/>
      <c r="GD183" s="209"/>
      <c r="GE183" s="209"/>
      <c r="GF183" s="209"/>
      <c r="GG183" s="209"/>
      <c r="GH183" s="209"/>
      <c r="GI183" s="209"/>
      <c r="GJ183" s="209"/>
      <c r="GK183" s="209"/>
      <c r="GL183" s="209"/>
      <c r="GM183" s="209"/>
      <c r="GN183" s="209"/>
      <c r="GO183" s="209"/>
      <c r="GP183" s="209"/>
      <c r="GQ183" s="209"/>
      <c r="GR183" s="209"/>
      <c r="GS183" s="209"/>
      <c r="GT183" s="209"/>
      <c r="GU183" s="209"/>
      <c r="GV183" s="209"/>
      <c r="GW183" s="209"/>
      <c r="GX183" s="209"/>
      <c r="GY183" s="209"/>
      <c r="GZ183" s="209"/>
      <c r="HA183" s="209"/>
      <c r="HB183" s="209"/>
      <c r="HC183" s="209"/>
      <c r="HD183" s="209"/>
      <c r="HE183" s="209"/>
      <c r="HF183" s="209"/>
      <c r="HG183" s="209"/>
      <c r="HH183" s="209"/>
      <c r="HI183" s="209"/>
      <c r="HJ183" s="209"/>
      <c r="HK183" s="209"/>
      <c r="HL183" s="209"/>
      <c r="HM183" s="209"/>
      <c r="HN183" s="209"/>
      <c r="HO183" s="209"/>
      <c r="HP183" s="209"/>
      <c r="HQ183" s="209"/>
      <c r="HR183" s="209"/>
      <c r="HS183" s="209"/>
      <c r="HT183" s="209"/>
      <c r="HU183" s="209"/>
      <c r="HV183" s="209"/>
      <c r="HW183" s="209"/>
      <c r="HX183" s="209"/>
      <c r="HY183" s="209"/>
      <c r="HZ183" s="209"/>
      <c r="IA183" s="209"/>
      <c r="IB183" s="209"/>
      <c r="IC183" s="209"/>
      <c r="ID183" s="209"/>
      <c r="IE183" s="209"/>
      <c r="IF183" s="209"/>
      <c r="IG183" s="209"/>
      <c r="IH183" s="209"/>
      <c r="II183" s="209"/>
      <c r="IJ183" s="209"/>
      <c r="IK183" s="209"/>
      <c r="IL183" s="209"/>
      <c r="IM183" s="209"/>
      <c r="IN183" s="209"/>
      <c r="IO183" s="209"/>
      <c r="IP183" s="209"/>
      <c r="IQ183" s="209"/>
      <c r="IR183" s="209"/>
      <c r="IS183" s="209"/>
      <c r="IT183" s="209"/>
      <c r="IU183" s="209"/>
      <c r="IV183" s="209"/>
      <c r="IW183" s="209"/>
      <c r="IX183" s="209"/>
    </row>
    <row r="184" s="332" customFormat="true" ht="17.4" hidden="false" customHeight="false" outlineLevel="0" collapsed="false">
      <c r="A184" s="330" t="s">
        <v>345</v>
      </c>
      <c r="B184" s="76" t="s">
        <v>254</v>
      </c>
      <c r="C184" s="77" t="n">
        <f aca="false">'Input data plant-based products'!D38</f>
        <v>1</v>
      </c>
      <c r="D184" s="78" t="s">
        <v>133</v>
      </c>
      <c r="E184" s="79" t="n">
        <f aca="false">IF($F$1="GWP100 without fb",E185+E186*'Common input data'!$C$5+E187*'Common input data'!$D$5,IF($F$1="GWP100 with fb",E185+E186*'Common input data'!$C$6+E187*'Common input data'!$D$6,IF($F$1="GTP100 without fb",E185+E186*'Common input data'!$C$7+E187*'Common input data'!$D$7,IF($F$1="GTP100 with fb",E185+E186*'Common input data'!$C$8+E187*'Common input data'!$D$8,E185+E186*'Common input data'!$C$9+E187*'Common input data'!$D$9))))</f>
        <v>0.438937704941077</v>
      </c>
      <c r="F184" s="80" t="n">
        <f aca="false">IF($F$1="GWP100 without fb",F185+F186*'Common input data'!$C$5+F187*'Common input data'!$D$5,IF($F$1="GWP100 with fb",F185+F186*'Common input data'!$C$6+F187*'Common input data'!$D$6,IF($F$1="GTP100 without fb",F185+F186*'Common input data'!$C$7+F187*'Common input data'!$D$7,IF($F$1="GTP100 with fb",F185+F186*'Common input data'!$C$8+F187*'Common input data'!$D$8,F185+F186*'Common input data'!$C$9+F187*'Common input data'!$D$9))))</f>
        <v>2.81008709908334</v>
      </c>
      <c r="G184" s="81" t="n">
        <f aca="false">IF($F$1="GWP100 without fb",G185+G186*'Common input data'!$C$5+G187*'Common input data'!$D$5,IF($F$1="GWP100 with fb",G185+G186*'Common input data'!$C$6+G187*'Common input data'!$D$6,IF($F$1="GTP100 without fb",G185+G186*'Common input data'!$C$7+G187*'Common input data'!$D$7,IF($F$1="GTP100 with fb",G185+G186*'Common input data'!$C$8+G187*'Common input data'!$D$8,G185+G186*'Common input data'!$C$9+G187*'Common input data'!$D$9))))</f>
        <v>8.78601844819791</v>
      </c>
      <c r="H184" s="95"/>
      <c r="I184" s="97"/>
      <c r="J184" s="97"/>
      <c r="K184" s="83"/>
      <c r="L184" s="83"/>
      <c r="M184" s="83"/>
      <c r="N184" s="83"/>
      <c r="O184" s="83"/>
      <c r="P184" s="83"/>
      <c r="Q184" s="83"/>
      <c r="R184" s="83"/>
      <c r="S184" s="78" t="s">
        <v>349</v>
      </c>
      <c r="T184" s="83"/>
      <c r="U184" s="83"/>
      <c r="V184" s="74"/>
      <c r="W184" s="92"/>
      <c r="X184" s="209"/>
      <c r="Y184" s="209"/>
      <c r="Z184" s="30"/>
      <c r="AA184" s="209"/>
      <c r="AB184" s="209"/>
      <c r="AC184" s="209"/>
      <c r="AD184" s="209"/>
      <c r="AE184" s="209"/>
      <c r="AF184" s="209"/>
      <c r="AG184" s="209"/>
      <c r="AH184" s="209"/>
      <c r="AI184" s="209"/>
      <c r="AJ184" s="209"/>
      <c r="AK184" s="209"/>
      <c r="AL184" s="209"/>
      <c r="AM184" s="209"/>
      <c r="AN184" s="209"/>
      <c r="AO184" s="209"/>
      <c r="AP184" s="209"/>
      <c r="AQ184" s="209"/>
      <c r="AR184" s="209"/>
      <c r="AS184" s="209"/>
      <c r="AT184" s="209"/>
      <c r="AU184" s="209"/>
      <c r="AV184" s="209"/>
      <c r="AW184" s="209"/>
      <c r="AX184" s="209"/>
      <c r="AY184" s="209"/>
      <c r="AZ184" s="209"/>
      <c r="BA184" s="209"/>
      <c r="BB184" s="209"/>
      <c r="BC184" s="209"/>
      <c r="BD184" s="209"/>
      <c r="BE184" s="209"/>
      <c r="BF184" s="209"/>
      <c r="BG184" s="209"/>
      <c r="BH184" s="209"/>
      <c r="BI184" s="209"/>
      <c r="BJ184" s="209"/>
      <c r="BK184" s="209"/>
      <c r="BL184" s="209"/>
      <c r="BM184" s="209"/>
      <c r="BN184" s="209"/>
      <c r="BO184" s="209"/>
      <c r="BP184" s="209"/>
      <c r="BQ184" s="209"/>
      <c r="BR184" s="209"/>
      <c r="BS184" s="209"/>
      <c r="BT184" s="209"/>
      <c r="BU184" s="209"/>
      <c r="BV184" s="209"/>
      <c r="BW184" s="209"/>
      <c r="BX184" s="209"/>
      <c r="BY184" s="209"/>
      <c r="BZ184" s="209"/>
      <c r="CA184" s="209"/>
      <c r="CB184" s="209"/>
      <c r="CC184" s="209"/>
      <c r="CD184" s="209"/>
      <c r="CE184" s="209"/>
      <c r="CF184" s="209"/>
      <c r="CG184" s="209"/>
      <c r="CH184" s="209"/>
      <c r="CI184" s="209"/>
      <c r="CJ184" s="209"/>
      <c r="CK184" s="209"/>
      <c r="CL184" s="209"/>
      <c r="CM184" s="209"/>
      <c r="CN184" s="209"/>
      <c r="CO184" s="209"/>
      <c r="CP184" s="209"/>
      <c r="CQ184" s="209"/>
      <c r="CR184" s="209"/>
      <c r="CS184" s="209"/>
      <c r="CT184" s="209"/>
      <c r="CU184" s="209"/>
      <c r="CV184" s="209"/>
      <c r="CW184" s="209"/>
      <c r="CX184" s="209"/>
      <c r="CY184" s="209"/>
      <c r="CZ184" s="209"/>
      <c r="DA184" s="209"/>
      <c r="DB184" s="209"/>
      <c r="DC184" s="209"/>
      <c r="DD184" s="209"/>
      <c r="DE184" s="209"/>
      <c r="DF184" s="209"/>
      <c r="DG184" s="209"/>
      <c r="DH184" s="209"/>
      <c r="DI184" s="209"/>
      <c r="DJ184" s="209"/>
      <c r="DK184" s="209"/>
      <c r="DL184" s="209"/>
      <c r="DM184" s="209"/>
      <c r="DN184" s="209"/>
      <c r="DO184" s="209"/>
      <c r="DP184" s="209"/>
      <c r="DQ184" s="209"/>
      <c r="DR184" s="209"/>
      <c r="DS184" s="209"/>
      <c r="DT184" s="209"/>
      <c r="DU184" s="209"/>
      <c r="DV184" s="209"/>
      <c r="DW184" s="209"/>
      <c r="DX184" s="209"/>
      <c r="DY184" s="209"/>
      <c r="DZ184" s="209"/>
      <c r="EA184" s="209"/>
      <c r="EB184" s="209"/>
      <c r="EC184" s="209"/>
      <c r="ED184" s="209"/>
      <c r="EE184" s="209"/>
      <c r="EF184" s="209"/>
      <c r="EG184" s="209"/>
      <c r="EH184" s="209"/>
      <c r="EI184" s="209"/>
      <c r="EJ184" s="209"/>
      <c r="EK184" s="209"/>
      <c r="EL184" s="209"/>
      <c r="EM184" s="209"/>
      <c r="EN184" s="209"/>
      <c r="EO184" s="209"/>
      <c r="EP184" s="209"/>
      <c r="EQ184" s="209"/>
      <c r="ER184" s="209"/>
      <c r="ES184" s="209"/>
      <c r="ET184" s="209"/>
      <c r="EU184" s="209"/>
      <c r="EV184" s="209"/>
      <c r="EW184" s="209"/>
      <c r="EX184" s="209"/>
      <c r="EY184" s="209"/>
      <c r="EZ184" s="209"/>
      <c r="FA184" s="209"/>
      <c r="FB184" s="209"/>
      <c r="FC184" s="209"/>
      <c r="FD184" s="209"/>
      <c r="FE184" s="209"/>
      <c r="FF184" s="209"/>
      <c r="FG184" s="209"/>
      <c r="FH184" s="209"/>
      <c r="FI184" s="209"/>
      <c r="FJ184" s="209"/>
      <c r="FK184" s="209"/>
      <c r="FL184" s="209"/>
      <c r="FM184" s="209"/>
      <c r="FN184" s="209"/>
      <c r="FO184" s="209"/>
      <c r="FP184" s="209"/>
      <c r="FQ184" s="209"/>
      <c r="FR184" s="209"/>
      <c r="FS184" s="209"/>
      <c r="FT184" s="209"/>
      <c r="FU184" s="209"/>
      <c r="FV184" s="209"/>
      <c r="FW184" s="209"/>
      <c r="FX184" s="209"/>
      <c r="FY184" s="209"/>
      <c r="FZ184" s="209"/>
      <c r="GA184" s="209"/>
      <c r="GB184" s="209"/>
      <c r="GC184" s="209"/>
      <c r="GD184" s="209"/>
      <c r="GE184" s="209"/>
      <c r="GF184" s="209"/>
      <c r="GG184" s="209"/>
      <c r="GH184" s="209"/>
      <c r="GI184" s="209"/>
      <c r="GJ184" s="209"/>
      <c r="GK184" s="209"/>
      <c r="GL184" s="209"/>
      <c r="GM184" s="209"/>
      <c r="GN184" s="209"/>
      <c r="GO184" s="209"/>
      <c r="GP184" s="209"/>
      <c r="GQ184" s="209"/>
      <c r="GR184" s="209"/>
      <c r="GS184" s="209"/>
      <c r="GT184" s="209"/>
      <c r="GU184" s="209"/>
      <c r="GV184" s="209"/>
      <c r="GW184" s="209"/>
      <c r="GX184" s="209"/>
      <c r="GY184" s="209"/>
      <c r="GZ184" s="209"/>
      <c r="HA184" s="209"/>
      <c r="HB184" s="209"/>
      <c r="HC184" s="209"/>
      <c r="HD184" s="209"/>
      <c r="HE184" s="209"/>
      <c r="HF184" s="209"/>
      <c r="HG184" s="209"/>
      <c r="HH184" s="209"/>
      <c r="HI184" s="209"/>
      <c r="HJ184" s="209"/>
      <c r="HK184" s="209"/>
      <c r="HL184" s="209"/>
      <c r="HM184" s="209"/>
      <c r="HN184" s="209"/>
      <c r="HO184" s="209"/>
      <c r="HP184" s="209"/>
      <c r="HQ184" s="209"/>
      <c r="HR184" s="209"/>
      <c r="HS184" s="209"/>
      <c r="HT184" s="209"/>
      <c r="HU184" s="209"/>
      <c r="HV184" s="209"/>
      <c r="HW184" s="209"/>
      <c r="HX184" s="209"/>
      <c r="HY184" s="209"/>
      <c r="HZ184" s="209"/>
      <c r="IA184" s="209"/>
      <c r="IB184" s="209"/>
      <c r="IC184" s="209"/>
      <c r="ID184" s="209"/>
      <c r="IE184" s="209"/>
      <c r="IF184" s="209"/>
      <c r="IG184" s="209"/>
      <c r="IH184" s="209"/>
      <c r="II184" s="209"/>
      <c r="IJ184" s="209"/>
      <c r="IK184" s="209"/>
      <c r="IL184" s="209"/>
      <c r="IM184" s="209"/>
      <c r="IN184" s="209"/>
      <c r="IO184" s="209"/>
      <c r="IP184" s="209"/>
      <c r="IQ184" s="209"/>
      <c r="IR184" s="209"/>
      <c r="IS184" s="209"/>
      <c r="IT184" s="209"/>
      <c r="IU184" s="209"/>
      <c r="IV184" s="209"/>
      <c r="IW184" s="209"/>
      <c r="IX184" s="209"/>
    </row>
    <row r="185" s="209" customFormat="true" ht="17.4" hidden="false" customHeight="false" outlineLevel="0" collapsed="false">
      <c r="A185" s="100"/>
      <c r="B185" s="101"/>
      <c r="C185" s="87"/>
      <c r="D185" s="85" t="s">
        <v>134</v>
      </c>
      <c r="E185" s="217" t="n">
        <f aca="false">E175</f>
        <v>-0.210759048826944</v>
      </c>
      <c r="F185" s="89" t="n">
        <f aca="false">F175</f>
        <v>1.56360502623459</v>
      </c>
      <c r="G185" s="88" t="n">
        <f aca="false">SUM(S185:U185)/(1-'Common input data'!$G$121)</f>
        <v>5.40389370841022</v>
      </c>
      <c r="H185" s="87"/>
      <c r="I185" s="87"/>
      <c r="J185" s="87"/>
      <c r="K185" s="87"/>
      <c r="L185" s="87"/>
      <c r="M185" s="87"/>
      <c r="N185" s="87"/>
      <c r="O185" s="87"/>
      <c r="P185" s="87"/>
      <c r="Q185" s="87"/>
      <c r="R185" s="87"/>
      <c r="S185" s="87" t="n">
        <f aca="false">(F180+R175)*'Common input data'!G$32/'Common input data'!F$32</f>
        <v>2.93934171039098</v>
      </c>
      <c r="T185" s="89" t="n">
        <f aca="false">'Common input data'!B$88</f>
        <v>0.05</v>
      </c>
      <c r="U185" s="89" t="n">
        <f aca="false">'Common input data'!B$103+'Common input data'!C$103</f>
        <v>0.33</v>
      </c>
      <c r="V185" s="74"/>
      <c r="W185" s="92"/>
      <c r="Z185" s="30"/>
    </row>
    <row r="186" s="209" customFormat="true" ht="17.4" hidden="false" customHeight="false" outlineLevel="0" collapsed="false">
      <c r="A186" s="100"/>
      <c r="B186" s="101"/>
      <c r="C186" s="87"/>
      <c r="D186" s="85" t="s">
        <v>135</v>
      </c>
      <c r="E186" s="217" t="n">
        <f aca="false">E176</f>
        <v>0</v>
      </c>
      <c r="F186" s="89" t="n">
        <f aca="false">F176</f>
        <v>1.73179857798165E-009</v>
      </c>
      <c r="G186" s="88" t="n">
        <f aca="false">SUM(S186:U186)/(1-'Common input data'!$G$121)</f>
        <v>4.69895150720839E-009</v>
      </c>
      <c r="H186" s="87"/>
      <c r="I186" s="87"/>
      <c r="J186" s="87"/>
      <c r="K186" s="87"/>
      <c r="L186" s="87"/>
      <c r="M186" s="87"/>
      <c r="N186" s="87"/>
      <c r="O186" s="87"/>
      <c r="P186" s="87"/>
      <c r="Q186" s="87"/>
      <c r="R186" s="87"/>
      <c r="S186" s="87" t="n">
        <f aca="false">(F181+R176)*'Common input data'!G$32/'Common input data'!F$32</f>
        <v>2.88633096330275E-009</v>
      </c>
      <c r="T186" s="89" t="n">
        <v>0</v>
      </c>
      <c r="U186" s="89" t="n">
        <v>0</v>
      </c>
      <c r="V186" s="74"/>
      <c r="W186" s="92"/>
      <c r="Z186" s="30"/>
    </row>
    <row r="187" s="209" customFormat="true" ht="17.4" hidden="false" customHeight="false" outlineLevel="0" collapsed="false">
      <c r="A187" s="100"/>
      <c r="B187" s="101"/>
      <c r="C187" s="87"/>
      <c r="D187" s="31" t="s">
        <v>136</v>
      </c>
      <c r="E187" s="219" t="n">
        <f aca="false">E177</f>
        <v>0.00218019044888598</v>
      </c>
      <c r="F187" s="126" t="n">
        <f aca="false">F177</f>
        <v>0.00418282555022685</v>
      </c>
      <c r="G187" s="106" t="n">
        <f aca="false">SUM(S187:U187)/(1-'Common input data'!$G$121)</f>
        <v>0.0113494113423602</v>
      </c>
      <c r="H187" s="87"/>
      <c r="I187" s="87"/>
      <c r="J187" s="87"/>
      <c r="K187" s="87"/>
      <c r="L187" s="87"/>
      <c r="M187" s="87"/>
      <c r="N187" s="87"/>
      <c r="O187" s="87"/>
      <c r="P187" s="87"/>
      <c r="Q187" s="87"/>
      <c r="R187" s="87"/>
      <c r="S187" s="87" t="n">
        <f aca="false">(F182+R177)*'Common input data'!G$32/'Common input data'!F$32</f>
        <v>0.00697137591704475</v>
      </c>
      <c r="T187" s="89" t="n">
        <v>0</v>
      </c>
      <c r="U187" s="89" t="n">
        <v>0</v>
      </c>
      <c r="V187" s="74"/>
      <c r="W187" s="92"/>
      <c r="Z187" s="30"/>
    </row>
    <row r="188" s="334" customFormat="true" ht="17.4" hidden="false" customHeight="false" outlineLevel="0" collapsed="false">
      <c r="A188" s="107" t="s">
        <v>350</v>
      </c>
      <c r="B188" s="108"/>
      <c r="C188" s="69"/>
      <c r="D188" s="109"/>
      <c r="E188" s="110" t="s">
        <v>351</v>
      </c>
      <c r="F188" s="111" t="s">
        <v>351</v>
      </c>
      <c r="G188" s="112" t="s">
        <v>352</v>
      </c>
      <c r="H188" s="69"/>
      <c r="I188" s="69"/>
      <c r="J188" s="69"/>
      <c r="K188" s="113"/>
      <c r="L188" s="113"/>
      <c r="M188" s="114"/>
      <c r="N188" s="113"/>
      <c r="O188" s="113"/>
      <c r="P188" s="113"/>
      <c r="Q188" s="113"/>
      <c r="R188" s="113"/>
      <c r="S188" s="113"/>
      <c r="T188" s="113"/>
      <c r="U188" s="113"/>
      <c r="V188" s="74"/>
      <c r="W188" s="92"/>
      <c r="X188" s="209"/>
      <c r="Y188" s="209"/>
      <c r="Z188" s="30"/>
      <c r="AA188" s="209"/>
      <c r="AB188" s="209"/>
      <c r="AC188" s="209"/>
      <c r="AD188" s="209"/>
      <c r="AE188" s="209"/>
      <c r="AF188" s="209"/>
      <c r="AG188" s="209"/>
      <c r="AH188" s="209"/>
      <c r="AI188" s="209"/>
      <c r="AJ188" s="209"/>
      <c r="AK188" s="209"/>
      <c r="AL188" s="209"/>
      <c r="AM188" s="209"/>
      <c r="AN188" s="209"/>
      <c r="AO188" s="209"/>
      <c r="AP188" s="209"/>
      <c r="AQ188" s="209"/>
      <c r="AR188" s="209"/>
      <c r="AS188" s="209"/>
      <c r="AT188" s="209"/>
      <c r="AU188" s="209"/>
      <c r="AV188" s="209"/>
      <c r="AW188" s="209"/>
      <c r="AX188" s="209"/>
      <c r="AY188" s="209"/>
      <c r="AZ188" s="209"/>
      <c r="BA188" s="209"/>
      <c r="BB188" s="209"/>
      <c r="BC188" s="209"/>
      <c r="BD188" s="209"/>
      <c r="BE188" s="209"/>
      <c r="BF188" s="209"/>
      <c r="BG188" s="209"/>
      <c r="BH188" s="209"/>
      <c r="BI188" s="209"/>
      <c r="BJ188" s="209"/>
      <c r="BK188" s="209"/>
      <c r="BL188" s="209"/>
      <c r="BM188" s="209"/>
      <c r="BN188" s="209"/>
      <c r="BO188" s="209"/>
      <c r="BP188" s="209"/>
      <c r="BQ188" s="209"/>
      <c r="BR188" s="209"/>
      <c r="BS188" s="209"/>
      <c r="BT188" s="209"/>
      <c r="BU188" s="209"/>
      <c r="BV188" s="209"/>
      <c r="BW188" s="209"/>
      <c r="BX188" s="209"/>
      <c r="BY188" s="209"/>
      <c r="BZ188" s="209"/>
      <c r="CA188" s="209"/>
      <c r="CB188" s="209"/>
      <c r="CC188" s="209"/>
      <c r="CD188" s="209"/>
      <c r="CE188" s="209"/>
      <c r="CF188" s="209"/>
      <c r="CG188" s="209"/>
      <c r="CH188" s="209"/>
      <c r="CI188" s="209"/>
      <c r="CJ188" s="209"/>
      <c r="CK188" s="209"/>
      <c r="CL188" s="209"/>
      <c r="CM188" s="209"/>
      <c r="CN188" s="209"/>
      <c r="CO188" s="209"/>
      <c r="CP188" s="209"/>
      <c r="CQ188" s="209"/>
      <c r="CR188" s="209"/>
      <c r="CS188" s="209"/>
      <c r="CT188" s="209"/>
      <c r="CU188" s="209"/>
      <c r="CV188" s="209"/>
      <c r="CW188" s="209"/>
      <c r="CX188" s="209"/>
      <c r="CY188" s="209"/>
      <c r="CZ188" s="209"/>
      <c r="DA188" s="209"/>
      <c r="DB188" s="209"/>
      <c r="DC188" s="209"/>
      <c r="DD188" s="209"/>
      <c r="DE188" s="209"/>
      <c r="DF188" s="209"/>
      <c r="DG188" s="209"/>
      <c r="DH188" s="209"/>
      <c r="DI188" s="209"/>
      <c r="DJ188" s="209"/>
      <c r="DK188" s="209"/>
      <c r="DL188" s="209"/>
      <c r="DM188" s="209"/>
      <c r="DN188" s="209"/>
      <c r="DO188" s="209"/>
      <c r="DP188" s="209"/>
      <c r="DQ188" s="209"/>
      <c r="DR188" s="209"/>
      <c r="DS188" s="209"/>
      <c r="DT188" s="209"/>
      <c r="DU188" s="209"/>
      <c r="DV188" s="209"/>
      <c r="DW188" s="209"/>
      <c r="DX188" s="209"/>
      <c r="DY188" s="209"/>
      <c r="DZ188" s="209"/>
      <c r="EA188" s="209"/>
      <c r="EB188" s="209"/>
      <c r="EC188" s="209"/>
      <c r="ED188" s="209"/>
      <c r="EE188" s="209"/>
      <c r="EF188" s="209"/>
      <c r="EG188" s="209"/>
      <c r="EH188" s="209"/>
      <c r="EI188" s="209"/>
      <c r="EJ188" s="209"/>
      <c r="EK188" s="209"/>
      <c r="EL188" s="209"/>
      <c r="EM188" s="209"/>
      <c r="EN188" s="209"/>
      <c r="EO188" s="209"/>
      <c r="EP188" s="209"/>
      <c r="EQ188" s="209"/>
      <c r="ER188" s="209"/>
      <c r="ES188" s="209"/>
      <c r="ET188" s="209"/>
      <c r="EU188" s="209"/>
      <c r="EV188" s="209"/>
      <c r="EW188" s="209"/>
      <c r="EX188" s="209"/>
      <c r="EY188" s="209"/>
      <c r="EZ188" s="209"/>
      <c r="FA188" s="209"/>
      <c r="FB188" s="209"/>
      <c r="FC188" s="209"/>
      <c r="FD188" s="209"/>
      <c r="FE188" s="209"/>
      <c r="FF188" s="209"/>
      <c r="FG188" s="209"/>
      <c r="FH188" s="209"/>
      <c r="FI188" s="209"/>
      <c r="FJ188" s="209"/>
      <c r="FK188" s="209"/>
      <c r="FL188" s="209"/>
      <c r="FM188" s="209"/>
      <c r="FN188" s="209"/>
      <c r="FO188" s="209"/>
      <c r="FP188" s="209"/>
      <c r="FQ188" s="209"/>
      <c r="FR188" s="209"/>
      <c r="FS188" s="209"/>
      <c r="FT188" s="209"/>
      <c r="FU188" s="209"/>
      <c r="FV188" s="209"/>
      <c r="FW188" s="209"/>
      <c r="FX188" s="209"/>
      <c r="FY188" s="209"/>
      <c r="FZ188" s="209"/>
      <c r="GA188" s="209"/>
      <c r="GB188" s="209"/>
      <c r="GC188" s="209"/>
      <c r="GD188" s="209"/>
      <c r="GE188" s="209"/>
      <c r="GF188" s="209"/>
      <c r="GG188" s="209"/>
      <c r="GH188" s="209"/>
      <c r="GI188" s="209"/>
      <c r="GJ188" s="209"/>
      <c r="GK188" s="209"/>
      <c r="GL188" s="209"/>
      <c r="GM188" s="209"/>
      <c r="GN188" s="209"/>
      <c r="GO188" s="209"/>
      <c r="GP188" s="209"/>
      <c r="GQ188" s="209"/>
      <c r="GR188" s="209"/>
      <c r="GS188" s="209"/>
      <c r="GT188" s="209"/>
      <c r="GU188" s="209"/>
      <c r="GV188" s="209"/>
      <c r="GW188" s="209"/>
      <c r="GX188" s="209"/>
      <c r="GY188" s="209"/>
      <c r="GZ188" s="209"/>
      <c r="HA188" s="209"/>
      <c r="HB188" s="209"/>
      <c r="HC188" s="209"/>
      <c r="HD188" s="209"/>
      <c r="HE188" s="209"/>
      <c r="HF188" s="209"/>
      <c r="HG188" s="209"/>
      <c r="HH188" s="209"/>
      <c r="HI188" s="209"/>
      <c r="HJ188" s="209"/>
      <c r="HK188" s="209"/>
      <c r="HL188" s="209"/>
      <c r="HM188" s="209"/>
      <c r="HN188" s="209"/>
      <c r="HO188" s="209"/>
      <c r="HP188" s="209"/>
      <c r="HQ188" s="209"/>
      <c r="HR188" s="209"/>
      <c r="HS188" s="209"/>
      <c r="HT188" s="209"/>
      <c r="HU188" s="209"/>
      <c r="HV188" s="209"/>
      <c r="HW188" s="209"/>
      <c r="HX188" s="209"/>
      <c r="HY188" s="209"/>
      <c r="HZ188" s="209"/>
      <c r="IA188" s="209"/>
      <c r="IB188" s="209"/>
      <c r="IC188" s="209"/>
      <c r="ID188" s="209"/>
      <c r="IE188" s="209"/>
      <c r="IF188" s="209"/>
      <c r="IG188" s="209"/>
      <c r="IH188" s="209"/>
      <c r="II188" s="209"/>
      <c r="IJ188" s="209"/>
      <c r="IK188" s="209"/>
      <c r="IL188" s="209"/>
      <c r="IM188" s="209"/>
      <c r="IN188" s="209"/>
      <c r="IO188" s="209"/>
      <c r="IP188" s="209"/>
      <c r="IQ188" s="209"/>
      <c r="IR188" s="209"/>
      <c r="IS188" s="209"/>
      <c r="IT188" s="209"/>
      <c r="IU188" s="209"/>
      <c r="IV188" s="209"/>
      <c r="IW188" s="209"/>
      <c r="IX188" s="209"/>
    </row>
    <row r="189" s="332" customFormat="true" ht="17.4" hidden="false" customHeight="false" outlineLevel="0" collapsed="false">
      <c r="A189" s="330" t="s">
        <v>272</v>
      </c>
      <c r="B189" s="76"/>
      <c r="C189" s="77" t="n">
        <f aca="false">SUM(C193:C200)</f>
        <v>1</v>
      </c>
      <c r="D189" s="78" t="s">
        <v>133</v>
      </c>
      <c r="E189" s="79" t="n">
        <f aca="false">IF($F$1="GWP100 without fb",E190+E191*'Common input data'!$C$5+E192*'Common input data'!$D$5,IF($F$1="GWP100 with fb",E190+E191*'Common input data'!$C$6+E192*'Common input data'!$D$6,IF($F$1="GTP100 without fb",E190+E191*'Common input data'!$C$7+E192*'Common input data'!$D$7,IF($F$1="GTP100 with fb",E190+E191*'Common input data'!$C$8+E192*'Common input data'!$D$8,E190+E191*'Common input data'!$C$9+E192*'Common input data'!$D$9))))</f>
        <v>0.877454534696279</v>
      </c>
      <c r="F189" s="80" t="n">
        <f aca="false">IF($F$1="GWP100 without fb",F190+F191*'Common input data'!$C$5+F192*'Common input data'!$D$5,IF($F$1="GWP100 with fb",F190+F191*'Common input data'!$C$6+F192*'Common input data'!$D$6,IF($F$1="GTP100 without fb",F190+F191*'Common input data'!$C$7+F192*'Common input data'!$D$7,IF($F$1="GTP100 with fb",F190+F191*'Common input data'!$C$8+F192*'Common input data'!$D$8,F190+F191*'Common input data'!$C$9+F192*'Common input data'!$D$9))))</f>
        <v>3.94880747732033</v>
      </c>
      <c r="G189" s="81" t="n">
        <f aca="false">IF($F$1="GWP100 without fb",G190+G191*'Common input data'!$C$5+G192*'Common input data'!$D$5,IF($F$1="GWP100 with fb",G190+G191*'Common input data'!$C$6+G192*'Common input data'!$D$6,IF($F$1="GTP100 without fb",G190+G191*'Common input data'!$C$7+G192*'Common input data'!$D$7,IF($F$1="GTP100 with fb",G190+G191*'Common input data'!$C$8+G192*'Common input data'!$D$8,G190+G191*'Common input data'!$C$9+G192*'Common input data'!$D$9))))</f>
        <v>6.40622976418764</v>
      </c>
      <c r="H189" s="95"/>
      <c r="I189" s="97"/>
      <c r="J189" s="97"/>
      <c r="K189" s="83"/>
      <c r="L189" s="83"/>
      <c r="M189" s="83"/>
      <c r="N189" s="83"/>
      <c r="O189" s="83"/>
      <c r="P189" s="83"/>
      <c r="Q189" s="83"/>
      <c r="R189" s="83"/>
      <c r="S189" s="83"/>
      <c r="T189" s="83"/>
      <c r="U189" s="83"/>
      <c r="V189" s="74"/>
      <c r="W189" s="92"/>
      <c r="X189" s="209"/>
      <c r="Y189" s="209"/>
      <c r="Z189" s="30"/>
      <c r="AA189" s="209"/>
      <c r="AB189" s="209"/>
      <c r="AC189" s="209"/>
      <c r="AD189" s="209"/>
      <c r="AE189" s="209"/>
      <c r="AF189" s="209"/>
      <c r="AG189" s="209"/>
      <c r="AH189" s="209"/>
      <c r="AI189" s="209"/>
      <c r="AJ189" s="209"/>
      <c r="AK189" s="209"/>
      <c r="AL189" s="209"/>
      <c r="AM189" s="209"/>
      <c r="AN189" s="209"/>
      <c r="AO189" s="209"/>
      <c r="AP189" s="209"/>
      <c r="AQ189" s="209"/>
      <c r="AR189" s="209"/>
      <c r="AS189" s="209"/>
      <c r="AT189" s="209"/>
      <c r="AU189" s="209"/>
      <c r="AV189" s="209"/>
      <c r="AW189" s="209"/>
      <c r="AX189" s="209"/>
      <c r="AY189" s="209"/>
      <c r="AZ189" s="209"/>
      <c r="BA189" s="209"/>
      <c r="BB189" s="209"/>
      <c r="BC189" s="209"/>
      <c r="BD189" s="209"/>
      <c r="BE189" s="209"/>
      <c r="BF189" s="209"/>
      <c r="BG189" s="209"/>
      <c r="BH189" s="209"/>
      <c r="BI189" s="209"/>
      <c r="BJ189" s="209"/>
      <c r="BK189" s="209"/>
      <c r="BL189" s="209"/>
      <c r="BM189" s="209"/>
      <c r="BN189" s="209"/>
      <c r="BO189" s="209"/>
      <c r="BP189" s="209"/>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209"/>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209"/>
      <c r="EC189" s="209"/>
      <c r="ED189" s="209"/>
      <c r="EE189" s="209"/>
      <c r="EF189" s="209"/>
      <c r="EG189" s="209"/>
      <c r="EH189" s="209"/>
      <c r="EI189" s="209"/>
      <c r="EJ189" s="209"/>
      <c r="EK189" s="209"/>
      <c r="EL189" s="209"/>
      <c r="EM189" s="209"/>
      <c r="EN189" s="209"/>
      <c r="EO189" s="209"/>
      <c r="EP189" s="209"/>
      <c r="EQ189" s="209"/>
      <c r="ER189" s="209"/>
      <c r="ES189" s="209"/>
      <c r="ET189" s="209"/>
      <c r="EU189" s="209"/>
      <c r="EV189" s="209"/>
      <c r="EW189" s="209"/>
      <c r="EX189" s="209"/>
      <c r="EY189" s="209"/>
      <c r="EZ189" s="209"/>
      <c r="FA189" s="209"/>
      <c r="FB189" s="209"/>
      <c r="FC189" s="209"/>
      <c r="FD189" s="209"/>
      <c r="FE189" s="209"/>
      <c r="FF189" s="209"/>
      <c r="FG189" s="209"/>
      <c r="FH189" s="209"/>
      <c r="FI189" s="209"/>
      <c r="FJ189" s="209"/>
      <c r="FK189" s="209"/>
      <c r="FL189" s="209"/>
      <c r="FM189" s="209"/>
      <c r="FN189" s="209"/>
      <c r="FO189" s="209"/>
      <c r="FP189" s="209"/>
      <c r="FQ189" s="209"/>
      <c r="FR189" s="209"/>
      <c r="FS189" s="209"/>
      <c r="FT189" s="209"/>
      <c r="FU189" s="209"/>
      <c r="FV189" s="209"/>
      <c r="FW189" s="209"/>
      <c r="FX189" s="209"/>
      <c r="FY189" s="209"/>
      <c r="FZ189" s="209"/>
      <c r="GA189" s="209"/>
      <c r="GB189" s="209"/>
      <c r="GC189" s="209"/>
      <c r="GD189" s="209"/>
      <c r="GE189" s="209"/>
      <c r="GF189" s="209"/>
      <c r="GG189" s="209"/>
      <c r="GH189" s="209"/>
      <c r="GI189" s="209"/>
      <c r="GJ189" s="209"/>
      <c r="GK189" s="209"/>
      <c r="GL189" s="209"/>
      <c r="GM189" s="209"/>
      <c r="GN189" s="209"/>
      <c r="GO189" s="209"/>
      <c r="GP189" s="209"/>
      <c r="GQ189" s="209"/>
      <c r="GR189" s="209"/>
      <c r="GS189" s="209"/>
      <c r="GT189" s="209"/>
      <c r="GU189" s="209"/>
      <c r="GV189" s="209"/>
      <c r="GW189" s="209"/>
      <c r="GX189" s="209"/>
      <c r="GY189" s="209"/>
      <c r="GZ189" s="209"/>
      <c r="HA189" s="209"/>
      <c r="HB189" s="209"/>
      <c r="HC189" s="209"/>
      <c r="HD189" s="209"/>
      <c r="HE189" s="209"/>
      <c r="HF189" s="209"/>
      <c r="HG189" s="209"/>
      <c r="HH189" s="209"/>
      <c r="HI189" s="209"/>
      <c r="HJ189" s="209"/>
      <c r="HK189" s="209"/>
      <c r="HL189" s="209"/>
      <c r="HM189" s="209"/>
      <c r="HN189" s="209"/>
      <c r="HO189" s="209"/>
      <c r="HP189" s="209"/>
      <c r="HQ189" s="209"/>
      <c r="HR189" s="209"/>
      <c r="HS189" s="209"/>
      <c r="HT189" s="209"/>
      <c r="HU189" s="209"/>
      <c r="HV189" s="209"/>
      <c r="HW189" s="209"/>
      <c r="HX189" s="209"/>
      <c r="HY189" s="209"/>
      <c r="HZ189" s="209"/>
      <c r="IA189" s="209"/>
      <c r="IB189" s="209"/>
      <c r="IC189" s="209"/>
      <c r="ID189" s="209"/>
      <c r="IE189" s="209"/>
      <c r="IF189" s="209"/>
      <c r="IG189" s="209"/>
      <c r="IH189" s="209"/>
      <c r="II189" s="209"/>
      <c r="IJ189" s="209"/>
      <c r="IK189" s="209"/>
      <c r="IL189" s="209"/>
      <c r="IM189" s="209"/>
      <c r="IN189" s="209"/>
      <c r="IO189" s="209"/>
      <c r="IP189" s="209"/>
      <c r="IQ189" s="209"/>
      <c r="IR189" s="209"/>
      <c r="IS189" s="209"/>
      <c r="IT189" s="209"/>
      <c r="IU189" s="209"/>
      <c r="IV189" s="209"/>
      <c r="IW189" s="209"/>
      <c r="IX189" s="209"/>
    </row>
    <row r="190" s="209" customFormat="true" ht="17.4" hidden="false" customHeight="false" outlineLevel="0" collapsed="false">
      <c r="A190" s="315"/>
      <c r="B190" s="31"/>
      <c r="C190" s="30"/>
      <c r="D190" s="85" t="s">
        <v>134</v>
      </c>
      <c r="E190" s="217" t="n">
        <f aca="false">E194*$C$193+E198*$C$197</f>
        <v>-0.163138896173073</v>
      </c>
      <c r="F190" s="89" t="n">
        <f aca="false">F194*$C$193+F198*$C$197</f>
        <v>1.98180806628769</v>
      </c>
      <c r="G190" s="88" t="n">
        <f aca="false">G194*$C$193+G198*$C$197</f>
        <v>3.59373395260018</v>
      </c>
      <c r="H190" s="89" t="n">
        <f aca="false">H194*$C$193+H198*$C$197</f>
        <v>0.26661323672801</v>
      </c>
      <c r="I190" s="89" t="n">
        <f aca="false">I194*$C$193+I198*$C$197</f>
        <v>0.03</v>
      </c>
      <c r="J190" s="89" t="n">
        <f aca="false">J194*$C$193+J198*$C$197</f>
        <v>0</v>
      </c>
      <c r="K190" s="89" t="n">
        <f aca="false">K194*$C$193+K198*$C$197</f>
        <v>0</v>
      </c>
      <c r="L190" s="89" t="n">
        <f aca="false">L194*$C$193+L198*$C$197</f>
        <v>0.387095601508169</v>
      </c>
      <c r="M190" s="89" t="n">
        <f aca="false">M194*$C$193+M198*$C$197</f>
        <v>0</v>
      </c>
      <c r="N190" s="89" t="n">
        <f aca="false">N194*$C$193+N198*$C$197</f>
        <v>0.4</v>
      </c>
      <c r="O190" s="89" t="n">
        <f aca="false">O194*$C$193+O198*$C$197</f>
        <v>0.1145855542</v>
      </c>
      <c r="P190" s="89" t="n">
        <f aca="false">P194*$C$193+P198*$C$197</f>
        <v>-0.0911390481413813</v>
      </c>
      <c r="Q190" s="89" t="n">
        <f aca="false">Q194*$C$193+Q198*$C$197</f>
        <v>0</v>
      </c>
      <c r="R190" s="89" t="n">
        <f aca="false">R194*$C$193+R198*$C$197</f>
        <v>0.1</v>
      </c>
      <c r="S190" s="89" t="n">
        <f aca="false">S194*$C$193+S198*$C$197</f>
        <v>2.08180806628769</v>
      </c>
      <c r="T190" s="89" t="n">
        <f aca="false">T194*$C$193+T198*$C$197</f>
        <v>0.05</v>
      </c>
      <c r="U190" s="89" t="n">
        <f aca="false">U194*$C$193+U198*$C$197</f>
        <v>0.396</v>
      </c>
      <c r="V190" s="74"/>
      <c r="W190" s="92"/>
      <c r="Z190" s="30"/>
    </row>
    <row r="191" s="209" customFormat="true" ht="17.4" hidden="false" customHeight="false" outlineLevel="0" collapsed="false">
      <c r="A191" s="315"/>
      <c r="B191" s="31"/>
      <c r="C191" s="93"/>
      <c r="D191" s="85" t="s">
        <v>135</v>
      </c>
      <c r="E191" s="217" t="n">
        <f aca="false">E195*$C$193+E199*$C$197</f>
        <v>0</v>
      </c>
      <c r="F191" s="89" t="n">
        <f aca="false">F195*$C$193+F199*$C$197</f>
        <v>0.000391454801081179</v>
      </c>
      <c r="G191" s="88" t="n">
        <f aca="false">G195*$C$193+G199*$C$197</f>
        <v>0.000554647896455694</v>
      </c>
      <c r="H191" s="89" t="n">
        <f aca="false">H195*$C$193+H199*$C$197</f>
        <v>1.45428759760369E-009</v>
      </c>
      <c r="I191" s="89" t="n">
        <f aca="false">I195*$C$193+I199*$C$197</f>
        <v>0</v>
      </c>
      <c r="J191" s="89" t="n">
        <f aca="false">J195*$C$193+J199*$C$197</f>
        <v>0</v>
      </c>
      <c r="K191" s="89" t="n">
        <f aca="false">K195*$C$193+K199*$C$197</f>
        <v>0</v>
      </c>
      <c r="L191" s="89" t="n">
        <f aca="false">L195*$C$193+L199*$C$197</f>
        <v>0.000171470298718648</v>
      </c>
      <c r="M191" s="89" t="n">
        <f aca="false">M195*$C$193+M199*$C$197</f>
        <v>0</v>
      </c>
      <c r="N191" s="89" t="n">
        <f aca="false">N195*$C$193+N199*$C$197</f>
        <v>0</v>
      </c>
      <c r="O191" s="89" t="n">
        <f aca="false">O195*$C$193+O199*$C$197</f>
        <v>4.72180799999998E-005</v>
      </c>
      <c r="P191" s="89" t="n">
        <f aca="false">P195*$C$193+P199*$C$197</f>
        <v>0</v>
      </c>
      <c r="Q191" s="89" t="n">
        <f aca="false">Q195*$C$193+Q199*$C$197</f>
        <v>0</v>
      </c>
      <c r="R191" s="89" t="n">
        <f aca="false">R195*$C$193+R199*$C$197</f>
        <v>0</v>
      </c>
      <c r="S191" s="89" t="n">
        <f aca="false">S195*$C$193+S199*$C$197</f>
        <v>0.000391454801081179</v>
      </c>
      <c r="T191" s="89" t="n">
        <f aca="false">T195*$C$193+T199*$C$197</f>
        <v>0</v>
      </c>
      <c r="U191" s="89" t="n">
        <f aca="false">U195*$C$193+U199*$C$197</f>
        <v>0</v>
      </c>
      <c r="V191" s="74"/>
      <c r="W191" s="92"/>
      <c r="Z191" s="30"/>
    </row>
    <row r="192" s="209" customFormat="true" ht="17.4" hidden="false" customHeight="false" outlineLevel="0" collapsed="false">
      <c r="A192" s="74"/>
      <c r="B192" s="101"/>
      <c r="C192" s="87"/>
      <c r="D192" s="31" t="s">
        <v>136</v>
      </c>
      <c r="E192" s="217" t="n">
        <f aca="false">E196*$C$193+E200*$C$197</f>
        <v>0.00349192426466225</v>
      </c>
      <c r="F192" s="89" t="n">
        <f aca="false">F196*$C$193+F200*$C$197</f>
        <v>0.0065560065362278</v>
      </c>
      <c r="G192" s="88" t="n">
        <f aca="false">G196*$C$193+G200*$C$197</f>
        <v>0.00937462343324822</v>
      </c>
      <c r="H192" s="89" t="n">
        <f aca="false">H196*$C$193+H200*$C$197</f>
        <v>0.00168172409160894</v>
      </c>
      <c r="I192" s="89" t="n">
        <f aca="false">I196*$C$193+I200*$C$197</f>
        <v>0</v>
      </c>
      <c r="J192" s="89" t="n">
        <f aca="false">J196*$C$193+J200*$C$197</f>
        <v>0.00177345061689297</v>
      </c>
      <c r="K192" s="89" t="n">
        <f aca="false">K196*$C$193+K200*$C$197</f>
        <v>0.000177345061689297</v>
      </c>
      <c r="L192" s="89" t="n">
        <f aca="false">L196*$C$193+L200*$C$197</f>
        <v>1.04014097349403E-005</v>
      </c>
      <c r="M192" s="89" t="n">
        <f aca="false">M196*$C$193+M200*$C$197</f>
        <v>0</v>
      </c>
      <c r="N192" s="89" t="n">
        <f aca="false">N196*$C$193+N200*$C$197</f>
        <v>0</v>
      </c>
      <c r="O192" s="89" t="n">
        <f aca="false">O196*$C$193+O200*$C$197</f>
        <v>1.9652304E-005</v>
      </c>
      <c r="P192" s="89" t="n">
        <f aca="false">P196*$C$193+P200*$C$197</f>
        <v>0</v>
      </c>
      <c r="Q192" s="89" t="n">
        <f aca="false">Q196*$C$193+Q200*$C$197</f>
        <v>0</v>
      </c>
      <c r="R192" s="89" t="n">
        <f aca="false">R196*$C$193+R200*$C$197</f>
        <v>0</v>
      </c>
      <c r="S192" s="89" t="n">
        <f aca="false">S196*$C$193+S200*$C$197</f>
        <v>0.0065560065362278</v>
      </c>
      <c r="T192" s="89" t="n">
        <f aca="false">T196*$C$193+T200*$C$197</f>
        <v>0</v>
      </c>
      <c r="U192" s="89" t="n">
        <f aca="false">U196*$C$193+U200*$C$197</f>
        <v>0</v>
      </c>
      <c r="V192" s="74"/>
      <c r="W192" s="92"/>
      <c r="Z192" s="30"/>
    </row>
    <row r="193" s="332" customFormat="true" ht="17.4" hidden="false" customHeight="false" outlineLevel="0" collapsed="false">
      <c r="A193" s="330" t="s">
        <v>353</v>
      </c>
      <c r="B193" s="76" t="s">
        <v>254</v>
      </c>
      <c r="C193" s="84" t="n">
        <f aca="false">'Input data plant-based products'!D99</f>
        <v>0.34</v>
      </c>
      <c r="D193" s="78" t="s">
        <v>133</v>
      </c>
      <c r="E193" s="94" t="n">
        <f aca="false">IF($F$1="GWP100 without fb",E194+E195*'Common input data'!$C$5+E196*'Common input data'!$D$5,IF($F$1="GWP100 with fb",E194+E195*'Common input data'!$C$6+E196*'Common input data'!$D$6,IF($F$1="GTP100 without fb",E194+E195*'Common input data'!$C$7+E196*'Common input data'!$D$7,IF($F$1="GTP100 with fb",E194+E195*'Common input data'!$C$8+E196*'Common input data'!$D$8,E194+E195*'Common input data'!$C$9+E196*'Common input data'!$D$9))))</f>
        <v>0.871412722115247</v>
      </c>
      <c r="F193" s="95" t="n">
        <f aca="false">IF($F$1="GWP100 without fb",F194+F195*'Common input data'!$C$5+F196*'Common input data'!$D$5,IF($F$1="GWP100 with fb",F194+F195*'Common input data'!$C$6+F196*'Common input data'!$D$6,IF($F$1="GTP100 without fb",F194+F195*'Common input data'!$C$7+F196*'Common input data'!$D$7,IF($F$1="GTP100 with fb",F194+F195*'Common input data'!$C$8+F196*'Common input data'!$D$8,F194+F195*'Common input data'!$C$9+F196*'Common input data'!$D$9))))</f>
        <v>3.62148255570709</v>
      </c>
      <c r="G193" s="96" t="n">
        <f aca="false">IF($F$1="GWP100 without fb",G194+G195*'Common input data'!$C$5+G196*'Common input data'!$D$5,IF($F$1="GWP100 with fb",G194+G195*'Common input data'!$C$6+G196*'Common input data'!$D$6,IF($F$1="GTP100 without fb",G194+G195*'Common input data'!$C$7+G196*'Common input data'!$D$7,IF($F$1="GTP100 with fb",G194+G195*'Common input data'!$C$8+G196*'Common input data'!$D$8,G194+G195*'Common input data'!$C$9+G196*'Common input data'!$D$9))))</f>
        <v>6.32944838843687</v>
      </c>
      <c r="H193" s="95"/>
      <c r="I193" s="97"/>
      <c r="J193" s="97"/>
      <c r="K193" s="83"/>
      <c r="L193" s="83"/>
      <c r="M193" s="83"/>
      <c r="N193" s="83"/>
      <c r="O193" s="83"/>
      <c r="P193" s="83"/>
      <c r="Q193" s="83"/>
      <c r="R193" s="83"/>
      <c r="S193" s="83"/>
      <c r="T193" s="83"/>
      <c r="U193" s="83"/>
      <c r="V193" s="74"/>
      <c r="W193" s="92"/>
      <c r="X193" s="209"/>
      <c r="Y193" s="209"/>
      <c r="Z193" s="30"/>
      <c r="AA193" s="209"/>
      <c r="AB193" s="209"/>
      <c r="AC193" s="209"/>
      <c r="AD193" s="209"/>
      <c r="AE193" s="209"/>
      <c r="AF193" s="209"/>
      <c r="AG193" s="209"/>
      <c r="AH193" s="209"/>
      <c r="AI193" s="209"/>
      <c r="AJ193" s="209"/>
      <c r="AK193" s="209"/>
      <c r="AL193" s="209"/>
      <c r="AM193" s="209"/>
      <c r="AN193" s="209"/>
      <c r="AO193" s="209"/>
      <c r="AP193" s="209"/>
      <c r="AQ193" s="209"/>
      <c r="AR193" s="209"/>
      <c r="AS193" s="209"/>
      <c r="AT193" s="209"/>
      <c r="AU193" s="209"/>
      <c r="AV193" s="209"/>
      <c r="AW193" s="209"/>
      <c r="AX193" s="209"/>
      <c r="AY193" s="209"/>
      <c r="AZ193" s="209"/>
      <c r="BA193" s="209"/>
      <c r="BB193" s="209"/>
      <c r="BC193" s="209"/>
      <c r="BD193" s="209"/>
      <c r="BE193" s="209"/>
      <c r="BF193" s="209"/>
      <c r="BG193" s="209"/>
      <c r="BH193" s="209"/>
      <c r="BI193" s="209"/>
      <c r="BJ193" s="209"/>
      <c r="BK193" s="209"/>
      <c r="BL193" s="209"/>
      <c r="BM193" s="209"/>
      <c r="BN193" s="209"/>
      <c r="BO193" s="209"/>
      <c r="BP193" s="209"/>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209"/>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209"/>
      <c r="EC193" s="209"/>
      <c r="ED193" s="209"/>
      <c r="EE193" s="209"/>
      <c r="EF193" s="209"/>
      <c r="EG193" s="209"/>
      <c r="EH193" s="209"/>
      <c r="EI193" s="209"/>
      <c r="EJ193" s="209"/>
      <c r="EK193" s="209"/>
      <c r="EL193" s="209"/>
      <c r="EM193" s="209"/>
      <c r="EN193" s="209"/>
      <c r="EO193" s="209"/>
      <c r="EP193" s="209"/>
      <c r="EQ193" s="209"/>
      <c r="ER193" s="209"/>
      <c r="ES193" s="209"/>
      <c r="ET193" s="209"/>
      <c r="EU193" s="209"/>
      <c r="EV193" s="209"/>
      <c r="EW193" s="209"/>
      <c r="EX193" s="209"/>
      <c r="EY193" s="209"/>
      <c r="EZ193" s="209"/>
      <c r="FA193" s="209"/>
      <c r="FB193" s="209"/>
      <c r="FC193" s="209"/>
      <c r="FD193" s="209"/>
      <c r="FE193" s="209"/>
      <c r="FF193" s="209"/>
      <c r="FG193" s="209"/>
      <c r="FH193" s="209"/>
      <c r="FI193" s="209"/>
      <c r="FJ193" s="209"/>
      <c r="FK193" s="209"/>
      <c r="FL193" s="209"/>
      <c r="FM193" s="209"/>
      <c r="FN193" s="209"/>
      <c r="FO193" s="209"/>
      <c r="FP193" s="209"/>
      <c r="FQ193" s="209"/>
      <c r="FR193" s="209"/>
      <c r="FS193" s="209"/>
      <c r="FT193" s="209"/>
      <c r="FU193" s="209"/>
      <c r="FV193" s="209"/>
      <c r="FW193" s="209"/>
      <c r="FX193" s="209"/>
      <c r="FY193" s="209"/>
      <c r="FZ193" s="209"/>
      <c r="GA193" s="209"/>
      <c r="GB193" s="209"/>
      <c r="GC193" s="209"/>
      <c r="GD193" s="209"/>
      <c r="GE193" s="209"/>
      <c r="GF193" s="209"/>
      <c r="GG193" s="209"/>
      <c r="GH193" s="209"/>
      <c r="GI193" s="209"/>
      <c r="GJ193" s="209"/>
      <c r="GK193" s="209"/>
      <c r="GL193" s="209"/>
      <c r="GM193" s="209"/>
      <c r="GN193" s="209"/>
      <c r="GO193" s="209"/>
      <c r="GP193" s="209"/>
      <c r="GQ193" s="209"/>
      <c r="GR193" s="209"/>
      <c r="GS193" s="209"/>
      <c r="GT193" s="209"/>
      <c r="GU193" s="209"/>
      <c r="GV193" s="209"/>
      <c r="GW193" s="209"/>
      <c r="GX193" s="209"/>
      <c r="GY193" s="209"/>
      <c r="GZ193" s="209"/>
      <c r="HA193" s="209"/>
      <c r="HB193" s="209"/>
      <c r="HC193" s="209"/>
      <c r="HD193" s="209"/>
      <c r="HE193" s="209"/>
      <c r="HF193" s="209"/>
      <c r="HG193" s="209"/>
      <c r="HH193" s="209"/>
      <c r="HI193" s="209"/>
      <c r="HJ193" s="209"/>
      <c r="HK193" s="209"/>
      <c r="HL193" s="209"/>
      <c r="HM193" s="209"/>
      <c r="HN193" s="209"/>
      <c r="HO193" s="209"/>
      <c r="HP193" s="209"/>
      <c r="HQ193" s="209"/>
      <c r="HR193" s="209"/>
      <c r="HS193" s="209"/>
      <c r="HT193" s="209"/>
      <c r="HU193" s="209"/>
      <c r="HV193" s="209"/>
      <c r="HW193" s="209"/>
      <c r="HX193" s="209"/>
      <c r="HY193" s="209"/>
      <c r="HZ193" s="209"/>
      <c r="IA193" s="209"/>
      <c r="IB193" s="209"/>
      <c r="IC193" s="209"/>
      <c r="ID193" s="209"/>
      <c r="IE193" s="209"/>
      <c r="IF193" s="209"/>
      <c r="IG193" s="209"/>
      <c r="IH193" s="209"/>
      <c r="II193" s="209"/>
      <c r="IJ193" s="209"/>
      <c r="IK193" s="209"/>
      <c r="IL193" s="209"/>
      <c r="IM193" s="209"/>
      <c r="IN193" s="209"/>
      <c r="IO193" s="209"/>
      <c r="IP193" s="209"/>
      <c r="IQ193" s="209"/>
      <c r="IR193" s="209"/>
      <c r="IS193" s="209"/>
      <c r="IT193" s="209"/>
      <c r="IU193" s="209"/>
      <c r="IV193" s="209"/>
      <c r="IW193" s="209"/>
      <c r="IX193" s="209"/>
    </row>
    <row r="194" s="209" customFormat="true" ht="17.4" hidden="false" customHeight="false" outlineLevel="0" collapsed="false">
      <c r="A194" s="315"/>
      <c r="B194" s="31"/>
      <c r="C194" s="30"/>
      <c r="D194" s="85" t="s">
        <v>134</v>
      </c>
      <c r="E194" s="217" t="n">
        <f aca="false">IF(AND($F$2="No",$F$3="No"),SUM(J194:K194)*'Input data plant-based products'!O$124,IF(AND($F$2="Yes", $F$3="No"), (SUM(J194:K194)+Q194)*'Input data plant-based products'!O$124, IF(AND($F$2="No", $F$3="Yes"),(SUM(J194:K194)+P194)*'Input data plant-based products'!O$124, (SUM(J194:K194)+Q194+P194)*'Input data plant-based products'!O$124)))</f>
        <v>-0.163138896173073</v>
      </c>
      <c r="F194" s="89" t="n">
        <f aca="false">IF(AND($F$2="No",$F$3="No"),SUM(H194:O194)*'Input data plant-based products'!O$124,IF(AND($F$2="Yes", $F$3="No"), (SUM(H194:O194)+Q194)*'Input data plant-based products'!O$124, IF(AND($F$2="No", $F$3="Yes"),(SUM(H194:O194)+P194)*'Input data plant-based products'!O$124, (SUM(H194:O194)+Q194+P194)*'Input data plant-based products'!O$124)))</f>
        <v>1.67135058408257</v>
      </c>
      <c r="G194" s="88" t="n">
        <f aca="false">SUM(S194:U194)/(1-'Common input data'!$F$121)</f>
        <v>3.31998546926323</v>
      </c>
      <c r="H194" s="89" t="n">
        <f aca="false">('Input data plant-based products'!$F$99*('Common input data'!$D$76*'Common input data'!B69+'Common input data'!$D$77*'Common input data'!C69))/'Input data plant-based products'!$E$99</f>
        <v>0.264797343093851</v>
      </c>
      <c r="I194" s="89" t="n">
        <f aca="false">'Common input data'!$B$81</f>
        <v>0.03</v>
      </c>
      <c r="J194" s="89" t="n">
        <v>0</v>
      </c>
      <c r="K194" s="89" t="n">
        <v>0</v>
      </c>
      <c r="L194" s="89" t="n">
        <f aca="false">('Input data plant-based products'!$I$99*'Common input data'!$C$59*'Common input data'!H49)/'Input data plant-based products'!$E$99</f>
        <v>0.272891145149526</v>
      </c>
      <c r="M194" s="89" t="n">
        <v>0</v>
      </c>
      <c r="N194" s="89" t="n">
        <f aca="false">'Input data plant-based products'!$C$152</f>
        <v>0.4</v>
      </c>
      <c r="O194" s="89" t="n">
        <f aca="false">'Input data plant-based products'!C124*'Common input data'!D63+'Input data plant-based products'!D$124*3.6*'Common input data'!G49</f>
        <v>0.05716597</v>
      </c>
      <c r="P194" s="89" t="n">
        <f aca="false">'Common input data'!$F$13</f>
        <v>-0.0911390481413813</v>
      </c>
      <c r="Q194" s="89" t="n">
        <v>0</v>
      </c>
      <c r="R194" s="89" t="n">
        <f aca="false">'Input data plant-based products'!C$134</f>
        <v>0.1</v>
      </c>
      <c r="S194" s="89" t="n">
        <f aca="false">F194+R194</f>
        <v>1.77135058408257</v>
      </c>
      <c r="T194" s="89" t="n">
        <f aca="false">'Common input data'!$B$88</f>
        <v>0.05</v>
      </c>
      <c r="U194" s="89" t="n">
        <f aca="false">'Common input data'!B104+'Common input data'!C104</f>
        <v>0.33</v>
      </c>
      <c r="V194" s="74"/>
      <c r="W194" s="92"/>
      <c r="Z194" s="30"/>
    </row>
    <row r="195" s="209" customFormat="true" ht="17.4" hidden="false" customHeight="false" outlineLevel="0" collapsed="false">
      <c r="A195" s="74"/>
      <c r="B195" s="31"/>
      <c r="C195" s="93"/>
      <c r="D195" s="85" t="s">
        <v>135</v>
      </c>
      <c r="E195" s="217" t="n">
        <f aca="false">SUM(J195:K195)*'Input data plant-based products'!O$124</f>
        <v>0</v>
      </c>
      <c r="F195" s="89" t="n">
        <f aca="false">SUM(H195:O195)*'Input data plant-based products'!O$124</f>
        <v>0.000300900968775956</v>
      </c>
      <c r="G195" s="88" t="n">
        <f aca="false">SUM(S195:U195)/(1-'Common input data'!$F$121)</f>
        <v>0.000464353346876475</v>
      </c>
      <c r="H195" s="89" t="n">
        <f aca="false">('Input data plant-based products'!$F$99*('Common input data'!$D$76*'Common input data'!B70+'Common input data'!$D$77*'Common input data'!C70))/'Input data plant-based products'!$E$99</f>
        <v>1.44438249452954E-009</v>
      </c>
      <c r="I195" s="89" t="n">
        <v>0</v>
      </c>
      <c r="J195" s="89" t="n">
        <v>0</v>
      </c>
      <c r="K195" s="89" t="n">
        <v>0</v>
      </c>
      <c r="L195" s="89" t="n">
        <f aca="false">('Input data plant-based products'!$I$99*'Common input data'!$C$59*'Common input data'!H50)/'Input data plant-based products'!$E$99</f>
        <v>0.000120881575492341</v>
      </c>
      <c r="M195" s="89" t="n">
        <v>0</v>
      </c>
      <c r="N195" s="89" t="n">
        <v>0</v>
      </c>
      <c r="O195" s="89" t="n">
        <f aca="false">'Input data plant-based products'!D$124*3.6*'Common input data'!G50</f>
        <v>4.72180799999998E-005</v>
      </c>
      <c r="P195" s="89" t="n">
        <v>0</v>
      </c>
      <c r="Q195" s="89" t="n">
        <v>0</v>
      </c>
      <c r="R195" s="89" t="n">
        <v>0</v>
      </c>
      <c r="S195" s="89" t="n">
        <f aca="false">F195+R195</f>
        <v>0.000300900968775956</v>
      </c>
      <c r="T195" s="89" t="n">
        <v>0</v>
      </c>
      <c r="U195" s="89" t="n">
        <v>0</v>
      </c>
      <c r="V195" s="74"/>
      <c r="W195" s="92"/>
      <c r="Z195" s="30"/>
    </row>
    <row r="196" s="209" customFormat="true" ht="17.4" hidden="false" customHeight="false" outlineLevel="0" collapsed="false">
      <c r="A196" s="100"/>
      <c r="B196" s="101"/>
      <c r="C196" s="87"/>
      <c r="D196" s="31" t="s">
        <v>136</v>
      </c>
      <c r="E196" s="217" t="n">
        <f aca="false">SUM(J196:K196)*'Input data plant-based products'!O$124</f>
        <v>0.00347164972579973</v>
      </c>
      <c r="F196" s="89" t="n">
        <f aca="false">SUM(H196:O196)*'Input data plant-based products'!O$124</f>
        <v>0.00650973603585951</v>
      </c>
      <c r="G196" s="88" t="n">
        <f aca="false">SUM(S196:U196)/(1-'Common input data'!$F$121)</f>
        <v>0.0100458889442276</v>
      </c>
      <c r="H196" s="89" t="n">
        <f aca="false">('Input data plant-based products'!$F$99*('Common input data'!$D$76*'Common input data'!B71+'Common input data'!$D$77*'Common input data'!C71))/'Input data plant-based products'!$E$99</f>
        <v>0.00167026992635502</v>
      </c>
      <c r="I196" s="89" t="n">
        <v>0</v>
      </c>
      <c r="J196" s="89" t="n">
        <f aca="false">(SUM('Input data plant-based products'!F99:H99)*'Input data plant-based products'!$B$114*44/28)/'Input data plant-based products'!E99</f>
        <v>0.00176315374596228</v>
      </c>
      <c r="K196" s="89" t="n">
        <f aca="false">J196*'Input data plant-based products'!$B$115</f>
        <v>0.000176315374596228</v>
      </c>
      <c r="L196" s="89" t="n">
        <f aca="false">('Input data plant-based products'!$I$99*'Common input data'!$C$59*'Common input data'!H51)/'Input data plant-based products'!$E$99</f>
        <v>7.33269146608315E-006</v>
      </c>
      <c r="M196" s="89" t="n">
        <v>0</v>
      </c>
      <c r="N196" s="89" t="n">
        <v>0</v>
      </c>
      <c r="O196" s="89" t="n">
        <f aca="false">'Input data plant-based products'!D$124*3.6*'Common input data'!G51</f>
        <v>1.9652304E-005</v>
      </c>
      <c r="P196" s="89" t="n">
        <v>0</v>
      </c>
      <c r="Q196" s="89" t="n">
        <v>0</v>
      </c>
      <c r="R196" s="89" t="n">
        <v>0</v>
      </c>
      <c r="S196" s="89" t="n">
        <f aca="false">F196+R196</f>
        <v>0.00650973603585951</v>
      </c>
      <c r="T196" s="89" t="n">
        <v>0</v>
      </c>
      <c r="U196" s="89" t="n">
        <v>0</v>
      </c>
      <c r="V196" s="74"/>
      <c r="W196" s="92"/>
      <c r="Z196" s="30"/>
    </row>
    <row r="197" s="332" customFormat="true" ht="17.4" hidden="false" customHeight="false" outlineLevel="0" collapsed="false">
      <c r="A197" s="330" t="s">
        <v>171</v>
      </c>
      <c r="B197" s="76" t="s">
        <v>254</v>
      </c>
      <c r="C197" s="84" t="n">
        <f aca="false">'Input data plant-based products'!D100</f>
        <v>0.66</v>
      </c>
      <c r="D197" s="78" t="s">
        <v>133</v>
      </c>
      <c r="E197" s="94" t="n">
        <f aca="false">IF($F$1="GWP100 without fb",E198+E199*'Common input data'!$C$5+E200*'Common input data'!$D$5,IF($F$1="GWP100 with fb",E198+E199*'Common input data'!$C$6+E200*'Common input data'!$D$6,IF($F$1="GTP100 without fb",E198+E199*'Common input data'!$C$7+E200*'Common input data'!$D$7,IF($F$1="GTP100 with fb",E198+E199*'Common input data'!$C$8+E200*'Common input data'!$D$8,E198+E199*'Common input data'!$C$9+E200*'Common input data'!$D$9))))</f>
        <v>0.880566983601659</v>
      </c>
      <c r="F197" s="95" t="n">
        <f aca="false">IF($F$1="GWP100 without fb",F198+F199*'Common input data'!$C$5+F200*'Common input data'!$D$5,IF($F$1="GWP100 with fb",F198+F199*'Common input data'!$C$6+F200*'Common input data'!$D$6,IF($F$1="GTP100 without fb",F198+F199*'Common input data'!$C$7+F200*'Common input data'!$D$7,IF($F$1="GTP100 with fb",F198+F199*'Common input data'!$C$8+F200*'Common input data'!$D$8,F198+F199*'Common input data'!$C$9+F200*'Common input data'!$D$9))))</f>
        <v>4.11742940663624</v>
      </c>
      <c r="G197" s="96" t="n">
        <f aca="false">IF($F$1="GWP100 without fb",G198+G199*'Common input data'!$C$5+G200*'Common input data'!$D$5,IF($F$1="GWP100 with fb",G198+G199*'Common input data'!$C$6+G200*'Common input data'!$D$6,IF($F$1="GTP100 without fb",G198+G199*'Common input data'!$C$7+G200*'Common input data'!$D$7,IF($F$1="GTP100 with fb",G198+G199*'Common input data'!$C$8+G200*'Common input data'!$D$8,G198+G199*'Common input data'!$C$9+G200*'Common input data'!$D$9))))</f>
        <v>6.44578380624107</v>
      </c>
      <c r="H197" s="83"/>
      <c r="I197" s="83"/>
      <c r="J197" s="83"/>
      <c r="K197" s="83"/>
      <c r="L197" s="83"/>
      <c r="M197" s="83"/>
      <c r="N197" s="83"/>
      <c r="O197" s="83"/>
      <c r="P197" s="83"/>
      <c r="Q197" s="83"/>
      <c r="R197" s="83"/>
      <c r="S197" s="83"/>
      <c r="T197" s="83"/>
      <c r="U197" s="83"/>
      <c r="V197" s="74"/>
      <c r="W197" s="92"/>
      <c r="X197" s="209"/>
      <c r="Y197" s="209"/>
      <c r="Z197" s="30"/>
      <c r="AA197" s="209"/>
      <c r="AB197" s="209"/>
      <c r="AC197" s="209"/>
      <c r="AD197" s="209"/>
      <c r="AE197" s="209"/>
      <c r="AF197" s="209"/>
      <c r="AG197" s="209"/>
      <c r="AH197" s="209"/>
      <c r="AI197" s="209"/>
      <c r="AJ197" s="209"/>
      <c r="AK197" s="209"/>
      <c r="AL197" s="209"/>
      <c r="AM197" s="209"/>
      <c r="AN197" s="209"/>
      <c r="AO197" s="209"/>
      <c r="AP197" s="209"/>
      <c r="AQ197" s="209"/>
      <c r="AR197" s="209"/>
      <c r="AS197" s="209"/>
      <c r="AT197" s="209"/>
      <c r="AU197" s="209"/>
      <c r="AV197" s="209"/>
      <c r="AW197" s="209"/>
      <c r="AX197" s="209"/>
      <c r="AY197" s="209"/>
      <c r="AZ197" s="209"/>
      <c r="BA197" s="209"/>
      <c r="BB197" s="209"/>
      <c r="BC197" s="209"/>
      <c r="BD197" s="209"/>
      <c r="BE197" s="209"/>
      <c r="BF197" s="209"/>
      <c r="BG197" s="209"/>
      <c r="BH197" s="209"/>
      <c r="BI197" s="209"/>
      <c r="BJ197" s="209"/>
      <c r="BK197" s="209"/>
      <c r="BL197" s="209"/>
      <c r="BM197" s="209"/>
      <c r="BN197" s="209"/>
      <c r="BO197" s="209"/>
      <c r="BP197" s="209"/>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209"/>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209"/>
      <c r="EC197" s="209"/>
      <c r="ED197" s="209"/>
      <c r="EE197" s="209"/>
      <c r="EF197" s="209"/>
      <c r="EG197" s="209"/>
      <c r="EH197" s="209"/>
      <c r="EI197" s="209"/>
      <c r="EJ197" s="209"/>
      <c r="EK197" s="209"/>
      <c r="EL197" s="209"/>
      <c r="EM197" s="209"/>
      <c r="EN197" s="209"/>
      <c r="EO197" s="209"/>
      <c r="EP197" s="209"/>
      <c r="EQ197" s="209"/>
      <c r="ER197" s="209"/>
      <c r="ES197" s="209"/>
      <c r="ET197" s="209"/>
      <c r="EU197" s="209"/>
      <c r="EV197" s="209"/>
      <c r="EW197" s="209"/>
      <c r="EX197" s="209"/>
      <c r="EY197" s="209"/>
      <c r="EZ197" s="209"/>
      <c r="FA197" s="209"/>
      <c r="FB197" s="209"/>
      <c r="FC197" s="209"/>
      <c r="FD197" s="209"/>
      <c r="FE197" s="209"/>
      <c r="FF197" s="209"/>
      <c r="FG197" s="209"/>
      <c r="FH197" s="209"/>
      <c r="FI197" s="209"/>
      <c r="FJ197" s="209"/>
      <c r="FK197" s="209"/>
      <c r="FL197" s="209"/>
      <c r="FM197" s="209"/>
      <c r="FN197" s="209"/>
      <c r="FO197" s="209"/>
      <c r="FP197" s="209"/>
      <c r="FQ197" s="209"/>
      <c r="FR197" s="209"/>
      <c r="FS197" s="209"/>
      <c r="FT197" s="209"/>
      <c r="FU197" s="209"/>
      <c r="FV197" s="209"/>
      <c r="FW197" s="209"/>
      <c r="FX197" s="209"/>
      <c r="FY197" s="209"/>
      <c r="FZ197" s="209"/>
      <c r="GA197" s="209"/>
      <c r="GB197" s="209"/>
      <c r="GC197" s="209"/>
      <c r="GD197" s="209"/>
      <c r="GE197" s="209"/>
      <c r="GF197" s="209"/>
      <c r="GG197" s="209"/>
      <c r="GH197" s="209"/>
      <c r="GI197" s="209"/>
      <c r="GJ197" s="209"/>
      <c r="GK197" s="209"/>
      <c r="GL197" s="209"/>
      <c r="GM197" s="209"/>
      <c r="GN197" s="209"/>
      <c r="GO197" s="209"/>
      <c r="GP197" s="209"/>
      <c r="GQ197" s="209"/>
      <c r="GR197" s="209"/>
      <c r="GS197" s="209"/>
      <c r="GT197" s="209"/>
      <c r="GU197" s="209"/>
      <c r="GV197" s="209"/>
      <c r="GW197" s="209"/>
      <c r="GX197" s="209"/>
      <c r="GY197" s="209"/>
      <c r="GZ197" s="209"/>
      <c r="HA197" s="209"/>
      <c r="HB197" s="209"/>
      <c r="HC197" s="209"/>
      <c r="HD197" s="209"/>
      <c r="HE197" s="209"/>
      <c r="HF197" s="209"/>
      <c r="HG197" s="209"/>
      <c r="HH197" s="209"/>
      <c r="HI197" s="209"/>
      <c r="HJ197" s="209"/>
      <c r="HK197" s="209"/>
      <c r="HL197" s="209"/>
      <c r="HM197" s="209"/>
      <c r="HN197" s="209"/>
      <c r="HO197" s="209"/>
      <c r="HP197" s="209"/>
      <c r="HQ197" s="209"/>
      <c r="HR197" s="209"/>
      <c r="HS197" s="209"/>
      <c r="HT197" s="209"/>
      <c r="HU197" s="209"/>
      <c r="HV197" s="209"/>
      <c r="HW197" s="209"/>
      <c r="HX197" s="209"/>
      <c r="HY197" s="209"/>
      <c r="HZ197" s="209"/>
      <c r="IA197" s="209"/>
      <c r="IB197" s="209"/>
      <c r="IC197" s="209"/>
      <c r="ID197" s="209"/>
      <c r="IE197" s="209"/>
      <c r="IF197" s="209"/>
      <c r="IG197" s="209"/>
      <c r="IH197" s="209"/>
      <c r="II197" s="209"/>
      <c r="IJ197" s="209"/>
      <c r="IK197" s="209"/>
      <c r="IL197" s="209"/>
      <c r="IM197" s="209"/>
      <c r="IN197" s="209"/>
      <c r="IO197" s="209"/>
      <c r="IP197" s="209"/>
      <c r="IQ197" s="209"/>
      <c r="IR197" s="209"/>
      <c r="IS197" s="209"/>
      <c r="IT197" s="209"/>
      <c r="IU197" s="209"/>
      <c r="IV197" s="209"/>
      <c r="IW197" s="209"/>
      <c r="IX197" s="209"/>
    </row>
    <row r="198" s="209" customFormat="true" ht="17.4" hidden="false" customHeight="false" outlineLevel="0" collapsed="false">
      <c r="A198" s="99"/>
      <c r="B198" s="31"/>
      <c r="C198" s="30"/>
      <c r="D198" s="85" t="s">
        <v>134</v>
      </c>
      <c r="E198" s="217" t="n">
        <f aca="false">IF(AND($F$2="No",$F$3="No"),SUM(J198:K198)*'Input data plant-based products'!O$124,IF(AND($F$2="Yes", $F$3="No"), (SUM(J198:K198)+Q198)*'Input data plant-based products'!O$124, IF(AND($F$2="No", $F$3="Yes"),(SUM(J198:K198)+P198)*'Input data plant-based products'!O$124, (SUM(J198:K198)+Q198+P198)*'Input data plant-based products'!O$124)))</f>
        <v>-0.163138896173073</v>
      </c>
      <c r="F198" s="89" t="n">
        <f aca="false">IF(AND($F$2="No",$F$3="No"),SUM(H198:O198)*'Input data plant-based products'!O$124,IF(AND($F$2="Yes", $F$3="No"), (SUM(H198:O198)+Q198)*'Input data plant-based products'!O$124, IF(AND($F$2="No", $F$3="Yes"),(SUM(H198:O198)+P198)*'Input data plant-based products'!O$124, (SUM(H198:O198)+Q198+P198)*'Input data plant-based products'!O$124)))</f>
        <v>2.14174070863578</v>
      </c>
      <c r="G198" s="88" t="n">
        <f aca="false">SUM(S198:U198)/(1-'Common input data'!$H$121)</f>
        <v>3.73475589856163</v>
      </c>
      <c r="H198" s="89" t="n">
        <f aca="false">('Input data plant-based products'!$F$100*('Common input data'!$D$76*'Common input data'!B69+'Common input data'!$D$77*'Common input data'!C69))/'Input data plant-based products'!$E$100</f>
        <v>0.267548697085</v>
      </c>
      <c r="I198" s="89" t="n">
        <f aca="false">'Common input data'!$B$81</f>
        <v>0.03</v>
      </c>
      <c r="J198" s="89" t="n">
        <v>0</v>
      </c>
      <c r="K198" s="89" t="n">
        <v>0</v>
      </c>
      <c r="L198" s="89" t="n">
        <f aca="false">('Input data plant-based products'!$I$100*'Common input data'!$C$59*'Common input data'!H49)/'Input data plant-based products'!$E$100</f>
        <v>0.445928200238379</v>
      </c>
      <c r="M198" s="89" t="n">
        <v>0</v>
      </c>
      <c r="N198" s="89" t="n">
        <f aca="false">'Input data plant-based products'!$C$152</f>
        <v>0.4</v>
      </c>
      <c r="O198" s="89" t="n">
        <f aca="false">'Input data plant-based products'!C124*'Common input data'!K63+'Input data plant-based products'!D$124*3.6*'Common input data'!G49</f>
        <v>0.14416534</v>
      </c>
      <c r="P198" s="89" t="n">
        <f aca="false">'Common input data'!$F$13</f>
        <v>-0.0911390481413813</v>
      </c>
      <c r="Q198" s="89" t="n">
        <v>0</v>
      </c>
      <c r="R198" s="89" t="n">
        <f aca="false">'Input data plant-based products'!C$134</f>
        <v>0.1</v>
      </c>
      <c r="S198" s="89" t="n">
        <f aca="false">F198+R198</f>
        <v>2.24174070863578</v>
      </c>
      <c r="T198" s="89" t="n">
        <f aca="false">'Common input data'!$B$88</f>
        <v>0.05</v>
      </c>
      <c r="U198" s="89" t="n">
        <f aca="false">'Common input data'!B108+'Common input data'!C108</f>
        <v>0.43</v>
      </c>
      <c r="V198" s="74"/>
      <c r="W198" s="92"/>
      <c r="Z198" s="30"/>
    </row>
    <row r="199" s="209" customFormat="true" ht="17.4" hidden="false" customHeight="false" outlineLevel="0" collapsed="false">
      <c r="A199" s="99"/>
      <c r="B199" s="31"/>
      <c r="C199" s="93"/>
      <c r="D199" s="85" t="s">
        <v>135</v>
      </c>
      <c r="E199" s="217" t="n">
        <f aca="false">SUM(J199:K199)*'Input data plant-based products'!O$124</f>
        <v>0</v>
      </c>
      <c r="F199" s="89" t="n">
        <f aca="false">SUM(H199:O199)*'Input data plant-based products'!O$124</f>
        <v>0.00043810374499599</v>
      </c>
      <c r="G199" s="88" t="n">
        <f aca="false">SUM(S199:U199)/(1-'Common input data'!$H$121)</f>
        <v>0.000601163270481352</v>
      </c>
      <c r="H199" s="89" t="n">
        <f aca="false">('Input data plant-based products'!$F$100*('Common input data'!$D$76*'Common input data'!B70+'Common input data'!$D$77*'Common input data'!C70))/'Input data plant-based products'!$E$100</f>
        <v>1.45939022646007E-009</v>
      </c>
      <c r="I199" s="89" t="n">
        <v>0</v>
      </c>
      <c r="J199" s="89" t="n">
        <v>0</v>
      </c>
      <c r="K199" s="89" t="n">
        <v>0</v>
      </c>
      <c r="L199" s="89" t="n">
        <f aca="false">('Input data plant-based products'!$I$100*'Common input data'!$C$59*'Common input data'!H50)/'Input data plant-based products'!$E$100</f>
        <v>0.00019753115613826</v>
      </c>
      <c r="M199" s="89" t="n">
        <v>0</v>
      </c>
      <c r="N199" s="89" t="n">
        <v>0</v>
      </c>
      <c r="O199" s="89" t="n">
        <f aca="false">'Input data plant-based products'!D$124*3.6*'Common input data'!G50</f>
        <v>4.72180799999998E-005</v>
      </c>
      <c r="P199" s="89" t="n">
        <v>0</v>
      </c>
      <c r="Q199" s="89" t="n">
        <v>0</v>
      </c>
      <c r="R199" s="89" t="n">
        <v>0</v>
      </c>
      <c r="S199" s="89" t="n">
        <f aca="false">F199+R199</f>
        <v>0.00043810374499599</v>
      </c>
      <c r="T199" s="89" t="n">
        <v>0</v>
      </c>
      <c r="U199" s="89" t="n">
        <v>0</v>
      </c>
      <c r="V199" s="74"/>
      <c r="W199" s="92"/>
      <c r="Z199" s="30"/>
    </row>
    <row r="200" s="209" customFormat="true" ht="18" hidden="false" customHeight="false" outlineLevel="0" collapsed="false">
      <c r="A200" s="250"/>
      <c r="B200" s="251"/>
      <c r="C200" s="105"/>
      <c r="D200" s="125" t="s">
        <v>136</v>
      </c>
      <c r="E200" s="226" t="n">
        <f aca="false">SUM(J200:K200)*'Input data plant-based products'!O$124</f>
        <v>0.00350236872407628</v>
      </c>
      <c r="F200" s="227" t="n">
        <f aca="false">SUM(H200:O200)*'Input data plant-based products'!O$124</f>
        <v>0.00657984285459933</v>
      </c>
      <c r="G200" s="200" t="n">
        <f aca="false">SUM(S200:U200)/(1-'Common input data'!$H$121)</f>
        <v>0.00902881998819822</v>
      </c>
      <c r="H200" s="126" t="n">
        <f aca="false">('Input data plant-based products'!$F$100*('Common input data'!$D$76*'Common input data'!B71+'Common input data'!$D$77*'Common input data'!C71))/'Input data plant-based products'!$E$100</f>
        <v>0.00168762472219429</v>
      </c>
      <c r="I200" s="126" t="n">
        <v>0</v>
      </c>
      <c r="J200" s="126" t="n">
        <f aca="false">(SUM('Input data plant-based products'!F100:H100)*'Input data plant-based products'!$B$114*44/28)/'Input data plant-based products'!E100</f>
        <v>0.00177875506555423</v>
      </c>
      <c r="K200" s="126" t="n">
        <f aca="false">J200*'Input data plant-based products'!$B$115</f>
        <v>0.000177875506555423</v>
      </c>
      <c r="L200" s="126" t="n">
        <f aca="false">('Input data plant-based products'!$I$100*'Common input data'!$C$59*'Common input data'!H51)/'Input data plant-based products'!$E$100</f>
        <v>1.19822646007151E-005</v>
      </c>
      <c r="M200" s="126" t="n">
        <v>0</v>
      </c>
      <c r="N200" s="126" t="n">
        <v>0</v>
      </c>
      <c r="O200" s="126" t="n">
        <f aca="false">'Input data plant-based products'!D$124*3.6*'Common input data'!G51</f>
        <v>1.9652304E-005</v>
      </c>
      <c r="P200" s="126" t="n">
        <v>0</v>
      </c>
      <c r="Q200" s="126" t="n">
        <v>0</v>
      </c>
      <c r="R200" s="126" t="n">
        <v>0</v>
      </c>
      <c r="S200" s="126" t="n">
        <f aca="false">F200+R200</f>
        <v>0.00657984285459933</v>
      </c>
      <c r="T200" s="126" t="n">
        <v>0</v>
      </c>
      <c r="U200" s="126" t="n">
        <v>0</v>
      </c>
      <c r="V200" s="74"/>
      <c r="W200" s="92"/>
      <c r="Z200" s="30"/>
    </row>
    <row r="202" customFormat="false" ht="14.4" hidden="false" customHeight="false" outlineLevel="0" collapsed="false">
      <c r="G202" s="37"/>
    </row>
  </sheetData>
  <dataValidations count="2">
    <dataValidation allowBlank="true" operator="between" showDropDown="false" showErrorMessage="true" showInputMessage="true" sqref="F2:F3" type="list">
      <formula1>"Yes,No"</formula1>
      <formula2>0</formula2>
    </dataValidation>
    <dataValidation allowBlank="true" operator="between" showDropDown="false" showErrorMessage="true" showInputMessage="true" sqref="F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4B183"/>
    <pageSetUpPr fitToPage="false"/>
  </sheetPr>
  <dimension ref="A1:MT16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90234375" defaultRowHeight="14.4" zeroHeight="false" outlineLevelRow="0" outlineLevelCol="0"/>
  <cols>
    <col collapsed="false" customWidth="true" hidden="false" outlineLevel="0" max="1" min="1" style="30" width="37.66"/>
    <col collapsed="false" customWidth="true" hidden="false" outlineLevel="0" max="2" min="2" style="30" width="21.56"/>
    <col collapsed="false" customWidth="true" hidden="false" outlineLevel="0" max="3" min="3" style="30" width="17.33"/>
    <col collapsed="false" customWidth="true" hidden="false" outlineLevel="0" max="4" min="4" style="30" width="30.55"/>
    <col collapsed="false" customWidth="true" hidden="false" outlineLevel="0" max="5" min="5" style="30" width="17.44"/>
    <col collapsed="false" customWidth="true" hidden="false" outlineLevel="0" max="6" min="6" style="30" width="30.55"/>
    <col collapsed="false" customWidth="true" hidden="false" outlineLevel="0" max="7" min="7" style="30" width="28.33"/>
    <col collapsed="false" customWidth="true" hidden="false" outlineLevel="0" max="8" min="8" style="30" width="35.44"/>
    <col collapsed="false" customWidth="true" hidden="false" outlineLevel="0" max="9" min="9" style="30" width="17.33"/>
    <col collapsed="false" customWidth="true" hidden="false" outlineLevel="0" max="10" min="10" style="30" width="24"/>
    <col collapsed="false" customWidth="false" hidden="false" outlineLevel="0" max="1025" min="11" style="30" width="8.89"/>
  </cols>
  <sheetData>
    <row r="1" customFormat="false" ht="31.2" hidden="false" customHeight="false" outlineLevel="0" collapsed="false">
      <c r="A1" s="32" t="s">
        <v>17</v>
      </c>
      <c r="D1" s="33" t="s">
        <v>104</v>
      </c>
      <c r="E1" s="34" t="s">
        <v>105</v>
      </c>
    </row>
    <row r="2" customFormat="false" ht="17.4" hidden="false" customHeight="false" outlineLevel="0" collapsed="false">
      <c r="D2" s="33" t="s">
        <v>106</v>
      </c>
      <c r="E2" s="34" t="s">
        <v>107</v>
      </c>
    </row>
    <row r="3" customFormat="false" ht="69.6" hidden="false" customHeight="false" outlineLevel="0" collapsed="false">
      <c r="D3" s="38" t="s">
        <v>108</v>
      </c>
      <c r="E3" s="34" t="s">
        <v>107</v>
      </c>
    </row>
    <row r="4" customFormat="false" ht="15" hidden="false" customHeight="false" outlineLevel="0" collapsed="false">
      <c r="G4" s="39"/>
      <c r="H4" s="39"/>
    </row>
    <row r="5" customFormat="false" ht="17.4" hidden="false" customHeight="false" outlineLevel="0" collapsed="false">
      <c r="A5" s="41"/>
      <c r="B5" s="42"/>
      <c r="C5" s="42"/>
      <c r="D5" s="43" t="s">
        <v>109</v>
      </c>
      <c r="E5" s="202"/>
      <c r="F5" s="345"/>
      <c r="G5" s="204"/>
      <c r="H5" s="232"/>
      <c r="I5" s="42"/>
      <c r="J5" s="42"/>
      <c r="K5" s="74"/>
    </row>
    <row r="6" s="31" customFormat="true" ht="61.2" hidden="false" customHeight="true" outlineLevel="0" collapsed="false">
      <c r="A6" s="346"/>
      <c r="B6" s="55" t="s">
        <v>113</v>
      </c>
      <c r="C6" s="55" t="s">
        <v>114</v>
      </c>
      <c r="D6" s="347" t="s">
        <v>115</v>
      </c>
      <c r="E6" s="55" t="s">
        <v>116</v>
      </c>
      <c r="F6" s="348" t="s">
        <v>117</v>
      </c>
      <c r="G6" s="54" t="s">
        <v>354</v>
      </c>
      <c r="H6" s="54" t="s">
        <v>245</v>
      </c>
      <c r="I6" s="55" t="s">
        <v>128</v>
      </c>
      <c r="J6" s="55" t="s">
        <v>129</v>
      </c>
      <c r="K6" s="99"/>
    </row>
    <row r="7" s="270" customFormat="true" ht="23.25" hidden="false" customHeight="true" outlineLevel="0" collapsed="false">
      <c r="A7" s="268" t="s">
        <v>355</v>
      </c>
      <c r="B7" s="269"/>
      <c r="D7" s="349"/>
      <c r="F7" s="350" t="s">
        <v>356</v>
      </c>
      <c r="G7" s="351"/>
      <c r="H7" s="351"/>
      <c r="I7" s="269"/>
      <c r="J7" s="269"/>
      <c r="K7" s="99"/>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c r="KI7" s="31"/>
      <c r="KJ7" s="31"/>
      <c r="KK7" s="31"/>
      <c r="KL7" s="31"/>
      <c r="KM7" s="31"/>
      <c r="KN7" s="31"/>
      <c r="KO7" s="31"/>
      <c r="KP7" s="31"/>
      <c r="KQ7" s="31"/>
      <c r="KR7" s="31"/>
      <c r="KS7" s="31"/>
      <c r="KT7" s="31"/>
      <c r="KU7" s="31"/>
      <c r="KV7" s="31"/>
      <c r="KW7" s="31"/>
      <c r="KX7" s="31"/>
      <c r="KY7" s="31"/>
      <c r="KZ7" s="31"/>
      <c r="LA7" s="31"/>
      <c r="LB7" s="31"/>
      <c r="LC7" s="31"/>
      <c r="LD7" s="31"/>
      <c r="LE7" s="31"/>
      <c r="LF7" s="31"/>
      <c r="LG7" s="31"/>
      <c r="LH7" s="31"/>
      <c r="LI7" s="31"/>
      <c r="LJ7" s="31"/>
      <c r="LK7" s="31"/>
      <c r="LL7" s="31"/>
      <c r="LM7" s="31"/>
      <c r="LN7" s="31"/>
      <c r="LO7" s="31"/>
      <c r="LP7" s="31"/>
      <c r="LQ7" s="31"/>
      <c r="LR7" s="31"/>
      <c r="LS7" s="31"/>
      <c r="LT7" s="31"/>
      <c r="LU7" s="31"/>
      <c r="LV7" s="31"/>
      <c r="LW7" s="31"/>
      <c r="LX7" s="31"/>
      <c r="LY7" s="31"/>
      <c r="LZ7" s="31"/>
      <c r="MA7" s="31"/>
      <c r="MB7" s="31"/>
      <c r="MC7" s="31"/>
      <c r="MD7" s="31"/>
      <c r="ME7" s="31"/>
      <c r="MF7" s="31"/>
      <c r="MG7" s="31"/>
      <c r="MH7" s="31"/>
      <c r="MI7" s="31"/>
      <c r="MJ7" s="31"/>
      <c r="MK7" s="31"/>
      <c r="ML7" s="31"/>
      <c r="MM7" s="31"/>
      <c r="MN7" s="31"/>
      <c r="MO7" s="31"/>
      <c r="MP7" s="31"/>
      <c r="MQ7" s="31"/>
      <c r="MR7" s="31"/>
      <c r="MS7" s="31"/>
      <c r="MT7" s="31"/>
    </row>
    <row r="8" s="273" customFormat="true" ht="23.25" hidden="false" customHeight="true" outlineLevel="0" collapsed="false">
      <c r="A8" s="134" t="s">
        <v>132</v>
      </c>
      <c r="B8" s="313" t="n">
        <f aca="false">SUM(B12:B23)</f>
        <v>1</v>
      </c>
      <c r="C8" s="137" t="s">
        <v>133</v>
      </c>
      <c r="D8" s="352"/>
      <c r="E8" s="137"/>
      <c r="F8" s="81" t="n">
        <f aca="false">IF($E$1="GWP100 without fb",F9+F10*'Common input data'!$C$5+F11*'Common input data'!$D$5,IF($E$1="GWP100 with fb",F9+F10*'Common input data'!$C$6+F11*'Common input data'!$D$6,IF($E$1="GTP100 without fb",F9+F10*'Common input data'!$C$7+F11*'Common input data'!$D$7,IF($E$1="GTP100 with fb",F9+F10*'Common input data'!$C$8+F11*'Common input data'!$D$8,F9+F10*'Common input data'!$C$9+F11*'Common input data'!$D$9))))</f>
        <v>1.76571932029765</v>
      </c>
      <c r="G8" s="271"/>
      <c r="H8" s="271"/>
      <c r="I8" s="137"/>
      <c r="J8" s="137"/>
      <c r="K8" s="99"/>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c r="JJ8" s="31"/>
      <c r="JK8" s="31"/>
      <c r="JL8" s="31"/>
      <c r="JM8" s="31"/>
      <c r="JN8" s="31"/>
      <c r="JO8" s="31"/>
      <c r="JP8" s="31"/>
      <c r="JQ8" s="31"/>
      <c r="JR8" s="31"/>
      <c r="JS8" s="31"/>
      <c r="JT8" s="31"/>
      <c r="JU8" s="31"/>
      <c r="JV8" s="31"/>
      <c r="JW8" s="31"/>
      <c r="JX8" s="31"/>
      <c r="JY8" s="31"/>
      <c r="JZ8" s="31"/>
      <c r="KA8" s="31"/>
      <c r="KB8" s="31"/>
      <c r="KC8" s="31"/>
      <c r="KD8" s="31"/>
      <c r="KE8" s="31"/>
      <c r="KF8" s="31"/>
      <c r="KG8" s="31"/>
      <c r="KH8" s="31"/>
      <c r="KI8" s="31"/>
      <c r="KJ8" s="31"/>
      <c r="KK8" s="31"/>
      <c r="KL8" s="31"/>
      <c r="KM8" s="31"/>
      <c r="KN8" s="31"/>
      <c r="KO8" s="31"/>
      <c r="KP8" s="31"/>
      <c r="KQ8" s="31"/>
      <c r="KR8" s="31"/>
      <c r="KS8" s="31"/>
      <c r="KT8" s="31"/>
      <c r="KU8" s="31"/>
      <c r="KV8" s="31"/>
      <c r="KW8" s="31"/>
      <c r="KX8" s="31"/>
      <c r="KY8" s="31"/>
      <c r="KZ8" s="31"/>
      <c r="LA8" s="31"/>
      <c r="LB8" s="31"/>
      <c r="LC8" s="31"/>
      <c r="LD8" s="31"/>
      <c r="LE8" s="31"/>
      <c r="LF8" s="31"/>
      <c r="LG8" s="31"/>
      <c r="LH8" s="31"/>
      <c r="LI8" s="31"/>
      <c r="LJ8" s="31"/>
      <c r="LK8" s="31"/>
      <c r="LL8" s="31"/>
      <c r="LM8" s="31"/>
      <c r="LN8" s="31"/>
      <c r="LO8" s="31"/>
      <c r="LP8" s="31"/>
      <c r="LQ8" s="31"/>
      <c r="LR8" s="31"/>
      <c r="LS8" s="31"/>
      <c r="LT8" s="31"/>
      <c r="LU8" s="31"/>
      <c r="LV8" s="31"/>
      <c r="LW8" s="31"/>
      <c r="LX8" s="31"/>
      <c r="LY8" s="31"/>
      <c r="LZ8" s="31"/>
      <c r="MA8" s="31"/>
      <c r="MB8" s="31"/>
      <c r="MC8" s="31"/>
      <c r="MD8" s="31"/>
      <c r="ME8" s="31"/>
      <c r="MF8" s="31"/>
      <c r="MG8" s="31"/>
      <c r="MH8" s="31"/>
      <c r="MI8" s="31"/>
      <c r="MJ8" s="31"/>
      <c r="MK8" s="31"/>
      <c r="ML8" s="31"/>
      <c r="MM8" s="31"/>
      <c r="MN8" s="31"/>
      <c r="MO8" s="31"/>
      <c r="MP8" s="31"/>
      <c r="MQ8" s="31"/>
      <c r="MR8" s="31"/>
      <c r="MS8" s="31"/>
      <c r="MT8" s="31"/>
    </row>
    <row r="9" customFormat="false" ht="14.4" hidden="false" customHeight="false" outlineLevel="0" collapsed="false">
      <c r="C9" s="85" t="s">
        <v>134</v>
      </c>
      <c r="D9" s="353"/>
      <c r="E9" s="85"/>
      <c r="F9" s="151" t="n">
        <f aca="false">$B$12*F13+$B$16*F17+$B$20*F21</f>
        <v>1.20324419352346</v>
      </c>
      <c r="G9" s="89" t="n">
        <f aca="false">$B$12*G13+$B$16*G17+$B$20*G21</f>
        <v>0.742289309652993</v>
      </c>
      <c r="H9" s="89" t="n">
        <f aca="false">$B$12*H13+$B$16*H17+$B$20*H21</f>
        <v>0.17749</v>
      </c>
      <c r="I9" s="89" t="n">
        <f aca="false">$B$12*I13+$B$16*I17+$B$20*I21</f>
        <v>0.05</v>
      </c>
      <c r="J9" s="89" t="n">
        <f aca="false">$B$12*J13+$B$16*J17+$B$20*J21</f>
        <v>0.2094</v>
      </c>
      <c r="K9" s="74"/>
    </row>
    <row r="10" customFormat="false" ht="14.4" hidden="false" customHeight="false" outlineLevel="0" collapsed="false">
      <c r="A10" s="91"/>
      <c r="B10" s="93"/>
      <c r="C10" s="85" t="s">
        <v>135</v>
      </c>
      <c r="D10" s="353"/>
      <c r="E10" s="85"/>
      <c r="F10" s="151" t="n">
        <f aca="false">$B$12*F14+$B$16*F18+$B$20*F22</f>
        <v>6.19857652336E-005</v>
      </c>
      <c r="G10" s="89" t="n">
        <f aca="false">$B$12*G14+$B$16*G18+$B$20*G22</f>
        <v>6.0746049928928E-005</v>
      </c>
      <c r="H10" s="89" t="n">
        <f aca="false">$B$12*H14+$B$16*H18+$B$20*H22</f>
        <v>0</v>
      </c>
      <c r="I10" s="89" t="n">
        <f aca="false">$B$12*I14+$B$16*I18+$B$20*I22</f>
        <v>0</v>
      </c>
      <c r="J10" s="89" t="n">
        <f aca="false">$B$12*J14+$B$16*J18+$B$20*J22</f>
        <v>0</v>
      </c>
      <c r="K10" s="74"/>
    </row>
    <row r="11" customFormat="false" ht="14.4" hidden="false" customHeight="false" outlineLevel="0" collapsed="false">
      <c r="A11" s="91"/>
      <c r="B11" s="87"/>
      <c r="C11" s="31" t="s">
        <v>136</v>
      </c>
      <c r="D11" s="354"/>
      <c r="E11" s="31"/>
      <c r="F11" s="151" t="n">
        <f aca="false">$B$12*F15+$B$16*F19+$B$20*F23</f>
        <v>0.00188042822401424</v>
      </c>
      <c r="G11" s="89" t="n">
        <f aca="false">$B$12*G15+$B$16*G19+$B$20*G23</f>
        <v>0.00184281965953395</v>
      </c>
      <c r="H11" s="89" t="n">
        <f aca="false">$B$12*H15+$B$16*H19+$B$20*H23</f>
        <v>0</v>
      </c>
      <c r="I11" s="89" t="n">
        <f aca="false">$B$12*I15+$B$16*I19+$B$20*I23</f>
        <v>0</v>
      </c>
      <c r="J11" s="89" t="n">
        <f aca="false">$B$12*J15+$B$16*J19+$B$20*J23</f>
        <v>0</v>
      </c>
      <c r="K11" s="74"/>
    </row>
    <row r="12" s="83" customFormat="true" ht="14.4" hidden="false" customHeight="false" outlineLevel="0" collapsed="false">
      <c r="A12" s="75" t="s">
        <v>137</v>
      </c>
      <c r="B12" s="188" t="n">
        <f aca="false">'Input data processed products'!C5</f>
        <v>0.3</v>
      </c>
      <c r="C12" s="78" t="s">
        <v>133</v>
      </c>
      <c r="D12" s="355"/>
      <c r="E12" s="78"/>
      <c r="F12" s="96" t="n">
        <f aca="false">IF($E$1="GWP100 without fb",F13+F14*'Common input data'!$C$5+F15*'Common input data'!$D$5,IF($E$1="GWP100 with fb",F13+F14*'Common input data'!$C$6+F15*'Common input data'!$D$6,IF($E$1="GTP100 without fb",F13+F14*'Common input data'!$C$7+F15*'Common input data'!$D$7,IF($E$1="GTP100 with fb",F13+F14*'Common input data'!$C$8+F15*'Common input data'!$D$8,F13+F14*'Common input data'!$C$9+F15*'Common input data'!$D$9))))</f>
        <v>1.46277034070581</v>
      </c>
      <c r="G12" s="97"/>
      <c r="H12" s="97"/>
      <c r="I12" s="98"/>
      <c r="J12" s="98"/>
      <c r="K12" s="74"/>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0"/>
      <c r="IV12" s="30"/>
      <c r="IW12" s="30"/>
      <c r="IX12" s="30"/>
      <c r="IY12" s="30"/>
      <c r="IZ12" s="30"/>
      <c r="JA12" s="30"/>
      <c r="JB12" s="30"/>
      <c r="JC12" s="30"/>
      <c r="JD12" s="30"/>
      <c r="JE12" s="30"/>
      <c r="JF12" s="30"/>
      <c r="JG12" s="30"/>
      <c r="JH12" s="30"/>
      <c r="JI12" s="30"/>
      <c r="JJ12" s="30"/>
      <c r="JK12" s="30"/>
      <c r="JL12" s="30"/>
      <c r="JM12" s="30"/>
      <c r="JN12" s="30"/>
      <c r="JO12" s="30"/>
      <c r="JP12" s="30"/>
      <c r="JQ12" s="30"/>
      <c r="JR12" s="30"/>
      <c r="JS12" s="30"/>
      <c r="JT12" s="30"/>
      <c r="JU12" s="30"/>
      <c r="JV12" s="30"/>
      <c r="JW12" s="30"/>
      <c r="JX12" s="30"/>
      <c r="JY12" s="30"/>
      <c r="JZ12" s="30"/>
      <c r="KA12" s="30"/>
      <c r="KB12" s="30"/>
      <c r="KC12" s="30"/>
      <c r="KD12" s="30"/>
      <c r="KE12" s="30"/>
      <c r="KF12" s="30"/>
      <c r="KG12" s="30"/>
      <c r="KH12" s="30"/>
      <c r="KI12" s="30"/>
      <c r="KJ12" s="30"/>
      <c r="KK12" s="30"/>
      <c r="KL12" s="30"/>
      <c r="KM12" s="30"/>
      <c r="KN12" s="30"/>
      <c r="KO12" s="30"/>
      <c r="KP12" s="30"/>
      <c r="KQ12" s="30"/>
      <c r="KR12" s="30"/>
      <c r="KS12" s="30"/>
      <c r="KT12" s="30"/>
      <c r="KU12" s="30"/>
      <c r="KV12" s="30"/>
      <c r="KW12" s="30"/>
      <c r="KX12" s="30"/>
      <c r="KY12" s="30"/>
      <c r="KZ12" s="30"/>
      <c r="LA12" s="30"/>
      <c r="LB12" s="30"/>
      <c r="LC12" s="30"/>
      <c r="LD12" s="30"/>
      <c r="LE12" s="30"/>
      <c r="LF12" s="30"/>
      <c r="LG12" s="30"/>
      <c r="LH12" s="30"/>
      <c r="LI12" s="30"/>
      <c r="LJ12" s="30"/>
      <c r="LK12" s="30"/>
      <c r="LL12" s="30"/>
      <c r="LM12" s="30"/>
      <c r="LN12" s="30"/>
      <c r="LO12" s="30"/>
      <c r="LP12" s="30"/>
      <c r="LQ12" s="30"/>
      <c r="LR12" s="30"/>
      <c r="LS12" s="30"/>
      <c r="LT12" s="30"/>
      <c r="LU12" s="30"/>
      <c r="LV12" s="30"/>
      <c r="LW12" s="30"/>
      <c r="LX12" s="30"/>
      <c r="LY12" s="30"/>
      <c r="LZ12" s="30"/>
      <c r="MA12" s="30"/>
      <c r="MB12" s="30"/>
      <c r="MC12" s="30"/>
      <c r="MD12" s="30"/>
      <c r="ME12" s="30"/>
      <c r="MF12" s="30"/>
      <c r="MG12" s="30"/>
      <c r="MH12" s="30"/>
      <c r="MI12" s="30"/>
      <c r="MJ12" s="30"/>
      <c r="MK12" s="30"/>
      <c r="ML12" s="30"/>
      <c r="MM12" s="30"/>
      <c r="MN12" s="30"/>
      <c r="MO12" s="30"/>
      <c r="MP12" s="30"/>
      <c r="MQ12" s="30"/>
      <c r="MR12" s="30"/>
      <c r="MS12" s="30"/>
      <c r="MT12" s="30"/>
    </row>
    <row r="13" customFormat="false" ht="14.4" hidden="false" customHeight="false" outlineLevel="0" collapsed="false">
      <c r="C13" s="85" t="s">
        <v>134</v>
      </c>
      <c r="D13" s="353"/>
      <c r="E13" s="85"/>
      <c r="F13" s="151" t="n">
        <f aca="false">SUM(G13:J13)/(1-'Common input data'!$B$137)</f>
        <v>0.900295213931626</v>
      </c>
      <c r="G13" s="87" t="n">
        <f aca="false">SUMPRODUCT('Input data processed products'!D$5:AB$5,'Input data processed products'!D$55:AB$55)</f>
        <v>0.742289309652993</v>
      </c>
      <c r="H13" s="87" t="n">
        <f aca="false">'Input data processed products'!C67</f>
        <v>0.06</v>
      </c>
      <c r="I13" s="89" t="n">
        <f aca="false">'Common input data'!B$90</f>
        <v>0.05</v>
      </c>
      <c r="J13" s="89" t="n">
        <f aca="false">'Common input data'!C$98</f>
        <v>0.03</v>
      </c>
      <c r="K13" s="74"/>
    </row>
    <row r="14" customFormat="false" ht="14.4" hidden="false" customHeight="false" outlineLevel="0" collapsed="false">
      <c r="A14" s="99"/>
      <c r="B14" s="93"/>
      <c r="C14" s="85" t="s">
        <v>135</v>
      </c>
      <c r="D14" s="353"/>
      <c r="E14" s="85"/>
      <c r="F14" s="151" t="n">
        <f aca="false">SUM(G14:J14)/(1-'Common input data'!$B$137)</f>
        <v>6.19857652336E-005</v>
      </c>
      <c r="G14" s="87" t="n">
        <f aca="false">SUMPRODUCT('Input data processed products'!D$5:AB$5,'Input data processed products'!D$56:AB$56)</f>
        <v>6.0746049928928E-005</v>
      </c>
      <c r="H14" s="87" t="n">
        <v>0</v>
      </c>
      <c r="I14" s="89" t="n">
        <v>0</v>
      </c>
      <c r="J14" s="89" t="n">
        <v>0</v>
      </c>
      <c r="K14" s="74"/>
    </row>
    <row r="15" customFormat="false" ht="14.4" hidden="false" customHeight="false" outlineLevel="0" collapsed="false">
      <c r="A15" s="100"/>
      <c r="B15" s="87"/>
      <c r="C15" s="31" t="s">
        <v>136</v>
      </c>
      <c r="D15" s="354"/>
      <c r="E15" s="31"/>
      <c r="F15" s="151" t="n">
        <f aca="false">SUM(G15:J15)/(1-'Common input data'!$B$137)</f>
        <v>0.00188042822401424</v>
      </c>
      <c r="G15" s="87" t="n">
        <f aca="false">SUMPRODUCT('Input data processed products'!D$5:AB$5,'Input data processed products'!D$57:AB$57)</f>
        <v>0.00184281965953395</v>
      </c>
      <c r="H15" s="87" t="n">
        <v>0</v>
      </c>
      <c r="I15" s="89" t="n">
        <v>0</v>
      </c>
      <c r="J15" s="89" t="n">
        <v>0</v>
      </c>
      <c r="K15" s="74"/>
    </row>
    <row r="16" s="83" customFormat="true" ht="14.4" hidden="false" customHeight="false" outlineLevel="0" collapsed="false">
      <c r="A16" s="75" t="s">
        <v>274</v>
      </c>
      <c r="B16" s="188" t="n">
        <f aca="false">'Input data processed products'!C6</f>
        <v>0.503</v>
      </c>
      <c r="C16" s="78" t="s">
        <v>133</v>
      </c>
      <c r="D16" s="355"/>
      <c r="E16" s="78"/>
      <c r="F16" s="96" t="n">
        <f aca="false">IF($E$1="GWP100 without fb",F17+F18*'Common input data'!$C$5+F19*'Common input data'!$D$5,IF($E$1="GWP100 with fb",F17+F18*'Common input data'!$C$6+F19*'Common input data'!$D$6,IF($E$1="GTP100 without fb",F17+F18*'Common input data'!$C$7+F19*'Common input data'!$D$7,IF($E$1="GTP100 with fb",F17+F18*'Common input data'!$C$8+F19*'Common input data'!$D$8,F17+F18*'Common input data'!$C$9+F19*'Common input data'!$D$9))))</f>
        <v>1.78930095295071</v>
      </c>
      <c r="G16" s="97"/>
      <c r="H16" s="97"/>
      <c r="I16" s="98"/>
      <c r="J16" s="98"/>
      <c r="K16" s="74"/>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c r="MO16" s="30"/>
      <c r="MP16" s="30"/>
      <c r="MQ16" s="30"/>
      <c r="MR16" s="30"/>
      <c r="MS16" s="30"/>
      <c r="MT16" s="30"/>
    </row>
    <row r="17" customFormat="false" ht="14.4" hidden="false" customHeight="false" outlineLevel="0" collapsed="false">
      <c r="C17" s="85" t="s">
        <v>134</v>
      </c>
      <c r="D17" s="353"/>
      <c r="E17" s="85"/>
      <c r="F17" s="151" t="n">
        <f aca="false">SUM(G17:J17)/(1-'Common input data'!$B$137)</f>
        <v>1.22682582617652</v>
      </c>
      <c r="G17" s="87" t="n">
        <f aca="false">SUMPRODUCT('Input data processed products'!D$6:AB$6,'Input data processed products'!D$55:AB$55)</f>
        <v>0.742289309652993</v>
      </c>
      <c r="H17" s="87" t="n">
        <f aca="false">'Input data processed products'!C68</f>
        <v>0.18</v>
      </c>
      <c r="I17" s="89" t="n">
        <f aca="false">'Common input data'!B$90</f>
        <v>0.05</v>
      </c>
      <c r="J17" s="89" t="n">
        <f aca="false">'Common input data'!B100+'Common input data'!C100</f>
        <v>0.23</v>
      </c>
      <c r="K17" s="74"/>
    </row>
    <row r="18" customFormat="false" ht="14.4" hidden="false" customHeight="false" outlineLevel="0" collapsed="false">
      <c r="A18" s="99"/>
      <c r="B18" s="31"/>
      <c r="C18" s="85" t="s">
        <v>135</v>
      </c>
      <c r="D18" s="353"/>
      <c r="E18" s="85"/>
      <c r="F18" s="151" t="n">
        <f aca="false">SUM(G18:J18)/(1-'Common input data'!$B$137)</f>
        <v>6.19857652336E-005</v>
      </c>
      <c r="G18" s="87" t="n">
        <f aca="false">SUMPRODUCT('Input data processed products'!D$5:AB$5,'Input data processed products'!D$56:AB$56)</f>
        <v>6.0746049928928E-005</v>
      </c>
      <c r="H18" s="87" t="n">
        <v>0</v>
      </c>
      <c r="I18" s="89" t="n">
        <v>0</v>
      </c>
      <c r="J18" s="89" t="n">
        <v>0</v>
      </c>
      <c r="K18" s="74"/>
    </row>
    <row r="19" customFormat="false" ht="14.4" hidden="false" customHeight="false" outlineLevel="0" collapsed="false">
      <c r="A19" s="99"/>
      <c r="B19" s="87"/>
      <c r="C19" s="31" t="s">
        <v>136</v>
      </c>
      <c r="D19" s="354"/>
      <c r="E19" s="31"/>
      <c r="F19" s="151" t="n">
        <f aca="false">SUM(G19:J19)/(1-'Common input data'!$B$137)</f>
        <v>0.00188042822401424</v>
      </c>
      <c r="G19" s="87" t="n">
        <f aca="false">SUMPRODUCT('Input data processed products'!D$5:AB$5,'Input data processed products'!D$57:AB$57)</f>
        <v>0.00184281965953395</v>
      </c>
      <c r="H19" s="87" t="n">
        <v>0</v>
      </c>
      <c r="I19" s="102" t="n">
        <v>0</v>
      </c>
      <c r="J19" s="89" t="n">
        <v>0</v>
      </c>
      <c r="K19" s="74"/>
    </row>
    <row r="20" s="83" customFormat="true" ht="14.4" hidden="false" customHeight="false" outlineLevel="0" collapsed="false">
      <c r="A20" s="75" t="s">
        <v>171</v>
      </c>
      <c r="B20" s="188" t="n">
        <f aca="false">'Input data processed products'!C7</f>
        <v>0.197</v>
      </c>
      <c r="C20" s="78" t="s">
        <v>133</v>
      </c>
      <c r="D20" s="355"/>
      <c r="E20" s="78"/>
      <c r="F20" s="96" t="n">
        <f aca="false">IF($E$1="GWP100 without fb",F21+F22*'Common input data'!$C$5+F23*'Common input data'!$D$5,IF($E$1="GWP100 with fb",F21+F22*'Common input data'!$C$6+F23*'Common input data'!$D$6,IF($E$1="GTP100 without fb",F21+F22*'Common input data'!$C$7+F23*'Common input data'!$D$7,IF($E$1="GTP100 with fb",F21+F22*'Common input data'!$C$8+F23*'Common input data'!$D$8,F21+F22*'Common input data'!$C$9+F23*'Common input data'!$D$9))))</f>
        <v>2.16685197335887</v>
      </c>
      <c r="G20" s="97"/>
      <c r="H20" s="97"/>
      <c r="I20" s="98"/>
      <c r="J20" s="98"/>
      <c r="K20" s="74"/>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row>
    <row r="21" customFormat="false" ht="14.4" hidden="false" customHeight="false" outlineLevel="0" collapsed="false">
      <c r="C21" s="85" t="s">
        <v>134</v>
      </c>
      <c r="D21" s="353"/>
      <c r="E21" s="85"/>
      <c r="F21" s="151" t="n">
        <f aca="false">SUM(G21:J21)/(1-'Common input data'!$B$137)</f>
        <v>1.60437684658469</v>
      </c>
      <c r="G21" s="87" t="n">
        <f aca="false">SUMPRODUCT('Input data processed products'!D$7:AB$7,'Input data processed products'!D$55:AB$55)</f>
        <v>0.742289309652993</v>
      </c>
      <c r="H21" s="87" t="n">
        <f aca="false">'Input data processed products'!C70</f>
        <v>0.35</v>
      </c>
      <c r="I21" s="89" t="n">
        <f aca="false">'Common input data'!B$90</f>
        <v>0.05</v>
      </c>
      <c r="J21" s="89" t="n">
        <f aca="false">'Common input data'!B108+'Common input data'!C108</f>
        <v>0.43</v>
      </c>
      <c r="K21" s="74"/>
    </row>
    <row r="22" customFormat="false" ht="14.4" hidden="false" customHeight="false" outlineLevel="0" collapsed="false">
      <c r="A22" s="99"/>
      <c r="B22" s="87"/>
      <c r="C22" s="85" t="s">
        <v>135</v>
      </c>
      <c r="D22" s="353"/>
      <c r="E22" s="85"/>
      <c r="F22" s="151" t="n">
        <f aca="false">SUM(G22:J22)/(1-'Common input data'!$B$137)</f>
        <v>6.19857652336E-005</v>
      </c>
      <c r="G22" s="87" t="n">
        <f aca="false">SUMPRODUCT('Input data processed products'!D$5:AB$5,'Input data processed products'!D$56:AB$56)</f>
        <v>6.0746049928928E-005</v>
      </c>
      <c r="H22" s="87" t="n">
        <v>0</v>
      </c>
      <c r="I22" s="89" t="n">
        <v>0</v>
      </c>
      <c r="J22" s="89" t="n">
        <v>0</v>
      </c>
      <c r="K22" s="74"/>
    </row>
    <row r="23" customFormat="false" ht="14.4" hidden="false" customHeight="false" outlineLevel="0" collapsed="false">
      <c r="A23" s="99"/>
      <c r="B23" s="31"/>
      <c r="C23" s="31" t="s">
        <v>136</v>
      </c>
      <c r="D23" s="356"/>
      <c r="E23" s="125"/>
      <c r="F23" s="357" t="n">
        <f aca="false">SUM(G23:J23)/(1-'Common input data'!$B$137)</f>
        <v>0.00188042822401424</v>
      </c>
      <c r="G23" s="87" t="n">
        <f aca="false">SUMPRODUCT('Input data processed products'!D$5:AB$5,'Input data processed products'!D$57:AB$57)</f>
        <v>0.00184281965953395</v>
      </c>
      <c r="H23" s="87" t="n">
        <v>0</v>
      </c>
      <c r="I23" s="89" t="n">
        <v>0</v>
      </c>
      <c r="J23" s="89" t="n">
        <v>0</v>
      </c>
      <c r="K23" s="74"/>
    </row>
    <row r="24" s="132" customFormat="true" ht="14.4" hidden="false" customHeight="false" outlineLevel="0" collapsed="false">
      <c r="A24" s="127" t="s">
        <v>357</v>
      </c>
      <c r="B24" s="129"/>
      <c r="C24" s="130"/>
      <c r="D24" s="349"/>
      <c r="E24" s="270"/>
      <c r="F24" s="358" t="s">
        <v>358</v>
      </c>
      <c r="G24" s="129"/>
      <c r="H24" s="129"/>
      <c r="I24" s="131"/>
      <c r="J24" s="131"/>
      <c r="K24" s="74"/>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row>
    <row r="25" s="262" customFormat="true" ht="14.4" hidden="false" customHeight="false" outlineLevel="0" collapsed="false">
      <c r="A25" s="134" t="s">
        <v>137</v>
      </c>
      <c r="B25" s="313" t="n">
        <f aca="false">'Input data processed products'!C8</f>
        <v>1</v>
      </c>
      <c r="C25" s="137" t="s">
        <v>133</v>
      </c>
      <c r="D25" s="352"/>
      <c r="E25" s="137"/>
      <c r="F25" s="81" t="n">
        <f aca="false">IF($E$1="GWP100 without fb",F26+F27*'Common input data'!$C$5+F28*'Common input data'!$D$5,IF($E$1="GWP100 with fb",F26+F27*'Common input data'!$C$6+F28*'Common input data'!$D$6,IF($E$1="GTP100 without fb",F26+F27*'Common input data'!$C$7+F28*'Common input data'!$D$7,IF($E$1="GTP100 with fb",F26+F27*'Common input data'!$C$8+F28*'Common input data'!$D$8,F26+F27*'Common input data'!$C$9+F28*'Common input data'!$D$9))))</f>
        <v>1.44776451676419</v>
      </c>
      <c r="G25" s="261"/>
      <c r="H25" s="261"/>
      <c r="I25" s="359"/>
      <c r="J25" s="359"/>
      <c r="K25" s="74"/>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row>
    <row r="26" customFormat="false" ht="14.4" hidden="false" customHeight="false" outlineLevel="0" collapsed="false">
      <c r="C26" s="85" t="s">
        <v>134</v>
      </c>
      <c r="D26" s="353"/>
      <c r="E26" s="85"/>
      <c r="F26" s="151" t="n">
        <f aca="false">SUM(G26:J26)/(1-'Common input data'!$B$137)</f>
        <v>0.76901769214281</v>
      </c>
      <c r="G26" s="87" t="n">
        <f aca="false">SUMPRODUCT('Input data processed products'!D$8:AB$8,'Input data processed products'!D$55:AB$55)</f>
        <v>0.373637338299954</v>
      </c>
      <c r="H26" s="87" t="n">
        <f aca="false">'Input data processed products'!D$67</f>
        <v>0.3</v>
      </c>
      <c r="I26" s="89" t="n">
        <f aca="false">'Common input data'!B$90</f>
        <v>0.05</v>
      </c>
      <c r="J26" s="89" t="n">
        <f aca="false">'Common input data'!C$98</f>
        <v>0.03</v>
      </c>
      <c r="K26" s="74"/>
    </row>
    <row r="27" customFormat="false" ht="14.4" hidden="false" customHeight="false" outlineLevel="0" collapsed="false">
      <c r="A27" s="99"/>
      <c r="B27" s="93"/>
      <c r="C27" s="85" t="s">
        <v>135</v>
      </c>
      <c r="D27" s="353"/>
      <c r="E27" s="85"/>
      <c r="F27" s="151" t="n">
        <f aca="false">SUM(G27:J27)/(1-'Common input data'!$B$137)</f>
        <v>0.00988404658978885</v>
      </c>
      <c r="G27" s="87" t="n">
        <f aca="false">SUMPRODUCT('Input data processed products'!D$8:AB$8,'Input data processed products'!D$56:AB$56)</f>
        <v>0.00968636565799307</v>
      </c>
      <c r="H27" s="87" t="n">
        <v>0</v>
      </c>
      <c r="I27" s="89" t="n">
        <v>0</v>
      </c>
      <c r="J27" s="89" t="n">
        <v>0</v>
      </c>
      <c r="K27" s="74"/>
    </row>
    <row r="28" customFormat="false" ht="14.4" hidden="false" customHeight="false" outlineLevel="0" collapsed="false">
      <c r="A28" s="100"/>
      <c r="B28" s="87"/>
      <c r="C28" s="31" t="s">
        <v>136</v>
      </c>
      <c r="D28" s="356"/>
      <c r="E28" s="125"/>
      <c r="F28" s="357" t="n">
        <f aca="false">SUM(G28:J28)/(1-'Common input data'!$B$137)</f>
        <v>0.00114996389452536</v>
      </c>
      <c r="G28" s="87" t="n">
        <f aca="false">SUMPRODUCT('Input data processed products'!D$8:AB$8,'Input data processed products'!D$57:AB$57)</f>
        <v>0.00112696461663485</v>
      </c>
      <c r="H28" s="87" t="n">
        <v>0</v>
      </c>
      <c r="I28" s="89" t="n">
        <v>0</v>
      </c>
      <c r="J28" s="89" t="n">
        <v>0</v>
      </c>
      <c r="K28" s="74"/>
    </row>
    <row r="29" s="132" customFormat="true" ht="14.4" hidden="false" customHeight="false" outlineLevel="0" collapsed="false">
      <c r="A29" s="127" t="s">
        <v>359</v>
      </c>
      <c r="B29" s="129"/>
      <c r="C29" s="130"/>
      <c r="D29" s="349"/>
      <c r="E29" s="270"/>
      <c r="F29" s="358" t="s">
        <v>360</v>
      </c>
      <c r="G29" s="129"/>
      <c r="H29" s="129"/>
      <c r="I29" s="131"/>
      <c r="J29" s="131"/>
      <c r="K29" s="74"/>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row>
    <row r="30" s="262" customFormat="true" ht="14.4" hidden="false" customHeight="false" outlineLevel="0" collapsed="false">
      <c r="A30" s="134" t="s">
        <v>137</v>
      </c>
      <c r="B30" s="313" t="n">
        <f aca="false">'Input data processed products'!C10</f>
        <v>1</v>
      </c>
      <c r="C30" s="137" t="s">
        <v>133</v>
      </c>
      <c r="D30" s="352"/>
      <c r="E30" s="137"/>
      <c r="F30" s="81" t="n">
        <f aca="false">IF($E$1="GWP100 without fb",F31+F32*'Common input data'!$C$5+F33*'Common input data'!$D$5,IF($E$1="GWP100 with fb",F31+F32*'Common input data'!$C$6+F33*'Common input data'!$D$6,IF($E$1="GTP100 without fb",F31+F32*'Common input data'!$C$7+F33*'Common input data'!$D$7,IF($E$1="GTP100 with fb",F31+F32*'Common input data'!$C$8+F33*'Common input data'!$D$8,F31+F32*'Common input data'!$C$9+F33*'Common input data'!$D$9))))</f>
        <v>1.10427502401734</v>
      </c>
      <c r="G30" s="261"/>
      <c r="H30" s="261"/>
      <c r="I30" s="359"/>
      <c r="J30" s="359"/>
      <c r="K30" s="74"/>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row>
    <row r="31" customFormat="false" ht="14.4" hidden="false" customHeight="false" outlineLevel="0" collapsed="false">
      <c r="C31" s="85" t="s">
        <v>134</v>
      </c>
      <c r="D31" s="353"/>
      <c r="E31" s="85"/>
      <c r="F31" s="151" t="n">
        <f aca="false">SUM(G31:J31)/(1-'Common input data'!$B$137)</f>
        <v>0.776214199761806</v>
      </c>
      <c r="G31" s="87" t="n">
        <f aca="false">SUMPRODUCT('Input data processed products'!D$10:AB$10,'Input data processed products'!D$55:AB$55)</f>
        <v>0.38068991576657</v>
      </c>
      <c r="H31" s="87" t="n">
        <f aca="false">'Input data processed products'!D$67</f>
        <v>0.3</v>
      </c>
      <c r="I31" s="89" t="n">
        <f aca="false">'Common input data'!B$90</f>
        <v>0.05</v>
      </c>
      <c r="J31" s="89" t="n">
        <f aca="false">'Common input data'!C$98</f>
        <v>0.03</v>
      </c>
      <c r="K31" s="74"/>
    </row>
    <row r="32" customFormat="false" ht="14.4" hidden="false" customHeight="false" outlineLevel="0" collapsed="false">
      <c r="A32" s="99"/>
      <c r="B32" s="93"/>
      <c r="C32" s="85" t="s">
        <v>135</v>
      </c>
      <c r="D32" s="353"/>
      <c r="E32" s="85"/>
      <c r="F32" s="151" t="n">
        <f aca="false">SUM(G32:J32)/(1-'Common input data'!$B$137)</f>
        <v>0.000757996024641651</v>
      </c>
      <c r="G32" s="87" t="n">
        <f aca="false">SUMPRODUCT('Input data processed products'!D$10:AB$10,'Input data processed products'!D$56:AB$56)</f>
        <v>0.000742836104148818</v>
      </c>
      <c r="H32" s="87" t="n">
        <v>0</v>
      </c>
      <c r="I32" s="89" t="n">
        <v>0</v>
      </c>
      <c r="J32" s="89" t="n">
        <v>0</v>
      </c>
      <c r="K32" s="74"/>
    </row>
    <row r="33" customFormat="false" ht="14.4" hidden="false" customHeight="false" outlineLevel="0" collapsed="false">
      <c r="A33" s="100"/>
      <c r="B33" s="87"/>
      <c r="C33" s="31" t="s">
        <v>136</v>
      </c>
      <c r="D33" s="356"/>
      <c r="E33" s="125"/>
      <c r="F33" s="357" t="n">
        <f aca="false">SUM(G33:J33)/(1-'Common input data'!$B$137)</f>
        <v>0.00101439248126752</v>
      </c>
      <c r="G33" s="87" t="n">
        <f aca="false">SUMPRODUCT('Input data processed products'!D$10:AB$10,'Input data processed products'!D$57:AB$57)</f>
        <v>0.000994104631642167</v>
      </c>
      <c r="H33" s="87" t="n">
        <v>0</v>
      </c>
      <c r="I33" s="89" t="n">
        <v>0</v>
      </c>
      <c r="J33" s="89" t="n">
        <v>0</v>
      </c>
      <c r="K33" s="74"/>
    </row>
    <row r="34" s="132" customFormat="true" ht="14.4" hidden="false" customHeight="false" outlineLevel="0" collapsed="false">
      <c r="A34" s="127" t="s">
        <v>361</v>
      </c>
      <c r="B34" s="129"/>
      <c r="C34" s="130"/>
      <c r="D34" s="349"/>
      <c r="E34" s="270"/>
      <c r="F34" s="358" t="s">
        <v>362</v>
      </c>
      <c r="G34" s="129"/>
      <c r="H34" s="129"/>
      <c r="I34" s="131"/>
      <c r="J34" s="131"/>
      <c r="K34" s="74"/>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c r="MO34" s="30"/>
      <c r="MP34" s="30"/>
      <c r="MQ34" s="30"/>
      <c r="MR34" s="30"/>
      <c r="MS34" s="30"/>
      <c r="MT34" s="30"/>
    </row>
    <row r="35" s="262" customFormat="true" ht="14.4" hidden="false" customHeight="false" outlineLevel="0" collapsed="false">
      <c r="A35" s="134" t="s">
        <v>137</v>
      </c>
      <c r="B35" s="313" t="n">
        <f aca="false">'Input data processed products'!C12</f>
        <v>1</v>
      </c>
      <c r="C35" s="137" t="s">
        <v>133</v>
      </c>
      <c r="D35" s="352"/>
      <c r="E35" s="137"/>
      <c r="F35" s="81" t="n">
        <f aca="false">IF($E$1="GWP100 without fb",F36+F37*'Common input data'!$C$5+F38*'Common input data'!$D$5,IF($E$1="GWP100 with fb",F36+F37*'Common input data'!$C$6+F38*'Common input data'!$D$6,IF($E$1="GTP100 without fb",F36+F37*'Common input data'!$C$7+F38*'Common input data'!$D$7,IF($E$1="GTP100 with fb",F36+F37*'Common input data'!$C$8+F38*'Common input data'!$D$8,F36+F37*'Common input data'!$C$9+F38*'Common input data'!$D$9))))</f>
        <v>1.40985766096405</v>
      </c>
      <c r="G35" s="261"/>
      <c r="H35" s="261"/>
      <c r="I35" s="359"/>
      <c r="J35" s="359"/>
      <c r="K35" s="74"/>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c r="MO35" s="30"/>
      <c r="MP35" s="30"/>
      <c r="MQ35" s="30"/>
      <c r="MR35" s="30"/>
      <c r="MS35" s="30"/>
      <c r="MT35" s="30"/>
    </row>
    <row r="36" customFormat="false" ht="14.4" hidden="false" customHeight="false" outlineLevel="0" collapsed="false">
      <c r="C36" s="85" t="s">
        <v>134</v>
      </c>
      <c r="D36" s="353"/>
      <c r="E36" s="85"/>
      <c r="F36" s="88" t="n">
        <f aca="false">SUM(G36:J36)/(1-'Common input data'!$B$137)</f>
        <v>0.93910421694784</v>
      </c>
      <c r="G36" s="87" t="n">
        <f aca="false">SUMPRODUCT('Input data processed products'!D$12:AB$12,'Input data processed products'!D$55:AB$55)</f>
        <v>0.540322132608883</v>
      </c>
      <c r="H36" s="87" t="n">
        <f aca="false">'Input data processed products'!D$67</f>
        <v>0.3</v>
      </c>
      <c r="I36" s="89" t="n">
        <f aca="false">'Common input data'!B$90</f>
        <v>0.05</v>
      </c>
      <c r="J36" s="89" t="n">
        <f aca="false">'Common input data'!C$98</f>
        <v>0.03</v>
      </c>
      <c r="K36" s="74"/>
    </row>
    <row r="37" customFormat="false" ht="14.4" hidden="false" customHeight="false" outlineLevel="0" collapsed="false">
      <c r="A37" s="99"/>
      <c r="B37" s="93"/>
      <c r="C37" s="85" t="s">
        <v>135</v>
      </c>
      <c r="D37" s="353"/>
      <c r="E37" s="85"/>
      <c r="F37" s="88" t="n">
        <f aca="false">SUM(G37:J37)/(1-'Common input data'!$B$137)</f>
        <v>0.00185208329251734</v>
      </c>
      <c r="G37" s="87" t="n">
        <f aca="false">SUMPRODUCT('Input data processed products'!D$12:AB$12,'Input data processed products'!D$56:AB$56)</f>
        <v>0.00181504162666699</v>
      </c>
      <c r="H37" s="87" t="n">
        <v>0</v>
      </c>
      <c r="I37" s="89" t="n">
        <v>0</v>
      </c>
      <c r="J37" s="89" t="n">
        <v>0</v>
      </c>
      <c r="K37" s="74"/>
    </row>
    <row r="38" customFormat="false" ht="14.4" hidden="false" customHeight="false" outlineLevel="0" collapsed="false">
      <c r="A38" s="100"/>
      <c r="B38" s="87"/>
      <c r="C38" s="31" t="s">
        <v>136</v>
      </c>
      <c r="D38" s="356"/>
      <c r="E38" s="125"/>
      <c r="F38" s="106" t="n">
        <f aca="false">SUM(G38:J38)/(1-'Common input data'!$B$137)</f>
        <v>0.00136839802708261</v>
      </c>
      <c r="G38" s="87" t="n">
        <f aca="false">SUMPRODUCT('Input data processed products'!D$12:AB$12,'Input data processed products'!D$57:AB$57)</f>
        <v>0.00134103006654095</v>
      </c>
      <c r="H38" s="87" t="n">
        <v>0</v>
      </c>
      <c r="I38" s="89" t="n">
        <v>0</v>
      </c>
      <c r="J38" s="89" t="n">
        <v>0</v>
      </c>
      <c r="K38" s="74"/>
    </row>
    <row r="39" s="132" customFormat="true" ht="14.4" hidden="false" customHeight="false" outlineLevel="0" collapsed="false">
      <c r="A39" s="127" t="s">
        <v>363</v>
      </c>
      <c r="B39" s="129"/>
      <c r="C39" s="130"/>
      <c r="D39" s="349"/>
      <c r="E39" s="270"/>
      <c r="F39" s="112" t="s">
        <v>364</v>
      </c>
      <c r="G39" s="129"/>
      <c r="H39" s="129"/>
      <c r="I39" s="131"/>
      <c r="J39" s="131"/>
      <c r="K39" s="74"/>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c r="MO39" s="30"/>
      <c r="MP39" s="30"/>
      <c r="MQ39" s="30"/>
      <c r="MR39" s="30"/>
      <c r="MS39" s="30"/>
      <c r="MT39" s="30"/>
    </row>
    <row r="40" s="262" customFormat="true" ht="14.4" hidden="false" customHeight="false" outlineLevel="0" collapsed="false">
      <c r="A40" s="134" t="s">
        <v>137</v>
      </c>
      <c r="B40" s="313" t="n">
        <f aca="false">'Input data processed products'!C14</f>
        <v>1</v>
      </c>
      <c r="C40" s="137" t="s">
        <v>133</v>
      </c>
      <c r="D40" s="352"/>
      <c r="E40" s="137"/>
      <c r="F40" s="81" t="n">
        <f aca="false">IF($E$1="GWP100 without fb",F41+F42*'Common input data'!$C$5+F43*'Common input data'!$D$5,IF($E$1="GWP100 with fb",F41+F42*'Common input data'!$C$6+F43*'Common input data'!$D$6,IF($E$1="GTP100 without fb",F41+F42*'Common input data'!$C$7+F43*'Common input data'!$D$7,IF($E$1="GTP100 with fb",F41+F42*'Common input data'!$C$8+F43*'Common input data'!$D$8,F41+F42*'Common input data'!$C$9+F43*'Common input data'!$D$9))))</f>
        <v>1.43383234888689</v>
      </c>
      <c r="G40" s="261"/>
      <c r="H40" s="261"/>
      <c r="I40" s="359"/>
      <c r="J40" s="359"/>
      <c r="K40" s="74"/>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row>
    <row r="41" customFormat="false" ht="14.4" hidden="false" customHeight="false" outlineLevel="0" collapsed="false">
      <c r="C41" s="85" t="s">
        <v>134</v>
      </c>
      <c r="D41" s="353"/>
      <c r="E41" s="85"/>
      <c r="F41" s="88" t="n">
        <f aca="false">SUM(G41:J41)/(1-'Common input data'!$B$137)</f>
        <v>0.977027423725422</v>
      </c>
      <c r="G41" s="87" t="n">
        <f aca="false">SUMPRODUCT('Input data processed products'!D$14:AB$14,'Input data processed products'!D$55:AB$55)</f>
        <v>0.577486875250914</v>
      </c>
      <c r="H41" s="87" t="n">
        <f aca="false">'Input data processed products'!D$67</f>
        <v>0.3</v>
      </c>
      <c r="I41" s="89" t="n">
        <f aca="false">'Common input data'!B$90</f>
        <v>0.05</v>
      </c>
      <c r="J41" s="89" t="n">
        <f aca="false">'Common input data'!C$98</f>
        <v>0.03</v>
      </c>
      <c r="K41" s="74"/>
    </row>
    <row r="42" customFormat="false" ht="14.4" hidden="false" customHeight="false" outlineLevel="0" collapsed="false">
      <c r="A42" s="99"/>
      <c r="B42" s="93"/>
      <c r="C42" s="85" t="s">
        <v>135</v>
      </c>
      <c r="D42" s="353"/>
      <c r="E42" s="85"/>
      <c r="F42" s="88" t="n">
        <f aca="false">SUM(G42:J42)/(1-'Common input data'!$B$137)</f>
        <v>5.30681804087175E-005</v>
      </c>
      <c r="G42" s="87" t="n">
        <f aca="false">SUMPRODUCT('Input data processed products'!D$14:AB$14,'Input data processed products'!D$56:AB$56)</f>
        <v>5.20068168005432E-005</v>
      </c>
      <c r="H42" s="87" t="n">
        <v>0</v>
      </c>
      <c r="I42" s="89" t="n">
        <v>0</v>
      </c>
      <c r="J42" s="89" t="n">
        <v>0</v>
      </c>
      <c r="K42" s="74"/>
    </row>
    <row r="43" customFormat="false" ht="14.4" hidden="false" customHeight="false" outlineLevel="0" collapsed="false">
      <c r="A43" s="100"/>
      <c r="B43" s="87"/>
      <c r="C43" s="31" t="s">
        <v>136</v>
      </c>
      <c r="D43" s="356"/>
      <c r="E43" s="125"/>
      <c r="F43" s="106" t="n">
        <f aca="false">SUM(G43:J43)/(1-'Common input data'!$B$137)</f>
        <v>0.00152684767458917</v>
      </c>
      <c r="G43" s="87" t="n">
        <f aca="false">SUMPRODUCT('Input data processed products'!D$14:AB$14,'Input data processed products'!D$57:AB$57)</f>
        <v>0.00149631072109739</v>
      </c>
      <c r="H43" s="87" t="n">
        <v>0</v>
      </c>
      <c r="I43" s="89" t="n">
        <v>0</v>
      </c>
      <c r="J43" s="89" t="n">
        <v>0</v>
      </c>
      <c r="K43" s="74"/>
    </row>
    <row r="44" s="132" customFormat="true" ht="14.4" hidden="false" customHeight="false" outlineLevel="0" collapsed="false">
      <c r="A44" s="127" t="s">
        <v>365</v>
      </c>
      <c r="B44" s="129"/>
      <c r="C44" s="130"/>
      <c r="D44" s="349"/>
      <c r="E44" s="270"/>
      <c r="F44" s="112" t="s">
        <v>366</v>
      </c>
      <c r="G44" s="129"/>
      <c r="H44" s="129"/>
      <c r="I44" s="131"/>
      <c r="J44" s="131"/>
      <c r="K44" s="74"/>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row>
    <row r="45" s="262" customFormat="true" ht="14.4" hidden="false" customHeight="false" outlineLevel="0" collapsed="false">
      <c r="A45" s="134" t="s">
        <v>137</v>
      </c>
      <c r="B45" s="313" t="n">
        <f aca="false">'Input data processed products'!C16</f>
        <v>1</v>
      </c>
      <c r="C45" s="137" t="s">
        <v>133</v>
      </c>
      <c r="D45" s="352"/>
      <c r="E45" s="137"/>
      <c r="F45" s="81" t="n">
        <f aca="false">IF($E$1="GWP100 without fb",F46+F47*'Common input data'!$C$5+F48*'Common input data'!$D$5,IF($E$1="GWP100 with fb",F46+F47*'Common input data'!$C$6+F48*'Common input data'!$D$6,IF($E$1="GTP100 without fb",F46+F47*'Common input data'!$C$7+F48*'Common input data'!$D$7,IF($E$1="GTP100 with fb",F46+F47*'Common input data'!$C$8+F48*'Common input data'!$D$8,F46+F47*'Common input data'!$C$9+F48*'Common input data'!$D$9))))</f>
        <v>1.02194756035595</v>
      </c>
      <c r="G45" s="261"/>
      <c r="H45" s="261"/>
      <c r="I45" s="359"/>
      <c r="J45" s="359"/>
      <c r="K45" s="74"/>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row>
    <row r="46" customFormat="false" ht="14.4" hidden="false" customHeight="false" outlineLevel="0" collapsed="false">
      <c r="C46" s="85" t="s">
        <v>134</v>
      </c>
      <c r="D46" s="353"/>
      <c r="E46" s="85"/>
      <c r="F46" s="88" t="n">
        <f aca="false">SUM(G46:J46)/(1-'Common input data'!$B$137)</f>
        <v>0.747830951692293</v>
      </c>
      <c r="G46" s="87" t="n">
        <f aca="false">SUMPRODUCT('Input data processed products'!D$16:AB$16,'Input data processed products'!D$55:AB$55)</f>
        <v>0.352874332658447</v>
      </c>
      <c r="H46" s="87" t="n">
        <f aca="false">'Input data processed products'!D$67</f>
        <v>0.3</v>
      </c>
      <c r="I46" s="89" t="n">
        <f aca="false">'Common input data'!B$90</f>
        <v>0.05</v>
      </c>
      <c r="J46" s="89" t="n">
        <f aca="false">'Common input data'!C$98</f>
        <v>0.03</v>
      </c>
      <c r="K46" s="74"/>
    </row>
    <row r="47" customFormat="false" ht="14.4" hidden="false" customHeight="false" outlineLevel="0" collapsed="false">
      <c r="A47" s="99"/>
      <c r="B47" s="93"/>
      <c r="C47" s="85" t="s">
        <v>135</v>
      </c>
      <c r="D47" s="353"/>
      <c r="E47" s="85"/>
      <c r="F47" s="88" t="n">
        <f aca="false">SUM(G47:J47)/(1-'Common input data'!$B$137)</f>
        <v>3.11627518195191E-005</v>
      </c>
      <c r="G47" s="87" t="n">
        <f aca="false">SUMPRODUCT('Input data processed products'!D$16:AB$16,'Input data processed products'!D$56:AB$56)</f>
        <v>3.05394967831288E-005</v>
      </c>
      <c r="H47" s="87" t="n">
        <v>0</v>
      </c>
      <c r="I47" s="89" t="n">
        <v>0</v>
      </c>
      <c r="J47" s="89" t="n">
        <v>0</v>
      </c>
      <c r="K47" s="74"/>
    </row>
    <row r="48" customFormat="false" ht="14.4" hidden="false" customHeight="false" outlineLevel="0" collapsed="false">
      <c r="A48" s="100"/>
      <c r="B48" s="87"/>
      <c r="C48" s="31" t="s">
        <v>136</v>
      </c>
      <c r="D48" s="356"/>
      <c r="E48" s="125"/>
      <c r="F48" s="106" t="n">
        <f aca="false">SUM(G48:J48)/(1-'Common input data'!$B$137)</f>
        <v>0.000916298909737575</v>
      </c>
      <c r="G48" s="87" t="n">
        <f aca="false">SUMPRODUCT('Input data processed products'!D$16:AB$16,'Input data processed products'!D$57:AB$57)</f>
        <v>0.000897972931542824</v>
      </c>
      <c r="H48" s="87" t="n">
        <v>0</v>
      </c>
      <c r="I48" s="89" t="n">
        <v>0</v>
      </c>
      <c r="J48" s="89" t="n">
        <v>0</v>
      </c>
      <c r="K48" s="74"/>
    </row>
    <row r="49" s="132" customFormat="true" ht="14.4" hidden="false" customHeight="false" outlineLevel="0" collapsed="false">
      <c r="A49" s="127" t="s">
        <v>367</v>
      </c>
      <c r="B49" s="129"/>
      <c r="C49" s="130"/>
      <c r="D49" s="349"/>
      <c r="E49" s="270"/>
      <c r="F49" s="112" t="s">
        <v>368</v>
      </c>
      <c r="G49" s="129"/>
      <c r="H49" s="129"/>
      <c r="I49" s="131"/>
      <c r="J49" s="131"/>
      <c r="K49" s="74"/>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c r="MO49" s="30"/>
      <c r="MP49" s="30"/>
      <c r="MQ49" s="30"/>
      <c r="MR49" s="30"/>
      <c r="MS49" s="30"/>
      <c r="MT49" s="30"/>
    </row>
    <row r="50" s="262" customFormat="true" ht="14.4" hidden="false" customHeight="false" outlineLevel="0" collapsed="false">
      <c r="A50" s="134" t="s">
        <v>137</v>
      </c>
      <c r="B50" s="313" t="n">
        <f aca="false">'Input data processed products'!C18</f>
        <v>1</v>
      </c>
      <c r="C50" s="137" t="s">
        <v>133</v>
      </c>
      <c r="D50" s="352"/>
      <c r="E50" s="137"/>
      <c r="F50" s="81" t="n">
        <f aca="false">IF($E$1="GWP100 without fb",F51+F52*'Common input data'!$C$5+F53*'Common input data'!$D$5,IF($E$1="GWP100 with fb",F51+F52*'Common input data'!$C$6+F53*'Common input data'!$D$6,IF($E$1="GTP100 without fb",F51+F52*'Common input data'!$C$7+F53*'Common input data'!$D$7,IF($E$1="GTP100 with fb",F51+F52*'Common input data'!$C$8+F53*'Common input data'!$D$8,F51+F52*'Common input data'!$C$9+F53*'Common input data'!$D$9))))</f>
        <v>1.04307270164038</v>
      </c>
      <c r="G50" s="261"/>
      <c r="H50" s="261"/>
      <c r="I50" s="359"/>
      <c r="J50" s="359"/>
      <c r="K50" s="74"/>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row>
    <row r="51" customFormat="false" ht="14.4" hidden="false" customHeight="false" outlineLevel="0" collapsed="false">
      <c r="A51" s="99"/>
      <c r="B51" s="93"/>
      <c r="C51" s="85" t="s">
        <v>134</v>
      </c>
      <c r="D51" s="353"/>
      <c r="E51" s="85"/>
      <c r="F51" s="88" t="n">
        <f aca="false">SUM(G51:J51)/(1-'Common input data'!$B$137)</f>
        <v>0.775089937047356</v>
      </c>
      <c r="G51" s="87" t="n">
        <f aca="false">SUMPRODUCT('Input data processed products'!D$18:AB$18,'Input data processed products'!D$55:AB$55)</f>
        <v>0.379588138306408</v>
      </c>
      <c r="H51" s="87" t="n">
        <f aca="false">'Input data processed products'!D$67</f>
        <v>0.3</v>
      </c>
      <c r="I51" s="89" t="n">
        <f aca="false">'Common input data'!B$90</f>
        <v>0.05</v>
      </c>
      <c r="J51" s="89" t="n">
        <f aca="false">'Common input data'!C$98</f>
        <v>0.03</v>
      </c>
      <c r="K51" s="74"/>
    </row>
    <row r="52" customFormat="false" ht="14.4" hidden="false" customHeight="false" outlineLevel="0" collapsed="false">
      <c r="A52" s="100"/>
      <c r="B52" s="87"/>
      <c r="C52" s="85" t="s">
        <v>135</v>
      </c>
      <c r="D52" s="353"/>
      <c r="E52" s="85"/>
      <c r="F52" s="88" t="n">
        <f aca="false">SUM(G52:J52)/(1-'Common input data'!$B$137)</f>
        <v>3.34526442850871E-005</v>
      </c>
      <c r="G52" s="87" t="n">
        <f aca="false">SUMPRODUCT('Input data processed products'!D$18:AB$18,'Input data processed products'!D$56:AB$56)</f>
        <v>3.27835913993853E-005</v>
      </c>
      <c r="H52" s="87" t="n">
        <v>0</v>
      </c>
      <c r="I52" s="89" t="n">
        <v>0</v>
      </c>
      <c r="J52" s="89" t="n">
        <v>0</v>
      </c>
      <c r="K52" s="74"/>
    </row>
    <row r="53" customFormat="false" ht="14.4" hidden="false" customHeight="false" outlineLevel="0" collapsed="false">
      <c r="A53" s="100"/>
      <c r="B53" s="87"/>
      <c r="C53" s="31" t="s">
        <v>136</v>
      </c>
      <c r="D53" s="356"/>
      <c r="E53" s="125"/>
      <c r="F53" s="106" t="n">
        <f aca="false">SUM(G53:J53)/(1-'Common input data'!$B$137)</f>
        <v>0.000895454277474276</v>
      </c>
      <c r="G53" s="87" t="n">
        <f aca="false">SUMPRODUCT('Input data processed products'!D$18:AB$18,'Input data processed products'!D$57:AB$57)</f>
        <v>0.000877545191924791</v>
      </c>
      <c r="H53" s="87" t="n">
        <v>0</v>
      </c>
      <c r="I53" s="89" t="n">
        <v>0</v>
      </c>
      <c r="J53" s="89" t="n">
        <v>0</v>
      </c>
      <c r="K53" s="74"/>
    </row>
    <row r="54" s="132" customFormat="true" ht="14.4" hidden="false" customHeight="false" outlineLevel="0" collapsed="false">
      <c r="A54" s="127" t="s">
        <v>369</v>
      </c>
      <c r="B54" s="129"/>
      <c r="C54" s="130"/>
      <c r="D54" s="349"/>
      <c r="E54" s="270"/>
      <c r="F54" s="112" t="s">
        <v>370</v>
      </c>
      <c r="G54" s="129"/>
      <c r="H54" s="129"/>
      <c r="I54" s="131"/>
      <c r="J54" s="131"/>
      <c r="K54" s="74"/>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row>
    <row r="55" s="262" customFormat="true" ht="14.4" hidden="false" customHeight="false" outlineLevel="0" collapsed="false">
      <c r="A55" s="134" t="s">
        <v>137</v>
      </c>
      <c r="B55" s="313" t="n">
        <f aca="false">'Input data processed products'!C20</f>
        <v>1</v>
      </c>
      <c r="C55" s="137" t="s">
        <v>133</v>
      </c>
      <c r="D55" s="352"/>
      <c r="E55" s="137"/>
      <c r="F55" s="81" t="n">
        <f aca="false">IF($E$1="GWP100 without fb",F56+F57*'Common input data'!$C$5+F58*'Common input data'!$D$5,IF($E$1="GWP100 with fb",F56+F57*'Common input data'!$C$6+F58*'Common input data'!$D$6,IF($E$1="GTP100 without fb",F56+F57*'Common input data'!$C$7+F58*'Common input data'!$D$7,IF($E$1="GTP100 with fb",F56+F57*'Common input data'!$C$8+F58*'Common input data'!$D$8,F56+F57*'Common input data'!$C$9+F58*'Common input data'!$D$9))))</f>
        <v>1.11434735620258</v>
      </c>
      <c r="G55" s="261"/>
      <c r="H55" s="261"/>
      <c r="I55" s="359"/>
      <c r="J55" s="359"/>
      <c r="K55" s="74"/>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row>
    <row r="56" customFormat="false" ht="14.4" hidden="false" customHeight="false" outlineLevel="0" collapsed="false">
      <c r="A56" s="99"/>
      <c r="B56" s="93"/>
      <c r="C56" s="85" t="s">
        <v>134</v>
      </c>
      <c r="D56" s="353"/>
      <c r="E56" s="85"/>
      <c r="F56" s="88" t="n">
        <f aca="false">SUM(G56:J56)/(1-'Common input data'!$B$137)</f>
        <v>0.837916567513802</v>
      </c>
      <c r="G56" s="87" t="n">
        <f aca="false">SUMPRODUCT('Input data processed products'!D$20:AB$20,'Input data processed products'!D$55:AB$55)</f>
        <v>0.441158236163526</v>
      </c>
      <c r="H56" s="87" t="n">
        <f aca="false">'Input data processed products'!D$67</f>
        <v>0.3</v>
      </c>
      <c r="I56" s="89" t="n">
        <f aca="false">'Common input data'!B$90</f>
        <v>0.05</v>
      </c>
      <c r="J56" s="89" t="n">
        <f aca="false">'Common input data'!C$98</f>
        <v>0.03</v>
      </c>
      <c r="K56" s="74"/>
    </row>
    <row r="57" customFormat="false" ht="14.4" hidden="false" customHeight="false" outlineLevel="0" collapsed="false">
      <c r="A57" s="100"/>
      <c r="B57" s="87"/>
      <c r="C57" s="85" t="s">
        <v>135</v>
      </c>
      <c r="D57" s="353"/>
      <c r="E57" s="85"/>
      <c r="F57" s="88" t="n">
        <f aca="false">SUM(G57:J57)/(1-'Common input data'!$B$137)</f>
        <v>3.84435433846488E-005</v>
      </c>
      <c r="G57" s="87" t="n">
        <f aca="false">SUMPRODUCT('Input data processed products'!D$20:AB$20,'Input data processed products'!D$56:AB$56)</f>
        <v>3.76746725169558E-005</v>
      </c>
      <c r="H57" s="87" t="n">
        <v>0</v>
      </c>
      <c r="I57" s="89" t="n">
        <v>0</v>
      </c>
      <c r="J57" s="89" t="n">
        <v>0</v>
      </c>
      <c r="K57" s="74"/>
    </row>
    <row r="58" customFormat="false" ht="14.4" hidden="false" customHeight="false" outlineLevel="0" collapsed="false">
      <c r="A58" s="100"/>
      <c r="B58" s="87"/>
      <c r="C58" s="31" t="s">
        <v>136</v>
      </c>
      <c r="D58" s="356"/>
      <c r="E58" s="125"/>
      <c r="F58" s="106" t="n">
        <f aca="false">SUM(G58:J58)/(1-'Common input data'!$B$137)</f>
        <v>0.000923233920180211</v>
      </c>
      <c r="G58" s="87" t="n">
        <f aca="false">SUMPRODUCT('Input data processed products'!D$20:AB$20,'Input data processed products'!D$57:AB$57)</f>
        <v>0.000904769241776607</v>
      </c>
      <c r="H58" s="87" t="n">
        <v>0</v>
      </c>
      <c r="I58" s="89" t="n">
        <v>0</v>
      </c>
      <c r="J58" s="89" t="n">
        <v>0</v>
      </c>
      <c r="K58" s="74"/>
    </row>
    <row r="59" s="132" customFormat="true" ht="14.4" hidden="false" customHeight="false" outlineLevel="0" collapsed="false">
      <c r="A59" s="127" t="s">
        <v>371</v>
      </c>
      <c r="B59" s="129"/>
      <c r="C59" s="130"/>
      <c r="D59" s="349"/>
      <c r="E59" s="270"/>
      <c r="F59" s="112" t="s">
        <v>372</v>
      </c>
      <c r="G59" s="129"/>
      <c r="H59" s="129"/>
      <c r="I59" s="131"/>
      <c r="J59" s="131"/>
      <c r="K59" s="74"/>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row>
    <row r="60" s="262" customFormat="true" ht="14.4" hidden="false" customHeight="false" outlineLevel="0" collapsed="false">
      <c r="A60" s="134" t="s">
        <v>137</v>
      </c>
      <c r="B60" s="313" t="n">
        <f aca="false">'Input data processed products'!C22</f>
        <v>1</v>
      </c>
      <c r="C60" s="137" t="s">
        <v>133</v>
      </c>
      <c r="D60" s="352"/>
      <c r="E60" s="137"/>
      <c r="F60" s="81" t="n">
        <f aca="false">IF($E$1="GWP100 without fb",F61+F62*'Common input data'!$C$5+F63*'Common input data'!$D$5,IF($E$1="GWP100 with fb",F61+F62*'Common input data'!$C$6+F63*'Common input data'!$D$6,IF($E$1="GTP100 without fb",F61+F62*'Common input data'!$C$7+F63*'Common input data'!$D$7,IF($E$1="GTP100 with fb",F61+F62*'Common input data'!$C$8+F63*'Common input data'!$D$8,F61+F62*'Common input data'!$C$9+F63*'Common input data'!$D$9))))</f>
        <v>3.65896349303685</v>
      </c>
      <c r="G60" s="261"/>
      <c r="H60" s="261"/>
      <c r="I60" s="359"/>
      <c r="J60" s="359"/>
      <c r="K60" s="74"/>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c r="LA60" s="30"/>
      <c r="LB60" s="30"/>
      <c r="LC60" s="30"/>
      <c r="LD60" s="30"/>
      <c r="LE60" s="30"/>
      <c r="LF60" s="30"/>
      <c r="LG60" s="30"/>
      <c r="LH60" s="30"/>
      <c r="LI60" s="30"/>
      <c r="LJ60" s="30"/>
      <c r="LK60" s="30"/>
      <c r="LL60" s="30"/>
      <c r="LM60" s="30"/>
      <c r="LN60" s="30"/>
      <c r="LO60" s="30"/>
      <c r="LP60" s="30"/>
      <c r="LQ60" s="30"/>
      <c r="LR60" s="30"/>
      <c r="LS60" s="30"/>
      <c r="LT60" s="30"/>
      <c r="LU60" s="30"/>
      <c r="LV60" s="30"/>
      <c r="LW60" s="30"/>
      <c r="LX60" s="30"/>
      <c r="LY60" s="30"/>
      <c r="LZ60" s="30"/>
      <c r="MA60" s="30"/>
      <c r="MB60" s="30"/>
      <c r="MC60" s="30"/>
      <c r="MD60" s="30"/>
      <c r="ME60" s="30"/>
      <c r="MF60" s="30"/>
      <c r="MG60" s="30"/>
      <c r="MH60" s="30"/>
      <c r="MI60" s="30"/>
      <c r="MJ60" s="30"/>
      <c r="MK60" s="30"/>
      <c r="ML60" s="30"/>
      <c r="MM60" s="30"/>
      <c r="MN60" s="30"/>
      <c r="MO60" s="30"/>
      <c r="MP60" s="30"/>
      <c r="MQ60" s="30"/>
      <c r="MR60" s="30"/>
      <c r="MS60" s="30"/>
      <c r="MT60" s="30"/>
    </row>
    <row r="61" customFormat="false" ht="14.4" hidden="false" customHeight="false" outlineLevel="0" collapsed="false">
      <c r="C61" s="85" t="s">
        <v>134</v>
      </c>
      <c r="D61" s="353"/>
      <c r="E61" s="85"/>
      <c r="F61" s="88" t="n">
        <f aca="false">SUM(G61:J61)/(1-'Common input data'!$B$140)</f>
        <v>1.10230683168643</v>
      </c>
      <c r="G61" s="87" t="n">
        <f aca="false">SUMPRODUCT('Input data processed products'!D$22:AB$22,'Input data processed products'!D$55:AB$55)</f>
        <v>1.016795297528</v>
      </c>
      <c r="H61" s="87" t="n">
        <v>0</v>
      </c>
      <c r="I61" s="89" t="n">
        <f aca="false">'Common input data'!B$90</f>
        <v>0.05</v>
      </c>
      <c r="J61" s="89" t="n">
        <f aca="false">'Common input data'!C$98</f>
        <v>0.03</v>
      </c>
      <c r="K61" s="74"/>
    </row>
    <row r="62" customFormat="false" ht="14.4" hidden="false" customHeight="false" outlineLevel="0" collapsed="false">
      <c r="A62" s="99"/>
      <c r="B62" s="93"/>
      <c r="C62" s="85" t="s">
        <v>135</v>
      </c>
      <c r="D62" s="353"/>
      <c r="E62" s="85"/>
      <c r="F62" s="88" t="n">
        <f aca="false">SUM(G62:J62)/(1-'Common input data'!$B$140)</f>
        <v>0.0504542791622879</v>
      </c>
      <c r="G62" s="87" t="n">
        <f aca="false">SUMPRODUCT('Input data processed products'!D$22:AB$22,'Input data processed products'!D$56:AB$56)</f>
        <v>0.0502020077664764</v>
      </c>
      <c r="H62" s="87" t="n">
        <v>0</v>
      </c>
      <c r="I62" s="89" t="n">
        <v>0</v>
      </c>
      <c r="J62" s="89" t="n">
        <v>0</v>
      </c>
      <c r="K62" s="74"/>
    </row>
    <row r="63" customFormat="false" ht="14.4" hidden="false" customHeight="false" outlineLevel="0" collapsed="false">
      <c r="A63" s="100"/>
      <c r="B63" s="87"/>
      <c r="C63" s="31" t="s">
        <v>136</v>
      </c>
      <c r="D63" s="356"/>
      <c r="E63" s="125"/>
      <c r="F63" s="106" t="n">
        <f aca="false">SUM(G63:J63)/(1-'Common input data'!$B$140)</f>
        <v>0.00282285627460616</v>
      </c>
      <c r="G63" s="87" t="n">
        <f aca="false">SUMPRODUCT('Input data processed products'!D$22:AB$22,'Input data processed products'!D$57:AB$57)</f>
        <v>0.00280874199323313</v>
      </c>
      <c r="H63" s="87" t="n">
        <v>0</v>
      </c>
      <c r="I63" s="89" t="n">
        <v>0</v>
      </c>
      <c r="J63" s="89" t="n">
        <v>0</v>
      </c>
      <c r="K63" s="74"/>
    </row>
    <row r="64" s="132" customFormat="true" ht="14.4" hidden="false" customHeight="false" outlineLevel="0" collapsed="false">
      <c r="A64" s="127" t="s">
        <v>373</v>
      </c>
      <c r="B64" s="129"/>
      <c r="C64" s="130"/>
      <c r="D64" s="349"/>
      <c r="E64" s="270"/>
      <c r="F64" s="112" t="s">
        <v>374</v>
      </c>
      <c r="G64" s="129"/>
      <c r="H64" s="129"/>
      <c r="I64" s="131"/>
      <c r="J64" s="131"/>
      <c r="K64" s="74"/>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row>
    <row r="65" s="262" customFormat="true" ht="14.4" hidden="false" customHeight="false" outlineLevel="0" collapsed="false">
      <c r="A65" s="134" t="s">
        <v>137</v>
      </c>
      <c r="B65" s="313" t="n">
        <f aca="false">'Input data processed products'!C24</f>
        <v>1</v>
      </c>
      <c r="C65" s="137" t="s">
        <v>133</v>
      </c>
      <c r="D65" s="352"/>
      <c r="E65" s="137"/>
      <c r="F65" s="81" t="n">
        <f aca="false">IF($E$1="GWP100 without fb",F66+F67*'Common input data'!$C$5+F68*'Common input data'!$D$5,IF($E$1="GWP100 with fb",F66+F67*'Common input data'!$C$6+F68*'Common input data'!$D$6,IF($E$1="GTP100 without fb",F66+F67*'Common input data'!$C$7+F68*'Common input data'!$D$7,IF($E$1="GTP100 with fb",F66+F67*'Common input data'!$C$8+F68*'Common input data'!$D$8,F66+F67*'Common input data'!$C$9+F68*'Common input data'!$D$9))))</f>
        <v>2.41728375298058</v>
      </c>
      <c r="G65" s="261"/>
      <c r="H65" s="261"/>
      <c r="I65" s="359"/>
      <c r="J65" s="359"/>
      <c r="K65" s="74"/>
      <c r="L65" s="30"/>
      <c r="M65" s="189"/>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c r="KI65" s="30"/>
      <c r="KJ65" s="30"/>
      <c r="KK65" s="30"/>
      <c r="KL65" s="30"/>
      <c r="KM65" s="30"/>
      <c r="KN65" s="30"/>
      <c r="KO65" s="30"/>
      <c r="KP65" s="30"/>
      <c r="KQ65" s="30"/>
      <c r="KR65" s="30"/>
      <c r="KS65" s="30"/>
      <c r="KT65" s="30"/>
      <c r="KU65" s="30"/>
      <c r="KV65" s="30"/>
      <c r="KW65" s="30"/>
      <c r="KX65" s="30"/>
      <c r="KY65" s="30"/>
      <c r="KZ65" s="30"/>
      <c r="LA65" s="30"/>
      <c r="LB65" s="30"/>
      <c r="LC65" s="30"/>
      <c r="LD65" s="30"/>
      <c r="LE65" s="30"/>
      <c r="LF65" s="30"/>
      <c r="LG65" s="30"/>
      <c r="LH65" s="30"/>
      <c r="LI65" s="30"/>
      <c r="LJ65" s="30"/>
      <c r="LK65" s="30"/>
      <c r="LL65" s="30"/>
      <c r="LM65" s="30"/>
      <c r="LN65" s="30"/>
      <c r="LO65" s="30"/>
      <c r="LP65" s="30"/>
      <c r="LQ65" s="30"/>
      <c r="LR65" s="30"/>
      <c r="LS65" s="30"/>
      <c r="LT65" s="30"/>
      <c r="LU65" s="30"/>
      <c r="LV65" s="30"/>
      <c r="LW65" s="30"/>
      <c r="LX65" s="30"/>
      <c r="LY65" s="30"/>
      <c r="LZ65" s="30"/>
      <c r="MA65" s="30"/>
      <c r="MB65" s="30"/>
      <c r="MC65" s="30"/>
      <c r="MD65" s="30"/>
      <c r="ME65" s="30"/>
      <c r="MF65" s="30"/>
      <c r="MG65" s="30"/>
      <c r="MH65" s="30"/>
      <c r="MI65" s="30"/>
      <c r="MJ65" s="30"/>
      <c r="MK65" s="30"/>
      <c r="ML65" s="30"/>
      <c r="MM65" s="30"/>
      <c r="MN65" s="30"/>
      <c r="MO65" s="30"/>
      <c r="MP65" s="30"/>
      <c r="MQ65" s="30"/>
      <c r="MR65" s="30"/>
      <c r="MS65" s="30"/>
      <c r="MT65" s="30"/>
    </row>
    <row r="66" customFormat="false" ht="14.4" hidden="false" customHeight="false" outlineLevel="0" collapsed="false">
      <c r="A66" s="99"/>
      <c r="B66" s="93"/>
      <c r="C66" s="85" t="s">
        <v>134</v>
      </c>
      <c r="D66" s="353"/>
      <c r="F66" s="88" t="n">
        <f aca="false">SUM(G66:J66)/(1-'Common input data'!$B$139)</f>
        <v>0.936825299334255</v>
      </c>
      <c r="G66" s="87" t="n">
        <f aca="false">SUMPRODUCT('Input data processed products'!D$24:AB$24,'Input data processed products'!D$55:AB$55)</f>
        <v>0.747457046340913</v>
      </c>
      <c r="H66" s="87" t="n">
        <f aca="false">'Input data processed products'!E$67</f>
        <v>0.1</v>
      </c>
      <c r="I66" s="89" t="n">
        <f aca="false">'Common input data'!B$90</f>
        <v>0.05</v>
      </c>
      <c r="J66" s="89" t="n">
        <f aca="false">'Common input data'!C$98</f>
        <v>0.03</v>
      </c>
      <c r="K66" s="74"/>
      <c r="M66" s="360"/>
    </row>
    <row r="67" customFormat="false" ht="14.4" hidden="false" customHeight="false" outlineLevel="0" collapsed="false">
      <c r="A67" s="100"/>
      <c r="B67" s="87"/>
      <c r="C67" s="85" t="s">
        <v>135</v>
      </c>
      <c r="D67" s="353"/>
      <c r="F67" s="88" t="n">
        <f aca="false">SUM(G67:J67)/(1-'Common input data'!$B$139)</f>
        <v>0.0184949231483219</v>
      </c>
      <c r="G67" s="87" t="n">
        <f aca="false">SUMPRODUCT('Input data processed products'!D$24:AB$24,'Input data processed products'!D$56:AB$56)</f>
        <v>0.0183099739168387</v>
      </c>
      <c r="H67" s="87" t="n">
        <v>0</v>
      </c>
      <c r="I67" s="89" t="n">
        <v>0</v>
      </c>
      <c r="J67" s="89" t="n">
        <v>0</v>
      </c>
      <c r="K67" s="74"/>
      <c r="M67" s="360"/>
    </row>
    <row r="68" customFormat="false" ht="14.4" hidden="false" customHeight="false" outlineLevel="0" collapsed="false">
      <c r="A68" s="100"/>
      <c r="B68" s="87"/>
      <c r="C68" s="31" t="s">
        <v>136</v>
      </c>
      <c r="D68" s="356"/>
      <c r="E68" s="52"/>
      <c r="F68" s="106" t="n">
        <f aca="false">SUM(G68:J68)/(1-'Common input data'!$B$139)</f>
        <v>0.00285782237115229</v>
      </c>
      <c r="G68" s="87" t="n">
        <f aca="false">SUMPRODUCT('Input data processed products'!D$24:AB$24,'Input data processed products'!D$57:AB$57)</f>
        <v>0.00282924414744076</v>
      </c>
      <c r="H68" s="87" t="n">
        <v>0</v>
      </c>
      <c r="I68" s="89" t="n">
        <v>0</v>
      </c>
      <c r="J68" s="89" t="n">
        <v>0</v>
      </c>
      <c r="K68" s="74"/>
      <c r="M68" s="360"/>
    </row>
    <row r="69" s="132" customFormat="true" ht="14.4" hidden="false" customHeight="false" outlineLevel="0" collapsed="false">
      <c r="A69" s="127" t="s">
        <v>375</v>
      </c>
      <c r="B69" s="129"/>
      <c r="C69" s="130"/>
      <c r="D69" s="349"/>
      <c r="E69" s="270"/>
      <c r="F69" s="112" t="s">
        <v>376</v>
      </c>
      <c r="G69" s="129"/>
      <c r="H69" s="129"/>
      <c r="I69" s="131"/>
      <c r="J69" s="131"/>
      <c r="K69" s="74"/>
      <c r="L69" s="30"/>
      <c r="M69" s="36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c r="KI69" s="30"/>
      <c r="KJ69" s="30"/>
      <c r="KK69" s="30"/>
      <c r="KL69" s="30"/>
      <c r="KM69" s="30"/>
      <c r="KN69" s="30"/>
      <c r="KO69" s="30"/>
      <c r="KP69" s="30"/>
      <c r="KQ69" s="30"/>
      <c r="KR69" s="30"/>
      <c r="KS69" s="30"/>
      <c r="KT69" s="30"/>
      <c r="KU69" s="30"/>
      <c r="KV69" s="30"/>
      <c r="KW69" s="30"/>
      <c r="KX69" s="30"/>
      <c r="KY69" s="30"/>
      <c r="KZ69" s="30"/>
      <c r="LA69" s="30"/>
      <c r="LB69" s="30"/>
      <c r="LC69" s="30"/>
      <c r="LD69" s="30"/>
      <c r="LE69" s="30"/>
      <c r="LF69" s="30"/>
      <c r="LG69" s="30"/>
      <c r="LH69" s="30"/>
      <c r="LI69" s="30"/>
      <c r="LJ69" s="30"/>
      <c r="LK69" s="30"/>
      <c r="LL69" s="30"/>
      <c r="LM69" s="30"/>
      <c r="LN69" s="30"/>
      <c r="LO69" s="30"/>
      <c r="LP69" s="30"/>
      <c r="LQ69" s="30"/>
      <c r="LR69" s="30"/>
      <c r="LS69" s="30"/>
      <c r="LT69" s="30"/>
      <c r="LU69" s="30"/>
      <c r="LV69" s="30"/>
      <c r="LW69" s="30"/>
      <c r="LX69" s="30"/>
      <c r="LY69" s="30"/>
      <c r="LZ69" s="30"/>
      <c r="MA69" s="30"/>
      <c r="MB69" s="30"/>
      <c r="MC69" s="30"/>
      <c r="MD69" s="30"/>
      <c r="ME69" s="30"/>
      <c r="MF69" s="30"/>
      <c r="MG69" s="30"/>
      <c r="MH69" s="30"/>
      <c r="MI69" s="30"/>
      <c r="MJ69" s="30"/>
      <c r="MK69" s="30"/>
      <c r="ML69" s="30"/>
      <c r="MM69" s="30"/>
      <c r="MN69" s="30"/>
      <c r="MO69" s="30"/>
      <c r="MP69" s="30"/>
      <c r="MQ69" s="30"/>
      <c r="MR69" s="30"/>
      <c r="MS69" s="30"/>
      <c r="MT69" s="30"/>
    </row>
    <row r="70" s="262" customFormat="true" ht="14.4" hidden="false" customHeight="false" outlineLevel="0" collapsed="false">
      <c r="A70" s="134" t="s">
        <v>137</v>
      </c>
      <c r="B70" s="313" t="n">
        <f aca="false">'Input data processed products'!C26</f>
        <v>1</v>
      </c>
      <c r="C70" s="137" t="s">
        <v>133</v>
      </c>
      <c r="D70" s="352"/>
      <c r="E70" s="137"/>
      <c r="F70" s="81" t="n">
        <f aca="false">IF($E$1="GWP100 without fb",F71+F72*'Common input data'!$C$5+F73*'Common input data'!$D$5,IF($E$1="GWP100 with fb",F71+F72*'Common input data'!$C$6+F73*'Common input data'!$D$6,IF($E$1="GTP100 without fb",F71+F72*'Common input data'!$C$7+F73*'Common input data'!$D$7,IF($E$1="GTP100 with fb",F71+F72*'Common input data'!$C$8+F73*'Common input data'!$D$8,F71+F72*'Common input data'!$C$9+F73*'Common input data'!$D$9))))</f>
        <v>1.2722891921413</v>
      </c>
      <c r="G70" s="261"/>
      <c r="H70" s="261"/>
      <c r="I70" s="359"/>
      <c r="J70" s="359"/>
      <c r="K70" s="74"/>
      <c r="L70" s="30"/>
      <c r="M70" s="189"/>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c r="FR70" s="30"/>
      <c r="FS70" s="30"/>
      <c r="FT70" s="30"/>
      <c r="FU70" s="30"/>
      <c r="FV70" s="30"/>
      <c r="FW70" s="30"/>
      <c r="FX70" s="30"/>
      <c r="FY70" s="30"/>
      <c r="FZ70" s="30"/>
      <c r="GA70" s="30"/>
      <c r="GB70" s="30"/>
      <c r="GC70" s="30"/>
      <c r="GD70" s="30"/>
      <c r="GE70" s="30"/>
      <c r="GF70" s="30"/>
      <c r="GG70" s="30"/>
      <c r="GH70" s="30"/>
      <c r="GI70" s="30"/>
      <c r="GJ70" s="30"/>
      <c r="GK70" s="30"/>
      <c r="GL70" s="30"/>
      <c r="GM70" s="30"/>
      <c r="GN70" s="30"/>
      <c r="GO70" s="30"/>
      <c r="GP70" s="30"/>
      <c r="GQ70" s="30"/>
      <c r="GR70" s="30"/>
      <c r="GS70" s="30"/>
      <c r="GT70" s="30"/>
      <c r="GU70" s="30"/>
      <c r="GV70" s="30"/>
      <c r="GW70" s="30"/>
      <c r="GX70" s="30"/>
      <c r="GY70" s="30"/>
      <c r="GZ70" s="30"/>
      <c r="HA70" s="30"/>
      <c r="HB70" s="30"/>
      <c r="HC70" s="30"/>
      <c r="HD70" s="30"/>
      <c r="HE70" s="30"/>
      <c r="HF70" s="30"/>
      <c r="HG70" s="30"/>
      <c r="HH70" s="30"/>
      <c r="HI70" s="30"/>
      <c r="HJ70" s="30"/>
      <c r="HK70" s="30"/>
      <c r="HL70" s="30"/>
      <c r="HM70" s="30"/>
      <c r="HN70" s="30"/>
      <c r="HO70" s="30"/>
      <c r="HP70" s="30"/>
      <c r="HQ70" s="30"/>
      <c r="HR70" s="30"/>
      <c r="HS70" s="30"/>
      <c r="HT70" s="30"/>
      <c r="HU70" s="30"/>
      <c r="HV70" s="30"/>
      <c r="HW70" s="30"/>
      <c r="HX70" s="30"/>
      <c r="HY70" s="30"/>
      <c r="HZ70" s="30"/>
      <c r="IA70" s="30"/>
      <c r="IB70" s="30"/>
      <c r="IC70" s="30"/>
      <c r="ID70" s="30"/>
      <c r="IE70" s="30"/>
      <c r="IF70" s="30"/>
      <c r="IG70" s="30"/>
      <c r="IH70" s="30"/>
      <c r="II70" s="30"/>
      <c r="IJ70" s="30"/>
      <c r="IK70" s="30"/>
      <c r="IL70" s="30"/>
      <c r="IM70" s="30"/>
      <c r="IN70" s="30"/>
      <c r="IO70" s="30"/>
      <c r="IP70" s="30"/>
      <c r="IQ70" s="30"/>
      <c r="IR70" s="30"/>
      <c r="IS70" s="30"/>
      <c r="IT70" s="30"/>
      <c r="IU70" s="30"/>
      <c r="IV70" s="30"/>
      <c r="IW70" s="30"/>
      <c r="IX70" s="30"/>
      <c r="IY70" s="30"/>
      <c r="IZ70" s="30"/>
      <c r="JA70" s="30"/>
      <c r="JB70" s="30"/>
      <c r="JC70" s="30"/>
      <c r="JD70" s="30"/>
      <c r="JE70" s="30"/>
      <c r="JF70" s="30"/>
      <c r="JG70" s="30"/>
      <c r="JH70" s="30"/>
      <c r="JI70" s="30"/>
      <c r="JJ70" s="30"/>
      <c r="JK70" s="30"/>
      <c r="JL70" s="30"/>
      <c r="JM70" s="30"/>
      <c r="JN70" s="30"/>
      <c r="JO70" s="30"/>
      <c r="JP70" s="30"/>
      <c r="JQ70" s="30"/>
      <c r="JR70" s="30"/>
      <c r="JS70" s="30"/>
      <c r="JT70" s="30"/>
      <c r="JU70" s="30"/>
      <c r="JV70" s="30"/>
      <c r="JW70" s="30"/>
      <c r="JX70" s="30"/>
      <c r="JY70" s="30"/>
      <c r="JZ70" s="30"/>
      <c r="KA70" s="30"/>
      <c r="KB70" s="30"/>
      <c r="KC70" s="30"/>
      <c r="KD70" s="30"/>
      <c r="KE70" s="30"/>
      <c r="KF70" s="30"/>
      <c r="KG70" s="30"/>
      <c r="KH70" s="30"/>
      <c r="KI70" s="30"/>
      <c r="KJ70" s="30"/>
      <c r="KK70" s="30"/>
      <c r="KL70" s="30"/>
      <c r="KM70" s="30"/>
      <c r="KN70" s="30"/>
      <c r="KO70" s="30"/>
      <c r="KP70" s="30"/>
      <c r="KQ70" s="30"/>
      <c r="KR70" s="30"/>
      <c r="KS70" s="30"/>
      <c r="KT70" s="30"/>
      <c r="KU70" s="30"/>
      <c r="KV70" s="30"/>
      <c r="KW70" s="30"/>
      <c r="KX70" s="30"/>
      <c r="KY70" s="30"/>
      <c r="KZ70" s="30"/>
      <c r="LA70" s="30"/>
      <c r="LB70" s="30"/>
      <c r="LC70" s="30"/>
      <c r="LD70" s="30"/>
      <c r="LE70" s="30"/>
      <c r="LF70" s="30"/>
      <c r="LG70" s="30"/>
      <c r="LH70" s="30"/>
      <c r="LI70" s="30"/>
      <c r="LJ70" s="30"/>
      <c r="LK70" s="30"/>
      <c r="LL70" s="30"/>
      <c r="LM70" s="30"/>
      <c r="LN70" s="30"/>
      <c r="LO70" s="30"/>
      <c r="LP70" s="30"/>
      <c r="LQ70" s="30"/>
      <c r="LR70" s="30"/>
      <c r="LS70" s="30"/>
      <c r="LT70" s="30"/>
      <c r="LU70" s="30"/>
      <c r="LV70" s="30"/>
      <c r="LW70" s="30"/>
      <c r="LX70" s="30"/>
      <c r="LY70" s="30"/>
      <c r="LZ70" s="30"/>
      <c r="MA70" s="30"/>
      <c r="MB70" s="30"/>
      <c r="MC70" s="30"/>
      <c r="MD70" s="30"/>
      <c r="ME70" s="30"/>
      <c r="MF70" s="30"/>
      <c r="MG70" s="30"/>
      <c r="MH70" s="30"/>
      <c r="MI70" s="30"/>
      <c r="MJ70" s="30"/>
      <c r="MK70" s="30"/>
      <c r="ML70" s="30"/>
      <c r="MM70" s="30"/>
      <c r="MN70" s="30"/>
      <c r="MO70" s="30"/>
      <c r="MP70" s="30"/>
      <c r="MQ70" s="30"/>
      <c r="MR70" s="30"/>
      <c r="MS70" s="30"/>
      <c r="MT70" s="30"/>
    </row>
    <row r="71" customFormat="false" ht="14.4" hidden="false" customHeight="false" outlineLevel="0" collapsed="false">
      <c r="A71" s="99"/>
      <c r="B71" s="93"/>
      <c r="C71" s="85" t="s">
        <v>134</v>
      </c>
      <c r="D71" s="353"/>
      <c r="E71" s="85"/>
      <c r="F71" s="88" t="n">
        <f aca="false">SUM(G71:J71)/(1-'Common input data'!$B$139)</f>
        <v>0.550114336704072</v>
      </c>
      <c r="G71" s="87" t="n">
        <f aca="false">SUMPRODUCT('Input data processed products'!D$26:AB$26,'Input data processed products'!D$55:AB$55)</f>
        <v>0.364613193337031</v>
      </c>
      <c r="H71" s="87" t="n">
        <f aca="false">'Input data processed products'!E$67</f>
        <v>0.1</v>
      </c>
      <c r="I71" s="89" t="n">
        <f aca="false">'Common input data'!B$90</f>
        <v>0.05</v>
      </c>
      <c r="J71" s="89" t="n">
        <f aca="false">'Common input data'!C$98</f>
        <v>0.03</v>
      </c>
      <c r="K71" s="74"/>
      <c r="M71" s="189"/>
    </row>
    <row r="72" customFormat="false" ht="14.4" hidden="false" customHeight="false" outlineLevel="0" collapsed="false">
      <c r="A72" s="100"/>
      <c r="B72" s="87"/>
      <c r="C72" s="85" t="s">
        <v>135</v>
      </c>
      <c r="D72" s="353"/>
      <c r="E72" s="85"/>
      <c r="F72" s="88" t="n">
        <f aca="false">SUM(G72:J72)/(1-'Common input data'!$B$139)</f>
        <v>0.00902191373088874</v>
      </c>
      <c r="G72" s="87" t="n">
        <f aca="false">SUMPRODUCT('Input data processed products'!D$26:AB$26,'Input data processed products'!D$56:AB$56)</f>
        <v>0.00893169459357986</v>
      </c>
      <c r="H72" s="87" t="n">
        <v>0</v>
      </c>
      <c r="I72" s="89" t="n">
        <v>0</v>
      </c>
      <c r="J72" s="89" t="n">
        <v>0</v>
      </c>
      <c r="K72" s="74"/>
      <c r="M72" s="189"/>
    </row>
    <row r="73" customFormat="false" ht="14.4" hidden="false" customHeight="false" outlineLevel="0" collapsed="false">
      <c r="A73" s="100"/>
      <c r="B73" s="87"/>
      <c r="C73" s="31" t="s">
        <v>136</v>
      </c>
      <c r="D73" s="356"/>
      <c r="E73" s="125"/>
      <c r="F73" s="106" t="n">
        <f aca="false">SUM(G73:J73)/(1-'Common input data'!$B$139)</f>
        <v>0.00139405969324502</v>
      </c>
      <c r="G73" s="87" t="n">
        <f aca="false">SUMPRODUCT('Input data processed products'!D$26:AB$26,'Input data processed products'!D$57:AB$57)</f>
        <v>0.00138011909631257</v>
      </c>
      <c r="H73" s="87" t="n">
        <v>0</v>
      </c>
      <c r="I73" s="89" t="n">
        <v>0</v>
      </c>
      <c r="J73" s="89" t="n">
        <v>0</v>
      </c>
      <c r="K73" s="74"/>
      <c r="M73" s="189"/>
    </row>
    <row r="74" s="132" customFormat="true" ht="14.4" hidden="false" customHeight="false" outlineLevel="0" collapsed="false">
      <c r="A74" s="127" t="s">
        <v>377</v>
      </c>
      <c r="B74" s="129"/>
      <c r="C74" s="130"/>
      <c r="D74" s="349"/>
      <c r="E74" s="270"/>
      <c r="F74" s="112" t="s">
        <v>378</v>
      </c>
      <c r="G74" s="129"/>
      <c r="H74" s="129"/>
      <c r="I74" s="131"/>
      <c r="J74" s="131"/>
      <c r="K74" s="74"/>
      <c r="L74" s="30"/>
      <c r="M74" s="189"/>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c r="GL74" s="30"/>
      <c r="GM74" s="30"/>
      <c r="GN74" s="30"/>
      <c r="GO74" s="30"/>
      <c r="GP74" s="30"/>
      <c r="GQ74" s="30"/>
      <c r="GR74" s="30"/>
      <c r="GS74" s="30"/>
      <c r="GT74" s="30"/>
      <c r="GU74" s="30"/>
      <c r="GV74" s="30"/>
      <c r="GW74" s="30"/>
      <c r="GX74" s="30"/>
      <c r="GY74" s="30"/>
      <c r="GZ74" s="30"/>
      <c r="HA74" s="30"/>
      <c r="HB74" s="30"/>
      <c r="HC74" s="30"/>
      <c r="HD74" s="30"/>
      <c r="HE74" s="30"/>
      <c r="HF74" s="30"/>
      <c r="HG74" s="30"/>
      <c r="HH74" s="30"/>
      <c r="HI74" s="30"/>
      <c r="HJ74" s="30"/>
      <c r="HK74" s="30"/>
      <c r="HL74" s="30"/>
      <c r="HM74" s="30"/>
      <c r="HN74" s="30"/>
      <c r="HO74" s="30"/>
      <c r="HP74" s="30"/>
      <c r="HQ74" s="30"/>
      <c r="HR74" s="30"/>
      <c r="HS74" s="30"/>
      <c r="HT74" s="30"/>
      <c r="HU74" s="30"/>
      <c r="HV74" s="30"/>
      <c r="HW74" s="30"/>
      <c r="HX74" s="30"/>
      <c r="HY74" s="30"/>
      <c r="HZ74" s="30"/>
      <c r="IA74" s="30"/>
      <c r="IB74" s="30"/>
      <c r="IC74" s="30"/>
      <c r="ID74" s="30"/>
      <c r="IE74" s="30"/>
      <c r="IF74" s="30"/>
      <c r="IG74" s="30"/>
      <c r="IH74" s="30"/>
      <c r="II74" s="30"/>
      <c r="IJ74" s="30"/>
      <c r="IK74" s="30"/>
      <c r="IL74" s="30"/>
      <c r="IM74" s="30"/>
      <c r="IN74" s="30"/>
      <c r="IO74" s="30"/>
      <c r="IP74" s="30"/>
      <c r="IQ74" s="30"/>
      <c r="IR74" s="30"/>
      <c r="IS74" s="30"/>
      <c r="IT74" s="30"/>
      <c r="IU74" s="30"/>
      <c r="IV74" s="30"/>
      <c r="IW74" s="30"/>
      <c r="IX74" s="30"/>
      <c r="IY74" s="30"/>
      <c r="IZ74" s="30"/>
      <c r="JA74" s="30"/>
      <c r="JB74" s="30"/>
      <c r="JC74" s="30"/>
      <c r="JD74" s="30"/>
      <c r="JE74" s="30"/>
      <c r="JF74" s="30"/>
      <c r="JG74" s="30"/>
      <c r="JH74" s="30"/>
      <c r="JI74" s="30"/>
      <c r="JJ74" s="30"/>
      <c r="JK74" s="30"/>
      <c r="JL74" s="30"/>
      <c r="JM74" s="30"/>
      <c r="JN74" s="30"/>
      <c r="JO74" s="30"/>
      <c r="JP74" s="30"/>
      <c r="JQ74" s="30"/>
      <c r="JR74" s="30"/>
      <c r="JS74" s="30"/>
      <c r="JT74" s="30"/>
      <c r="JU74" s="30"/>
      <c r="JV74" s="30"/>
      <c r="JW74" s="30"/>
      <c r="JX74" s="30"/>
      <c r="JY74" s="30"/>
      <c r="JZ74" s="30"/>
      <c r="KA74" s="30"/>
      <c r="KB74" s="30"/>
      <c r="KC74" s="30"/>
      <c r="KD74" s="30"/>
      <c r="KE74" s="30"/>
      <c r="KF74" s="30"/>
      <c r="KG74" s="30"/>
      <c r="KH74" s="30"/>
      <c r="KI74" s="30"/>
      <c r="KJ74" s="30"/>
      <c r="KK74" s="30"/>
      <c r="KL74" s="30"/>
      <c r="KM74" s="30"/>
      <c r="KN74" s="30"/>
      <c r="KO74" s="30"/>
      <c r="KP74" s="30"/>
      <c r="KQ74" s="30"/>
      <c r="KR74" s="30"/>
      <c r="KS74" s="30"/>
      <c r="KT74" s="30"/>
      <c r="KU74" s="30"/>
      <c r="KV74" s="30"/>
      <c r="KW74" s="30"/>
      <c r="KX74" s="30"/>
      <c r="KY74" s="30"/>
      <c r="KZ74" s="30"/>
      <c r="LA74" s="30"/>
      <c r="LB74" s="30"/>
      <c r="LC74" s="30"/>
      <c r="LD74" s="30"/>
      <c r="LE74" s="30"/>
      <c r="LF74" s="30"/>
      <c r="LG74" s="30"/>
      <c r="LH74" s="30"/>
      <c r="LI74" s="30"/>
      <c r="LJ74" s="30"/>
      <c r="LK74" s="30"/>
      <c r="LL74" s="30"/>
      <c r="LM74" s="30"/>
      <c r="LN74" s="30"/>
      <c r="LO74" s="30"/>
      <c r="LP74" s="30"/>
      <c r="LQ74" s="30"/>
      <c r="LR74" s="30"/>
      <c r="LS74" s="30"/>
      <c r="LT74" s="30"/>
      <c r="LU74" s="30"/>
      <c r="LV74" s="30"/>
      <c r="LW74" s="30"/>
      <c r="LX74" s="30"/>
      <c r="LY74" s="30"/>
      <c r="LZ74" s="30"/>
      <c r="MA74" s="30"/>
      <c r="MB74" s="30"/>
      <c r="MC74" s="30"/>
      <c r="MD74" s="30"/>
      <c r="ME74" s="30"/>
      <c r="MF74" s="30"/>
      <c r="MG74" s="30"/>
      <c r="MH74" s="30"/>
      <c r="MI74" s="30"/>
      <c r="MJ74" s="30"/>
      <c r="MK74" s="30"/>
      <c r="ML74" s="30"/>
      <c r="MM74" s="30"/>
      <c r="MN74" s="30"/>
      <c r="MO74" s="30"/>
      <c r="MP74" s="30"/>
      <c r="MQ74" s="30"/>
      <c r="MR74" s="30"/>
      <c r="MS74" s="30"/>
      <c r="MT74" s="30"/>
    </row>
    <row r="75" s="262" customFormat="true" ht="14.4" hidden="false" customHeight="false" outlineLevel="0" collapsed="false">
      <c r="A75" s="134" t="s">
        <v>137</v>
      </c>
      <c r="B75" s="313" t="n">
        <f aca="false">'Input data processed products'!C28</f>
        <v>1</v>
      </c>
      <c r="C75" s="137" t="s">
        <v>133</v>
      </c>
      <c r="D75" s="352"/>
      <c r="E75" s="137"/>
      <c r="F75" s="81" t="n">
        <f aca="false">IF($E$1="GWP100 without fb",F76+F77*'Common input data'!$C$5+F78*'Common input data'!$D$5,IF($E$1="GWP100 with fb",F76+F77*'Common input data'!$C$6+F78*'Common input data'!$D$6,IF($E$1="GTP100 without fb",F76+F77*'Common input data'!$C$7+F78*'Common input data'!$D$7,IF($E$1="GTP100 with fb",F76+F77*'Common input data'!$C$8+F78*'Common input data'!$D$8,F76+F77*'Common input data'!$C$9+F78*'Common input data'!$D$9))))</f>
        <v>2.30338612356243</v>
      </c>
      <c r="G75" s="261"/>
      <c r="H75" s="261"/>
      <c r="I75" s="359"/>
      <c r="J75" s="359"/>
      <c r="K75" s="74"/>
      <c r="L75" s="30"/>
      <c r="M75" s="189"/>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c r="FR75" s="30"/>
      <c r="FS75" s="30"/>
      <c r="FT75" s="30"/>
      <c r="FU75" s="30"/>
      <c r="FV75" s="30"/>
      <c r="FW75" s="30"/>
      <c r="FX75" s="30"/>
      <c r="FY75" s="30"/>
      <c r="FZ75" s="30"/>
      <c r="GA75" s="30"/>
      <c r="GB75" s="30"/>
      <c r="GC75" s="30"/>
      <c r="GD75" s="30"/>
      <c r="GE75" s="30"/>
      <c r="GF75" s="30"/>
      <c r="GG75" s="30"/>
      <c r="GH75" s="30"/>
      <c r="GI75" s="30"/>
      <c r="GJ75" s="30"/>
      <c r="GK75" s="30"/>
      <c r="GL75" s="30"/>
      <c r="GM75" s="30"/>
      <c r="GN75" s="30"/>
      <c r="GO75" s="30"/>
      <c r="GP75" s="30"/>
      <c r="GQ75" s="30"/>
      <c r="GR75" s="30"/>
      <c r="GS75" s="30"/>
      <c r="GT75" s="30"/>
      <c r="GU75" s="30"/>
      <c r="GV75" s="30"/>
      <c r="GW75" s="30"/>
      <c r="GX75" s="30"/>
      <c r="GY75" s="30"/>
      <c r="GZ75" s="30"/>
      <c r="HA75" s="30"/>
      <c r="HB75" s="30"/>
      <c r="HC75" s="30"/>
      <c r="HD75" s="30"/>
      <c r="HE75" s="30"/>
      <c r="HF75" s="30"/>
      <c r="HG75" s="30"/>
      <c r="HH75" s="30"/>
      <c r="HI75" s="30"/>
      <c r="HJ75" s="30"/>
      <c r="HK75" s="30"/>
      <c r="HL75" s="30"/>
      <c r="HM75" s="30"/>
      <c r="HN75" s="30"/>
      <c r="HO75" s="30"/>
      <c r="HP75" s="30"/>
      <c r="HQ75" s="30"/>
      <c r="HR75" s="30"/>
      <c r="HS75" s="30"/>
      <c r="HT75" s="30"/>
      <c r="HU75" s="30"/>
      <c r="HV75" s="30"/>
      <c r="HW75" s="30"/>
      <c r="HX75" s="30"/>
      <c r="HY75" s="30"/>
      <c r="HZ75" s="30"/>
      <c r="IA75" s="30"/>
      <c r="IB75" s="30"/>
      <c r="IC75" s="30"/>
      <c r="ID75" s="30"/>
      <c r="IE75" s="30"/>
      <c r="IF75" s="30"/>
      <c r="IG75" s="30"/>
      <c r="IH75" s="30"/>
      <c r="II75" s="30"/>
      <c r="IJ75" s="30"/>
      <c r="IK75" s="30"/>
      <c r="IL75" s="30"/>
      <c r="IM75" s="30"/>
      <c r="IN75" s="30"/>
      <c r="IO75" s="30"/>
      <c r="IP75" s="30"/>
      <c r="IQ75" s="30"/>
      <c r="IR75" s="30"/>
      <c r="IS75" s="30"/>
      <c r="IT75" s="30"/>
      <c r="IU75" s="30"/>
      <c r="IV75" s="30"/>
      <c r="IW75" s="30"/>
      <c r="IX75" s="30"/>
      <c r="IY75" s="30"/>
      <c r="IZ75" s="30"/>
      <c r="JA75" s="30"/>
      <c r="JB75" s="30"/>
      <c r="JC75" s="30"/>
      <c r="JD75" s="30"/>
      <c r="JE75" s="30"/>
      <c r="JF75" s="30"/>
      <c r="JG75" s="30"/>
      <c r="JH75" s="30"/>
      <c r="JI75" s="30"/>
      <c r="JJ75" s="30"/>
      <c r="JK75" s="30"/>
      <c r="JL75" s="30"/>
      <c r="JM75" s="30"/>
      <c r="JN75" s="30"/>
      <c r="JO75" s="30"/>
      <c r="JP75" s="30"/>
      <c r="JQ75" s="30"/>
      <c r="JR75" s="30"/>
      <c r="JS75" s="30"/>
      <c r="JT75" s="30"/>
      <c r="JU75" s="30"/>
      <c r="JV75" s="30"/>
      <c r="JW75" s="30"/>
      <c r="JX75" s="30"/>
      <c r="JY75" s="30"/>
      <c r="JZ75" s="30"/>
      <c r="KA75" s="30"/>
      <c r="KB75" s="30"/>
      <c r="KC75" s="30"/>
      <c r="KD75" s="30"/>
      <c r="KE75" s="30"/>
      <c r="KF75" s="30"/>
      <c r="KG75" s="30"/>
      <c r="KH75" s="30"/>
      <c r="KI75" s="30"/>
      <c r="KJ75" s="30"/>
      <c r="KK75" s="30"/>
      <c r="KL75" s="30"/>
      <c r="KM75" s="30"/>
      <c r="KN75" s="30"/>
      <c r="KO75" s="30"/>
      <c r="KP75" s="30"/>
      <c r="KQ75" s="30"/>
      <c r="KR75" s="30"/>
      <c r="KS75" s="30"/>
      <c r="KT75" s="30"/>
      <c r="KU75" s="30"/>
      <c r="KV75" s="30"/>
      <c r="KW75" s="30"/>
      <c r="KX75" s="30"/>
      <c r="KY75" s="30"/>
      <c r="KZ75" s="30"/>
      <c r="LA75" s="30"/>
      <c r="LB75" s="30"/>
      <c r="LC75" s="30"/>
      <c r="LD75" s="30"/>
      <c r="LE75" s="30"/>
      <c r="LF75" s="30"/>
      <c r="LG75" s="30"/>
      <c r="LH75" s="30"/>
      <c r="LI75" s="30"/>
      <c r="LJ75" s="30"/>
      <c r="LK75" s="30"/>
      <c r="LL75" s="30"/>
      <c r="LM75" s="30"/>
      <c r="LN75" s="30"/>
      <c r="LO75" s="30"/>
      <c r="LP75" s="30"/>
      <c r="LQ75" s="30"/>
      <c r="LR75" s="30"/>
      <c r="LS75" s="30"/>
      <c r="LT75" s="30"/>
      <c r="LU75" s="30"/>
      <c r="LV75" s="30"/>
      <c r="LW75" s="30"/>
      <c r="LX75" s="30"/>
      <c r="LY75" s="30"/>
      <c r="LZ75" s="30"/>
      <c r="MA75" s="30"/>
      <c r="MB75" s="30"/>
      <c r="MC75" s="30"/>
      <c r="MD75" s="30"/>
      <c r="ME75" s="30"/>
      <c r="MF75" s="30"/>
      <c r="MG75" s="30"/>
      <c r="MH75" s="30"/>
      <c r="MI75" s="30"/>
      <c r="MJ75" s="30"/>
      <c r="MK75" s="30"/>
      <c r="ML75" s="30"/>
      <c r="MM75" s="30"/>
      <c r="MN75" s="30"/>
      <c r="MO75" s="30"/>
      <c r="MP75" s="30"/>
      <c r="MQ75" s="30"/>
      <c r="MR75" s="30"/>
      <c r="MS75" s="30"/>
      <c r="MT75" s="30"/>
    </row>
    <row r="76" customFormat="false" ht="14.4" hidden="false" customHeight="false" outlineLevel="0" collapsed="false">
      <c r="A76" s="99"/>
      <c r="B76" s="93"/>
      <c r="C76" s="85" t="s">
        <v>134</v>
      </c>
      <c r="D76" s="353"/>
      <c r="E76" s="85"/>
      <c r="F76" s="88" t="n">
        <f aca="false">SUM(G76:J76)/(1-'Common input data'!$B$136)</f>
        <v>1.68264247900076</v>
      </c>
      <c r="G76" s="87" t="n">
        <f aca="false">SUMPRODUCT('Input data processed products'!D$28:AB$28,'Input data processed products'!D$55:AB$55)</f>
        <v>1.43437823110069</v>
      </c>
      <c r="H76" s="87" t="n">
        <v>0</v>
      </c>
      <c r="I76" s="89" t="n">
        <f aca="false">'Common input data'!B$90</f>
        <v>0.05</v>
      </c>
      <c r="J76" s="89" t="n">
        <f aca="false">'Common input data'!C$98</f>
        <v>0.03</v>
      </c>
      <c r="K76" s="74"/>
      <c r="M76" s="361"/>
    </row>
    <row r="77" customFormat="false" ht="14.4" hidden="false" customHeight="false" outlineLevel="0" collapsed="false">
      <c r="A77" s="100"/>
      <c r="B77" s="87"/>
      <c r="C77" s="85" t="s">
        <v>135</v>
      </c>
      <c r="D77" s="353"/>
      <c r="E77" s="85"/>
      <c r="F77" s="88" t="n">
        <f aca="false">SUM(G77:J77)/(1-'Common input data'!$B$136)</f>
        <v>0.000204179876569196</v>
      </c>
      <c r="G77" s="87" t="n">
        <f aca="false">SUMPRODUCT('Input data processed products'!D$28:AB$28,'Input data processed products'!D$56:AB$56)</f>
        <v>0.000183761888912276</v>
      </c>
      <c r="H77" s="87" t="n">
        <v>0</v>
      </c>
      <c r="I77" s="89" t="n">
        <v>0</v>
      </c>
      <c r="J77" s="89" t="n">
        <v>0</v>
      </c>
      <c r="K77" s="74"/>
      <c r="M77" s="189"/>
    </row>
    <row r="78" customFormat="false" ht="14.4" hidden="false" customHeight="false" outlineLevel="0" collapsed="false">
      <c r="A78" s="100"/>
      <c r="B78" s="87"/>
      <c r="C78" s="31" t="s">
        <v>136</v>
      </c>
      <c r="D78" s="356"/>
      <c r="E78" s="125"/>
      <c r="F78" s="106" t="n">
        <f aca="false">SUM(G78:J78)/(1-'Common input data'!$B$136)</f>
        <v>0.00205973667368563</v>
      </c>
      <c r="G78" s="87" t="n">
        <f aca="false">SUMPRODUCT('Input data processed products'!D$28:AB$28,'Input data processed products'!D$57:AB$57)</f>
        <v>0.00185376300631706</v>
      </c>
      <c r="H78" s="87" t="n">
        <v>0</v>
      </c>
      <c r="I78" s="89" t="n">
        <v>0</v>
      </c>
      <c r="J78" s="89" t="n">
        <v>0</v>
      </c>
      <c r="K78" s="74"/>
      <c r="M78" s="189"/>
    </row>
    <row r="79" s="132" customFormat="true" ht="14.4" hidden="false" customHeight="false" outlineLevel="0" collapsed="false">
      <c r="A79" s="127" t="s">
        <v>379</v>
      </c>
      <c r="B79" s="129"/>
      <c r="C79" s="130"/>
      <c r="D79" s="349"/>
      <c r="E79" s="270"/>
      <c r="F79" s="112" t="s">
        <v>380</v>
      </c>
      <c r="G79" s="129"/>
      <c r="H79" s="129"/>
      <c r="I79" s="131"/>
      <c r="J79" s="131"/>
      <c r="K79" s="74"/>
      <c r="L79" s="30"/>
      <c r="M79" s="189"/>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c r="GL79" s="30"/>
      <c r="GM79" s="30"/>
      <c r="GN79" s="30"/>
      <c r="GO79" s="30"/>
      <c r="GP79" s="30"/>
      <c r="GQ79" s="30"/>
      <c r="GR79" s="30"/>
      <c r="GS79" s="30"/>
      <c r="GT79" s="30"/>
      <c r="GU79" s="30"/>
      <c r="GV79" s="30"/>
      <c r="GW79" s="30"/>
      <c r="GX79" s="30"/>
      <c r="GY79" s="30"/>
      <c r="GZ79" s="30"/>
      <c r="HA79" s="30"/>
      <c r="HB79" s="30"/>
      <c r="HC79" s="30"/>
      <c r="HD79" s="30"/>
      <c r="HE79" s="30"/>
      <c r="HF79" s="30"/>
      <c r="HG79" s="30"/>
      <c r="HH79" s="30"/>
      <c r="HI79" s="30"/>
      <c r="HJ79" s="30"/>
      <c r="HK79" s="30"/>
      <c r="HL79" s="30"/>
      <c r="HM79" s="30"/>
      <c r="HN79" s="30"/>
      <c r="HO79" s="30"/>
      <c r="HP79" s="30"/>
      <c r="HQ79" s="30"/>
      <c r="HR79" s="30"/>
      <c r="HS79" s="30"/>
      <c r="HT79" s="30"/>
      <c r="HU79" s="30"/>
      <c r="HV79" s="30"/>
      <c r="HW79" s="30"/>
      <c r="HX79" s="30"/>
      <c r="HY79" s="30"/>
      <c r="HZ79" s="30"/>
      <c r="IA79" s="30"/>
      <c r="IB79" s="30"/>
      <c r="IC79" s="30"/>
      <c r="ID79" s="30"/>
      <c r="IE79" s="30"/>
      <c r="IF79" s="30"/>
      <c r="IG79" s="30"/>
      <c r="IH79" s="30"/>
      <c r="II79" s="30"/>
      <c r="IJ79" s="30"/>
      <c r="IK79" s="30"/>
      <c r="IL79" s="30"/>
      <c r="IM79" s="30"/>
      <c r="IN79" s="30"/>
      <c r="IO79" s="30"/>
      <c r="IP79" s="30"/>
      <c r="IQ79" s="30"/>
      <c r="IR79" s="30"/>
      <c r="IS79" s="30"/>
      <c r="IT79" s="30"/>
      <c r="IU79" s="30"/>
      <c r="IV79" s="30"/>
      <c r="IW79" s="30"/>
      <c r="IX79" s="30"/>
      <c r="IY79" s="30"/>
      <c r="IZ79" s="30"/>
      <c r="JA79" s="30"/>
      <c r="JB79" s="30"/>
      <c r="JC79" s="30"/>
      <c r="JD79" s="30"/>
      <c r="JE79" s="30"/>
      <c r="JF79" s="30"/>
      <c r="JG79" s="30"/>
      <c r="JH79" s="30"/>
      <c r="JI79" s="30"/>
      <c r="JJ79" s="30"/>
      <c r="JK79" s="30"/>
      <c r="JL79" s="30"/>
      <c r="JM79" s="30"/>
      <c r="JN79" s="30"/>
      <c r="JO79" s="30"/>
      <c r="JP79" s="30"/>
      <c r="JQ79" s="30"/>
      <c r="JR79" s="30"/>
      <c r="JS79" s="30"/>
      <c r="JT79" s="30"/>
      <c r="JU79" s="30"/>
      <c r="JV79" s="30"/>
      <c r="JW79" s="30"/>
      <c r="JX79" s="30"/>
      <c r="JY79" s="30"/>
      <c r="JZ79" s="30"/>
      <c r="KA79" s="30"/>
      <c r="KB79" s="30"/>
      <c r="KC79" s="30"/>
      <c r="KD79" s="30"/>
      <c r="KE79" s="30"/>
      <c r="KF79" s="30"/>
      <c r="KG79" s="30"/>
      <c r="KH79" s="30"/>
      <c r="KI79" s="30"/>
      <c r="KJ79" s="30"/>
      <c r="KK79" s="30"/>
      <c r="KL79" s="30"/>
      <c r="KM79" s="30"/>
      <c r="KN79" s="30"/>
      <c r="KO79" s="30"/>
      <c r="KP79" s="30"/>
      <c r="KQ79" s="30"/>
      <c r="KR79" s="30"/>
      <c r="KS79" s="30"/>
      <c r="KT79" s="30"/>
      <c r="KU79" s="30"/>
      <c r="KV79" s="30"/>
      <c r="KW79" s="30"/>
      <c r="KX79" s="30"/>
      <c r="KY79" s="30"/>
      <c r="KZ79" s="30"/>
      <c r="LA79" s="30"/>
      <c r="LB79" s="30"/>
      <c r="LC79" s="30"/>
      <c r="LD79" s="30"/>
      <c r="LE79" s="30"/>
      <c r="LF79" s="30"/>
      <c r="LG79" s="30"/>
      <c r="LH79" s="30"/>
      <c r="LI79" s="30"/>
      <c r="LJ79" s="30"/>
      <c r="LK79" s="30"/>
      <c r="LL79" s="30"/>
      <c r="LM79" s="30"/>
      <c r="LN79" s="30"/>
      <c r="LO79" s="30"/>
      <c r="LP79" s="30"/>
      <c r="LQ79" s="30"/>
      <c r="LR79" s="30"/>
      <c r="LS79" s="30"/>
      <c r="LT79" s="30"/>
      <c r="LU79" s="30"/>
      <c r="LV79" s="30"/>
      <c r="LW79" s="30"/>
      <c r="LX79" s="30"/>
      <c r="LY79" s="30"/>
      <c r="LZ79" s="30"/>
      <c r="MA79" s="30"/>
      <c r="MB79" s="30"/>
      <c r="MC79" s="30"/>
      <c r="MD79" s="30"/>
      <c r="ME79" s="30"/>
      <c r="MF79" s="30"/>
      <c r="MG79" s="30"/>
      <c r="MH79" s="30"/>
      <c r="MI79" s="30"/>
      <c r="MJ79" s="30"/>
      <c r="MK79" s="30"/>
      <c r="ML79" s="30"/>
      <c r="MM79" s="30"/>
      <c r="MN79" s="30"/>
      <c r="MO79" s="30"/>
      <c r="MP79" s="30"/>
      <c r="MQ79" s="30"/>
      <c r="MR79" s="30"/>
      <c r="MS79" s="30"/>
      <c r="MT79" s="30"/>
    </row>
    <row r="80" s="262" customFormat="true" ht="14.4" hidden="false" customHeight="false" outlineLevel="0" collapsed="false">
      <c r="A80" s="134" t="s">
        <v>137</v>
      </c>
      <c r="B80" s="313" t="n">
        <f aca="false">'Input data processed products'!C30</f>
        <v>1</v>
      </c>
      <c r="C80" s="137" t="s">
        <v>133</v>
      </c>
      <c r="D80" s="352"/>
      <c r="E80" s="137"/>
      <c r="F80" s="81" t="n">
        <f aca="false">IF($E$1="GWP100 without fb",F81+F82*'Common input data'!$C$5+F83*'Common input data'!$D$5,IF($E$1="GWP100 with fb",F81+F82*'Common input data'!$C$6+F83*'Common input data'!$D$6,IF($E$1="GTP100 without fb",F81+F82*'Common input data'!$C$7+F83*'Common input data'!$D$7,IF($E$1="GTP100 with fb",F81+F82*'Common input data'!$C$8+F83*'Common input data'!$D$8,F81+F82*'Common input data'!$C$9+F83*'Common input data'!$D$9))))</f>
        <v>0.405825480114011</v>
      </c>
      <c r="G80" s="261"/>
      <c r="H80" s="261"/>
      <c r="I80" s="359"/>
      <c r="J80" s="359"/>
      <c r="K80" s="74"/>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c r="FQ80" s="30"/>
      <c r="FR80" s="30"/>
      <c r="FS80" s="30"/>
      <c r="FT80" s="30"/>
      <c r="FU80" s="30"/>
      <c r="FV80" s="30"/>
      <c r="FW80" s="30"/>
      <c r="FX80" s="30"/>
      <c r="FY80" s="30"/>
      <c r="FZ80" s="30"/>
      <c r="GA80" s="30"/>
      <c r="GB80" s="30"/>
      <c r="GC80" s="30"/>
      <c r="GD80" s="30"/>
      <c r="GE80" s="30"/>
      <c r="GF80" s="30"/>
      <c r="GG80" s="30"/>
      <c r="GH80" s="30"/>
      <c r="GI80" s="30"/>
      <c r="GJ80" s="30"/>
      <c r="GK80" s="30"/>
      <c r="GL80" s="30"/>
      <c r="GM80" s="30"/>
      <c r="GN80" s="30"/>
      <c r="GO80" s="30"/>
      <c r="GP80" s="30"/>
      <c r="GQ80" s="30"/>
      <c r="GR80" s="30"/>
      <c r="GS80" s="30"/>
      <c r="GT80" s="30"/>
      <c r="GU80" s="30"/>
      <c r="GV80" s="30"/>
      <c r="GW80" s="30"/>
      <c r="GX80" s="30"/>
      <c r="GY80" s="30"/>
      <c r="GZ80" s="30"/>
      <c r="HA80" s="30"/>
      <c r="HB80" s="30"/>
      <c r="HC80" s="30"/>
      <c r="HD80" s="30"/>
      <c r="HE80" s="30"/>
      <c r="HF80" s="30"/>
      <c r="HG80" s="30"/>
      <c r="HH80" s="30"/>
      <c r="HI80" s="30"/>
      <c r="HJ80" s="30"/>
      <c r="HK80" s="30"/>
      <c r="HL80" s="30"/>
      <c r="HM80" s="30"/>
      <c r="HN80" s="30"/>
      <c r="HO80" s="30"/>
      <c r="HP80" s="30"/>
      <c r="HQ80" s="30"/>
      <c r="HR80" s="30"/>
      <c r="HS80" s="30"/>
      <c r="HT80" s="30"/>
      <c r="HU80" s="30"/>
      <c r="HV80" s="30"/>
      <c r="HW80" s="30"/>
      <c r="HX80" s="30"/>
      <c r="HY80" s="30"/>
      <c r="HZ80" s="30"/>
      <c r="IA80" s="30"/>
      <c r="IB80" s="30"/>
      <c r="IC80" s="30"/>
      <c r="ID80" s="30"/>
      <c r="IE80" s="30"/>
      <c r="IF80" s="30"/>
      <c r="IG80" s="30"/>
      <c r="IH80" s="30"/>
      <c r="II80" s="30"/>
      <c r="IJ80" s="30"/>
      <c r="IK80" s="30"/>
      <c r="IL80" s="30"/>
      <c r="IM80" s="30"/>
      <c r="IN80" s="30"/>
      <c r="IO80" s="30"/>
      <c r="IP80" s="30"/>
      <c r="IQ80" s="30"/>
      <c r="IR80" s="30"/>
      <c r="IS80" s="30"/>
      <c r="IT80" s="30"/>
      <c r="IU80" s="30"/>
      <c r="IV80" s="30"/>
      <c r="IW80" s="30"/>
      <c r="IX80" s="30"/>
      <c r="IY80" s="30"/>
      <c r="IZ80" s="30"/>
      <c r="JA80" s="30"/>
      <c r="JB80" s="30"/>
      <c r="JC80" s="30"/>
      <c r="JD80" s="30"/>
      <c r="JE80" s="30"/>
      <c r="JF80" s="30"/>
      <c r="JG80" s="30"/>
      <c r="JH80" s="30"/>
      <c r="JI80" s="30"/>
      <c r="JJ80" s="30"/>
      <c r="JK80" s="30"/>
      <c r="JL80" s="30"/>
      <c r="JM80" s="30"/>
      <c r="JN80" s="30"/>
      <c r="JO80" s="30"/>
      <c r="JP80" s="30"/>
      <c r="JQ80" s="30"/>
      <c r="JR80" s="30"/>
      <c r="JS80" s="30"/>
      <c r="JT80" s="30"/>
      <c r="JU80" s="30"/>
      <c r="JV80" s="30"/>
      <c r="JW80" s="30"/>
      <c r="JX80" s="30"/>
      <c r="JY80" s="30"/>
      <c r="JZ80" s="30"/>
      <c r="KA80" s="30"/>
      <c r="KB80" s="30"/>
      <c r="KC80" s="30"/>
      <c r="KD80" s="30"/>
      <c r="KE80" s="30"/>
      <c r="KF80" s="30"/>
      <c r="KG80" s="30"/>
      <c r="KH80" s="30"/>
      <c r="KI80" s="30"/>
      <c r="KJ80" s="30"/>
      <c r="KK80" s="30"/>
      <c r="KL80" s="30"/>
      <c r="KM80" s="30"/>
      <c r="KN80" s="30"/>
      <c r="KO80" s="30"/>
      <c r="KP80" s="30"/>
      <c r="KQ80" s="30"/>
      <c r="KR80" s="30"/>
      <c r="KS80" s="30"/>
      <c r="KT80" s="30"/>
      <c r="KU80" s="30"/>
      <c r="KV80" s="30"/>
      <c r="KW80" s="30"/>
      <c r="KX80" s="30"/>
      <c r="KY80" s="30"/>
      <c r="KZ80" s="30"/>
      <c r="LA80" s="30"/>
      <c r="LB80" s="30"/>
      <c r="LC80" s="30"/>
      <c r="LD80" s="30"/>
      <c r="LE80" s="30"/>
      <c r="LF80" s="30"/>
      <c r="LG80" s="30"/>
      <c r="LH80" s="30"/>
      <c r="LI80" s="30"/>
      <c r="LJ80" s="30"/>
      <c r="LK80" s="30"/>
      <c r="LL80" s="30"/>
      <c r="LM80" s="30"/>
      <c r="LN80" s="30"/>
      <c r="LO80" s="30"/>
      <c r="LP80" s="30"/>
      <c r="LQ80" s="30"/>
      <c r="LR80" s="30"/>
      <c r="LS80" s="30"/>
      <c r="LT80" s="30"/>
      <c r="LU80" s="30"/>
      <c r="LV80" s="30"/>
      <c r="LW80" s="30"/>
      <c r="LX80" s="30"/>
      <c r="LY80" s="30"/>
      <c r="LZ80" s="30"/>
      <c r="MA80" s="30"/>
      <c r="MB80" s="30"/>
      <c r="MC80" s="30"/>
      <c r="MD80" s="30"/>
      <c r="ME80" s="30"/>
      <c r="MF80" s="30"/>
      <c r="MG80" s="30"/>
      <c r="MH80" s="30"/>
      <c r="MI80" s="30"/>
      <c r="MJ80" s="30"/>
      <c r="MK80" s="30"/>
      <c r="ML80" s="30"/>
      <c r="MM80" s="30"/>
      <c r="MN80" s="30"/>
      <c r="MO80" s="30"/>
      <c r="MP80" s="30"/>
      <c r="MQ80" s="30"/>
      <c r="MR80" s="30"/>
      <c r="MS80" s="30"/>
      <c r="MT80" s="30"/>
    </row>
    <row r="81" customFormat="false" ht="14.4" hidden="false" customHeight="false" outlineLevel="0" collapsed="false">
      <c r="A81" s="99"/>
      <c r="B81" s="93"/>
      <c r="C81" s="85" t="s">
        <v>134</v>
      </c>
      <c r="D81" s="353"/>
      <c r="E81" s="85"/>
      <c r="F81" s="88" t="n">
        <f aca="false">SUM(G81:J81)/(1-'Common input data'!$B$136)</f>
        <v>0.376228682969503</v>
      </c>
      <c r="G81" s="87" t="n">
        <f aca="false">SUMPRODUCT('Input data processed products'!D$30:AB$30,'Input data processed products'!D$55:AB$55)</f>
        <v>0.108605814672553</v>
      </c>
      <c r="H81" s="87" t="n">
        <f aca="false">'Input data processed products'!F$67</f>
        <v>0.05</v>
      </c>
      <c r="I81" s="89" t="n">
        <f aca="false">'Common input data'!B$89</f>
        <v>0.15</v>
      </c>
      <c r="J81" s="89" t="n">
        <f aca="false">'Common input data'!C$98</f>
        <v>0.03</v>
      </c>
      <c r="K81" s="74"/>
    </row>
    <row r="82" customFormat="false" ht="14.4" hidden="false" customHeight="false" outlineLevel="0" collapsed="false">
      <c r="A82" s="100"/>
      <c r="B82" s="87"/>
      <c r="C82" s="85" t="s">
        <v>135</v>
      </c>
      <c r="D82" s="353"/>
      <c r="E82" s="85"/>
      <c r="F82" s="88" t="n">
        <f aca="false">SUM(G82:J82)/(1-'Common input data'!$B$136)</f>
        <v>2.79697703979044E-005</v>
      </c>
      <c r="G82" s="87" t="n">
        <f aca="false">SUMPRODUCT('Input data processed products'!D$30:AB$30,'Input data processed products'!D$56:AB$56)</f>
        <v>2.5172793358114E-005</v>
      </c>
      <c r="H82" s="87" t="n">
        <v>0</v>
      </c>
      <c r="I82" s="89" t="n">
        <v>0</v>
      </c>
      <c r="J82" s="89" t="n">
        <v>0</v>
      </c>
      <c r="K82" s="74"/>
    </row>
    <row r="83" customFormat="false" ht="14.4" hidden="false" customHeight="false" outlineLevel="0" collapsed="false">
      <c r="A83" s="100"/>
      <c r="B83" s="87"/>
      <c r="C83" s="31" t="s">
        <v>136</v>
      </c>
      <c r="D83" s="356"/>
      <c r="E83" s="125"/>
      <c r="F83" s="106" t="n">
        <f aca="false">SUM(G83:J83)/(1-'Common input data'!$B$136)</f>
        <v>9.61269293657002E-005</v>
      </c>
      <c r="G83" s="87" t="n">
        <f aca="false">SUMPRODUCT('Input data processed products'!D$30:AB$30,'Input data processed products'!D$57:AB$57)</f>
        <v>8.65142364291302E-005</v>
      </c>
      <c r="H83" s="87" t="n">
        <v>0</v>
      </c>
      <c r="I83" s="89" t="n">
        <v>0</v>
      </c>
      <c r="J83" s="89" t="n">
        <v>0</v>
      </c>
      <c r="K83" s="74"/>
    </row>
    <row r="84" s="132" customFormat="true" ht="14.4" hidden="false" customHeight="false" outlineLevel="0" collapsed="false">
      <c r="A84" s="127" t="s">
        <v>381</v>
      </c>
      <c r="B84" s="129"/>
      <c r="C84" s="130"/>
      <c r="D84" s="349"/>
      <c r="E84" s="270"/>
      <c r="F84" s="112" t="s">
        <v>382</v>
      </c>
      <c r="G84" s="129"/>
      <c r="H84" s="129"/>
      <c r="I84" s="131"/>
      <c r="J84" s="131"/>
      <c r="K84" s="74"/>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c r="FQ84" s="30"/>
      <c r="FR84" s="30"/>
      <c r="FS84" s="30"/>
      <c r="FT84" s="30"/>
      <c r="FU84" s="30"/>
      <c r="FV84" s="30"/>
      <c r="FW84" s="30"/>
      <c r="FX84" s="30"/>
      <c r="FY84" s="30"/>
      <c r="FZ84" s="30"/>
      <c r="GA84" s="30"/>
      <c r="GB84" s="30"/>
      <c r="GC84" s="30"/>
      <c r="GD84" s="30"/>
      <c r="GE84" s="30"/>
      <c r="GF84" s="30"/>
      <c r="GG84" s="30"/>
      <c r="GH84" s="30"/>
      <c r="GI84" s="30"/>
      <c r="GJ84" s="30"/>
      <c r="GK84" s="30"/>
      <c r="GL84" s="30"/>
      <c r="GM84" s="30"/>
      <c r="GN84" s="30"/>
      <c r="GO84" s="30"/>
      <c r="GP84" s="30"/>
      <c r="GQ84" s="30"/>
      <c r="GR84" s="30"/>
      <c r="GS84" s="30"/>
      <c r="GT84" s="30"/>
      <c r="GU84" s="30"/>
      <c r="GV84" s="30"/>
      <c r="GW84" s="30"/>
      <c r="GX84" s="30"/>
      <c r="GY84" s="30"/>
      <c r="GZ84" s="30"/>
      <c r="HA84" s="30"/>
      <c r="HB84" s="30"/>
      <c r="HC84" s="30"/>
      <c r="HD84" s="30"/>
      <c r="HE84" s="30"/>
      <c r="HF84" s="30"/>
      <c r="HG84" s="30"/>
      <c r="HH84" s="30"/>
      <c r="HI84" s="30"/>
      <c r="HJ84" s="30"/>
      <c r="HK84" s="30"/>
      <c r="HL84" s="30"/>
      <c r="HM84" s="30"/>
      <c r="HN84" s="30"/>
      <c r="HO84" s="30"/>
      <c r="HP84" s="30"/>
      <c r="HQ84" s="30"/>
      <c r="HR84" s="30"/>
      <c r="HS84" s="30"/>
      <c r="HT84" s="30"/>
      <c r="HU84" s="30"/>
      <c r="HV84" s="30"/>
      <c r="HW84" s="30"/>
      <c r="HX84" s="30"/>
      <c r="HY84" s="30"/>
      <c r="HZ84" s="30"/>
      <c r="IA84" s="30"/>
      <c r="IB84" s="30"/>
      <c r="IC84" s="30"/>
      <c r="ID84" s="30"/>
      <c r="IE84" s="30"/>
      <c r="IF84" s="30"/>
      <c r="IG84" s="30"/>
      <c r="IH84" s="30"/>
      <c r="II84" s="30"/>
      <c r="IJ84" s="30"/>
      <c r="IK84" s="30"/>
      <c r="IL84" s="30"/>
      <c r="IM84" s="30"/>
      <c r="IN84" s="30"/>
      <c r="IO84" s="30"/>
      <c r="IP84" s="30"/>
      <c r="IQ84" s="30"/>
      <c r="IR84" s="30"/>
      <c r="IS84" s="30"/>
      <c r="IT84" s="30"/>
      <c r="IU84" s="30"/>
      <c r="IV84" s="30"/>
      <c r="IW84" s="30"/>
      <c r="IX84" s="30"/>
      <c r="IY84" s="30"/>
      <c r="IZ84" s="30"/>
      <c r="JA84" s="30"/>
      <c r="JB84" s="30"/>
      <c r="JC84" s="30"/>
      <c r="JD84" s="30"/>
      <c r="JE84" s="30"/>
      <c r="JF84" s="30"/>
      <c r="JG84" s="30"/>
      <c r="JH84" s="30"/>
      <c r="JI84" s="30"/>
      <c r="JJ84" s="30"/>
      <c r="JK84" s="30"/>
      <c r="JL84" s="30"/>
      <c r="JM84" s="30"/>
      <c r="JN84" s="30"/>
      <c r="JO84" s="30"/>
      <c r="JP84" s="30"/>
      <c r="JQ84" s="30"/>
      <c r="JR84" s="30"/>
      <c r="JS84" s="30"/>
      <c r="JT84" s="30"/>
      <c r="JU84" s="30"/>
      <c r="JV84" s="30"/>
      <c r="JW84" s="30"/>
      <c r="JX84" s="30"/>
      <c r="JY84" s="30"/>
      <c r="JZ84" s="30"/>
      <c r="KA84" s="30"/>
      <c r="KB84" s="30"/>
      <c r="KC84" s="30"/>
      <c r="KD84" s="30"/>
      <c r="KE84" s="30"/>
      <c r="KF84" s="30"/>
      <c r="KG84" s="30"/>
      <c r="KH84" s="30"/>
      <c r="KI84" s="30"/>
      <c r="KJ84" s="30"/>
      <c r="KK84" s="30"/>
      <c r="KL84" s="30"/>
      <c r="KM84" s="30"/>
      <c r="KN84" s="30"/>
      <c r="KO84" s="30"/>
      <c r="KP84" s="30"/>
      <c r="KQ84" s="30"/>
      <c r="KR84" s="30"/>
      <c r="KS84" s="30"/>
      <c r="KT84" s="30"/>
      <c r="KU84" s="30"/>
      <c r="KV84" s="30"/>
      <c r="KW84" s="30"/>
      <c r="KX84" s="30"/>
      <c r="KY84" s="30"/>
      <c r="KZ84" s="30"/>
      <c r="LA84" s="30"/>
      <c r="LB84" s="30"/>
      <c r="LC84" s="30"/>
      <c r="LD84" s="30"/>
      <c r="LE84" s="30"/>
      <c r="LF84" s="30"/>
      <c r="LG84" s="30"/>
      <c r="LH84" s="30"/>
      <c r="LI84" s="30"/>
      <c r="LJ84" s="30"/>
      <c r="LK84" s="30"/>
      <c r="LL84" s="30"/>
      <c r="LM84" s="30"/>
      <c r="LN84" s="30"/>
      <c r="LO84" s="30"/>
      <c r="LP84" s="30"/>
      <c r="LQ84" s="30"/>
      <c r="LR84" s="30"/>
      <c r="LS84" s="30"/>
      <c r="LT84" s="30"/>
      <c r="LU84" s="30"/>
      <c r="LV84" s="30"/>
      <c r="LW84" s="30"/>
      <c r="LX84" s="30"/>
      <c r="LY84" s="30"/>
      <c r="LZ84" s="30"/>
      <c r="MA84" s="30"/>
      <c r="MB84" s="30"/>
      <c r="MC84" s="30"/>
      <c r="MD84" s="30"/>
      <c r="ME84" s="30"/>
      <c r="MF84" s="30"/>
      <c r="MG84" s="30"/>
      <c r="MH84" s="30"/>
      <c r="MI84" s="30"/>
      <c r="MJ84" s="30"/>
      <c r="MK84" s="30"/>
      <c r="ML84" s="30"/>
      <c r="MM84" s="30"/>
      <c r="MN84" s="30"/>
      <c r="MO84" s="30"/>
      <c r="MP84" s="30"/>
      <c r="MQ84" s="30"/>
      <c r="MR84" s="30"/>
      <c r="MS84" s="30"/>
      <c r="MT84" s="30"/>
    </row>
    <row r="85" s="262" customFormat="true" ht="14.4" hidden="false" customHeight="false" outlineLevel="0" collapsed="false">
      <c r="A85" s="134" t="s">
        <v>137</v>
      </c>
      <c r="B85" s="313" t="n">
        <f aca="false">'Input data processed products'!C32</f>
        <v>1</v>
      </c>
      <c r="C85" s="137" t="s">
        <v>133</v>
      </c>
      <c r="D85" s="352"/>
      <c r="E85" s="137"/>
      <c r="F85" s="81" t="n">
        <f aca="false">IF($E$1="GWP100 without fb",F86+F87*'Common input data'!$C$5+F88*'Common input data'!$D$5,IF($E$1="GWP100 with fb",F86+F87*'Common input data'!$C$6+F88*'Common input data'!$D$6,IF($E$1="GTP100 without fb",F86+F87*'Common input data'!$C$7+F88*'Common input data'!$D$7,IF($E$1="GTP100 with fb",F86+F87*'Common input data'!$C$8+F88*'Common input data'!$D$8,F86+F87*'Common input data'!$C$9+F88*'Common input data'!$D$9))))</f>
        <v>0.477932217080261</v>
      </c>
      <c r="G85" s="261"/>
      <c r="H85" s="261"/>
      <c r="I85" s="359"/>
      <c r="J85" s="359"/>
      <c r="K85" s="74"/>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c r="GL85" s="30"/>
      <c r="GM85" s="30"/>
      <c r="GN85" s="30"/>
      <c r="GO85" s="30"/>
      <c r="GP85" s="30"/>
      <c r="GQ85" s="30"/>
      <c r="GR85" s="30"/>
      <c r="GS85" s="30"/>
      <c r="GT85" s="30"/>
      <c r="GU85" s="30"/>
      <c r="GV85" s="30"/>
      <c r="GW85" s="30"/>
      <c r="GX85" s="30"/>
      <c r="GY85" s="30"/>
      <c r="GZ85" s="30"/>
      <c r="HA85" s="30"/>
      <c r="HB85" s="30"/>
      <c r="HC85" s="30"/>
      <c r="HD85" s="30"/>
      <c r="HE85" s="30"/>
      <c r="HF85" s="30"/>
      <c r="HG85" s="30"/>
      <c r="HH85" s="30"/>
      <c r="HI85" s="30"/>
      <c r="HJ85" s="30"/>
      <c r="HK85" s="30"/>
      <c r="HL85" s="30"/>
      <c r="HM85" s="30"/>
      <c r="HN85" s="30"/>
      <c r="HO85" s="30"/>
      <c r="HP85" s="30"/>
      <c r="HQ85" s="30"/>
      <c r="HR85" s="30"/>
      <c r="HS85" s="30"/>
      <c r="HT85" s="30"/>
      <c r="HU85" s="30"/>
      <c r="HV85" s="30"/>
      <c r="HW85" s="30"/>
      <c r="HX85" s="30"/>
      <c r="HY85" s="30"/>
      <c r="HZ85" s="30"/>
      <c r="IA85" s="30"/>
      <c r="IB85" s="30"/>
      <c r="IC85" s="30"/>
      <c r="ID85" s="30"/>
      <c r="IE85" s="30"/>
      <c r="IF85" s="30"/>
      <c r="IG85" s="30"/>
      <c r="IH85" s="30"/>
      <c r="II85" s="30"/>
      <c r="IJ85" s="30"/>
      <c r="IK85" s="30"/>
      <c r="IL85" s="30"/>
      <c r="IM85" s="30"/>
      <c r="IN85" s="30"/>
      <c r="IO85" s="30"/>
      <c r="IP85" s="30"/>
      <c r="IQ85" s="30"/>
      <c r="IR85" s="30"/>
      <c r="IS85" s="30"/>
      <c r="IT85" s="30"/>
      <c r="IU85" s="30"/>
      <c r="IV85" s="30"/>
      <c r="IW85" s="30"/>
      <c r="IX85" s="30"/>
      <c r="IY85" s="30"/>
      <c r="IZ85" s="30"/>
      <c r="JA85" s="30"/>
      <c r="JB85" s="30"/>
      <c r="JC85" s="30"/>
      <c r="JD85" s="30"/>
      <c r="JE85" s="30"/>
      <c r="JF85" s="30"/>
      <c r="JG85" s="30"/>
      <c r="JH85" s="30"/>
      <c r="JI85" s="30"/>
      <c r="JJ85" s="30"/>
      <c r="JK85" s="30"/>
      <c r="JL85" s="30"/>
      <c r="JM85" s="30"/>
      <c r="JN85" s="30"/>
      <c r="JO85" s="30"/>
      <c r="JP85" s="30"/>
      <c r="JQ85" s="30"/>
      <c r="JR85" s="30"/>
      <c r="JS85" s="30"/>
      <c r="JT85" s="30"/>
      <c r="JU85" s="30"/>
      <c r="JV85" s="30"/>
      <c r="JW85" s="30"/>
      <c r="JX85" s="30"/>
      <c r="JY85" s="30"/>
      <c r="JZ85" s="30"/>
      <c r="KA85" s="30"/>
      <c r="KB85" s="30"/>
      <c r="KC85" s="30"/>
      <c r="KD85" s="30"/>
      <c r="KE85" s="30"/>
      <c r="KF85" s="30"/>
      <c r="KG85" s="30"/>
      <c r="KH85" s="30"/>
      <c r="KI85" s="30"/>
      <c r="KJ85" s="30"/>
      <c r="KK85" s="30"/>
      <c r="KL85" s="30"/>
      <c r="KM85" s="30"/>
      <c r="KN85" s="30"/>
      <c r="KO85" s="30"/>
      <c r="KP85" s="30"/>
      <c r="KQ85" s="30"/>
      <c r="KR85" s="30"/>
      <c r="KS85" s="30"/>
      <c r="KT85" s="30"/>
      <c r="KU85" s="30"/>
      <c r="KV85" s="30"/>
      <c r="KW85" s="30"/>
      <c r="KX85" s="30"/>
      <c r="KY85" s="30"/>
      <c r="KZ85" s="30"/>
      <c r="LA85" s="30"/>
      <c r="LB85" s="30"/>
      <c r="LC85" s="30"/>
      <c r="LD85" s="30"/>
      <c r="LE85" s="30"/>
      <c r="LF85" s="30"/>
      <c r="LG85" s="30"/>
      <c r="LH85" s="30"/>
      <c r="LI85" s="30"/>
      <c r="LJ85" s="30"/>
      <c r="LK85" s="30"/>
      <c r="LL85" s="30"/>
      <c r="LM85" s="30"/>
      <c r="LN85" s="30"/>
      <c r="LO85" s="30"/>
      <c r="LP85" s="30"/>
      <c r="LQ85" s="30"/>
      <c r="LR85" s="30"/>
      <c r="LS85" s="30"/>
      <c r="LT85" s="30"/>
      <c r="LU85" s="30"/>
      <c r="LV85" s="30"/>
      <c r="LW85" s="30"/>
      <c r="LX85" s="30"/>
      <c r="LY85" s="30"/>
      <c r="LZ85" s="30"/>
      <c r="MA85" s="30"/>
      <c r="MB85" s="30"/>
      <c r="MC85" s="30"/>
      <c r="MD85" s="30"/>
      <c r="ME85" s="30"/>
      <c r="MF85" s="30"/>
      <c r="MG85" s="30"/>
      <c r="MH85" s="30"/>
      <c r="MI85" s="30"/>
      <c r="MJ85" s="30"/>
      <c r="MK85" s="30"/>
      <c r="ML85" s="30"/>
      <c r="MM85" s="30"/>
      <c r="MN85" s="30"/>
      <c r="MO85" s="30"/>
      <c r="MP85" s="30"/>
      <c r="MQ85" s="30"/>
      <c r="MR85" s="30"/>
      <c r="MS85" s="30"/>
      <c r="MT85" s="30"/>
    </row>
    <row r="86" customFormat="false" ht="14.4" hidden="false" customHeight="false" outlineLevel="0" collapsed="false">
      <c r="A86" s="99"/>
      <c r="B86" s="93"/>
      <c r="C86" s="85" t="s">
        <v>134</v>
      </c>
      <c r="D86" s="353"/>
      <c r="E86" s="85"/>
      <c r="F86" s="88" t="n">
        <f aca="false">SUM(G86:J86)/(1-'Common input data'!$B$136)</f>
        <v>0.444230647138136</v>
      </c>
      <c r="G86" s="87" t="n">
        <f aca="false">SUMPRODUCT('Input data processed products'!D$32:AB$32,'Input data processed products'!D$55:AB$55)</f>
        <v>0.169807582424323</v>
      </c>
      <c r="H86" s="87" t="n">
        <f aca="false">'Input data processed products'!F$67</f>
        <v>0.05</v>
      </c>
      <c r="I86" s="89" t="n">
        <f aca="false">'Common input data'!B$89</f>
        <v>0.15</v>
      </c>
      <c r="J86" s="89" t="n">
        <f aca="false">'Common input data'!C$98</f>
        <v>0.03</v>
      </c>
      <c r="K86" s="74"/>
    </row>
    <row r="87" customFormat="false" ht="14.4" hidden="false" customHeight="false" outlineLevel="0" collapsed="false">
      <c r="A87" s="100"/>
      <c r="B87" s="87"/>
      <c r="C87" s="85" t="s">
        <v>135</v>
      </c>
      <c r="D87" s="353"/>
      <c r="E87" s="85"/>
      <c r="F87" s="88" t="n">
        <f aca="false">SUM(G87:J87)/(1-'Common input data'!$B$136)</f>
        <v>3.42140334341951E-005</v>
      </c>
      <c r="G87" s="87" t="n">
        <f aca="false">SUMPRODUCT('Input data processed products'!D$32:AB$32,'Input data processed products'!D$56:AB$56)</f>
        <v>3.07926300907756E-005</v>
      </c>
      <c r="H87" s="87" t="n">
        <v>0</v>
      </c>
      <c r="I87" s="89" t="n">
        <v>0</v>
      </c>
      <c r="J87" s="89" t="n">
        <v>0</v>
      </c>
      <c r="K87" s="74"/>
    </row>
    <row r="88" customFormat="false" ht="14.4" hidden="false" customHeight="false" outlineLevel="0" collapsed="false">
      <c r="A88" s="100"/>
      <c r="B88" s="87"/>
      <c r="C88" s="31" t="s">
        <v>136</v>
      </c>
      <c r="D88" s="356"/>
      <c r="E88" s="125"/>
      <c r="F88" s="106" t="n">
        <f aca="false">SUM(G88:J88)/(1-'Common input data'!$B$136)</f>
        <v>0.000109188902031417</v>
      </c>
      <c r="G88" s="87" t="n">
        <f aca="false">SUMPRODUCT('Input data processed products'!D$32:AB$32,'Input data processed products'!D$57:AB$57)</f>
        <v>9.82700118282752E-005</v>
      </c>
      <c r="H88" s="87" t="n">
        <v>0</v>
      </c>
      <c r="I88" s="89" t="n">
        <v>0</v>
      </c>
      <c r="J88" s="89" t="n">
        <v>0</v>
      </c>
      <c r="K88" s="74"/>
    </row>
    <row r="89" s="132" customFormat="true" ht="14.4" hidden="false" customHeight="false" outlineLevel="0" collapsed="false">
      <c r="A89" s="127" t="s">
        <v>383</v>
      </c>
      <c r="B89" s="129"/>
      <c r="C89" s="130"/>
      <c r="D89" s="349"/>
      <c r="E89" s="270"/>
      <c r="F89" s="112" t="s">
        <v>384</v>
      </c>
      <c r="G89" s="129"/>
      <c r="H89" s="129"/>
      <c r="I89" s="131"/>
      <c r="J89" s="131"/>
      <c r="K89" s="74"/>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c r="GL89" s="30"/>
      <c r="GM89" s="30"/>
      <c r="GN89" s="30"/>
      <c r="GO89" s="30"/>
      <c r="GP89" s="30"/>
      <c r="GQ89" s="30"/>
      <c r="GR89" s="30"/>
      <c r="GS89" s="30"/>
      <c r="GT89" s="30"/>
      <c r="GU89" s="30"/>
      <c r="GV89" s="30"/>
      <c r="GW89" s="30"/>
      <c r="GX89" s="30"/>
      <c r="GY89" s="30"/>
      <c r="GZ89" s="30"/>
      <c r="HA89" s="30"/>
      <c r="HB89" s="30"/>
      <c r="HC89" s="30"/>
      <c r="HD89" s="30"/>
      <c r="HE89" s="30"/>
      <c r="HF89" s="30"/>
      <c r="HG89" s="30"/>
      <c r="HH89" s="30"/>
      <c r="HI89" s="30"/>
      <c r="HJ89" s="30"/>
      <c r="HK89" s="30"/>
      <c r="HL89" s="30"/>
      <c r="HM89" s="30"/>
      <c r="HN89" s="30"/>
      <c r="HO89" s="30"/>
      <c r="HP89" s="30"/>
      <c r="HQ89" s="30"/>
      <c r="HR89" s="30"/>
      <c r="HS89" s="30"/>
      <c r="HT89" s="30"/>
      <c r="HU89" s="30"/>
      <c r="HV89" s="30"/>
      <c r="HW89" s="30"/>
      <c r="HX89" s="30"/>
      <c r="HY89" s="30"/>
      <c r="HZ89" s="30"/>
      <c r="IA89" s="30"/>
      <c r="IB89" s="30"/>
      <c r="IC89" s="30"/>
      <c r="ID89" s="30"/>
      <c r="IE89" s="30"/>
      <c r="IF89" s="30"/>
      <c r="IG89" s="30"/>
      <c r="IH89" s="30"/>
      <c r="II89" s="30"/>
      <c r="IJ89" s="30"/>
      <c r="IK89" s="30"/>
      <c r="IL89" s="30"/>
      <c r="IM89" s="30"/>
      <c r="IN89" s="30"/>
      <c r="IO89" s="30"/>
      <c r="IP89" s="30"/>
      <c r="IQ89" s="30"/>
      <c r="IR89" s="30"/>
      <c r="IS89" s="30"/>
      <c r="IT89" s="30"/>
      <c r="IU89" s="30"/>
      <c r="IV89" s="30"/>
      <c r="IW89" s="30"/>
      <c r="IX89" s="30"/>
      <c r="IY89" s="30"/>
      <c r="IZ89" s="30"/>
      <c r="JA89" s="30"/>
      <c r="JB89" s="30"/>
      <c r="JC89" s="30"/>
      <c r="JD89" s="30"/>
      <c r="JE89" s="30"/>
      <c r="JF89" s="30"/>
      <c r="JG89" s="30"/>
      <c r="JH89" s="30"/>
      <c r="JI89" s="30"/>
      <c r="JJ89" s="30"/>
      <c r="JK89" s="30"/>
      <c r="JL89" s="30"/>
      <c r="JM89" s="30"/>
      <c r="JN89" s="30"/>
      <c r="JO89" s="30"/>
      <c r="JP89" s="30"/>
      <c r="JQ89" s="30"/>
      <c r="JR89" s="30"/>
      <c r="JS89" s="30"/>
      <c r="JT89" s="30"/>
      <c r="JU89" s="30"/>
      <c r="JV89" s="30"/>
      <c r="JW89" s="30"/>
      <c r="JX89" s="30"/>
      <c r="JY89" s="30"/>
      <c r="JZ89" s="30"/>
      <c r="KA89" s="30"/>
      <c r="KB89" s="30"/>
      <c r="KC89" s="30"/>
      <c r="KD89" s="30"/>
      <c r="KE89" s="30"/>
      <c r="KF89" s="30"/>
      <c r="KG89" s="30"/>
      <c r="KH89" s="30"/>
      <c r="KI89" s="30"/>
      <c r="KJ89" s="30"/>
      <c r="KK89" s="30"/>
      <c r="KL89" s="30"/>
      <c r="KM89" s="30"/>
      <c r="KN89" s="30"/>
      <c r="KO89" s="30"/>
      <c r="KP89" s="30"/>
      <c r="KQ89" s="30"/>
      <c r="KR89" s="30"/>
      <c r="KS89" s="30"/>
      <c r="KT89" s="30"/>
      <c r="KU89" s="30"/>
      <c r="KV89" s="30"/>
      <c r="KW89" s="30"/>
      <c r="KX89" s="30"/>
      <c r="KY89" s="30"/>
      <c r="KZ89" s="30"/>
      <c r="LA89" s="30"/>
      <c r="LB89" s="30"/>
      <c r="LC89" s="30"/>
      <c r="LD89" s="30"/>
      <c r="LE89" s="30"/>
      <c r="LF89" s="30"/>
      <c r="LG89" s="30"/>
      <c r="LH89" s="30"/>
      <c r="LI89" s="30"/>
      <c r="LJ89" s="30"/>
      <c r="LK89" s="30"/>
      <c r="LL89" s="30"/>
      <c r="LM89" s="30"/>
      <c r="LN89" s="30"/>
      <c r="LO89" s="30"/>
      <c r="LP89" s="30"/>
      <c r="LQ89" s="30"/>
      <c r="LR89" s="30"/>
      <c r="LS89" s="30"/>
      <c r="LT89" s="30"/>
      <c r="LU89" s="30"/>
      <c r="LV89" s="30"/>
      <c r="LW89" s="30"/>
      <c r="LX89" s="30"/>
      <c r="LY89" s="30"/>
      <c r="LZ89" s="30"/>
      <c r="MA89" s="30"/>
      <c r="MB89" s="30"/>
      <c r="MC89" s="30"/>
      <c r="MD89" s="30"/>
      <c r="ME89" s="30"/>
      <c r="MF89" s="30"/>
      <c r="MG89" s="30"/>
      <c r="MH89" s="30"/>
      <c r="MI89" s="30"/>
      <c r="MJ89" s="30"/>
      <c r="MK89" s="30"/>
      <c r="ML89" s="30"/>
      <c r="MM89" s="30"/>
      <c r="MN89" s="30"/>
      <c r="MO89" s="30"/>
      <c r="MP89" s="30"/>
      <c r="MQ89" s="30"/>
      <c r="MR89" s="30"/>
      <c r="MS89" s="30"/>
      <c r="MT89" s="30"/>
    </row>
    <row r="90" s="262" customFormat="true" ht="14.4" hidden="false" customHeight="false" outlineLevel="0" collapsed="false">
      <c r="A90" s="134" t="s">
        <v>132</v>
      </c>
      <c r="B90" s="313" t="n">
        <f aca="false">SUM(B94:B102)</f>
        <v>1</v>
      </c>
      <c r="C90" s="137" t="s">
        <v>133</v>
      </c>
      <c r="D90" s="352"/>
      <c r="E90" s="137"/>
      <c r="F90" s="81" t="n">
        <f aca="false">IF($E$1="GWP100 without fb",F91+F92*'Common input data'!$C$5+F93*'Common input data'!$D$5,IF($E$1="GWP100 with fb",F91+F92*'Common input data'!$C$6+F93*'Common input data'!$D$6,IF($E$1="GTP100 without fb",F91+F92*'Common input data'!$C$7+F93*'Common input data'!$D$7,IF($E$1="GTP100 with fb",F91+F92*'Common input data'!$C$8+F93*'Common input data'!$D$8,F91+F92*'Common input data'!$C$9+F93*'Common input data'!$D$9))))</f>
        <v>0.461326355475212</v>
      </c>
      <c r="G90" s="261"/>
      <c r="H90" s="261"/>
      <c r="I90" s="359"/>
      <c r="J90" s="362"/>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c r="GL90" s="30"/>
      <c r="GM90" s="30"/>
      <c r="GN90" s="30"/>
      <c r="GO90" s="30"/>
      <c r="GP90" s="30"/>
      <c r="GQ90" s="30"/>
      <c r="GR90" s="30"/>
      <c r="GS90" s="30"/>
      <c r="GT90" s="30"/>
      <c r="GU90" s="30"/>
      <c r="GV90" s="30"/>
      <c r="GW90" s="30"/>
      <c r="GX90" s="30"/>
      <c r="GY90" s="30"/>
      <c r="GZ90" s="30"/>
      <c r="HA90" s="30"/>
      <c r="HB90" s="30"/>
      <c r="HC90" s="30"/>
      <c r="HD90" s="30"/>
      <c r="HE90" s="30"/>
      <c r="HF90" s="30"/>
      <c r="HG90" s="30"/>
      <c r="HH90" s="30"/>
      <c r="HI90" s="30"/>
      <c r="HJ90" s="30"/>
      <c r="HK90" s="30"/>
      <c r="HL90" s="30"/>
      <c r="HM90" s="30"/>
      <c r="HN90" s="30"/>
      <c r="HO90" s="30"/>
      <c r="HP90" s="30"/>
      <c r="HQ90" s="30"/>
      <c r="HR90" s="30"/>
      <c r="HS90" s="30"/>
      <c r="HT90" s="30"/>
      <c r="HU90" s="30"/>
      <c r="HV90" s="30"/>
      <c r="HW90" s="30"/>
      <c r="HX90" s="30"/>
      <c r="HY90" s="30"/>
      <c r="HZ90" s="30"/>
      <c r="IA90" s="30"/>
      <c r="IB90" s="30"/>
      <c r="IC90" s="30"/>
      <c r="ID90" s="30"/>
      <c r="IE90" s="30"/>
      <c r="IF90" s="30"/>
      <c r="IG90" s="30"/>
      <c r="IH90" s="30"/>
      <c r="II90" s="30"/>
      <c r="IJ90" s="30"/>
      <c r="IK90" s="30"/>
      <c r="IL90" s="30"/>
      <c r="IM90" s="30"/>
      <c r="IN90" s="30"/>
      <c r="IO90" s="30"/>
      <c r="IP90" s="30"/>
      <c r="IQ90" s="30"/>
      <c r="IR90" s="30"/>
      <c r="IS90" s="30"/>
      <c r="IT90" s="30"/>
      <c r="IU90" s="30"/>
      <c r="IV90" s="30"/>
      <c r="IW90" s="30"/>
      <c r="IX90" s="30"/>
      <c r="IY90" s="30"/>
      <c r="IZ90" s="30"/>
      <c r="JA90" s="30"/>
      <c r="JB90" s="30"/>
      <c r="JC90" s="30"/>
      <c r="JD90" s="30"/>
      <c r="JE90" s="30"/>
      <c r="JF90" s="30"/>
      <c r="JG90" s="30"/>
      <c r="JH90" s="30"/>
      <c r="JI90" s="30"/>
      <c r="JJ90" s="30"/>
      <c r="JK90" s="30"/>
      <c r="JL90" s="30"/>
      <c r="JM90" s="30"/>
      <c r="JN90" s="30"/>
      <c r="JO90" s="30"/>
      <c r="JP90" s="30"/>
      <c r="JQ90" s="30"/>
      <c r="JR90" s="30"/>
      <c r="JS90" s="30"/>
      <c r="JT90" s="30"/>
      <c r="JU90" s="30"/>
      <c r="JV90" s="30"/>
      <c r="JW90" s="30"/>
      <c r="JX90" s="30"/>
      <c r="JY90" s="30"/>
      <c r="JZ90" s="30"/>
      <c r="KA90" s="30"/>
      <c r="KB90" s="30"/>
      <c r="KC90" s="30"/>
      <c r="KD90" s="30"/>
      <c r="KE90" s="30"/>
      <c r="KF90" s="30"/>
      <c r="KG90" s="30"/>
      <c r="KH90" s="30"/>
      <c r="KI90" s="30"/>
      <c r="KJ90" s="30"/>
      <c r="KK90" s="30"/>
      <c r="KL90" s="30"/>
      <c r="KM90" s="30"/>
      <c r="KN90" s="30"/>
      <c r="KO90" s="30"/>
      <c r="KP90" s="30"/>
      <c r="KQ90" s="30"/>
      <c r="KR90" s="30"/>
      <c r="KS90" s="30"/>
      <c r="KT90" s="30"/>
      <c r="KU90" s="30"/>
      <c r="KV90" s="30"/>
      <c r="KW90" s="30"/>
      <c r="KX90" s="30"/>
      <c r="KY90" s="30"/>
      <c r="KZ90" s="30"/>
      <c r="LA90" s="30"/>
      <c r="LB90" s="30"/>
      <c r="LC90" s="30"/>
      <c r="LD90" s="30"/>
      <c r="LE90" s="30"/>
      <c r="LF90" s="30"/>
      <c r="LG90" s="30"/>
      <c r="LH90" s="30"/>
      <c r="LI90" s="30"/>
      <c r="LJ90" s="30"/>
      <c r="LK90" s="30"/>
      <c r="LL90" s="30"/>
      <c r="LM90" s="30"/>
      <c r="LN90" s="30"/>
      <c r="LO90" s="30"/>
      <c r="LP90" s="30"/>
      <c r="LQ90" s="30"/>
      <c r="LR90" s="30"/>
      <c r="LS90" s="30"/>
      <c r="LT90" s="30"/>
      <c r="LU90" s="30"/>
      <c r="LV90" s="30"/>
      <c r="LW90" s="30"/>
      <c r="LX90" s="30"/>
      <c r="LY90" s="30"/>
      <c r="LZ90" s="30"/>
      <c r="MA90" s="30"/>
      <c r="MB90" s="30"/>
      <c r="MC90" s="30"/>
      <c r="MD90" s="30"/>
      <c r="ME90" s="30"/>
      <c r="MF90" s="30"/>
      <c r="MG90" s="30"/>
      <c r="MH90" s="30"/>
      <c r="MI90" s="30"/>
      <c r="MJ90" s="30"/>
      <c r="MK90" s="30"/>
      <c r="ML90" s="30"/>
      <c r="MM90" s="30"/>
      <c r="MN90" s="30"/>
      <c r="MO90" s="30"/>
      <c r="MP90" s="30"/>
      <c r="MQ90" s="30"/>
      <c r="MR90" s="30"/>
      <c r="MS90" s="30"/>
      <c r="MT90" s="30"/>
    </row>
    <row r="91" customFormat="false" ht="14.4" hidden="false" customHeight="false" outlineLevel="0" collapsed="false">
      <c r="A91" s="99"/>
      <c r="B91" s="93"/>
      <c r="C91" s="85" t="s">
        <v>134</v>
      </c>
      <c r="D91" s="363"/>
      <c r="E91" s="93"/>
      <c r="F91" s="364" t="n">
        <f aca="false">$B$94*F95+$B$98*F99+$B$102*F103</f>
        <v>0.396261670671501</v>
      </c>
      <c r="G91" s="93" t="n">
        <f aca="false">$B$94*G95+$B$98*G99+$B$102*G103</f>
        <v>0.119336437258071</v>
      </c>
      <c r="H91" s="93" t="n">
        <f aca="false">$B$94*H95+$B$98*H99+$B$102*H103</f>
        <v>0.0545</v>
      </c>
      <c r="I91" s="93" t="n">
        <f aca="false">$B$94*I95+$B$98*I99+$B$102*I103</f>
        <v>0.15</v>
      </c>
      <c r="J91" s="365" t="n">
        <f aca="false">$B$94*J95+$B$98*J99+$B$102*J103</f>
        <v>0.0645</v>
      </c>
    </row>
    <row r="92" customFormat="false" ht="14.4" hidden="false" customHeight="false" outlineLevel="0" collapsed="false">
      <c r="A92" s="100"/>
      <c r="B92" s="87"/>
      <c r="C92" s="85" t="s">
        <v>135</v>
      </c>
      <c r="D92" s="363"/>
      <c r="E92" s="93"/>
      <c r="F92" s="364" t="n">
        <f aca="false">$B$94*F96+$B$98*F100+$B$102*F104</f>
        <v>8.37706681922451E-006</v>
      </c>
      <c r="G92" s="93" t="n">
        <f aca="false">$B$94*G96+$B$98*G100+$B$102*G104</f>
        <v>8.20952548284003E-006</v>
      </c>
      <c r="H92" s="93" t="n">
        <f aca="false">$B$94*H96+$B$98*H100+$B$102*H104</f>
        <v>0</v>
      </c>
      <c r="I92" s="93" t="n">
        <f aca="false">$B$94*I96+$B$98*I100+$B$102*I104</f>
        <v>0</v>
      </c>
      <c r="J92" s="365" t="n">
        <f aca="false">$B$94*J96+$B$98*J100+$B$102*J104</f>
        <v>0</v>
      </c>
    </row>
    <row r="93" customFormat="false" ht="14.4" hidden="false" customHeight="false" outlineLevel="0" collapsed="false">
      <c r="A93" s="101"/>
      <c r="B93" s="87"/>
      <c r="C93" s="31" t="s">
        <v>136</v>
      </c>
      <c r="D93" s="363"/>
      <c r="E93" s="93"/>
      <c r="F93" s="364" t="n">
        <f aca="false">$B$94*F97+$B$98*F101+$B$102*F105</f>
        <v>0.000217382095744487</v>
      </c>
      <c r="G93" s="93" t="n">
        <f aca="false">$B$94*G97+$B$98*G101+$B$102*G105</f>
        <v>0.000213034453829597</v>
      </c>
      <c r="H93" s="93" t="n">
        <f aca="false">$B$94*H97+$B$98*H101+$B$102*H105</f>
        <v>0</v>
      </c>
      <c r="I93" s="93" t="n">
        <f aca="false">$B$94*I97+$B$98*I101+$B$102*I105</f>
        <v>0</v>
      </c>
      <c r="J93" s="365" t="n">
        <f aca="false">$B$94*J97+$B$98*J101+$B$102*J105</f>
        <v>0</v>
      </c>
    </row>
    <row r="94" customFormat="false" ht="14.4" hidden="false" customHeight="false" outlineLevel="0" collapsed="false">
      <c r="A94" s="84" t="s">
        <v>137</v>
      </c>
      <c r="B94" s="188" t="n">
        <f aca="false">'Input data processed products'!C34</f>
        <v>0.76</v>
      </c>
      <c r="C94" s="78" t="s">
        <v>133</v>
      </c>
      <c r="D94" s="355"/>
      <c r="E94" s="78"/>
      <c r="F94" s="96" t="n">
        <f aca="false">IF($E$1="GWP100 without fb",F95+F96*'Common input data'!$C$5+F97*'Common input data'!$D$5,IF($E$1="GWP100 with fb",F95+F96*'Common input data'!$C$6+F97*'Common input data'!$D$6,IF($E$1="GTP100 without fb",F95+F96*'Common input data'!$C$7+F97*'Common input data'!$D$7,IF($E$1="GTP100 with fb",F95+F96*'Common input data'!$C$8+F97*'Common input data'!$D$8,F95+F96*'Common input data'!$C$9+F97*'Common input data'!$D$9))))</f>
        <v>0.442077179677458</v>
      </c>
      <c r="G94" s="97"/>
      <c r="H94" s="97"/>
      <c r="I94" s="98"/>
      <c r="J94" s="366"/>
    </row>
    <row r="95" customFormat="false" ht="14.4" hidden="false" customHeight="false" outlineLevel="0" collapsed="false">
      <c r="A95" s="31"/>
      <c r="B95" s="93"/>
      <c r="C95" s="85" t="s">
        <v>134</v>
      </c>
      <c r="D95" s="353"/>
      <c r="E95" s="85"/>
      <c r="F95" s="88" t="n">
        <f aca="false">SUM(G95:J95)/(1-'Common input data'!$B$137)</f>
        <v>0.356465752304154</v>
      </c>
      <c r="G95" s="87" t="n">
        <f aca="false">SUMPRODUCT('Input data processed products'!D$34:AB$34,'Input data processed products'!D$55:AB$55)</f>
        <v>0.119336437258071</v>
      </c>
      <c r="H95" s="87" t="n">
        <f aca="false">'Input data processed products'!F$67</f>
        <v>0.05</v>
      </c>
      <c r="I95" s="89" t="n">
        <f aca="false">'Common input data'!B$89</f>
        <v>0.15</v>
      </c>
      <c r="J95" s="318" t="n">
        <f aca="false">'Common input data'!C$98</f>
        <v>0.03</v>
      </c>
    </row>
    <row r="96" customFormat="false" ht="14.4" hidden="false" customHeight="false" outlineLevel="0" collapsed="false">
      <c r="A96" s="101"/>
      <c r="B96" s="87"/>
      <c r="C96" s="85" t="s">
        <v>135</v>
      </c>
      <c r="D96" s="353"/>
      <c r="E96" s="85"/>
      <c r="F96" s="88" t="n">
        <f aca="false">SUM(G96:J96)/(1-'Common input data'!$B$137)</f>
        <v>1.10224563410849E-005</v>
      </c>
      <c r="G96" s="87" t="n">
        <f aca="false">SUMPRODUCT('Input data processed products'!D$34:AB$34,'Input data processed products'!D$56:AB$56)</f>
        <v>1.08020072142632E-005</v>
      </c>
      <c r="H96" s="87" t="n">
        <v>0</v>
      </c>
      <c r="I96" s="89" t="n">
        <v>0</v>
      </c>
      <c r="J96" s="89" t="n">
        <v>0</v>
      </c>
      <c r="K96" s="74"/>
    </row>
    <row r="97" customFormat="false" ht="14.4" hidden="false" customHeight="false" outlineLevel="0" collapsed="false">
      <c r="A97" s="101"/>
      <c r="B97" s="87"/>
      <c r="C97" s="31" t="s">
        <v>136</v>
      </c>
      <c r="D97" s="354"/>
      <c r="E97" s="31"/>
      <c r="F97" s="88" t="n">
        <f aca="false">SUM(G97:J97)/(1-'Common input data'!$B$137)</f>
        <v>0.000286029073348009</v>
      </c>
      <c r="G97" s="87" t="n">
        <f aca="false">SUMPRODUCT('Input data processed products'!D$34:AB$34,'Input data processed products'!D$57:AB$57)</f>
        <v>0.000280308491881049</v>
      </c>
      <c r="H97" s="87" t="n">
        <v>0</v>
      </c>
      <c r="I97" s="89" t="n">
        <v>0</v>
      </c>
      <c r="J97" s="89" t="n">
        <v>0</v>
      </c>
      <c r="K97" s="74"/>
    </row>
    <row r="98" customFormat="false" ht="14.4" hidden="false" customHeight="false" outlineLevel="0" collapsed="false">
      <c r="A98" s="84" t="s">
        <v>139</v>
      </c>
      <c r="B98" s="188" t="n">
        <f aca="false">'Input data processed products'!C35</f>
        <v>0.09</v>
      </c>
      <c r="C98" s="78" t="s">
        <v>133</v>
      </c>
      <c r="D98" s="367"/>
      <c r="E98" s="84"/>
      <c r="F98" s="96" t="n">
        <f aca="false">IF($E$1="GWP100 without fb",F99+F100*'Common input data'!$C$5+F101*'Common input data'!$D$5,IF($E$1="GWP100 with fb",F99+F100*'Common input data'!$C$6+F101*'Common input data'!$D$6,IF($E$1="GTP100 without fb",F99+F100*'Common input data'!$C$7+F101*'Common input data'!$D$7,IF($E$1="GTP100 with fb",F99+F100*'Common input data'!$C$8+F101*'Common input data'!$D$8,F99+F100*'Common input data'!$C$9+F101*'Common input data'!$D$9))))</f>
        <v>0.40748616046742</v>
      </c>
      <c r="G98" s="97"/>
      <c r="H98" s="97"/>
      <c r="I98" s="98"/>
      <c r="J98" s="98"/>
      <c r="K98" s="74"/>
    </row>
    <row r="99" customFormat="false" ht="14.4" hidden="false" customHeight="false" outlineLevel="0" collapsed="false">
      <c r="A99" s="31"/>
      <c r="B99" s="93"/>
      <c r="C99" s="85" t="s">
        <v>134</v>
      </c>
      <c r="D99" s="354"/>
      <c r="E99" s="31"/>
      <c r="F99" s="88" t="n">
        <f aca="false">SUM(G99:J99)/(1-'Common input data'!$B$137)</f>
        <v>0.40748616046742</v>
      </c>
      <c r="G99" s="87" t="n">
        <f aca="false">SUMPRODUCT('Input data processed products'!D$35:AB$35,'Input data processed products'!D$55:AB$55)</f>
        <v>0.119336437258071</v>
      </c>
      <c r="H99" s="87" t="n">
        <f aca="false">'Input data processed products'!F$67</f>
        <v>0.05</v>
      </c>
      <c r="I99" s="89" t="n">
        <f aca="false">'Common input data'!B$89</f>
        <v>0.15</v>
      </c>
      <c r="J99" s="89" t="n">
        <f aca="false">'Common input data'!B98+'Common input data'!C98</f>
        <v>0.08</v>
      </c>
      <c r="K99" s="74"/>
    </row>
    <row r="100" customFormat="false" ht="14.4" hidden="false" customHeight="false" outlineLevel="0" collapsed="false">
      <c r="A100" s="101"/>
      <c r="B100" s="87"/>
      <c r="C100" s="85" t="s">
        <v>135</v>
      </c>
      <c r="D100" s="354"/>
      <c r="E100" s="31"/>
      <c r="F100" s="88" t="n">
        <f aca="false">SUM(G100:J100)/(1-'Common input data'!$B$137)</f>
        <v>0</v>
      </c>
      <c r="G100" s="87" t="n">
        <v>0</v>
      </c>
      <c r="H100" s="87" t="n">
        <v>0</v>
      </c>
      <c r="I100" s="89" t="n">
        <v>0</v>
      </c>
      <c r="J100" s="89" t="n">
        <v>0</v>
      </c>
      <c r="K100" s="74"/>
    </row>
    <row r="101" customFormat="false" ht="14.4" hidden="false" customHeight="false" outlineLevel="0" collapsed="false">
      <c r="A101" s="101"/>
      <c r="B101" s="87"/>
      <c r="C101" s="31" t="s">
        <v>136</v>
      </c>
      <c r="D101" s="354"/>
      <c r="E101" s="31"/>
      <c r="F101" s="88" t="n">
        <f aca="false">SUM(G101:J101)/(1-'Common input data'!$B$137)</f>
        <v>0</v>
      </c>
      <c r="G101" s="87" t="n">
        <v>0</v>
      </c>
      <c r="H101" s="87" t="n">
        <v>0</v>
      </c>
      <c r="I101" s="89" t="n">
        <v>0</v>
      </c>
      <c r="J101" s="89" t="n">
        <v>0</v>
      </c>
      <c r="K101" s="74"/>
    </row>
    <row r="102" customFormat="false" ht="14.4" hidden="false" customHeight="false" outlineLevel="0" collapsed="false">
      <c r="A102" s="84" t="s">
        <v>141</v>
      </c>
      <c r="B102" s="188" t="n">
        <f aca="false">'Input data processed products'!C36</f>
        <v>0.15</v>
      </c>
      <c r="C102" s="78" t="s">
        <v>133</v>
      </c>
      <c r="D102" s="367"/>
      <c r="E102" s="84"/>
      <c r="F102" s="96" t="n">
        <f aca="false">IF($E$1="GWP100 without fb",F103+F104*'Common input data'!$C$5+F105*'Common input data'!$D$5,IF($E$1="GWP100 with fb",F103+F104*'Common input data'!$C$6+F105*'Common input data'!$D$6,IF($E$1="GTP100 without fb",F103+F104*'Common input data'!$C$7+F105*'Common input data'!$D$7,IF($E$1="GTP100 with fb",F103+F104*'Common input data'!$C$8+F105*'Common input data'!$D$8,F103+F104*'Common input data'!$C$9+F105*'Common input data'!$D$9))))</f>
        <v>0.591159629855175</v>
      </c>
      <c r="G102" s="97"/>
      <c r="H102" s="97"/>
      <c r="I102" s="98"/>
      <c r="J102" s="98"/>
      <c r="K102" s="74"/>
    </row>
    <row r="103" customFormat="false" ht="14.4" hidden="false" customHeight="false" outlineLevel="0" collapsed="false">
      <c r="A103" s="31"/>
      <c r="B103" s="93"/>
      <c r="C103" s="85" t="s">
        <v>134</v>
      </c>
      <c r="D103" s="354"/>
      <c r="E103" s="31"/>
      <c r="F103" s="88" t="n">
        <f aca="false">SUM(G103:J103)/(1-'Common input data'!$B$137)</f>
        <v>0.591159629855175</v>
      </c>
      <c r="G103" s="87" t="n">
        <f aca="false">SUMPRODUCT('Input data processed products'!D$36:AB$36,'Input data processed products'!D$55:AB$55)</f>
        <v>0.119336437258071</v>
      </c>
      <c r="H103" s="87" t="n">
        <f aca="false">'Input data processed products'!F69</f>
        <v>0.08</v>
      </c>
      <c r="I103" s="89" t="n">
        <f aca="false">'Common input data'!B$89</f>
        <v>0.15</v>
      </c>
      <c r="J103" s="89" t="n">
        <f aca="false">'Common input data'!B102+'Common input data'!C102</f>
        <v>0.23</v>
      </c>
      <c r="K103" s="74"/>
    </row>
    <row r="104" customFormat="false" ht="14.4" hidden="false" customHeight="false" outlineLevel="0" collapsed="false">
      <c r="A104" s="100"/>
      <c r="B104" s="87"/>
      <c r="C104" s="85" t="s">
        <v>135</v>
      </c>
      <c r="D104" s="354"/>
      <c r="E104" s="31"/>
      <c r="F104" s="88" t="n">
        <f aca="false">SUM(G104:J104)/(1-'Common input data'!$B$137)</f>
        <v>0</v>
      </c>
      <c r="G104" s="87" t="n">
        <v>0</v>
      </c>
      <c r="H104" s="87" t="n">
        <v>0</v>
      </c>
      <c r="I104" s="89" t="n">
        <v>0</v>
      </c>
      <c r="J104" s="89" t="n">
        <v>0</v>
      </c>
      <c r="K104" s="74"/>
    </row>
    <row r="105" customFormat="false" ht="14.4" hidden="false" customHeight="false" outlineLevel="0" collapsed="false">
      <c r="A105" s="100"/>
      <c r="B105" s="87"/>
      <c r="C105" s="31" t="s">
        <v>136</v>
      </c>
      <c r="D105" s="356"/>
      <c r="E105" s="125"/>
      <c r="F105" s="106" t="n">
        <f aca="false">SUM(G105:J105)/(1-'Common input data'!$B$137)</f>
        <v>0</v>
      </c>
      <c r="G105" s="87" t="n">
        <v>0</v>
      </c>
      <c r="H105" s="87" t="n">
        <v>0</v>
      </c>
      <c r="I105" s="89" t="n">
        <v>0</v>
      </c>
      <c r="J105" s="89" t="n">
        <v>0</v>
      </c>
      <c r="K105" s="74"/>
    </row>
    <row r="106" customFormat="false" ht="14.4" hidden="false" customHeight="false" outlineLevel="0" collapsed="false">
      <c r="A106" s="127" t="s">
        <v>385</v>
      </c>
      <c r="B106" s="129"/>
      <c r="C106" s="130"/>
      <c r="D106" s="349"/>
      <c r="E106" s="270"/>
      <c r="F106" s="112" t="s">
        <v>386</v>
      </c>
      <c r="G106" s="129"/>
      <c r="H106" s="129"/>
      <c r="I106" s="131"/>
      <c r="J106" s="131"/>
      <c r="K106" s="74"/>
    </row>
    <row r="107" customFormat="false" ht="14.4" hidden="false" customHeight="false" outlineLevel="0" collapsed="false">
      <c r="A107" s="134" t="s">
        <v>132</v>
      </c>
      <c r="B107" s="313" t="n">
        <f aca="false">SUM(B111:B119)</f>
        <v>1</v>
      </c>
      <c r="C107" s="137" t="s">
        <v>133</v>
      </c>
      <c r="D107" s="352"/>
      <c r="E107" s="137"/>
      <c r="F107" s="81" t="n">
        <f aca="false">IF($E$1="GWP100 without fb",F108+F109*'Common input data'!$C$5+F110*'Common input data'!$D$5,IF($E$1="GWP100 with fb",F108+F109*'Common input data'!$C$6+F110*'Common input data'!$D$6,IF($E$1="GTP100 without fb",F108+F109*'Common input data'!$C$7+F110*'Common input data'!$D$7,IF($E$1="GTP100 with fb",F108+F109*'Common input data'!$C$8+F110*'Common input data'!$D$8,F108+F109*'Common input data'!$C$9+F110*'Common input data'!$D$9))))</f>
        <v>0.277240577721172</v>
      </c>
      <c r="G107" s="261"/>
      <c r="H107" s="261"/>
      <c r="I107" s="359"/>
      <c r="J107" s="362"/>
    </row>
    <row r="108" customFormat="false" ht="14.4" hidden="false" customHeight="false" outlineLevel="0" collapsed="false">
      <c r="A108" s="99"/>
      <c r="B108" s="93"/>
      <c r="C108" s="85" t="s">
        <v>134</v>
      </c>
      <c r="D108" s="353"/>
      <c r="E108" s="85"/>
      <c r="F108" s="118" t="n">
        <f aca="false">$B$111*F112+$B$115*F116+$B$119*F120</f>
        <v>0.277240577721172</v>
      </c>
      <c r="G108" s="87" t="n">
        <f aca="false">$B$111*G112+$B$115*G116+$B$119*G120</f>
        <v>0</v>
      </c>
      <c r="H108" s="87" t="n">
        <f aca="false">$B$111*H112+$B$115*H116+$B$119*H120</f>
        <v>0.0547421769547451</v>
      </c>
      <c r="I108" s="87" t="n">
        <f aca="false">$B$111*I112+$B$115*I116+$B$119*I120</f>
        <v>0.15</v>
      </c>
      <c r="J108" s="275" t="n">
        <f aca="false">$B$111*J112+$B$115*J116+$B$119*J120</f>
        <v>0.0724984007664272</v>
      </c>
    </row>
    <row r="109" customFormat="false" ht="14.4" hidden="false" customHeight="false" outlineLevel="0" collapsed="false">
      <c r="A109" s="100"/>
      <c r="B109" s="87"/>
      <c r="C109" s="85" t="s">
        <v>135</v>
      </c>
      <c r="D109" s="353"/>
      <c r="E109" s="85"/>
      <c r="F109" s="118" t="n">
        <f aca="false">$B$111*F113+$B$115*F117+$B$119*F121</f>
        <v>0</v>
      </c>
      <c r="G109" s="87" t="n">
        <f aca="false">$B$111*G113+$B$115*G117+$B$119*G121</f>
        <v>0</v>
      </c>
      <c r="H109" s="87" t="n">
        <f aca="false">$B$111*H113+$B$115*H117+$B$119*H121</f>
        <v>0</v>
      </c>
      <c r="I109" s="87" t="n">
        <f aca="false">$B$111*I113+$B$115*I117+$B$119*I121</f>
        <v>0</v>
      </c>
      <c r="J109" s="275" t="n">
        <f aca="false">$B$111*J113+$B$115*J117+$B$119*J121</f>
        <v>0</v>
      </c>
    </row>
    <row r="110" customFormat="false" ht="14.4" hidden="false" customHeight="false" outlineLevel="0" collapsed="false">
      <c r="A110" s="100"/>
      <c r="B110" s="87"/>
      <c r="C110" s="31" t="s">
        <v>136</v>
      </c>
      <c r="D110" s="354"/>
      <c r="E110" s="31"/>
      <c r="F110" s="118" t="n">
        <f aca="false">$B$111*F114+$B$115*F118+$B$119*F122</f>
        <v>0</v>
      </c>
      <c r="G110" s="87" t="n">
        <f aca="false">$B$111*G114+$B$115*G118+$B$119*G122</f>
        <v>0</v>
      </c>
      <c r="H110" s="87" t="n">
        <f aca="false">$B$111*H114+$B$115*H118+$B$119*H122</f>
        <v>0</v>
      </c>
      <c r="I110" s="87" t="n">
        <f aca="false">$B$111*I114+$B$115*I118+$B$119*I122</f>
        <v>0</v>
      </c>
      <c r="J110" s="275" t="n">
        <f aca="false">$B$111*J114+$B$115*J118+$B$119*J122</f>
        <v>0</v>
      </c>
    </row>
    <row r="111" customFormat="false" ht="14.4" hidden="false" customHeight="false" outlineLevel="0" collapsed="false">
      <c r="A111" s="84" t="s">
        <v>137</v>
      </c>
      <c r="B111" s="188" t="n">
        <f aca="false">'Input data processed products'!C37</f>
        <v>0.62424968014597</v>
      </c>
      <c r="C111" s="78" t="s">
        <v>133</v>
      </c>
      <c r="D111" s="355"/>
      <c r="E111" s="78"/>
      <c r="F111" s="96" t="n">
        <f aca="false">IF($E$1="GWP100 without fb",F112+F113*'Common input data'!$C$5+F114*'Common input data'!$D$5,IF($E$1="GWP100 with fb",F112+F113*'Common input data'!$C$6+F114*'Common input data'!$D$6,IF($E$1="GTP100 without fb",F112+F113*'Common input data'!$C$7+F114*'Common input data'!$D$7,IF($E$1="GTP100 with fb",F112+F113*'Common input data'!$C$8+F114*'Common input data'!$D$8,F112+F113*'Common input data'!$C$9+F114*'Common input data'!$D$9))))</f>
        <v>0.23</v>
      </c>
      <c r="G111" s="97"/>
      <c r="H111" s="97"/>
      <c r="I111" s="98"/>
      <c r="J111" s="366"/>
    </row>
    <row r="112" customFormat="false" ht="14.4" hidden="false" customHeight="false" outlineLevel="0" collapsed="false">
      <c r="A112" s="99"/>
      <c r="B112" s="93"/>
      <c r="C112" s="85" t="s">
        <v>134</v>
      </c>
      <c r="D112" s="353"/>
      <c r="E112" s="85"/>
      <c r="F112" s="88" t="n">
        <f aca="false">SUM(G112:J112)</f>
        <v>0.23</v>
      </c>
      <c r="G112" s="87" t="n">
        <v>0</v>
      </c>
      <c r="H112" s="87" t="n">
        <f aca="false">'Input data processed products'!F$67</f>
        <v>0.05</v>
      </c>
      <c r="I112" s="89" t="n">
        <f aca="false">'Common input data'!B$89</f>
        <v>0.15</v>
      </c>
      <c r="J112" s="318" t="n">
        <f aca="false">'Common input data'!C$98</f>
        <v>0.03</v>
      </c>
    </row>
    <row r="113" customFormat="false" ht="14.4" hidden="false" customHeight="false" outlineLevel="0" collapsed="false">
      <c r="A113" s="100"/>
      <c r="B113" s="87"/>
      <c r="C113" s="85" t="s">
        <v>135</v>
      </c>
      <c r="D113" s="353"/>
      <c r="E113" s="85"/>
      <c r="F113" s="88" t="n">
        <f aca="false">SUM(G113:J113)</f>
        <v>0</v>
      </c>
      <c r="G113" s="87" t="n">
        <v>0</v>
      </c>
      <c r="H113" s="87" t="n">
        <v>0</v>
      </c>
      <c r="I113" s="89" t="n">
        <v>0</v>
      </c>
      <c r="J113" s="318" t="n">
        <v>0</v>
      </c>
    </row>
    <row r="114" customFormat="false" ht="14.4" hidden="false" customHeight="false" outlineLevel="0" collapsed="false">
      <c r="A114" s="100"/>
      <c r="B114" s="87"/>
      <c r="C114" s="31" t="s">
        <v>136</v>
      </c>
      <c r="D114" s="354"/>
      <c r="E114" s="31"/>
      <c r="F114" s="88" t="n">
        <f aca="false">SUM(G114:J114)</f>
        <v>0</v>
      </c>
      <c r="G114" s="87" t="n">
        <v>0</v>
      </c>
      <c r="H114" s="87" t="n">
        <v>0</v>
      </c>
      <c r="I114" s="89" t="n">
        <v>0</v>
      </c>
      <c r="J114" s="318" t="n">
        <v>0</v>
      </c>
    </row>
    <row r="115" customFormat="false" ht="14.4" hidden="false" customHeight="false" outlineLevel="0" collapsed="false">
      <c r="A115" s="84" t="s">
        <v>209</v>
      </c>
      <c r="B115" s="188" t="n">
        <f aca="false">'Input data processed products'!C38</f>
        <v>0.217677754695859</v>
      </c>
      <c r="C115" s="78" t="s">
        <v>133</v>
      </c>
      <c r="D115" s="355"/>
      <c r="E115" s="78"/>
      <c r="F115" s="96" t="n">
        <f aca="false">IF($E$1="GWP100 without fb",F116+F117*'Common input data'!$C$5+F118*'Common input data'!$D$5,IF($E$1="GWP100 with fb",F116+F117*'Common input data'!$C$6+F118*'Common input data'!$D$6,IF($E$1="GTP100 without fb",F116+F117*'Common input data'!$C$7+F118*'Common input data'!$D$7,IF($E$1="GTP100 with fb",F116+F117*'Common input data'!$C$8+F118*'Common input data'!$D$8,F116+F117*'Common input data'!$C$9+F118*'Common input data'!$D$9))))</f>
        <v>0.28</v>
      </c>
      <c r="G115" s="97"/>
      <c r="H115" s="97"/>
      <c r="I115" s="98"/>
      <c r="J115" s="366"/>
    </row>
    <row r="116" customFormat="false" ht="14.4" hidden="false" customHeight="false" outlineLevel="0" collapsed="false">
      <c r="A116" s="99"/>
      <c r="B116" s="93"/>
      <c r="C116" s="85" t="s">
        <v>134</v>
      </c>
      <c r="D116" s="353"/>
      <c r="E116" s="85"/>
      <c r="F116" s="88" t="n">
        <f aca="false">SUM(G116:J116)</f>
        <v>0.28</v>
      </c>
      <c r="G116" s="87" t="n">
        <v>0</v>
      </c>
      <c r="H116" s="87" t="n">
        <f aca="false">'Input data processed products'!F$67</f>
        <v>0.05</v>
      </c>
      <c r="I116" s="89" t="n">
        <f aca="false">'Common input data'!B$89</f>
        <v>0.15</v>
      </c>
      <c r="J116" s="318" t="n">
        <f aca="false">'Common input data'!B98+'Common input data'!C98</f>
        <v>0.08</v>
      </c>
    </row>
    <row r="117" customFormat="false" ht="14.4" hidden="false" customHeight="false" outlineLevel="0" collapsed="false">
      <c r="A117" s="100"/>
      <c r="B117" s="87"/>
      <c r="C117" s="85" t="s">
        <v>135</v>
      </c>
      <c r="D117" s="353"/>
      <c r="E117" s="85"/>
      <c r="F117" s="88" t="n">
        <f aca="false">SUM(G117:J117)</f>
        <v>0</v>
      </c>
      <c r="G117" s="87" t="n">
        <v>0</v>
      </c>
      <c r="H117" s="87" t="n">
        <v>0</v>
      </c>
      <c r="I117" s="89" t="n">
        <v>0</v>
      </c>
      <c r="J117" s="318" t="n">
        <v>0</v>
      </c>
    </row>
    <row r="118" customFormat="false" ht="14.4" hidden="false" customHeight="false" outlineLevel="0" collapsed="false">
      <c r="A118" s="100"/>
      <c r="B118" s="87"/>
      <c r="C118" s="31" t="s">
        <v>136</v>
      </c>
      <c r="D118" s="354"/>
      <c r="E118" s="31"/>
      <c r="F118" s="88" t="n">
        <f aca="false">SUM(G118:J118)</f>
        <v>0</v>
      </c>
      <c r="G118" s="87" t="n">
        <v>0</v>
      </c>
      <c r="H118" s="87" t="n">
        <v>0</v>
      </c>
      <c r="I118" s="89" t="n">
        <v>0</v>
      </c>
      <c r="J118" s="318" t="n">
        <v>0</v>
      </c>
    </row>
    <row r="119" customFormat="false" ht="14.4" hidden="false" customHeight="false" outlineLevel="0" collapsed="false">
      <c r="A119" s="84" t="s">
        <v>141</v>
      </c>
      <c r="B119" s="188" t="n">
        <f aca="false">'Input data processed products'!C39</f>
        <v>0.158072565158171</v>
      </c>
      <c r="C119" s="78" t="s">
        <v>133</v>
      </c>
      <c r="D119" s="355"/>
      <c r="E119" s="78"/>
      <c r="F119" s="96" t="n">
        <f aca="false">IF($E$1="GWP100 without fb",F120+F121*'Common input data'!$C$5+F122*'Common input data'!$D$5,IF($E$1="GWP100 with fb",F120+F121*'Common input data'!$C$6+F122*'Common input data'!$D$6,IF($E$1="GTP100 without fb",F120+F121*'Common input data'!$C$7+F122*'Common input data'!$D$7,IF($E$1="GTP100 with fb",F120+F121*'Common input data'!$C$8+F122*'Common input data'!$D$8,F120+F121*'Common input data'!$C$9+F122*'Common input data'!$D$9))))</f>
        <v>0.46</v>
      </c>
      <c r="G119" s="97"/>
      <c r="H119" s="97"/>
      <c r="I119" s="98"/>
      <c r="J119" s="366"/>
    </row>
    <row r="120" customFormat="false" ht="14.4" hidden="false" customHeight="false" outlineLevel="0" collapsed="false">
      <c r="A120" s="99"/>
      <c r="B120" s="93"/>
      <c r="C120" s="85" t="s">
        <v>134</v>
      </c>
      <c r="D120" s="353"/>
      <c r="E120" s="85"/>
      <c r="F120" s="88" t="n">
        <f aca="false">SUM(G120:J120)</f>
        <v>0.46</v>
      </c>
      <c r="G120" s="87" t="n">
        <v>0</v>
      </c>
      <c r="H120" s="87" t="n">
        <f aca="false">'Input data processed products'!F$69</f>
        <v>0.08</v>
      </c>
      <c r="I120" s="89" t="n">
        <f aca="false">'Common input data'!B$89</f>
        <v>0.15</v>
      </c>
      <c r="J120" s="318" t="n">
        <f aca="false">'Common input data'!B102+'Common input data'!C102</f>
        <v>0.23</v>
      </c>
    </row>
    <row r="121" customFormat="false" ht="14.4" hidden="false" customHeight="false" outlineLevel="0" collapsed="false">
      <c r="A121" s="100"/>
      <c r="B121" s="87"/>
      <c r="C121" s="85" t="s">
        <v>135</v>
      </c>
      <c r="D121" s="353"/>
      <c r="E121" s="85"/>
      <c r="F121" s="88" t="n">
        <f aca="false">SUM(G121:J121)</f>
        <v>0</v>
      </c>
      <c r="G121" s="87" t="n">
        <v>0</v>
      </c>
      <c r="H121" s="87" t="n">
        <v>0</v>
      </c>
      <c r="I121" s="89" t="n">
        <v>0</v>
      </c>
      <c r="J121" s="318" t="n">
        <v>0</v>
      </c>
    </row>
    <row r="122" customFormat="false" ht="14.4" hidden="false" customHeight="false" outlineLevel="0" collapsed="false">
      <c r="A122" s="100"/>
      <c r="B122" s="87"/>
      <c r="C122" s="31" t="s">
        <v>136</v>
      </c>
      <c r="D122" s="356"/>
      <c r="E122" s="125"/>
      <c r="F122" s="106" t="n">
        <f aca="false">SUM(G122:J122)</f>
        <v>0</v>
      </c>
      <c r="G122" s="87" t="n">
        <v>0</v>
      </c>
      <c r="H122" s="87" t="n">
        <v>0</v>
      </c>
      <c r="I122" s="89" t="n">
        <v>0</v>
      </c>
      <c r="J122" s="337" t="n">
        <v>0</v>
      </c>
    </row>
    <row r="123" s="132" customFormat="true" ht="14.4" hidden="false" customHeight="false" outlineLevel="0" collapsed="false">
      <c r="A123" s="127" t="s">
        <v>387</v>
      </c>
      <c r="B123" s="129"/>
      <c r="C123" s="130"/>
      <c r="D123" s="349"/>
      <c r="E123" s="270"/>
      <c r="F123" s="112" t="s">
        <v>388</v>
      </c>
      <c r="G123" s="129"/>
      <c r="H123" s="129"/>
      <c r="I123" s="131"/>
      <c r="J123" s="131"/>
      <c r="K123" s="74"/>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c r="FR123" s="30"/>
      <c r="FS123" s="30"/>
      <c r="FT123" s="30"/>
      <c r="FU123" s="30"/>
      <c r="FV123" s="30"/>
      <c r="FW123" s="30"/>
      <c r="FX123" s="30"/>
      <c r="FY123" s="30"/>
      <c r="FZ123" s="30"/>
      <c r="GA123" s="30"/>
      <c r="GB123" s="30"/>
      <c r="GC123" s="30"/>
      <c r="GD123" s="30"/>
      <c r="GE123" s="30"/>
      <c r="GF123" s="30"/>
      <c r="GG123" s="30"/>
      <c r="GH123" s="30"/>
      <c r="GI123" s="30"/>
      <c r="GJ123" s="30"/>
      <c r="GK123" s="30"/>
      <c r="GL123" s="30"/>
      <c r="GM123" s="30"/>
      <c r="GN123" s="30"/>
      <c r="GO123" s="30"/>
      <c r="GP123" s="30"/>
      <c r="GQ123" s="30"/>
      <c r="GR123" s="30"/>
      <c r="GS123" s="30"/>
      <c r="GT123" s="30"/>
      <c r="GU123" s="30"/>
      <c r="GV123" s="30"/>
      <c r="GW123" s="30"/>
      <c r="GX123" s="30"/>
      <c r="GY123" s="30"/>
      <c r="GZ123" s="30"/>
      <c r="HA123" s="30"/>
      <c r="HB123" s="30"/>
      <c r="HC123" s="30"/>
      <c r="HD123" s="30"/>
      <c r="HE123" s="30"/>
      <c r="HF123" s="30"/>
      <c r="HG123" s="30"/>
      <c r="HH123" s="30"/>
      <c r="HI123" s="30"/>
      <c r="HJ123" s="30"/>
      <c r="HK123" s="30"/>
      <c r="HL123" s="30"/>
      <c r="HM123" s="30"/>
      <c r="HN123" s="30"/>
      <c r="HO123" s="30"/>
      <c r="HP123" s="30"/>
      <c r="HQ123" s="30"/>
      <c r="HR123" s="30"/>
      <c r="HS123" s="30"/>
      <c r="HT123" s="30"/>
      <c r="HU123" s="30"/>
      <c r="HV123" s="30"/>
      <c r="HW123" s="30"/>
      <c r="HX123" s="30"/>
      <c r="HY123" s="30"/>
      <c r="HZ123" s="30"/>
      <c r="IA123" s="30"/>
      <c r="IB123" s="30"/>
      <c r="IC123" s="30"/>
      <c r="ID123" s="30"/>
      <c r="IE123" s="30"/>
      <c r="IF123" s="30"/>
      <c r="IG123" s="30"/>
      <c r="IH123" s="30"/>
      <c r="II123" s="30"/>
      <c r="IJ123" s="30"/>
      <c r="IK123" s="30"/>
      <c r="IL123" s="30"/>
      <c r="IM123" s="30"/>
      <c r="IN123" s="30"/>
      <c r="IO123" s="30"/>
      <c r="IP123" s="30"/>
      <c r="IQ123" s="30"/>
      <c r="IR123" s="30"/>
      <c r="IS123" s="30"/>
      <c r="IT123" s="30"/>
      <c r="IU123" s="30"/>
      <c r="IV123" s="30"/>
      <c r="IW123" s="30"/>
      <c r="IX123" s="30"/>
      <c r="IY123" s="30"/>
      <c r="IZ123" s="30"/>
      <c r="JA123" s="30"/>
      <c r="JB123" s="30"/>
      <c r="JC123" s="30"/>
      <c r="JD123" s="30"/>
      <c r="JE123" s="30"/>
      <c r="JF123" s="30"/>
      <c r="JG123" s="30"/>
      <c r="JH123" s="30"/>
      <c r="JI123" s="30"/>
      <c r="JJ123" s="30"/>
      <c r="JK123" s="30"/>
      <c r="JL123" s="30"/>
      <c r="JM123" s="30"/>
      <c r="JN123" s="30"/>
      <c r="JO123" s="30"/>
      <c r="JP123" s="30"/>
      <c r="JQ123" s="30"/>
      <c r="JR123" s="30"/>
      <c r="JS123" s="30"/>
      <c r="JT123" s="30"/>
      <c r="JU123" s="30"/>
      <c r="JV123" s="30"/>
      <c r="JW123" s="30"/>
      <c r="JX123" s="30"/>
      <c r="JY123" s="30"/>
      <c r="JZ123" s="30"/>
      <c r="KA123" s="30"/>
      <c r="KB123" s="30"/>
      <c r="KC123" s="30"/>
      <c r="KD123" s="30"/>
      <c r="KE123" s="30"/>
      <c r="KF123" s="30"/>
      <c r="KG123" s="30"/>
      <c r="KH123" s="30"/>
      <c r="KI123" s="30"/>
      <c r="KJ123" s="30"/>
      <c r="KK123" s="30"/>
      <c r="KL123" s="30"/>
      <c r="KM123" s="30"/>
      <c r="KN123" s="30"/>
      <c r="KO123" s="30"/>
      <c r="KP123" s="30"/>
      <c r="KQ123" s="30"/>
      <c r="KR123" s="30"/>
      <c r="KS123" s="30"/>
      <c r="KT123" s="30"/>
      <c r="KU123" s="30"/>
      <c r="KV123" s="30"/>
      <c r="KW123" s="30"/>
      <c r="KX123" s="30"/>
      <c r="KY123" s="30"/>
      <c r="KZ123" s="30"/>
      <c r="LA123" s="30"/>
      <c r="LB123" s="30"/>
      <c r="LC123" s="30"/>
      <c r="LD123" s="30"/>
      <c r="LE123" s="30"/>
      <c r="LF123" s="30"/>
      <c r="LG123" s="30"/>
      <c r="LH123" s="30"/>
      <c r="LI123" s="30"/>
      <c r="LJ123" s="30"/>
      <c r="LK123" s="30"/>
      <c r="LL123" s="30"/>
      <c r="LM123" s="30"/>
      <c r="LN123" s="30"/>
      <c r="LO123" s="30"/>
      <c r="LP123" s="30"/>
      <c r="LQ123" s="30"/>
      <c r="LR123" s="30"/>
      <c r="LS123" s="30"/>
      <c r="LT123" s="30"/>
      <c r="LU123" s="30"/>
      <c r="LV123" s="30"/>
      <c r="LW123" s="30"/>
      <c r="LX123" s="30"/>
      <c r="LY123" s="30"/>
      <c r="LZ123" s="30"/>
      <c r="MA123" s="30"/>
      <c r="MB123" s="30"/>
      <c r="MC123" s="30"/>
      <c r="MD123" s="30"/>
      <c r="ME123" s="30"/>
      <c r="MF123" s="30"/>
      <c r="MG123" s="30"/>
      <c r="MH123" s="30"/>
      <c r="MI123" s="30"/>
      <c r="MJ123" s="30"/>
      <c r="MK123" s="30"/>
      <c r="ML123" s="30"/>
      <c r="MM123" s="30"/>
      <c r="MN123" s="30"/>
      <c r="MO123" s="30"/>
      <c r="MP123" s="30"/>
      <c r="MQ123" s="30"/>
      <c r="MR123" s="30"/>
      <c r="MS123" s="30"/>
      <c r="MT123" s="30"/>
    </row>
    <row r="124" s="262" customFormat="true" ht="14.4" hidden="false" customHeight="false" outlineLevel="0" collapsed="false">
      <c r="A124" s="134" t="s">
        <v>137</v>
      </c>
      <c r="B124" s="313" t="n">
        <f aca="false">SUM(B129,B134)</f>
        <v>1</v>
      </c>
      <c r="C124" s="137" t="s">
        <v>133</v>
      </c>
      <c r="D124" s="352"/>
      <c r="E124" s="137"/>
      <c r="F124" s="81" t="n">
        <f aca="false">IF($E$1="GWP100 without fb",F125+F126*'Common input data'!$C$5+F127*'Common input data'!$D$5,IF($E$1="GWP100 with fb",F125+F126*'Common input data'!$C$6+F127*'Common input data'!$D$6,IF($E$1="GTP100 without fb",F125+F126*'Common input data'!$C$7+F127*'Common input data'!$D$7,IF($E$1="GTP100 with fb",F125+F126*'Common input data'!$C$8+F127*'Common input data'!$D$8,F125+F126*'Common input data'!$C$9+F127*'Common input data'!$D$9))))</f>
        <v>1.23980588297461</v>
      </c>
      <c r="G124" s="261"/>
      <c r="H124" s="261"/>
      <c r="I124" s="359"/>
      <c r="J124" s="359"/>
      <c r="K124" s="74"/>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c r="FQ124" s="30"/>
      <c r="FR124" s="30"/>
      <c r="FS124" s="30"/>
      <c r="FT124" s="30"/>
      <c r="FU124" s="30"/>
      <c r="FV124" s="30"/>
      <c r="FW124" s="30"/>
      <c r="FX124" s="30"/>
      <c r="FY124" s="30"/>
      <c r="FZ124" s="30"/>
      <c r="GA124" s="30"/>
      <c r="GB124" s="30"/>
      <c r="GC124" s="30"/>
      <c r="GD124" s="30"/>
      <c r="GE124" s="30"/>
      <c r="GF124" s="30"/>
      <c r="GG124" s="30"/>
      <c r="GH124" s="30"/>
      <c r="GI124" s="30"/>
      <c r="GJ124" s="30"/>
      <c r="GK124" s="30"/>
      <c r="GL124" s="30"/>
      <c r="GM124" s="30"/>
      <c r="GN124" s="30"/>
      <c r="GO124" s="30"/>
      <c r="GP124" s="30"/>
      <c r="GQ124" s="30"/>
      <c r="GR124" s="30"/>
      <c r="GS124" s="30"/>
      <c r="GT124" s="30"/>
      <c r="GU124" s="30"/>
      <c r="GV124" s="30"/>
      <c r="GW124" s="30"/>
      <c r="GX124" s="30"/>
      <c r="GY124" s="30"/>
      <c r="GZ124" s="30"/>
      <c r="HA124" s="30"/>
      <c r="HB124" s="30"/>
      <c r="HC124" s="30"/>
      <c r="HD124" s="30"/>
      <c r="HE124" s="30"/>
      <c r="HF124" s="30"/>
      <c r="HG124" s="30"/>
      <c r="HH124" s="30"/>
      <c r="HI124" s="30"/>
      <c r="HJ124" s="30"/>
      <c r="HK124" s="30"/>
      <c r="HL124" s="30"/>
      <c r="HM124" s="30"/>
      <c r="HN124" s="30"/>
      <c r="HO124" s="30"/>
      <c r="HP124" s="30"/>
      <c r="HQ124" s="30"/>
      <c r="HR124" s="30"/>
      <c r="HS124" s="30"/>
      <c r="HT124" s="30"/>
      <c r="HU124" s="30"/>
      <c r="HV124" s="30"/>
      <c r="HW124" s="30"/>
      <c r="HX124" s="30"/>
      <c r="HY124" s="30"/>
      <c r="HZ124" s="30"/>
      <c r="IA124" s="30"/>
      <c r="IB124" s="30"/>
      <c r="IC124" s="30"/>
      <c r="ID124" s="30"/>
      <c r="IE124" s="30"/>
      <c r="IF124" s="30"/>
      <c r="IG124" s="30"/>
      <c r="IH124" s="30"/>
      <c r="II124" s="30"/>
      <c r="IJ124" s="30"/>
      <c r="IK124" s="30"/>
      <c r="IL124" s="30"/>
      <c r="IM124" s="30"/>
      <c r="IN124" s="30"/>
      <c r="IO124" s="30"/>
      <c r="IP124" s="30"/>
      <c r="IQ124" s="30"/>
      <c r="IR124" s="30"/>
      <c r="IS124" s="30"/>
      <c r="IT124" s="30"/>
      <c r="IU124" s="30"/>
      <c r="IV124" s="30"/>
      <c r="IW124" s="30"/>
      <c r="IX124" s="30"/>
      <c r="IY124" s="30"/>
      <c r="IZ124" s="30"/>
      <c r="JA124" s="30"/>
      <c r="JB124" s="30"/>
      <c r="JC124" s="30"/>
      <c r="JD124" s="30"/>
      <c r="JE124" s="30"/>
      <c r="JF124" s="30"/>
      <c r="JG124" s="30"/>
      <c r="JH124" s="30"/>
      <c r="JI124" s="30"/>
      <c r="JJ124" s="30"/>
      <c r="JK124" s="30"/>
      <c r="JL124" s="30"/>
      <c r="JM124" s="30"/>
      <c r="JN124" s="30"/>
      <c r="JO124" s="30"/>
      <c r="JP124" s="30"/>
      <c r="JQ124" s="30"/>
      <c r="JR124" s="30"/>
      <c r="JS124" s="30"/>
      <c r="JT124" s="30"/>
      <c r="JU124" s="30"/>
      <c r="JV124" s="30"/>
      <c r="JW124" s="30"/>
      <c r="JX124" s="30"/>
      <c r="JY124" s="30"/>
      <c r="JZ124" s="30"/>
      <c r="KA124" s="30"/>
      <c r="KB124" s="30"/>
      <c r="KC124" s="30"/>
      <c r="KD124" s="30"/>
      <c r="KE124" s="30"/>
      <c r="KF124" s="30"/>
      <c r="KG124" s="30"/>
      <c r="KH124" s="30"/>
      <c r="KI124" s="30"/>
      <c r="KJ124" s="30"/>
      <c r="KK124" s="30"/>
      <c r="KL124" s="30"/>
      <c r="KM124" s="30"/>
      <c r="KN124" s="30"/>
      <c r="KO124" s="30"/>
      <c r="KP124" s="30"/>
      <c r="KQ124" s="30"/>
      <c r="KR124" s="30"/>
      <c r="KS124" s="30"/>
      <c r="KT124" s="30"/>
      <c r="KU124" s="30"/>
      <c r="KV124" s="30"/>
      <c r="KW124" s="30"/>
      <c r="KX124" s="30"/>
      <c r="KY124" s="30"/>
      <c r="KZ124" s="30"/>
      <c r="LA124" s="30"/>
      <c r="LB124" s="30"/>
      <c r="LC124" s="30"/>
      <c r="LD124" s="30"/>
      <c r="LE124" s="30"/>
      <c r="LF124" s="30"/>
      <c r="LG124" s="30"/>
      <c r="LH124" s="30"/>
      <c r="LI124" s="30"/>
      <c r="LJ124" s="30"/>
      <c r="LK124" s="30"/>
      <c r="LL124" s="30"/>
      <c r="LM124" s="30"/>
      <c r="LN124" s="30"/>
      <c r="LO124" s="30"/>
      <c r="LP124" s="30"/>
      <c r="LQ124" s="30"/>
      <c r="LR124" s="30"/>
      <c r="LS124" s="30"/>
      <c r="LT124" s="30"/>
      <c r="LU124" s="30"/>
      <c r="LV124" s="30"/>
      <c r="LW124" s="30"/>
      <c r="LX124" s="30"/>
      <c r="LY124" s="30"/>
      <c r="LZ124" s="30"/>
      <c r="MA124" s="30"/>
      <c r="MB124" s="30"/>
      <c r="MC124" s="30"/>
      <c r="MD124" s="30"/>
      <c r="ME124" s="30"/>
      <c r="MF124" s="30"/>
      <c r="MG124" s="30"/>
      <c r="MH124" s="30"/>
      <c r="MI124" s="30"/>
      <c r="MJ124" s="30"/>
      <c r="MK124" s="30"/>
      <c r="ML124" s="30"/>
      <c r="MM124" s="30"/>
      <c r="MN124" s="30"/>
      <c r="MO124" s="30"/>
      <c r="MP124" s="30"/>
      <c r="MQ124" s="30"/>
      <c r="MR124" s="30"/>
      <c r="MS124" s="30"/>
      <c r="MT124" s="30"/>
    </row>
    <row r="125" customFormat="false" ht="14.4" hidden="false" customHeight="false" outlineLevel="0" collapsed="false">
      <c r="A125" s="99"/>
      <c r="B125" s="93"/>
      <c r="C125" s="85" t="s">
        <v>134</v>
      </c>
      <c r="D125" s="353"/>
      <c r="E125" s="85"/>
      <c r="F125" s="88" t="n">
        <f aca="false">$B$129*F130+$B$134*F135</f>
        <v>1.11266554039973</v>
      </c>
      <c r="G125" s="89" t="n">
        <f aca="false">$B$129*G130+$B$134*G135</f>
        <v>0.721398986359759</v>
      </c>
      <c r="H125" s="89" t="n">
        <f aca="false">$B$129*H130+$B$134*H135</f>
        <v>0.1</v>
      </c>
      <c r="I125" s="89" t="n">
        <f aca="false">$B$129*I130+$B$134*I135</f>
        <v>0.15</v>
      </c>
      <c r="J125" s="89" t="n">
        <f aca="false">$B$129*J130+$B$134*J135</f>
        <v>0.03</v>
      </c>
      <c r="K125" s="74"/>
    </row>
    <row r="126" customFormat="false" ht="14.4" hidden="false" customHeight="false" outlineLevel="0" collapsed="false">
      <c r="A126" s="100"/>
      <c r="B126" s="87"/>
      <c r="C126" s="85" t="s">
        <v>135</v>
      </c>
      <c r="D126" s="353"/>
      <c r="E126" s="85"/>
      <c r="F126" s="88" t="n">
        <f aca="false">$B$129*F131+$B$134*F136</f>
        <v>3.68886625294888E-005</v>
      </c>
      <c r="G126" s="89" t="n">
        <f aca="false">$B$129*G131+$B$134*G136</f>
        <v>3.31997962765399E-005</v>
      </c>
      <c r="H126" s="89" t="n">
        <f aca="false">$B$129*H131+$B$134*H136</f>
        <v>0</v>
      </c>
      <c r="I126" s="89" t="n">
        <f aca="false">$B$129*I131+$B$134*I136</f>
        <v>0</v>
      </c>
      <c r="J126" s="89" t="n">
        <f aca="false">$B$129*J131+$B$134*J136</f>
        <v>0</v>
      </c>
      <c r="K126" s="74"/>
    </row>
    <row r="127" customFormat="false" ht="14.4" hidden="false" customHeight="false" outlineLevel="0" collapsed="false">
      <c r="A127" s="100"/>
      <c r="B127" s="87"/>
      <c r="C127" s="31" t="s">
        <v>136</v>
      </c>
      <c r="D127" s="356"/>
      <c r="E127" s="125"/>
      <c r="F127" s="106" t="n">
        <f aca="false">$B$129*F132+$B$134*F137</f>
        <v>0.000422436671304954</v>
      </c>
      <c r="G127" s="89" t="n">
        <f aca="false">$B$129*G132+$B$134*G137</f>
        <v>0.000380193004174459</v>
      </c>
      <c r="H127" s="89" t="n">
        <f aca="false">$B$129*H132+$B$134*H137</f>
        <v>0</v>
      </c>
      <c r="I127" s="89" t="n">
        <f aca="false">$B$129*I132+$B$134*I137</f>
        <v>0</v>
      </c>
      <c r="J127" s="89" t="n">
        <f aca="false">$B$129*J132+$B$134*J137</f>
        <v>0</v>
      </c>
      <c r="K127" s="74"/>
    </row>
    <row r="128" s="132" customFormat="true" ht="14.4" hidden="false" customHeight="false" outlineLevel="0" collapsed="false">
      <c r="A128" s="127" t="s">
        <v>389</v>
      </c>
      <c r="B128" s="129"/>
      <c r="C128" s="130"/>
      <c r="D128" s="349"/>
      <c r="E128" s="270"/>
      <c r="F128" s="112" t="s">
        <v>390</v>
      </c>
      <c r="G128" s="131"/>
      <c r="H128" s="131"/>
      <c r="I128" s="131"/>
      <c r="J128" s="131"/>
      <c r="K128" s="74"/>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c r="FR128" s="30"/>
      <c r="FS128" s="30"/>
      <c r="FT128" s="30"/>
      <c r="FU128" s="30"/>
      <c r="FV128" s="30"/>
      <c r="FW128" s="30"/>
      <c r="FX128" s="30"/>
      <c r="FY128" s="30"/>
      <c r="FZ128" s="30"/>
      <c r="GA128" s="30"/>
      <c r="GB128" s="30"/>
      <c r="GC128" s="30"/>
      <c r="GD128" s="30"/>
      <c r="GE128" s="30"/>
      <c r="GF128" s="30"/>
      <c r="GG128" s="30"/>
      <c r="GH128" s="30"/>
      <c r="GI128" s="30"/>
      <c r="GJ128" s="30"/>
      <c r="GK128" s="30"/>
      <c r="GL128" s="30"/>
      <c r="GM128" s="30"/>
      <c r="GN128" s="30"/>
      <c r="GO128" s="30"/>
      <c r="GP128" s="30"/>
      <c r="GQ128" s="30"/>
      <c r="GR128" s="30"/>
      <c r="GS128" s="30"/>
      <c r="GT128" s="30"/>
      <c r="GU128" s="30"/>
      <c r="GV128" s="30"/>
      <c r="GW128" s="30"/>
      <c r="GX128" s="30"/>
      <c r="GY128" s="30"/>
      <c r="GZ128" s="30"/>
      <c r="HA128" s="30"/>
      <c r="HB128" s="30"/>
      <c r="HC128" s="30"/>
      <c r="HD128" s="30"/>
      <c r="HE128" s="30"/>
      <c r="HF128" s="30"/>
      <c r="HG128" s="30"/>
      <c r="HH128" s="30"/>
      <c r="HI128" s="30"/>
      <c r="HJ128" s="30"/>
      <c r="HK128" s="30"/>
      <c r="HL128" s="30"/>
      <c r="HM128" s="30"/>
      <c r="HN128" s="30"/>
      <c r="HO128" s="30"/>
      <c r="HP128" s="30"/>
      <c r="HQ128" s="30"/>
      <c r="HR128" s="30"/>
      <c r="HS128" s="30"/>
      <c r="HT128" s="30"/>
      <c r="HU128" s="30"/>
      <c r="HV128" s="30"/>
      <c r="HW128" s="30"/>
      <c r="HX128" s="30"/>
      <c r="HY128" s="30"/>
      <c r="HZ128" s="30"/>
      <c r="IA128" s="30"/>
      <c r="IB128" s="30"/>
      <c r="IC128" s="30"/>
      <c r="ID128" s="30"/>
      <c r="IE128" s="30"/>
      <c r="IF128" s="30"/>
      <c r="IG128" s="30"/>
      <c r="IH128" s="30"/>
      <c r="II128" s="30"/>
      <c r="IJ128" s="30"/>
      <c r="IK128" s="30"/>
      <c r="IL128" s="30"/>
      <c r="IM128" s="30"/>
      <c r="IN128" s="30"/>
      <c r="IO128" s="30"/>
      <c r="IP128" s="30"/>
      <c r="IQ128" s="30"/>
      <c r="IR128" s="30"/>
      <c r="IS128" s="30"/>
      <c r="IT128" s="30"/>
      <c r="IU128" s="30"/>
      <c r="IV128" s="30"/>
      <c r="IW128" s="30"/>
      <c r="IX128" s="30"/>
      <c r="IY128" s="30"/>
      <c r="IZ128" s="30"/>
      <c r="JA128" s="30"/>
      <c r="JB128" s="30"/>
      <c r="JC128" s="30"/>
      <c r="JD128" s="30"/>
      <c r="JE128" s="30"/>
      <c r="JF128" s="30"/>
      <c r="JG128" s="30"/>
      <c r="JH128" s="30"/>
      <c r="JI128" s="30"/>
      <c r="JJ128" s="30"/>
      <c r="JK128" s="30"/>
      <c r="JL128" s="30"/>
      <c r="JM128" s="30"/>
      <c r="JN128" s="30"/>
      <c r="JO128" s="30"/>
      <c r="JP128" s="30"/>
      <c r="JQ128" s="30"/>
      <c r="JR128" s="30"/>
      <c r="JS128" s="30"/>
      <c r="JT128" s="30"/>
      <c r="JU128" s="30"/>
      <c r="JV128" s="30"/>
      <c r="JW128" s="30"/>
      <c r="JX128" s="30"/>
      <c r="JY128" s="30"/>
      <c r="JZ128" s="30"/>
      <c r="KA128" s="30"/>
      <c r="KB128" s="30"/>
      <c r="KC128" s="30"/>
      <c r="KD128" s="30"/>
      <c r="KE128" s="30"/>
      <c r="KF128" s="30"/>
      <c r="KG128" s="30"/>
      <c r="KH128" s="30"/>
      <c r="KI128" s="30"/>
      <c r="KJ128" s="30"/>
      <c r="KK128" s="30"/>
      <c r="KL128" s="30"/>
      <c r="KM128" s="30"/>
      <c r="KN128" s="30"/>
      <c r="KO128" s="30"/>
      <c r="KP128" s="30"/>
      <c r="KQ128" s="30"/>
      <c r="KR128" s="30"/>
      <c r="KS128" s="30"/>
      <c r="KT128" s="30"/>
      <c r="KU128" s="30"/>
      <c r="KV128" s="30"/>
      <c r="KW128" s="30"/>
      <c r="KX128" s="30"/>
      <c r="KY128" s="30"/>
      <c r="KZ128" s="30"/>
      <c r="LA128" s="30"/>
      <c r="LB128" s="30"/>
      <c r="LC128" s="30"/>
      <c r="LD128" s="30"/>
      <c r="LE128" s="30"/>
      <c r="LF128" s="30"/>
      <c r="LG128" s="30"/>
      <c r="LH128" s="30"/>
      <c r="LI128" s="30"/>
      <c r="LJ128" s="30"/>
      <c r="LK128" s="30"/>
      <c r="LL128" s="30"/>
      <c r="LM128" s="30"/>
      <c r="LN128" s="30"/>
      <c r="LO128" s="30"/>
      <c r="LP128" s="30"/>
      <c r="LQ128" s="30"/>
      <c r="LR128" s="30"/>
      <c r="LS128" s="30"/>
      <c r="LT128" s="30"/>
      <c r="LU128" s="30"/>
      <c r="LV128" s="30"/>
      <c r="LW128" s="30"/>
      <c r="LX128" s="30"/>
      <c r="LY128" s="30"/>
      <c r="LZ128" s="30"/>
      <c r="MA128" s="30"/>
      <c r="MB128" s="30"/>
      <c r="MC128" s="30"/>
      <c r="MD128" s="30"/>
      <c r="ME128" s="30"/>
      <c r="MF128" s="30"/>
      <c r="MG128" s="30"/>
      <c r="MH128" s="30"/>
      <c r="MI128" s="30"/>
      <c r="MJ128" s="30"/>
      <c r="MK128" s="30"/>
      <c r="ML128" s="30"/>
      <c r="MM128" s="30"/>
      <c r="MN128" s="30"/>
      <c r="MO128" s="30"/>
      <c r="MP128" s="30"/>
      <c r="MQ128" s="30"/>
      <c r="MR128" s="30"/>
      <c r="MS128" s="30"/>
      <c r="MT128" s="30"/>
    </row>
    <row r="129" s="262" customFormat="true" ht="14.4" hidden="false" customHeight="false" outlineLevel="0" collapsed="false">
      <c r="A129" s="134" t="s">
        <v>137</v>
      </c>
      <c r="B129" s="313" t="n">
        <f aca="false">'Input data processed products'!C41</f>
        <v>0.5</v>
      </c>
      <c r="C129" s="137" t="s">
        <v>133</v>
      </c>
      <c r="D129" s="352"/>
      <c r="E129" s="137"/>
      <c r="F129" s="81" t="n">
        <f aca="false">IF($E$1="GWP100 without fb",F130+F131*'Common input data'!$C$5+F132*'Common input data'!$D$5,IF($E$1="GWP100 with fb",F130+F131*'Common input data'!$C$6+F132*'Common input data'!$D$6,IF($E$1="GTP100 without fb",F130+F131*'Common input data'!$C$7+F132*'Common input data'!$D$7,IF($E$1="GTP100 with fb",F130+F131*'Common input data'!$C$8+F132*'Common input data'!$D$8,F130+F131*'Common input data'!$C$9+F132*'Common input data'!$D$9))))</f>
        <v>1.68778907506311</v>
      </c>
      <c r="G129" s="261"/>
      <c r="H129" s="261"/>
      <c r="I129" s="359"/>
      <c r="J129" s="359"/>
      <c r="K129" s="74"/>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c r="FR129" s="30"/>
      <c r="FS129" s="30"/>
      <c r="FT129" s="30"/>
      <c r="FU129" s="30"/>
      <c r="FV129" s="30"/>
      <c r="FW129" s="30"/>
      <c r="FX129" s="30"/>
      <c r="FY129" s="30"/>
      <c r="FZ129" s="30"/>
      <c r="GA129" s="30"/>
      <c r="GB129" s="30"/>
      <c r="GC129" s="30"/>
      <c r="GD129" s="30"/>
      <c r="GE129" s="30"/>
      <c r="GF129" s="30"/>
      <c r="GG129" s="30"/>
      <c r="GH129" s="30"/>
      <c r="GI129" s="30"/>
      <c r="GJ129" s="30"/>
      <c r="GK129" s="30"/>
      <c r="GL129" s="30"/>
      <c r="GM129" s="30"/>
      <c r="GN129" s="30"/>
      <c r="GO129" s="30"/>
      <c r="GP129" s="30"/>
      <c r="GQ129" s="30"/>
      <c r="GR129" s="30"/>
      <c r="GS129" s="30"/>
      <c r="GT129" s="30"/>
      <c r="GU129" s="30"/>
      <c r="GV129" s="30"/>
      <c r="GW129" s="30"/>
      <c r="GX129" s="30"/>
      <c r="GY129" s="30"/>
      <c r="GZ129" s="30"/>
      <c r="HA129" s="30"/>
      <c r="HB129" s="30"/>
      <c r="HC129" s="30"/>
      <c r="HD129" s="30"/>
      <c r="HE129" s="30"/>
      <c r="HF129" s="30"/>
      <c r="HG129" s="30"/>
      <c r="HH129" s="30"/>
      <c r="HI129" s="30"/>
      <c r="HJ129" s="30"/>
      <c r="HK129" s="30"/>
      <c r="HL129" s="30"/>
      <c r="HM129" s="30"/>
      <c r="HN129" s="30"/>
      <c r="HO129" s="30"/>
      <c r="HP129" s="30"/>
      <c r="HQ129" s="30"/>
      <c r="HR129" s="30"/>
      <c r="HS129" s="30"/>
      <c r="HT129" s="30"/>
      <c r="HU129" s="30"/>
      <c r="HV129" s="30"/>
      <c r="HW129" s="30"/>
      <c r="HX129" s="30"/>
      <c r="HY129" s="30"/>
      <c r="HZ129" s="30"/>
      <c r="IA129" s="30"/>
      <c r="IB129" s="30"/>
      <c r="IC129" s="30"/>
      <c r="ID129" s="30"/>
      <c r="IE129" s="30"/>
      <c r="IF129" s="30"/>
      <c r="IG129" s="30"/>
      <c r="IH129" s="30"/>
      <c r="II129" s="30"/>
      <c r="IJ129" s="30"/>
      <c r="IK129" s="30"/>
      <c r="IL129" s="30"/>
      <c r="IM129" s="30"/>
      <c r="IN129" s="30"/>
      <c r="IO129" s="30"/>
      <c r="IP129" s="30"/>
      <c r="IQ129" s="30"/>
      <c r="IR129" s="30"/>
      <c r="IS129" s="30"/>
      <c r="IT129" s="30"/>
      <c r="IU129" s="30"/>
      <c r="IV129" s="30"/>
      <c r="IW129" s="30"/>
      <c r="IX129" s="30"/>
      <c r="IY129" s="30"/>
      <c r="IZ129" s="30"/>
      <c r="JA129" s="30"/>
      <c r="JB129" s="30"/>
      <c r="JC129" s="30"/>
      <c r="JD129" s="30"/>
      <c r="JE129" s="30"/>
      <c r="JF129" s="30"/>
      <c r="JG129" s="30"/>
      <c r="JH129" s="30"/>
      <c r="JI129" s="30"/>
      <c r="JJ129" s="30"/>
      <c r="JK129" s="30"/>
      <c r="JL129" s="30"/>
      <c r="JM129" s="30"/>
      <c r="JN129" s="30"/>
      <c r="JO129" s="30"/>
      <c r="JP129" s="30"/>
      <c r="JQ129" s="30"/>
      <c r="JR129" s="30"/>
      <c r="JS129" s="30"/>
      <c r="JT129" s="30"/>
      <c r="JU129" s="30"/>
      <c r="JV129" s="30"/>
      <c r="JW129" s="30"/>
      <c r="JX129" s="30"/>
      <c r="JY129" s="30"/>
      <c r="JZ129" s="30"/>
      <c r="KA129" s="30"/>
      <c r="KB129" s="30"/>
      <c r="KC129" s="30"/>
      <c r="KD129" s="30"/>
      <c r="KE129" s="30"/>
      <c r="KF129" s="30"/>
      <c r="KG129" s="30"/>
      <c r="KH129" s="30"/>
      <c r="KI129" s="30"/>
      <c r="KJ129" s="30"/>
      <c r="KK129" s="30"/>
      <c r="KL129" s="30"/>
      <c r="KM129" s="30"/>
      <c r="KN129" s="30"/>
      <c r="KO129" s="30"/>
      <c r="KP129" s="30"/>
      <c r="KQ129" s="30"/>
      <c r="KR129" s="30"/>
      <c r="KS129" s="30"/>
      <c r="KT129" s="30"/>
      <c r="KU129" s="30"/>
      <c r="KV129" s="30"/>
      <c r="KW129" s="30"/>
      <c r="KX129" s="30"/>
      <c r="KY129" s="30"/>
      <c r="KZ129" s="30"/>
      <c r="LA129" s="30"/>
      <c r="LB129" s="30"/>
      <c r="LC129" s="30"/>
      <c r="LD129" s="30"/>
      <c r="LE129" s="30"/>
      <c r="LF129" s="30"/>
      <c r="LG129" s="30"/>
      <c r="LH129" s="30"/>
      <c r="LI129" s="30"/>
      <c r="LJ129" s="30"/>
      <c r="LK129" s="30"/>
      <c r="LL129" s="30"/>
      <c r="LM129" s="30"/>
      <c r="LN129" s="30"/>
      <c r="LO129" s="30"/>
      <c r="LP129" s="30"/>
      <c r="LQ129" s="30"/>
      <c r="LR129" s="30"/>
      <c r="LS129" s="30"/>
      <c r="LT129" s="30"/>
      <c r="LU129" s="30"/>
      <c r="LV129" s="30"/>
      <c r="LW129" s="30"/>
      <c r="LX129" s="30"/>
      <c r="LY129" s="30"/>
      <c r="LZ129" s="30"/>
      <c r="MA129" s="30"/>
      <c r="MB129" s="30"/>
      <c r="MC129" s="30"/>
      <c r="MD129" s="30"/>
      <c r="ME129" s="30"/>
      <c r="MF129" s="30"/>
      <c r="MG129" s="30"/>
      <c r="MH129" s="30"/>
      <c r="MI129" s="30"/>
      <c r="MJ129" s="30"/>
      <c r="MK129" s="30"/>
      <c r="ML129" s="30"/>
      <c r="MM129" s="30"/>
      <c r="MN129" s="30"/>
      <c r="MO129" s="30"/>
      <c r="MP129" s="30"/>
      <c r="MQ129" s="30"/>
      <c r="MR129" s="30"/>
      <c r="MS129" s="30"/>
      <c r="MT129" s="30"/>
    </row>
    <row r="130" customFormat="false" ht="14.4" hidden="false" customHeight="false" outlineLevel="0" collapsed="false">
      <c r="A130" s="99"/>
      <c r="B130" s="93"/>
      <c r="C130" s="85" t="s">
        <v>134</v>
      </c>
      <c r="D130" s="353"/>
      <c r="E130" s="85"/>
      <c r="F130" s="88" t="n">
        <f aca="false">SUM(G130:J130)/(1-'Common input data'!$B$136)</f>
        <v>1.46087354189747</v>
      </c>
      <c r="G130" s="87" t="n">
        <f aca="false">SUMPRODUCT('Input data processed products'!D$41:AB$41,'Input data processed products'!D$55:AB$55)</f>
        <v>1.03478618770772</v>
      </c>
      <c r="H130" s="87" t="n">
        <f aca="false">'Input data processed products'!G$67</f>
        <v>0.1</v>
      </c>
      <c r="I130" s="89" t="n">
        <f aca="false">'Common input data'!B$89</f>
        <v>0.15</v>
      </c>
      <c r="J130" s="89" t="n">
        <f aca="false">'Common input data'!C$98</f>
        <v>0.03</v>
      </c>
      <c r="K130" s="74"/>
    </row>
    <row r="131" customFormat="false" ht="14.4" hidden="false" customHeight="false" outlineLevel="0" collapsed="false">
      <c r="A131" s="100"/>
      <c r="B131" s="87"/>
      <c r="C131" s="85" t="s">
        <v>135</v>
      </c>
      <c r="D131" s="353"/>
      <c r="E131" s="85"/>
      <c r="F131" s="88" t="n">
        <f aca="false">SUM(G131:J131)/(1-'Common input data'!$B$136)</f>
        <v>3.21489048170396E-005</v>
      </c>
      <c r="G131" s="87" t="n">
        <f aca="false">SUMPRODUCT('Input data processed products'!D$41:AB$41,'Input data processed products'!D$56:AB$56)</f>
        <v>2.89340143353356E-005</v>
      </c>
      <c r="H131" s="87" t="n">
        <v>0</v>
      </c>
      <c r="I131" s="89" t="n">
        <v>0</v>
      </c>
      <c r="J131" s="89" t="n">
        <v>0</v>
      </c>
      <c r="K131" s="74"/>
    </row>
    <row r="132" customFormat="false" ht="14.4" hidden="false" customHeight="false" outlineLevel="0" collapsed="false">
      <c r="A132" s="100"/>
      <c r="B132" s="87"/>
      <c r="C132" s="31" t="s">
        <v>136</v>
      </c>
      <c r="D132" s="356"/>
      <c r="E132" s="125"/>
      <c r="F132" s="106" t="n">
        <f aca="false">SUM(G132:J132)/(1-'Common input data'!$B$136)</f>
        <v>0.000757793524838464</v>
      </c>
      <c r="G132" s="87" t="n">
        <f aca="false">SUMPRODUCT('Input data processed products'!D$41:AB$41,'Input data processed products'!D$57:AB$57)</f>
        <v>0.000682014172354617</v>
      </c>
      <c r="H132" s="87" t="n">
        <v>0</v>
      </c>
      <c r="I132" s="89" t="n">
        <v>0</v>
      </c>
      <c r="J132" s="89" t="n">
        <v>0</v>
      </c>
      <c r="K132" s="74"/>
    </row>
    <row r="133" s="132" customFormat="true" ht="14.4" hidden="false" customHeight="false" outlineLevel="0" collapsed="false">
      <c r="A133" s="127" t="s">
        <v>391</v>
      </c>
      <c r="B133" s="129"/>
      <c r="C133" s="130"/>
      <c r="D133" s="349"/>
      <c r="E133" s="270"/>
      <c r="F133" s="112" t="s">
        <v>392</v>
      </c>
      <c r="G133" s="129"/>
      <c r="H133" s="129"/>
      <c r="I133" s="131"/>
      <c r="J133" s="131"/>
      <c r="K133" s="74"/>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c r="GL133" s="30"/>
      <c r="GM133" s="30"/>
      <c r="GN133" s="30"/>
      <c r="GO133" s="30"/>
      <c r="GP133" s="30"/>
      <c r="GQ133" s="30"/>
      <c r="GR133" s="30"/>
      <c r="GS133" s="30"/>
      <c r="GT133" s="30"/>
      <c r="GU133" s="30"/>
      <c r="GV133" s="30"/>
      <c r="GW133" s="30"/>
      <c r="GX133" s="30"/>
      <c r="GY133" s="30"/>
      <c r="GZ133" s="30"/>
      <c r="HA133" s="30"/>
      <c r="HB133" s="30"/>
      <c r="HC133" s="30"/>
      <c r="HD133" s="30"/>
      <c r="HE133" s="30"/>
      <c r="HF133" s="30"/>
      <c r="HG133" s="30"/>
      <c r="HH133" s="30"/>
      <c r="HI133" s="30"/>
      <c r="HJ133" s="30"/>
      <c r="HK133" s="30"/>
      <c r="HL133" s="30"/>
      <c r="HM133" s="30"/>
      <c r="HN133" s="30"/>
      <c r="HO133" s="30"/>
      <c r="HP133" s="30"/>
      <c r="HQ133" s="30"/>
      <c r="HR133" s="30"/>
      <c r="HS133" s="30"/>
      <c r="HT133" s="30"/>
      <c r="HU133" s="30"/>
      <c r="HV133" s="30"/>
      <c r="HW133" s="30"/>
      <c r="HX133" s="30"/>
      <c r="HY133" s="30"/>
      <c r="HZ133" s="30"/>
      <c r="IA133" s="30"/>
      <c r="IB133" s="30"/>
      <c r="IC133" s="30"/>
      <c r="ID133" s="30"/>
      <c r="IE133" s="30"/>
      <c r="IF133" s="30"/>
      <c r="IG133" s="30"/>
      <c r="IH133" s="30"/>
      <c r="II133" s="30"/>
      <c r="IJ133" s="30"/>
      <c r="IK133" s="30"/>
      <c r="IL133" s="30"/>
      <c r="IM133" s="30"/>
      <c r="IN133" s="30"/>
      <c r="IO133" s="30"/>
      <c r="IP133" s="30"/>
      <c r="IQ133" s="30"/>
      <c r="IR133" s="30"/>
      <c r="IS133" s="30"/>
      <c r="IT133" s="30"/>
      <c r="IU133" s="30"/>
      <c r="IV133" s="30"/>
      <c r="IW133" s="30"/>
      <c r="IX133" s="30"/>
      <c r="IY133" s="30"/>
      <c r="IZ133" s="30"/>
      <c r="JA133" s="30"/>
      <c r="JB133" s="30"/>
      <c r="JC133" s="30"/>
      <c r="JD133" s="30"/>
      <c r="JE133" s="30"/>
      <c r="JF133" s="30"/>
      <c r="JG133" s="30"/>
      <c r="JH133" s="30"/>
      <c r="JI133" s="30"/>
      <c r="JJ133" s="30"/>
      <c r="JK133" s="30"/>
      <c r="JL133" s="30"/>
      <c r="JM133" s="30"/>
      <c r="JN133" s="30"/>
      <c r="JO133" s="30"/>
      <c r="JP133" s="30"/>
      <c r="JQ133" s="30"/>
      <c r="JR133" s="30"/>
      <c r="JS133" s="30"/>
      <c r="JT133" s="30"/>
      <c r="JU133" s="30"/>
      <c r="JV133" s="30"/>
      <c r="JW133" s="30"/>
      <c r="JX133" s="30"/>
      <c r="JY133" s="30"/>
      <c r="JZ133" s="30"/>
      <c r="KA133" s="30"/>
      <c r="KB133" s="30"/>
      <c r="KC133" s="30"/>
      <c r="KD133" s="30"/>
      <c r="KE133" s="30"/>
      <c r="KF133" s="30"/>
      <c r="KG133" s="30"/>
      <c r="KH133" s="30"/>
      <c r="KI133" s="30"/>
      <c r="KJ133" s="30"/>
      <c r="KK133" s="30"/>
      <c r="KL133" s="30"/>
      <c r="KM133" s="30"/>
      <c r="KN133" s="30"/>
      <c r="KO133" s="30"/>
      <c r="KP133" s="30"/>
      <c r="KQ133" s="30"/>
      <c r="KR133" s="30"/>
      <c r="KS133" s="30"/>
      <c r="KT133" s="30"/>
      <c r="KU133" s="30"/>
      <c r="KV133" s="30"/>
      <c r="KW133" s="30"/>
      <c r="KX133" s="30"/>
      <c r="KY133" s="30"/>
      <c r="KZ133" s="30"/>
      <c r="LA133" s="30"/>
      <c r="LB133" s="30"/>
      <c r="LC133" s="30"/>
      <c r="LD133" s="30"/>
      <c r="LE133" s="30"/>
      <c r="LF133" s="30"/>
      <c r="LG133" s="30"/>
      <c r="LH133" s="30"/>
      <c r="LI133" s="30"/>
      <c r="LJ133" s="30"/>
      <c r="LK133" s="30"/>
      <c r="LL133" s="30"/>
      <c r="LM133" s="30"/>
      <c r="LN133" s="30"/>
      <c r="LO133" s="30"/>
      <c r="LP133" s="30"/>
      <c r="LQ133" s="30"/>
      <c r="LR133" s="30"/>
      <c r="LS133" s="30"/>
      <c r="LT133" s="30"/>
      <c r="LU133" s="30"/>
      <c r="LV133" s="30"/>
      <c r="LW133" s="30"/>
      <c r="LX133" s="30"/>
      <c r="LY133" s="30"/>
      <c r="LZ133" s="30"/>
      <c r="MA133" s="30"/>
      <c r="MB133" s="30"/>
      <c r="MC133" s="30"/>
      <c r="MD133" s="30"/>
      <c r="ME133" s="30"/>
      <c r="MF133" s="30"/>
      <c r="MG133" s="30"/>
      <c r="MH133" s="30"/>
      <c r="MI133" s="30"/>
      <c r="MJ133" s="30"/>
      <c r="MK133" s="30"/>
      <c r="ML133" s="30"/>
      <c r="MM133" s="30"/>
      <c r="MN133" s="30"/>
      <c r="MO133" s="30"/>
      <c r="MP133" s="30"/>
      <c r="MQ133" s="30"/>
      <c r="MR133" s="30"/>
      <c r="MS133" s="30"/>
      <c r="MT133" s="30"/>
    </row>
    <row r="134" s="262" customFormat="true" ht="14.4" hidden="false" customHeight="false" outlineLevel="0" collapsed="false">
      <c r="A134" s="134" t="s">
        <v>137</v>
      </c>
      <c r="B134" s="313" t="n">
        <f aca="false">'Input data processed products'!C42</f>
        <v>0.5</v>
      </c>
      <c r="C134" s="137" t="s">
        <v>133</v>
      </c>
      <c r="D134" s="352"/>
      <c r="E134" s="137"/>
      <c r="F134" s="81" t="n">
        <f aca="false">IF($E$1="GWP100 without fb",F135+F136*'Common input data'!$C$5+F137*'Common input data'!$D$5,IF($E$1="GWP100 with fb",F135+F136*'Common input data'!$C$6+F137*'Common input data'!$D$6,IF($E$1="GTP100 without fb",F135+F136*'Common input data'!$C$7+F137*'Common input data'!$D$7,IF($E$1="GTP100 with fb",F135+F136*'Common input data'!$C$8+F137*'Common input data'!$D$8,F135+F136*'Common input data'!$C$9+F137*'Common input data'!$D$9))))</f>
        <v>0.791822690886113</v>
      </c>
      <c r="G134" s="261"/>
      <c r="H134" s="261"/>
      <c r="I134" s="359"/>
      <c r="J134" s="359"/>
      <c r="K134" s="74"/>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c r="FQ134" s="30"/>
      <c r="FR134" s="30"/>
      <c r="FS134" s="30"/>
      <c r="FT134" s="30"/>
      <c r="FU134" s="30"/>
      <c r="FV134" s="30"/>
      <c r="FW134" s="30"/>
      <c r="FX134" s="30"/>
      <c r="FY134" s="30"/>
      <c r="FZ134" s="30"/>
      <c r="GA134" s="30"/>
      <c r="GB134" s="30"/>
      <c r="GC134" s="30"/>
      <c r="GD134" s="30"/>
      <c r="GE134" s="30"/>
      <c r="GF134" s="30"/>
      <c r="GG134" s="30"/>
      <c r="GH134" s="30"/>
      <c r="GI134" s="30"/>
      <c r="GJ134" s="30"/>
      <c r="GK134" s="30"/>
      <c r="GL134" s="30"/>
      <c r="GM134" s="30"/>
      <c r="GN134" s="30"/>
      <c r="GO134" s="30"/>
      <c r="GP134" s="30"/>
      <c r="GQ134" s="30"/>
      <c r="GR134" s="30"/>
      <c r="GS134" s="30"/>
      <c r="GT134" s="30"/>
      <c r="GU134" s="30"/>
      <c r="GV134" s="30"/>
      <c r="GW134" s="30"/>
      <c r="GX134" s="30"/>
      <c r="GY134" s="30"/>
      <c r="GZ134" s="30"/>
      <c r="HA134" s="30"/>
      <c r="HB134" s="30"/>
      <c r="HC134" s="30"/>
      <c r="HD134" s="30"/>
      <c r="HE134" s="30"/>
      <c r="HF134" s="30"/>
      <c r="HG134" s="30"/>
      <c r="HH134" s="30"/>
      <c r="HI134" s="30"/>
      <c r="HJ134" s="30"/>
      <c r="HK134" s="30"/>
      <c r="HL134" s="30"/>
      <c r="HM134" s="30"/>
      <c r="HN134" s="30"/>
      <c r="HO134" s="30"/>
      <c r="HP134" s="30"/>
      <c r="HQ134" s="30"/>
      <c r="HR134" s="30"/>
      <c r="HS134" s="30"/>
      <c r="HT134" s="30"/>
      <c r="HU134" s="30"/>
      <c r="HV134" s="30"/>
      <c r="HW134" s="30"/>
      <c r="HX134" s="30"/>
      <c r="HY134" s="30"/>
      <c r="HZ134" s="30"/>
      <c r="IA134" s="30"/>
      <c r="IB134" s="30"/>
      <c r="IC134" s="30"/>
      <c r="ID134" s="30"/>
      <c r="IE134" s="30"/>
      <c r="IF134" s="30"/>
      <c r="IG134" s="30"/>
      <c r="IH134" s="30"/>
      <c r="II134" s="30"/>
      <c r="IJ134" s="30"/>
      <c r="IK134" s="30"/>
      <c r="IL134" s="30"/>
      <c r="IM134" s="30"/>
      <c r="IN134" s="30"/>
      <c r="IO134" s="30"/>
      <c r="IP134" s="30"/>
      <c r="IQ134" s="30"/>
      <c r="IR134" s="30"/>
      <c r="IS134" s="30"/>
      <c r="IT134" s="30"/>
      <c r="IU134" s="30"/>
      <c r="IV134" s="30"/>
      <c r="IW134" s="30"/>
      <c r="IX134" s="30"/>
      <c r="IY134" s="30"/>
      <c r="IZ134" s="30"/>
      <c r="JA134" s="30"/>
      <c r="JB134" s="30"/>
      <c r="JC134" s="30"/>
      <c r="JD134" s="30"/>
      <c r="JE134" s="30"/>
      <c r="JF134" s="30"/>
      <c r="JG134" s="30"/>
      <c r="JH134" s="30"/>
      <c r="JI134" s="30"/>
      <c r="JJ134" s="30"/>
      <c r="JK134" s="30"/>
      <c r="JL134" s="30"/>
      <c r="JM134" s="30"/>
      <c r="JN134" s="30"/>
      <c r="JO134" s="30"/>
      <c r="JP134" s="30"/>
      <c r="JQ134" s="30"/>
      <c r="JR134" s="30"/>
      <c r="JS134" s="30"/>
      <c r="JT134" s="30"/>
      <c r="JU134" s="30"/>
      <c r="JV134" s="30"/>
      <c r="JW134" s="30"/>
      <c r="JX134" s="30"/>
      <c r="JY134" s="30"/>
      <c r="JZ134" s="30"/>
      <c r="KA134" s="30"/>
      <c r="KB134" s="30"/>
      <c r="KC134" s="30"/>
      <c r="KD134" s="30"/>
      <c r="KE134" s="30"/>
      <c r="KF134" s="30"/>
      <c r="KG134" s="30"/>
      <c r="KH134" s="30"/>
      <c r="KI134" s="30"/>
      <c r="KJ134" s="30"/>
      <c r="KK134" s="30"/>
      <c r="KL134" s="30"/>
      <c r="KM134" s="30"/>
      <c r="KN134" s="30"/>
      <c r="KO134" s="30"/>
      <c r="KP134" s="30"/>
      <c r="KQ134" s="30"/>
      <c r="KR134" s="30"/>
      <c r="KS134" s="30"/>
      <c r="KT134" s="30"/>
      <c r="KU134" s="30"/>
      <c r="KV134" s="30"/>
      <c r="KW134" s="30"/>
      <c r="KX134" s="30"/>
      <c r="KY134" s="30"/>
      <c r="KZ134" s="30"/>
      <c r="LA134" s="30"/>
      <c r="LB134" s="30"/>
      <c r="LC134" s="30"/>
      <c r="LD134" s="30"/>
      <c r="LE134" s="30"/>
      <c r="LF134" s="30"/>
      <c r="LG134" s="30"/>
      <c r="LH134" s="30"/>
      <c r="LI134" s="30"/>
      <c r="LJ134" s="30"/>
      <c r="LK134" s="30"/>
      <c r="LL134" s="30"/>
      <c r="LM134" s="30"/>
      <c r="LN134" s="30"/>
      <c r="LO134" s="30"/>
      <c r="LP134" s="30"/>
      <c r="LQ134" s="30"/>
      <c r="LR134" s="30"/>
      <c r="LS134" s="30"/>
      <c r="LT134" s="30"/>
      <c r="LU134" s="30"/>
      <c r="LV134" s="30"/>
      <c r="LW134" s="30"/>
      <c r="LX134" s="30"/>
      <c r="LY134" s="30"/>
      <c r="LZ134" s="30"/>
      <c r="MA134" s="30"/>
      <c r="MB134" s="30"/>
      <c r="MC134" s="30"/>
      <c r="MD134" s="30"/>
      <c r="ME134" s="30"/>
      <c r="MF134" s="30"/>
      <c r="MG134" s="30"/>
      <c r="MH134" s="30"/>
      <c r="MI134" s="30"/>
      <c r="MJ134" s="30"/>
      <c r="MK134" s="30"/>
      <c r="ML134" s="30"/>
      <c r="MM134" s="30"/>
      <c r="MN134" s="30"/>
      <c r="MO134" s="30"/>
      <c r="MP134" s="30"/>
      <c r="MQ134" s="30"/>
      <c r="MR134" s="30"/>
      <c r="MS134" s="30"/>
      <c r="MT134" s="30"/>
    </row>
    <row r="135" customFormat="false" ht="14.4" hidden="false" customHeight="false" outlineLevel="0" collapsed="false">
      <c r="C135" s="85" t="s">
        <v>134</v>
      </c>
      <c r="D135" s="353"/>
      <c r="F135" s="88" t="n">
        <f aca="false">SUM(G135:J135)/(1-'Common input data'!$B$136)</f>
        <v>0.764457538901997</v>
      </c>
      <c r="G135" s="87" t="n">
        <f aca="false">SUMPRODUCT('Input data processed products'!D$42:AB$42,'Input data processed products'!D$55:AB$55)</f>
        <v>0.408011785011797</v>
      </c>
      <c r="H135" s="87" t="n">
        <f aca="false">'Input data processed products'!G$67</f>
        <v>0.1</v>
      </c>
      <c r="I135" s="89" t="n">
        <f aca="false">'Common input data'!B$89</f>
        <v>0.15</v>
      </c>
      <c r="J135" s="89" t="n">
        <f aca="false">'Common input data'!C$98</f>
        <v>0.03</v>
      </c>
      <c r="K135" s="74"/>
    </row>
    <row r="136" customFormat="false" ht="14.4" hidden="false" customHeight="false" outlineLevel="0" collapsed="false">
      <c r="A136" s="99"/>
      <c r="B136" s="93"/>
      <c r="C136" s="85" t="s">
        <v>135</v>
      </c>
      <c r="D136" s="353"/>
      <c r="F136" s="88" t="n">
        <f aca="false">SUM(G136:J136)/(1-'Common input data'!$B$136)</f>
        <v>4.1628420241938E-005</v>
      </c>
      <c r="G136" s="87" t="n">
        <f aca="false">SUMPRODUCT('Input data processed products'!D$42:AB$42,'Input data processed products'!D$56:AB$56)</f>
        <v>3.74655782177442E-005</v>
      </c>
      <c r="H136" s="87" t="n">
        <v>0</v>
      </c>
      <c r="I136" s="89" t="n">
        <v>0</v>
      </c>
      <c r="J136" s="89" t="n">
        <v>0</v>
      </c>
      <c r="K136" s="74"/>
    </row>
    <row r="137" customFormat="false" ht="14.4" hidden="false" customHeight="false" outlineLevel="0" collapsed="false">
      <c r="A137" s="100"/>
      <c r="B137" s="87"/>
      <c r="C137" s="31" t="s">
        <v>136</v>
      </c>
      <c r="D137" s="356"/>
      <c r="E137" s="52"/>
      <c r="F137" s="106" t="n">
        <f aca="false">SUM(G137:J137)/(1-'Common input data'!$B$136)</f>
        <v>8.70798177714449E-005</v>
      </c>
      <c r="G137" s="87" t="n">
        <f aca="false">SUMPRODUCT('Input data processed products'!D$42:AB$42,'Input data processed products'!D$57:AB$57)</f>
        <v>7.83718359943004E-005</v>
      </c>
      <c r="H137" s="87" t="n">
        <v>0</v>
      </c>
      <c r="I137" s="89" t="n">
        <v>0</v>
      </c>
      <c r="J137" s="89" t="n">
        <v>0</v>
      </c>
      <c r="K137" s="74"/>
    </row>
    <row r="138" s="132" customFormat="true" ht="14.4" hidden="false" customHeight="false" outlineLevel="0" collapsed="false">
      <c r="A138" s="127" t="s">
        <v>393</v>
      </c>
      <c r="B138" s="129"/>
      <c r="C138" s="130"/>
      <c r="D138" s="349"/>
      <c r="E138" s="270"/>
      <c r="F138" s="112" t="s">
        <v>394</v>
      </c>
      <c r="G138" s="129"/>
      <c r="H138" s="129"/>
      <c r="I138" s="131"/>
      <c r="J138" s="131"/>
      <c r="K138" s="74"/>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c r="GL138" s="30"/>
      <c r="GM138" s="30"/>
      <c r="GN138" s="30"/>
      <c r="GO138" s="30"/>
      <c r="GP138" s="30"/>
      <c r="GQ138" s="30"/>
      <c r="GR138" s="30"/>
      <c r="GS138" s="30"/>
      <c r="GT138" s="30"/>
      <c r="GU138" s="30"/>
      <c r="GV138" s="30"/>
      <c r="GW138" s="30"/>
      <c r="GX138" s="30"/>
      <c r="GY138" s="30"/>
      <c r="GZ138" s="30"/>
      <c r="HA138" s="30"/>
      <c r="HB138" s="30"/>
      <c r="HC138" s="30"/>
      <c r="HD138" s="30"/>
      <c r="HE138" s="30"/>
      <c r="HF138" s="30"/>
      <c r="HG138" s="30"/>
      <c r="HH138" s="30"/>
      <c r="HI138" s="30"/>
      <c r="HJ138" s="30"/>
      <c r="HK138" s="30"/>
      <c r="HL138" s="30"/>
      <c r="HM138" s="30"/>
      <c r="HN138" s="30"/>
      <c r="HO138" s="30"/>
      <c r="HP138" s="30"/>
      <c r="HQ138" s="30"/>
      <c r="HR138" s="30"/>
      <c r="HS138" s="30"/>
      <c r="HT138" s="30"/>
      <c r="HU138" s="30"/>
      <c r="HV138" s="30"/>
      <c r="HW138" s="30"/>
      <c r="HX138" s="30"/>
      <c r="HY138" s="30"/>
      <c r="HZ138" s="30"/>
      <c r="IA138" s="30"/>
      <c r="IB138" s="30"/>
      <c r="IC138" s="30"/>
      <c r="ID138" s="30"/>
      <c r="IE138" s="30"/>
      <c r="IF138" s="30"/>
      <c r="IG138" s="30"/>
      <c r="IH138" s="30"/>
      <c r="II138" s="30"/>
      <c r="IJ138" s="30"/>
      <c r="IK138" s="30"/>
      <c r="IL138" s="30"/>
      <c r="IM138" s="30"/>
      <c r="IN138" s="30"/>
      <c r="IO138" s="30"/>
      <c r="IP138" s="30"/>
      <c r="IQ138" s="30"/>
      <c r="IR138" s="30"/>
      <c r="IS138" s="30"/>
      <c r="IT138" s="30"/>
      <c r="IU138" s="30"/>
      <c r="IV138" s="30"/>
      <c r="IW138" s="30"/>
      <c r="IX138" s="30"/>
      <c r="IY138" s="30"/>
      <c r="IZ138" s="30"/>
      <c r="JA138" s="30"/>
      <c r="JB138" s="30"/>
      <c r="JC138" s="30"/>
      <c r="JD138" s="30"/>
      <c r="JE138" s="30"/>
      <c r="JF138" s="30"/>
      <c r="JG138" s="30"/>
      <c r="JH138" s="30"/>
      <c r="JI138" s="30"/>
      <c r="JJ138" s="30"/>
      <c r="JK138" s="30"/>
      <c r="JL138" s="30"/>
      <c r="JM138" s="30"/>
      <c r="JN138" s="30"/>
      <c r="JO138" s="30"/>
      <c r="JP138" s="30"/>
      <c r="JQ138" s="30"/>
      <c r="JR138" s="30"/>
      <c r="JS138" s="30"/>
      <c r="JT138" s="30"/>
      <c r="JU138" s="30"/>
      <c r="JV138" s="30"/>
      <c r="JW138" s="30"/>
      <c r="JX138" s="30"/>
      <c r="JY138" s="30"/>
      <c r="JZ138" s="30"/>
      <c r="KA138" s="30"/>
      <c r="KB138" s="30"/>
      <c r="KC138" s="30"/>
      <c r="KD138" s="30"/>
      <c r="KE138" s="30"/>
      <c r="KF138" s="30"/>
      <c r="KG138" s="30"/>
      <c r="KH138" s="30"/>
      <c r="KI138" s="30"/>
      <c r="KJ138" s="30"/>
      <c r="KK138" s="30"/>
      <c r="KL138" s="30"/>
      <c r="KM138" s="30"/>
      <c r="KN138" s="30"/>
      <c r="KO138" s="30"/>
      <c r="KP138" s="30"/>
      <c r="KQ138" s="30"/>
      <c r="KR138" s="30"/>
      <c r="KS138" s="30"/>
      <c r="KT138" s="30"/>
      <c r="KU138" s="30"/>
      <c r="KV138" s="30"/>
      <c r="KW138" s="30"/>
      <c r="KX138" s="30"/>
      <c r="KY138" s="30"/>
      <c r="KZ138" s="30"/>
      <c r="LA138" s="30"/>
      <c r="LB138" s="30"/>
      <c r="LC138" s="30"/>
      <c r="LD138" s="30"/>
      <c r="LE138" s="30"/>
      <c r="LF138" s="30"/>
      <c r="LG138" s="30"/>
      <c r="LH138" s="30"/>
      <c r="LI138" s="30"/>
      <c r="LJ138" s="30"/>
      <c r="LK138" s="30"/>
      <c r="LL138" s="30"/>
      <c r="LM138" s="30"/>
      <c r="LN138" s="30"/>
      <c r="LO138" s="30"/>
      <c r="LP138" s="30"/>
      <c r="LQ138" s="30"/>
      <c r="LR138" s="30"/>
      <c r="LS138" s="30"/>
      <c r="LT138" s="30"/>
      <c r="LU138" s="30"/>
      <c r="LV138" s="30"/>
      <c r="LW138" s="30"/>
      <c r="LX138" s="30"/>
      <c r="LY138" s="30"/>
      <c r="LZ138" s="30"/>
      <c r="MA138" s="30"/>
      <c r="MB138" s="30"/>
      <c r="MC138" s="30"/>
      <c r="MD138" s="30"/>
      <c r="ME138" s="30"/>
      <c r="MF138" s="30"/>
      <c r="MG138" s="30"/>
      <c r="MH138" s="30"/>
      <c r="MI138" s="30"/>
      <c r="MJ138" s="30"/>
      <c r="MK138" s="30"/>
      <c r="ML138" s="30"/>
      <c r="MM138" s="30"/>
      <c r="MN138" s="30"/>
      <c r="MO138" s="30"/>
      <c r="MP138" s="30"/>
      <c r="MQ138" s="30"/>
      <c r="MR138" s="30"/>
      <c r="MS138" s="30"/>
      <c r="MT138" s="30"/>
    </row>
    <row r="139" s="262" customFormat="true" ht="14.4" hidden="false" customHeight="false" outlineLevel="0" collapsed="false">
      <c r="A139" s="134" t="s">
        <v>137</v>
      </c>
      <c r="B139" s="313" t="n">
        <f aca="false">SUM(B144,B149)</f>
        <v>1</v>
      </c>
      <c r="C139" s="137" t="s">
        <v>133</v>
      </c>
      <c r="D139" s="352"/>
      <c r="E139" s="137"/>
      <c r="F139" s="81" t="n">
        <f aca="false">IF($E$1="GWP100 without fb",F140+F141*'Common input data'!$C$5+F142*'Common input data'!$D$5,IF($E$1="GWP100 with fb",F140+F141*'Common input data'!$C$6+F142*'Common input data'!$D$6,IF($E$1="GTP100 without fb",F140+F141*'Common input data'!$C$7+F142*'Common input data'!$D$7,IF($E$1="GTP100 with fb",F140+F141*'Common input data'!$C$8+F142*'Common input data'!$D$8,F140+F141*'Common input data'!$C$9+F142*'Common input data'!$D$9))))</f>
        <v>1.27361569005287</v>
      </c>
      <c r="G139" s="261"/>
      <c r="H139" s="261"/>
      <c r="I139" s="359"/>
      <c r="J139" s="359"/>
      <c r="K139" s="74"/>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c r="FR139" s="30"/>
      <c r="FS139" s="30"/>
      <c r="FT139" s="30"/>
      <c r="FU139" s="30"/>
      <c r="FV139" s="30"/>
      <c r="FW139" s="30"/>
      <c r="FX139" s="30"/>
      <c r="FY139" s="30"/>
      <c r="FZ139" s="30"/>
      <c r="GA139" s="30"/>
      <c r="GB139" s="30"/>
      <c r="GC139" s="30"/>
      <c r="GD139" s="30"/>
      <c r="GE139" s="30"/>
      <c r="GF139" s="30"/>
      <c r="GG139" s="30"/>
      <c r="GH139" s="30"/>
      <c r="GI139" s="30"/>
      <c r="GJ139" s="30"/>
      <c r="GK139" s="30"/>
      <c r="GL139" s="30"/>
      <c r="GM139" s="30"/>
      <c r="GN139" s="30"/>
      <c r="GO139" s="30"/>
      <c r="GP139" s="30"/>
      <c r="GQ139" s="30"/>
      <c r="GR139" s="30"/>
      <c r="GS139" s="30"/>
      <c r="GT139" s="30"/>
      <c r="GU139" s="30"/>
      <c r="GV139" s="30"/>
      <c r="GW139" s="30"/>
      <c r="GX139" s="30"/>
      <c r="GY139" s="30"/>
      <c r="GZ139" s="30"/>
      <c r="HA139" s="30"/>
      <c r="HB139" s="30"/>
      <c r="HC139" s="30"/>
      <c r="HD139" s="30"/>
      <c r="HE139" s="30"/>
      <c r="HF139" s="30"/>
      <c r="HG139" s="30"/>
      <c r="HH139" s="30"/>
      <c r="HI139" s="30"/>
      <c r="HJ139" s="30"/>
      <c r="HK139" s="30"/>
      <c r="HL139" s="30"/>
      <c r="HM139" s="30"/>
      <c r="HN139" s="30"/>
      <c r="HO139" s="30"/>
      <c r="HP139" s="30"/>
      <c r="HQ139" s="30"/>
      <c r="HR139" s="30"/>
      <c r="HS139" s="30"/>
      <c r="HT139" s="30"/>
      <c r="HU139" s="30"/>
      <c r="HV139" s="30"/>
      <c r="HW139" s="30"/>
      <c r="HX139" s="30"/>
      <c r="HY139" s="30"/>
      <c r="HZ139" s="30"/>
      <c r="IA139" s="30"/>
      <c r="IB139" s="30"/>
      <c r="IC139" s="30"/>
      <c r="ID139" s="30"/>
      <c r="IE139" s="30"/>
      <c r="IF139" s="30"/>
      <c r="IG139" s="30"/>
      <c r="IH139" s="30"/>
      <c r="II139" s="30"/>
      <c r="IJ139" s="30"/>
      <c r="IK139" s="30"/>
      <c r="IL139" s="30"/>
      <c r="IM139" s="30"/>
      <c r="IN139" s="30"/>
      <c r="IO139" s="30"/>
      <c r="IP139" s="30"/>
      <c r="IQ139" s="30"/>
      <c r="IR139" s="30"/>
      <c r="IS139" s="30"/>
      <c r="IT139" s="30"/>
      <c r="IU139" s="30"/>
      <c r="IV139" s="30"/>
      <c r="IW139" s="30"/>
      <c r="IX139" s="30"/>
      <c r="IY139" s="30"/>
      <c r="IZ139" s="30"/>
      <c r="JA139" s="30"/>
      <c r="JB139" s="30"/>
      <c r="JC139" s="30"/>
      <c r="JD139" s="30"/>
      <c r="JE139" s="30"/>
      <c r="JF139" s="30"/>
      <c r="JG139" s="30"/>
      <c r="JH139" s="30"/>
      <c r="JI139" s="30"/>
      <c r="JJ139" s="30"/>
      <c r="JK139" s="30"/>
      <c r="JL139" s="30"/>
      <c r="JM139" s="30"/>
      <c r="JN139" s="30"/>
      <c r="JO139" s="30"/>
      <c r="JP139" s="30"/>
      <c r="JQ139" s="30"/>
      <c r="JR139" s="30"/>
      <c r="JS139" s="30"/>
      <c r="JT139" s="30"/>
      <c r="JU139" s="30"/>
      <c r="JV139" s="30"/>
      <c r="JW139" s="30"/>
      <c r="JX139" s="30"/>
      <c r="JY139" s="30"/>
      <c r="JZ139" s="30"/>
      <c r="KA139" s="30"/>
      <c r="KB139" s="30"/>
      <c r="KC139" s="30"/>
      <c r="KD139" s="30"/>
      <c r="KE139" s="30"/>
      <c r="KF139" s="30"/>
      <c r="KG139" s="30"/>
      <c r="KH139" s="30"/>
      <c r="KI139" s="30"/>
      <c r="KJ139" s="30"/>
      <c r="KK139" s="30"/>
      <c r="KL139" s="30"/>
      <c r="KM139" s="30"/>
      <c r="KN139" s="30"/>
      <c r="KO139" s="30"/>
      <c r="KP139" s="30"/>
      <c r="KQ139" s="30"/>
      <c r="KR139" s="30"/>
      <c r="KS139" s="30"/>
      <c r="KT139" s="30"/>
      <c r="KU139" s="30"/>
      <c r="KV139" s="30"/>
      <c r="KW139" s="30"/>
      <c r="KX139" s="30"/>
      <c r="KY139" s="30"/>
      <c r="KZ139" s="30"/>
      <c r="LA139" s="30"/>
      <c r="LB139" s="30"/>
      <c r="LC139" s="30"/>
      <c r="LD139" s="30"/>
      <c r="LE139" s="30"/>
      <c r="LF139" s="30"/>
      <c r="LG139" s="30"/>
      <c r="LH139" s="30"/>
      <c r="LI139" s="30"/>
      <c r="LJ139" s="30"/>
      <c r="LK139" s="30"/>
      <c r="LL139" s="30"/>
      <c r="LM139" s="30"/>
      <c r="LN139" s="30"/>
      <c r="LO139" s="30"/>
      <c r="LP139" s="30"/>
      <c r="LQ139" s="30"/>
      <c r="LR139" s="30"/>
      <c r="LS139" s="30"/>
      <c r="LT139" s="30"/>
      <c r="LU139" s="30"/>
      <c r="LV139" s="30"/>
      <c r="LW139" s="30"/>
      <c r="LX139" s="30"/>
      <c r="LY139" s="30"/>
      <c r="LZ139" s="30"/>
      <c r="MA139" s="30"/>
      <c r="MB139" s="30"/>
      <c r="MC139" s="30"/>
      <c r="MD139" s="30"/>
      <c r="ME139" s="30"/>
      <c r="MF139" s="30"/>
      <c r="MG139" s="30"/>
      <c r="MH139" s="30"/>
      <c r="MI139" s="30"/>
      <c r="MJ139" s="30"/>
      <c r="MK139" s="30"/>
      <c r="ML139" s="30"/>
      <c r="MM139" s="30"/>
      <c r="MN139" s="30"/>
      <c r="MO139" s="30"/>
      <c r="MP139" s="30"/>
      <c r="MQ139" s="30"/>
      <c r="MR139" s="30"/>
      <c r="MS139" s="30"/>
      <c r="MT139" s="30"/>
    </row>
    <row r="140" customFormat="false" ht="14.4" hidden="false" customHeight="false" outlineLevel="0" collapsed="false">
      <c r="A140" s="99"/>
      <c r="B140" s="93"/>
      <c r="C140" s="85" t="s">
        <v>134</v>
      </c>
      <c r="D140" s="353"/>
      <c r="E140" s="85"/>
      <c r="F140" s="88" t="n">
        <f aca="false">$B$144*F145+$B$149*F150</f>
        <v>1.01885013739912</v>
      </c>
      <c r="G140" s="89" t="n">
        <f aca="false">$B$144*G145+$B$149*G150</f>
        <v>0.636965123659206</v>
      </c>
      <c r="H140" s="89" t="n">
        <f aca="false">$B$144*H145+$B$149*H150</f>
        <v>0.1</v>
      </c>
      <c r="I140" s="89" t="n">
        <f aca="false">$B$144*I145+$B$149*I150</f>
        <v>0.15</v>
      </c>
      <c r="J140" s="89" t="n">
        <f aca="false">$B$129*J145+$B$134*J150</f>
        <v>0.03</v>
      </c>
      <c r="K140" s="74"/>
    </row>
    <row r="141" customFormat="false" ht="14.4" hidden="false" customHeight="false" outlineLevel="0" collapsed="false">
      <c r="A141" s="100"/>
      <c r="B141" s="87"/>
      <c r="C141" s="85" t="s">
        <v>135</v>
      </c>
      <c r="D141" s="353"/>
      <c r="E141" s="85"/>
      <c r="F141" s="88" t="n">
        <f aca="false">$B$144*F146+$B$149*F151</f>
        <v>0.000860182180391283</v>
      </c>
      <c r="G141" s="89" t="n">
        <f aca="false">$B$144*G146+$B$149*G151</f>
        <v>0.000774163962352155</v>
      </c>
      <c r="H141" s="89" t="n">
        <f aca="false">$B$144*H146+$B$149*H151</f>
        <v>0</v>
      </c>
      <c r="I141" s="89" t="n">
        <f aca="false">$B$144*I146+$B$149*I151</f>
        <v>0</v>
      </c>
      <c r="J141" s="89" t="n">
        <f aca="false">$B$144*J146+$B$149*J151</f>
        <v>0</v>
      </c>
      <c r="K141" s="74"/>
    </row>
    <row r="142" customFormat="false" ht="14.4" hidden="false" customHeight="false" outlineLevel="0" collapsed="false">
      <c r="A142" s="100"/>
      <c r="B142" s="87"/>
      <c r="C142" s="31" t="s">
        <v>136</v>
      </c>
      <c r="D142" s="356"/>
      <c r="E142" s="125"/>
      <c r="F142" s="106" t="n">
        <f aca="false">$B$144*F147+$B$149*F152</f>
        <v>0.000756776370873992</v>
      </c>
      <c r="G142" s="89" t="n">
        <f aca="false">$B$144*G147+$B$149*G152</f>
        <v>0.000681098733786593</v>
      </c>
      <c r="H142" s="89" t="n">
        <f aca="false">$B$144*H147+$B$149*H152</f>
        <v>0</v>
      </c>
      <c r="I142" s="89" t="n">
        <f aca="false">$B$144*I147+$B$149*I152</f>
        <v>0</v>
      </c>
      <c r="J142" s="89" t="n">
        <f aca="false">$B$144*J147+$B$149*J152</f>
        <v>0</v>
      </c>
      <c r="K142" s="74"/>
    </row>
    <row r="143" s="132" customFormat="true" ht="14.4" hidden="false" customHeight="false" outlineLevel="0" collapsed="false">
      <c r="A143" s="127" t="s">
        <v>395</v>
      </c>
      <c r="B143" s="129"/>
      <c r="C143" s="130"/>
      <c r="D143" s="349"/>
      <c r="E143" s="270"/>
      <c r="F143" s="112" t="s">
        <v>396</v>
      </c>
      <c r="G143" s="131"/>
      <c r="H143" s="131"/>
      <c r="I143" s="131"/>
      <c r="J143" s="131"/>
      <c r="K143" s="74"/>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c r="FR143" s="30"/>
      <c r="FS143" s="30"/>
      <c r="FT143" s="30"/>
      <c r="FU143" s="30"/>
      <c r="FV143" s="30"/>
      <c r="FW143" s="30"/>
      <c r="FX143" s="30"/>
      <c r="FY143" s="30"/>
      <c r="FZ143" s="30"/>
      <c r="GA143" s="30"/>
      <c r="GB143" s="30"/>
      <c r="GC143" s="30"/>
      <c r="GD143" s="30"/>
      <c r="GE143" s="30"/>
      <c r="GF143" s="30"/>
      <c r="GG143" s="30"/>
      <c r="GH143" s="30"/>
      <c r="GI143" s="30"/>
      <c r="GJ143" s="30"/>
      <c r="GK143" s="30"/>
      <c r="GL143" s="30"/>
      <c r="GM143" s="30"/>
      <c r="GN143" s="30"/>
      <c r="GO143" s="30"/>
      <c r="GP143" s="30"/>
      <c r="GQ143" s="30"/>
      <c r="GR143" s="30"/>
      <c r="GS143" s="30"/>
      <c r="GT143" s="30"/>
      <c r="GU143" s="30"/>
      <c r="GV143" s="30"/>
      <c r="GW143" s="30"/>
      <c r="GX143" s="30"/>
      <c r="GY143" s="30"/>
      <c r="GZ143" s="30"/>
      <c r="HA143" s="30"/>
      <c r="HB143" s="30"/>
      <c r="HC143" s="30"/>
      <c r="HD143" s="30"/>
      <c r="HE143" s="30"/>
      <c r="HF143" s="30"/>
      <c r="HG143" s="30"/>
      <c r="HH143" s="30"/>
      <c r="HI143" s="30"/>
      <c r="HJ143" s="30"/>
      <c r="HK143" s="30"/>
      <c r="HL143" s="30"/>
      <c r="HM143" s="30"/>
      <c r="HN143" s="30"/>
      <c r="HO143" s="30"/>
      <c r="HP143" s="30"/>
      <c r="HQ143" s="30"/>
      <c r="HR143" s="30"/>
      <c r="HS143" s="30"/>
      <c r="HT143" s="30"/>
      <c r="HU143" s="30"/>
      <c r="HV143" s="30"/>
      <c r="HW143" s="30"/>
      <c r="HX143" s="30"/>
      <c r="HY143" s="30"/>
      <c r="HZ143" s="30"/>
      <c r="IA143" s="30"/>
      <c r="IB143" s="30"/>
      <c r="IC143" s="30"/>
      <c r="ID143" s="30"/>
      <c r="IE143" s="30"/>
      <c r="IF143" s="30"/>
      <c r="IG143" s="30"/>
      <c r="IH143" s="30"/>
      <c r="II143" s="30"/>
      <c r="IJ143" s="30"/>
      <c r="IK143" s="30"/>
      <c r="IL143" s="30"/>
      <c r="IM143" s="30"/>
      <c r="IN143" s="30"/>
      <c r="IO143" s="30"/>
      <c r="IP143" s="30"/>
      <c r="IQ143" s="30"/>
      <c r="IR143" s="30"/>
      <c r="IS143" s="30"/>
      <c r="IT143" s="30"/>
      <c r="IU143" s="30"/>
      <c r="IV143" s="30"/>
      <c r="IW143" s="30"/>
      <c r="IX143" s="30"/>
      <c r="IY143" s="30"/>
      <c r="IZ143" s="30"/>
      <c r="JA143" s="30"/>
      <c r="JB143" s="30"/>
      <c r="JC143" s="30"/>
      <c r="JD143" s="30"/>
      <c r="JE143" s="30"/>
      <c r="JF143" s="30"/>
      <c r="JG143" s="30"/>
      <c r="JH143" s="30"/>
      <c r="JI143" s="30"/>
      <c r="JJ143" s="30"/>
      <c r="JK143" s="30"/>
      <c r="JL143" s="30"/>
      <c r="JM143" s="30"/>
      <c r="JN143" s="30"/>
      <c r="JO143" s="30"/>
      <c r="JP143" s="30"/>
      <c r="JQ143" s="30"/>
      <c r="JR143" s="30"/>
      <c r="JS143" s="30"/>
      <c r="JT143" s="30"/>
      <c r="JU143" s="30"/>
      <c r="JV143" s="30"/>
      <c r="JW143" s="30"/>
      <c r="JX143" s="30"/>
      <c r="JY143" s="30"/>
      <c r="JZ143" s="30"/>
      <c r="KA143" s="30"/>
      <c r="KB143" s="30"/>
      <c r="KC143" s="30"/>
      <c r="KD143" s="30"/>
      <c r="KE143" s="30"/>
      <c r="KF143" s="30"/>
      <c r="KG143" s="30"/>
      <c r="KH143" s="30"/>
      <c r="KI143" s="30"/>
      <c r="KJ143" s="30"/>
      <c r="KK143" s="30"/>
      <c r="KL143" s="30"/>
      <c r="KM143" s="30"/>
      <c r="KN143" s="30"/>
      <c r="KO143" s="30"/>
      <c r="KP143" s="30"/>
      <c r="KQ143" s="30"/>
      <c r="KR143" s="30"/>
      <c r="KS143" s="30"/>
      <c r="KT143" s="30"/>
      <c r="KU143" s="30"/>
      <c r="KV143" s="30"/>
      <c r="KW143" s="30"/>
      <c r="KX143" s="30"/>
      <c r="KY143" s="30"/>
      <c r="KZ143" s="30"/>
      <c r="LA143" s="30"/>
      <c r="LB143" s="30"/>
      <c r="LC143" s="30"/>
      <c r="LD143" s="30"/>
      <c r="LE143" s="30"/>
      <c r="LF143" s="30"/>
      <c r="LG143" s="30"/>
      <c r="LH143" s="30"/>
      <c r="LI143" s="30"/>
      <c r="LJ143" s="30"/>
      <c r="LK143" s="30"/>
      <c r="LL143" s="30"/>
      <c r="LM143" s="30"/>
      <c r="LN143" s="30"/>
      <c r="LO143" s="30"/>
      <c r="LP143" s="30"/>
      <c r="LQ143" s="30"/>
      <c r="LR143" s="30"/>
      <c r="LS143" s="30"/>
      <c r="LT143" s="30"/>
      <c r="LU143" s="30"/>
      <c r="LV143" s="30"/>
      <c r="LW143" s="30"/>
      <c r="LX143" s="30"/>
      <c r="LY143" s="30"/>
      <c r="LZ143" s="30"/>
      <c r="MA143" s="30"/>
      <c r="MB143" s="30"/>
      <c r="MC143" s="30"/>
      <c r="MD143" s="30"/>
      <c r="ME143" s="30"/>
      <c r="MF143" s="30"/>
      <c r="MG143" s="30"/>
      <c r="MH143" s="30"/>
      <c r="MI143" s="30"/>
      <c r="MJ143" s="30"/>
      <c r="MK143" s="30"/>
      <c r="ML143" s="30"/>
      <c r="MM143" s="30"/>
      <c r="MN143" s="30"/>
      <c r="MO143" s="30"/>
      <c r="MP143" s="30"/>
      <c r="MQ143" s="30"/>
      <c r="MR143" s="30"/>
      <c r="MS143" s="30"/>
      <c r="MT143" s="30"/>
    </row>
    <row r="144" s="262" customFormat="true" ht="14.4" hidden="false" customHeight="false" outlineLevel="0" collapsed="false">
      <c r="A144" s="134" t="s">
        <v>137</v>
      </c>
      <c r="B144" s="313" t="n">
        <f aca="false">'Input data processed products'!C44</f>
        <v>0.5</v>
      </c>
      <c r="C144" s="137" t="s">
        <v>133</v>
      </c>
      <c r="D144" s="352"/>
      <c r="E144" s="137"/>
      <c r="F144" s="81" t="n">
        <f aca="false">IF($E$1="GWP100 without fb",F145+F146*'Common input data'!$C$5+F147*'Common input data'!$D$5,IF($E$1="GWP100 with fb",F145+F146*'Common input data'!$C$6+F147*'Common input data'!$D$6,IF($E$1="GTP100 without fb",F145+F146*'Common input data'!$C$7+F147*'Common input data'!$D$7,IF($E$1="GTP100 with fb",F145+F146*'Common input data'!$C$8+F147*'Common input data'!$D$8,F145+F146*'Common input data'!$C$9+F147*'Common input data'!$D$9))))</f>
        <v>1.24418035675425</v>
      </c>
      <c r="G144" s="261"/>
      <c r="H144" s="261"/>
      <c r="I144" s="359"/>
      <c r="J144" s="359"/>
      <c r="K144" s="74"/>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c r="FR144" s="30"/>
      <c r="FS144" s="30"/>
      <c r="FT144" s="30"/>
      <c r="FU144" s="30"/>
      <c r="FV144" s="30"/>
      <c r="FW144" s="30"/>
      <c r="FX144" s="30"/>
      <c r="FY144" s="30"/>
      <c r="FZ144" s="30"/>
      <c r="GA144" s="30"/>
      <c r="GB144" s="30"/>
      <c r="GC144" s="30"/>
      <c r="GD144" s="30"/>
      <c r="GE144" s="30"/>
      <c r="GF144" s="30"/>
      <c r="GG144" s="30"/>
      <c r="GH144" s="30"/>
      <c r="GI144" s="30"/>
      <c r="GJ144" s="30"/>
      <c r="GK144" s="30"/>
      <c r="GL144" s="30"/>
      <c r="GM144" s="30"/>
      <c r="GN144" s="30"/>
      <c r="GO144" s="30"/>
      <c r="GP144" s="30"/>
      <c r="GQ144" s="30"/>
      <c r="GR144" s="30"/>
      <c r="GS144" s="30"/>
      <c r="GT144" s="30"/>
      <c r="GU144" s="30"/>
      <c r="GV144" s="30"/>
      <c r="GW144" s="30"/>
      <c r="GX144" s="30"/>
      <c r="GY144" s="30"/>
      <c r="GZ144" s="30"/>
      <c r="HA144" s="30"/>
      <c r="HB144" s="30"/>
      <c r="HC144" s="30"/>
      <c r="HD144" s="30"/>
      <c r="HE144" s="30"/>
      <c r="HF144" s="30"/>
      <c r="HG144" s="30"/>
      <c r="HH144" s="30"/>
      <c r="HI144" s="30"/>
      <c r="HJ144" s="30"/>
      <c r="HK144" s="30"/>
      <c r="HL144" s="30"/>
      <c r="HM144" s="30"/>
      <c r="HN144" s="30"/>
      <c r="HO144" s="30"/>
      <c r="HP144" s="30"/>
      <c r="HQ144" s="30"/>
      <c r="HR144" s="30"/>
      <c r="HS144" s="30"/>
      <c r="HT144" s="30"/>
      <c r="HU144" s="30"/>
      <c r="HV144" s="30"/>
      <c r="HW144" s="30"/>
      <c r="HX144" s="30"/>
      <c r="HY144" s="30"/>
      <c r="HZ144" s="30"/>
      <c r="IA144" s="30"/>
      <c r="IB144" s="30"/>
      <c r="IC144" s="30"/>
      <c r="ID144" s="30"/>
      <c r="IE144" s="30"/>
      <c r="IF144" s="30"/>
      <c r="IG144" s="30"/>
      <c r="IH144" s="30"/>
      <c r="II144" s="30"/>
      <c r="IJ144" s="30"/>
      <c r="IK144" s="30"/>
      <c r="IL144" s="30"/>
      <c r="IM144" s="30"/>
      <c r="IN144" s="30"/>
      <c r="IO144" s="30"/>
      <c r="IP144" s="30"/>
      <c r="IQ144" s="30"/>
      <c r="IR144" s="30"/>
      <c r="IS144" s="30"/>
      <c r="IT144" s="30"/>
      <c r="IU144" s="30"/>
      <c r="IV144" s="30"/>
      <c r="IW144" s="30"/>
      <c r="IX144" s="30"/>
      <c r="IY144" s="30"/>
      <c r="IZ144" s="30"/>
      <c r="JA144" s="30"/>
      <c r="JB144" s="30"/>
      <c r="JC144" s="30"/>
      <c r="JD144" s="30"/>
      <c r="JE144" s="30"/>
      <c r="JF144" s="30"/>
      <c r="JG144" s="30"/>
      <c r="JH144" s="30"/>
      <c r="JI144" s="30"/>
      <c r="JJ144" s="30"/>
      <c r="JK144" s="30"/>
      <c r="JL144" s="30"/>
      <c r="JM144" s="30"/>
      <c r="JN144" s="30"/>
      <c r="JO144" s="30"/>
      <c r="JP144" s="30"/>
      <c r="JQ144" s="30"/>
      <c r="JR144" s="30"/>
      <c r="JS144" s="30"/>
      <c r="JT144" s="30"/>
      <c r="JU144" s="30"/>
      <c r="JV144" s="30"/>
      <c r="JW144" s="30"/>
      <c r="JX144" s="30"/>
      <c r="JY144" s="30"/>
      <c r="JZ144" s="30"/>
      <c r="KA144" s="30"/>
      <c r="KB144" s="30"/>
      <c r="KC144" s="30"/>
      <c r="KD144" s="30"/>
      <c r="KE144" s="30"/>
      <c r="KF144" s="30"/>
      <c r="KG144" s="30"/>
      <c r="KH144" s="30"/>
      <c r="KI144" s="30"/>
      <c r="KJ144" s="30"/>
      <c r="KK144" s="30"/>
      <c r="KL144" s="30"/>
      <c r="KM144" s="30"/>
      <c r="KN144" s="30"/>
      <c r="KO144" s="30"/>
      <c r="KP144" s="30"/>
      <c r="KQ144" s="30"/>
      <c r="KR144" s="30"/>
      <c r="KS144" s="30"/>
      <c r="KT144" s="30"/>
      <c r="KU144" s="30"/>
      <c r="KV144" s="30"/>
      <c r="KW144" s="30"/>
      <c r="KX144" s="30"/>
      <c r="KY144" s="30"/>
      <c r="KZ144" s="30"/>
      <c r="LA144" s="30"/>
      <c r="LB144" s="30"/>
      <c r="LC144" s="30"/>
      <c r="LD144" s="30"/>
      <c r="LE144" s="30"/>
      <c r="LF144" s="30"/>
      <c r="LG144" s="30"/>
      <c r="LH144" s="30"/>
      <c r="LI144" s="30"/>
      <c r="LJ144" s="30"/>
      <c r="LK144" s="30"/>
      <c r="LL144" s="30"/>
      <c r="LM144" s="30"/>
      <c r="LN144" s="30"/>
      <c r="LO144" s="30"/>
      <c r="LP144" s="30"/>
      <c r="LQ144" s="30"/>
      <c r="LR144" s="30"/>
      <c r="LS144" s="30"/>
      <c r="LT144" s="30"/>
      <c r="LU144" s="30"/>
      <c r="LV144" s="30"/>
      <c r="LW144" s="30"/>
      <c r="LX144" s="30"/>
      <c r="LY144" s="30"/>
      <c r="LZ144" s="30"/>
      <c r="MA144" s="30"/>
      <c r="MB144" s="30"/>
      <c r="MC144" s="30"/>
      <c r="MD144" s="30"/>
      <c r="ME144" s="30"/>
      <c r="MF144" s="30"/>
      <c r="MG144" s="30"/>
      <c r="MH144" s="30"/>
      <c r="MI144" s="30"/>
      <c r="MJ144" s="30"/>
      <c r="MK144" s="30"/>
      <c r="ML144" s="30"/>
      <c r="MM144" s="30"/>
      <c r="MN144" s="30"/>
      <c r="MO144" s="30"/>
      <c r="MP144" s="30"/>
      <c r="MQ144" s="30"/>
      <c r="MR144" s="30"/>
      <c r="MS144" s="30"/>
      <c r="MT144" s="30"/>
    </row>
    <row r="145" customFormat="false" ht="14.4" hidden="false" customHeight="false" outlineLevel="0" collapsed="false">
      <c r="A145" s="99"/>
      <c r="B145" s="93"/>
      <c r="C145" s="85" t="s">
        <v>134</v>
      </c>
      <c r="D145" s="353"/>
      <c r="E145" s="85"/>
      <c r="F145" s="88" t="n">
        <f aca="false">SUM(G145:J145)/(1-'Common input data'!$B$136)</f>
        <v>1.08466952072673</v>
      </c>
      <c r="G145" s="87" t="n">
        <f aca="false">SUMPRODUCT('Input data processed products'!D$44:AB$44,'Input data processed products'!D$55:AB$55)</f>
        <v>0.696202568654054</v>
      </c>
      <c r="H145" s="87" t="n">
        <f aca="false">'Input data processed products'!G$67</f>
        <v>0.1</v>
      </c>
      <c r="I145" s="89" t="n">
        <f aca="false">'Common input data'!B$89</f>
        <v>0.15</v>
      </c>
      <c r="J145" s="89" t="n">
        <f aca="false">'Common input data'!C$98</f>
        <v>0.03</v>
      </c>
      <c r="K145" s="74"/>
    </row>
    <row r="146" customFormat="false" ht="14.4" hidden="false" customHeight="false" outlineLevel="0" collapsed="false">
      <c r="A146" s="100"/>
      <c r="B146" s="87"/>
      <c r="C146" s="85" t="s">
        <v>135</v>
      </c>
      <c r="D146" s="353"/>
      <c r="E146" s="85"/>
      <c r="F146" s="88" t="n">
        <f aca="false">SUM(G146:J146)/(1-'Common input data'!$B$136)</f>
        <v>0.00159134897536883</v>
      </c>
      <c r="G146" s="87" t="n">
        <f aca="false">SUMPRODUCT('Input data processed products'!D$44:AB$44,'Input data processed products'!D$56:AB$56)</f>
        <v>0.00143221407783195</v>
      </c>
      <c r="H146" s="87" t="n">
        <v>0</v>
      </c>
      <c r="I146" s="89" t="n">
        <v>0</v>
      </c>
      <c r="J146" s="89" t="n">
        <v>0</v>
      </c>
      <c r="K146" s="74"/>
    </row>
    <row r="147" customFormat="false" ht="14.4" hidden="false" customHeight="false" outlineLevel="0" collapsed="false">
      <c r="A147" s="100"/>
      <c r="B147" s="87"/>
      <c r="C147" s="31" t="s">
        <v>136</v>
      </c>
      <c r="D147" s="356"/>
      <c r="E147" s="125"/>
      <c r="F147" s="106" t="n">
        <f aca="false">SUM(G147:J147)/(1-'Common input data'!$B$136)</f>
        <v>0.000353707955922766</v>
      </c>
      <c r="G147" s="87" t="n">
        <f aca="false">SUMPRODUCT('Input data processed products'!D$44:AB$44,'Input data processed products'!D$57:AB$57)</f>
        <v>0.000318337160330489</v>
      </c>
      <c r="H147" s="87" t="n">
        <v>0</v>
      </c>
      <c r="I147" s="89" t="n">
        <v>0</v>
      </c>
      <c r="J147" s="89" t="n">
        <v>0</v>
      </c>
      <c r="K147" s="74"/>
    </row>
    <row r="148" s="132" customFormat="true" ht="14.4" hidden="false" customHeight="false" outlineLevel="0" collapsed="false">
      <c r="A148" s="127" t="s">
        <v>397</v>
      </c>
      <c r="B148" s="129"/>
      <c r="C148" s="130"/>
      <c r="D148" s="349"/>
      <c r="E148" s="270"/>
      <c r="F148" s="112" t="s">
        <v>398</v>
      </c>
      <c r="G148" s="129"/>
      <c r="H148" s="129"/>
      <c r="I148" s="131"/>
      <c r="J148" s="131"/>
      <c r="K148" s="74"/>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c r="FQ148" s="30"/>
      <c r="FR148" s="30"/>
      <c r="FS148" s="30"/>
      <c r="FT148" s="30"/>
      <c r="FU148" s="30"/>
      <c r="FV148" s="30"/>
      <c r="FW148" s="30"/>
      <c r="FX148" s="30"/>
      <c r="FY148" s="30"/>
      <c r="FZ148" s="30"/>
      <c r="GA148" s="30"/>
      <c r="GB148" s="30"/>
      <c r="GC148" s="30"/>
      <c r="GD148" s="30"/>
      <c r="GE148" s="30"/>
      <c r="GF148" s="30"/>
      <c r="GG148" s="30"/>
      <c r="GH148" s="30"/>
      <c r="GI148" s="30"/>
      <c r="GJ148" s="30"/>
      <c r="GK148" s="30"/>
      <c r="GL148" s="30"/>
      <c r="GM148" s="30"/>
      <c r="GN148" s="30"/>
      <c r="GO148" s="30"/>
      <c r="GP148" s="30"/>
      <c r="GQ148" s="30"/>
      <c r="GR148" s="30"/>
      <c r="GS148" s="30"/>
      <c r="GT148" s="30"/>
      <c r="GU148" s="30"/>
      <c r="GV148" s="30"/>
      <c r="GW148" s="30"/>
      <c r="GX148" s="30"/>
      <c r="GY148" s="30"/>
      <c r="GZ148" s="30"/>
      <c r="HA148" s="30"/>
      <c r="HB148" s="30"/>
      <c r="HC148" s="30"/>
      <c r="HD148" s="30"/>
      <c r="HE148" s="30"/>
      <c r="HF148" s="30"/>
      <c r="HG148" s="30"/>
      <c r="HH148" s="30"/>
      <c r="HI148" s="30"/>
      <c r="HJ148" s="30"/>
      <c r="HK148" s="30"/>
      <c r="HL148" s="30"/>
      <c r="HM148" s="30"/>
      <c r="HN148" s="30"/>
      <c r="HO148" s="30"/>
      <c r="HP148" s="30"/>
      <c r="HQ148" s="30"/>
      <c r="HR148" s="30"/>
      <c r="HS148" s="30"/>
      <c r="HT148" s="30"/>
      <c r="HU148" s="30"/>
      <c r="HV148" s="30"/>
      <c r="HW148" s="30"/>
      <c r="HX148" s="30"/>
      <c r="HY148" s="30"/>
      <c r="HZ148" s="30"/>
      <c r="IA148" s="30"/>
      <c r="IB148" s="30"/>
      <c r="IC148" s="30"/>
      <c r="ID148" s="30"/>
      <c r="IE148" s="30"/>
      <c r="IF148" s="30"/>
      <c r="IG148" s="30"/>
      <c r="IH148" s="30"/>
      <c r="II148" s="30"/>
      <c r="IJ148" s="30"/>
      <c r="IK148" s="30"/>
      <c r="IL148" s="30"/>
      <c r="IM148" s="30"/>
      <c r="IN148" s="30"/>
      <c r="IO148" s="30"/>
      <c r="IP148" s="30"/>
      <c r="IQ148" s="30"/>
      <c r="IR148" s="30"/>
      <c r="IS148" s="30"/>
      <c r="IT148" s="30"/>
      <c r="IU148" s="30"/>
      <c r="IV148" s="30"/>
      <c r="IW148" s="30"/>
      <c r="IX148" s="30"/>
      <c r="IY148" s="30"/>
      <c r="IZ148" s="30"/>
      <c r="JA148" s="30"/>
      <c r="JB148" s="30"/>
      <c r="JC148" s="30"/>
      <c r="JD148" s="30"/>
      <c r="JE148" s="30"/>
      <c r="JF148" s="30"/>
      <c r="JG148" s="30"/>
      <c r="JH148" s="30"/>
      <c r="JI148" s="30"/>
      <c r="JJ148" s="30"/>
      <c r="JK148" s="30"/>
      <c r="JL148" s="30"/>
      <c r="JM148" s="30"/>
      <c r="JN148" s="30"/>
      <c r="JO148" s="30"/>
      <c r="JP148" s="30"/>
      <c r="JQ148" s="30"/>
      <c r="JR148" s="30"/>
      <c r="JS148" s="30"/>
      <c r="JT148" s="30"/>
      <c r="JU148" s="30"/>
      <c r="JV148" s="30"/>
      <c r="JW148" s="30"/>
      <c r="JX148" s="30"/>
      <c r="JY148" s="30"/>
      <c r="JZ148" s="30"/>
      <c r="KA148" s="30"/>
      <c r="KB148" s="30"/>
      <c r="KC148" s="30"/>
      <c r="KD148" s="30"/>
      <c r="KE148" s="30"/>
      <c r="KF148" s="30"/>
      <c r="KG148" s="30"/>
      <c r="KH148" s="30"/>
      <c r="KI148" s="30"/>
      <c r="KJ148" s="30"/>
      <c r="KK148" s="30"/>
      <c r="KL148" s="30"/>
      <c r="KM148" s="30"/>
      <c r="KN148" s="30"/>
      <c r="KO148" s="30"/>
      <c r="KP148" s="30"/>
      <c r="KQ148" s="30"/>
      <c r="KR148" s="30"/>
      <c r="KS148" s="30"/>
      <c r="KT148" s="30"/>
      <c r="KU148" s="30"/>
      <c r="KV148" s="30"/>
      <c r="KW148" s="30"/>
      <c r="KX148" s="30"/>
      <c r="KY148" s="30"/>
      <c r="KZ148" s="30"/>
      <c r="LA148" s="30"/>
      <c r="LB148" s="30"/>
      <c r="LC148" s="30"/>
      <c r="LD148" s="30"/>
      <c r="LE148" s="30"/>
      <c r="LF148" s="30"/>
      <c r="LG148" s="30"/>
      <c r="LH148" s="30"/>
      <c r="LI148" s="30"/>
      <c r="LJ148" s="30"/>
      <c r="LK148" s="30"/>
      <c r="LL148" s="30"/>
      <c r="LM148" s="30"/>
      <c r="LN148" s="30"/>
      <c r="LO148" s="30"/>
      <c r="LP148" s="30"/>
      <c r="LQ148" s="30"/>
      <c r="LR148" s="30"/>
      <c r="LS148" s="30"/>
      <c r="LT148" s="30"/>
      <c r="LU148" s="30"/>
      <c r="LV148" s="30"/>
      <c r="LW148" s="30"/>
      <c r="LX148" s="30"/>
      <c r="LY148" s="30"/>
      <c r="LZ148" s="30"/>
      <c r="MA148" s="30"/>
      <c r="MB148" s="30"/>
      <c r="MC148" s="30"/>
      <c r="MD148" s="30"/>
      <c r="ME148" s="30"/>
      <c r="MF148" s="30"/>
      <c r="MG148" s="30"/>
      <c r="MH148" s="30"/>
      <c r="MI148" s="30"/>
      <c r="MJ148" s="30"/>
      <c r="MK148" s="30"/>
      <c r="ML148" s="30"/>
      <c r="MM148" s="30"/>
      <c r="MN148" s="30"/>
      <c r="MO148" s="30"/>
      <c r="MP148" s="30"/>
      <c r="MQ148" s="30"/>
      <c r="MR148" s="30"/>
      <c r="MS148" s="30"/>
      <c r="MT148" s="30"/>
    </row>
    <row r="149" s="262" customFormat="true" ht="14.4" hidden="false" customHeight="false" outlineLevel="0" collapsed="false">
      <c r="A149" s="134" t="s">
        <v>137</v>
      </c>
      <c r="B149" s="313" t="n">
        <f aca="false">'Input data processed products'!C45</f>
        <v>0.5</v>
      </c>
      <c r="C149" s="137" t="s">
        <v>133</v>
      </c>
      <c r="D149" s="352"/>
      <c r="E149" s="137"/>
      <c r="F149" s="81" t="n">
        <f aca="false">IF($E$1="GWP100 without fb",F150+F151*'Common input data'!$C$5+F152*'Common input data'!$D$5,IF($E$1="GWP100 with fb",F150+F151*'Common input data'!$C$6+F152*'Common input data'!$D$6,IF($E$1="GTP100 without fb",F150+F151*'Common input data'!$C$7+F152*'Common input data'!$D$7,IF($E$1="GTP100 with fb",F150+F151*'Common input data'!$C$8+F152*'Common input data'!$D$8,F150+F151*'Common input data'!$C$9+F152*'Common input data'!$D$9))))</f>
        <v>1.30305102335149</v>
      </c>
      <c r="G149" s="261"/>
      <c r="H149" s="261"/>
      <c r="I149" s="359"/>
      <c r="J149" s="359"/>
      <c r="K149" s="74"/>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c r="GL149" s="30"/>
      <c r="GM149" s="30"/>
      <c r="GN149" s="30"/>
      <c r="GO149" s="30"/>
      <c r="GP149" s="30"/>
      <c r="GQ149" s="30"/>
      <c r="GR149" s="30"/>
      <c r="GS149" s="30"/>
      <c r="GT149" s="30"/>
      <c r="GU149" s="30"/>
      <c r="GV149" s="30"/>
      <c r="GW149" s="30"/>
      <c r="GX149" s="30"/>
      <c r="GY149" s="30"/>
      <c r="GZ149" s="30"/>
      <c r="HA149" s="30"/>
      <c r="HB149" s="30"/>
      <c r="HC149" s="30"/>
      <c r="HD149" s="30"/>
      <c r="HE149" s="30"/>
      <c r="HF149" s="30"/>
      <c r="HG149" s="30"/>
      <c r="HH149" s="30"/>
      <c r="HI149" s="30"/>
      <c r="HJ149" s="30"/>
      <c r="HK149" s="30"/>
      <c r="HL149" s="30"/>
      <c r="HM149" s="30"/>
      <c r="HN149" s="30"/>
      <c r="HO149" s="30"/>
      <c r="HP149" s="30"/>
      <c r="HQ149" s="30"/>
      <c r="HR149" s="30"/>
      <c r="HS149" s="30"/>
      <c r="HT149" s="30"/>
      <c r="HU149" s="30"/>
      <c r="HV149" s="30"/>
      <c r="HW149" s="30"/>
      <c r="HX149" s="30"/>
      <c r="HY149" s="30"/>
      <c r="HZ149" s="30"/>
      <c r="IA149" s="30"/>
      <c r="IB149" s="30"/>
      <c r="IC149" s="30"/>
      <c r="ID149" s="30"/>
      <c r="IE149" s="30"/>
      <c r="IF149" s="30"/>
      <c r="IG149" s="30"/>
      <c r="IH149" s="30"/>
      <c r="II149" s="30"/>
      <c r="IJ149" s="30"/>
      <c r="IK149" s="30"/>
      <c r="IL149" s="30"/>
      <c r="IM149" s="30"/>
      <c r="IN149" s="30"/>
      <c r="IO149" s="30"/>
      <c r="IP149" s="30"/>
      <c r="IQ149" s="30"/>
      <c r="IR149" s="30"/>
      <c r="IS149" s="30"/>
      <c r="IT149" s="30"/>
      <c r="IU149" s="30"/>
      <c r="IV149" s="30"/>
      <c r="IW149" s="30"/>
      <c r="IX149" s="30"/>
      <c r="IY149" s="30"/>
      <c r="IZ149" s="30"/>
      <c r="JA149" s="30"/>
      <c r="JB149" s="30"/>
      <c r="JC149" s="30"/>
      <c r="JD149" s="30"/>
      <c r="JE149" s="30"/>
      <c r="JF149" s="30"/>
      <c r="JG149" s="30"/>
      <c r="JH149" s="30"/>
      <c r="JI149" s="30"/>
      <c r="JJ149" s="30"/>
      <c r="JK149" s="30"/>
      <c r="JL149" s="30"/>
      <c r="JM149" s="30"/>
      <c r="JN149" s="30"/>
      <c r="JO149" s="30"/>
      <c r="JP149" s="30"/>
      <c r="JQ149" s="30"/>
      <c r="JR149" s="30"/>
      <c r="JS149" s="30"/>
      <c r="JT149" s="30"/>
      <c r="JU149" s="30"/>
      <c r="JV149" s="30"/>
      <c r="JW149" s="30"/>
      <c r="JX149" s="30"/>
      <c r="JY149" s="30"/>
      <c r="JZ149" s="30"/>
      <c r="KA149" s="30"/>
      <c r="KB149" s="30"/>
      <c r="KC149" s="30"/>
      <c r="KD149" s="30"/>
      <c r="KE149" s="30"/>
      <c r="KF149" s="30"/>
      <c r="KG149" s="30"/>
      <c r="KH149" s="30"/>
      <c r="KI149" s="30"/>
      <c r="KJ149" s="30"/>
      <c r="KK149" s="30"/>
      <c r="KL149" s="30"/>
      <c r="KM149" s="30"/>
      <c r="KN149" s="30"/>
      <c r="KO149" s="30"/>
      <c r="KP149" s="30"/>
      <c r="KQ149" s="30"/>
      <c r="KR149" s="30"/>
      <c r="KS149" s="30"/>
      <c r="KT149" s="30"/>
      <c r="KU149" s="30"/>
      <c r="KV149" s="30"/>
      <c r="KW149" s="30"/>
      <c r="KX149" s="30"/>
      <c r="KY149" s="30"/>
      <c r="KZ149" s="30"/>
      <c r="LA149" s="30"/>
      <c r="LB149" s="30"/>
      <c r="LC149" s="30"/>
      <c r="LD149" s="30"/>
      <c r="LE149" s="30"/>
      <c r="LF149" s="30"/>
      <c r="LG149" s="30"/>
      <c r="LH149" s="30"/>
      <c r="LI149" s="30"/>
      <c r="LJ149" s="30"/>
      <c r="LK149" s="30"/>
      <c r="LL149" s="30"/>
      <c r="LM149" s="30"/>
      <c r="LN149" s="30"/>
      <c r="LO149" s="30"/>
      <c r="LP149" s="30"/>
      <c r="LQ149" s="30"/>
      <c r="LR149" s="30"/>
      <c r="LS149" s="30"/>
      <c r="LT149" s="30"/>
      <c r="LU149" s="30"/>
      <c r="LV149" s="30"/>
      <c r="LW149" s="30"/>
      <c r="LX149" s="30"/>
      <c r="LY149" s="30"/>
      <c r="LZ149" s="30"/>
      <c r="MA149" s="30"/>
      <c r="MB149" s="30"/>
      <c r="MC149" s="30"/>
      <c r="MD149" s="30"/>
      <c r="ME149" s="30"/>
      <c r="MF149" s="30"/>
      <c r="MG149" s="30"/>
      <c r="MH149" s="30"/>
      <c r="MI149" s="30"/>
      <c r="MJ149" s="30"/>
      <c r="MK149" s="30"/>
      <c r="ML149" s="30"/>
      <c r="MM149" s="30"/>
      <c r="MN149" s="30"/>
      <c r="MO149" s="30"/>
      <c r="MP149" s="30"/>
      <c r="MQ149" s="30"/>
      <c r="MR149" s="30"/>
      <c r="MS149" s="30"/>
      <c r="MT149" s="30"/>
    </row>
    <row r="150" customFormat="false" ht="14.4" hidden="false" customHeight="false" outlineLevel="0" collapsed="false">
      <c r="A150" s="99"/>
      <c r="B150" s="93"/>
      <c r="C150" s="85" t="s">
        <v>134</v>
      </c>
      <c r="D150" s="353"/>
      <c r="E150" s="85"/>
      <c r="F150" s="88" t="n">
        <f aca="false">SUM(G150:J150)/(1-'Common input data'!$B$136)</f>
        <v>0.95303075407151</v>
      </c>
      <c r="G150" s="87" t="n">
        <f aca="false">SUMPRODUCT('Input data processed products'!D$45:AB$45,'Input data processed products'!D$55:AB$55)</f>
        <v>0.577727678664359</v>
      </c>
      <c r="H150" s="87" t="n">
        <f aca="false">'Input data processed products'!G$67</f>
        <v>0.1</v>
      </c>
      <c r="I150" s="89" t="n">
        <f aca="false">'Common input data'!B$89</f>
        <v>0.15</v>
      </c>
      <c r="J150" s="89" t="n">
        <f aca="false">'Common input data'!C$98</f>
        <v>0.03</v>
      </c>
      <c r="K150" s="74"/>
    </row>
    <row r="151" customFormat="false" ht="14.4" hidden="false" customHeight="false" outlineLevel="0" collapsed="false">
      <c r="A151" s="100"/>
      <c r="B151" s="87"/>
      <c r="C151" s="85" t="s">
        <v>135</v>
      </c>
      <c r="D151" s="353"/>
      <c r="E151" s="85"/>
      <c r="F151" s="88" t="n">
        <f aca="false">SUM(G151:J151)/(1-'Common input data'!$B$136)</f>
        <v>0.000129015385413736</v>
      </c>
      <c r="G151" s="87" t="n">
        <f aca="false">SUMPRODUCT('Input data processed products'!D$45:AB$45,'Input data processed products'!D$56:AB$56)</f>
        <v>0.000116113846872362</v>
      </c>
      <c r="H151" s="87" t="n">
        <v>0</v>
      </c>
      <c r="I151" s="89" t="n">
        <v>0</v>
      </c>
      <c r="J151" s="89" t="n">
        <v>0</v>
      </c>
      <c r="K151" s="74"/>
    </row>
    <row r="152" customFormat="false" ht="14.4" hidden="false" customHeight="false" outlineLevel="0" collapsed="false">
      <c r="A152" s="100"/>
      <c r="B152" s="87"/>
      <c r="C152" s="31" t="s">
        <v>136</v>
      </c>
      <c r="D152" s="356"/>
      <c r="E152" s="125"/>
      <c r="F152" s="106" t="n">
        <f aca="false">SUM(G152:J152)/(1-'Common input data'!$B$136)</f>
        <v>0.00115984478582522</v>
      </c>
      <c r="G152" s="87" t="n">
        <f aca="false">SUMPRODUCT('Input data processed products'!D$45:AB$45,'Input data processed products'!D$57:AB$57)</f>
        <v>0.0010438603072427</v>
      </c>
      <c r="H152" s="87" t="n">
        <v>0</v>
      </c>
      <c r="I152" s="89" t="n">
        <v>0</v>
      </c>
      <c r="J152" s="89" t="n">
        <v>0</v>
      </c>
      <c r="K152" s="74"/>
    </row>
    <row r="153" s="132" customFormat="true" ht="14.4" hidden="false" customHeight="false" outlineLevel="0" collapsed="false">
      <c r="A153" s="127" t="s">
        <v>399</v>
      </c>
      <c r="B153" s="129"/>
      <c r="C153" s="130"/>
      <c r="D153" s="349"/>
      <c r="E153" s="270"/>
      <c r="F153" s="112" t="s">
        <v>400</v>
      </c>
      <c r="G153" s="129"/>
      <c r="H153" s="129"/>
      <c r="I153" s="131"/>
      <c r="J153" s="131"/>
      <c r="K153" s="74"/>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c r="FQ153" s="30"/>
      <c r="FR153" s="30"/>
      <c r="FS153" s="30"/>
      <c r="FT153" s="30"/>
      <c r="FU153" s="30"/>
      <c r="FV153" s="30"/>
      <c r="FW153" s="30"/>
      <c r="FX153" s="30"/>
      <c r="FY153" s="30"/>
      <c r="FZ153" s="30"/>
      <c r="GA153" s="30"/>
      <c r="GB153" s="30"/>
      <c r="GC153" s="30"/>
      <c r="GD153" s="30"/>
      <c r="GE153" s="30"/>
      <c r="GF153" s="30"/>
      <c r="GG153" s="30"/>
      <c r="GH153" s="30"/>
      <c r="GI153" s="30"/>
      <c r="GJ153" s="30"/>
      <c r="GK153" s="30"/>
      <c r="GL153" s="30"/>
      <c r="GM153" s="30"/>
      <c r="GN153" s="30"/>
      <c r="GO153" s="30"/>
      <c r="GP153" s="30"/>
      <c r="GQ153" s="30"/>
      <c r="GR153" s="30"/>
      <c r="GS153" s="30"/>
      <c r="GT153" s="30"/>
      <c r="GU153" s="30"/>
      <c r="GV153" s="30"/>
      <c r="GW153" s="30"/>
      <c r="GX153" s="30"/>
      <c r="GY153" s="30"/>
      <c r="GZ153" s="30"/>
      <c r="HA153" s="30"/>
      <c r="HB153" s="30"/>
      <c r="HC153" s="30"/>
      <c r="HD153" s="30"/>
      <c r="HE153" s="30"/>
      <c r="HF153" s="30"/>
      <c r="HG153" s="30"/>
      <c r="HH153" s="30"/>
      <c r="HI153" s="30"/>
      <c r="HJ153" s="30"/>
      <c r="HK153" s="30"/>
      <c r="HL153" s="30"/>
      <c r="HM153" s="30"/>
      <c r="HN153" s="30"/>
      <c r="HO153" s="30"/>
      <c r="HP153" s="30"/>
      <c r="HQ153" s="30"/>
      <c r="HR153" s="30"/>
      <c r="HS153" s="30"/>
      <c r="HT153" s="30"/>
      <c r="HU153" s="30"/>
      <c r="HV153" s="30"/>
      <c r="HW153" s="30"/>
      <c r="HX153" s="30"/>
      <c r="HY153" s="30"/>
      <c r="HZ153" s="30"/>
      <c r="IA153" s="30"/>
      <c r="IB153" s="30"/>
      <c r="IC153" s="30"/>
      <c r="ID153" s="30"/>
      <c r="IE153" s="30"/>
      <c r="IF153" s="30"/>
      <c r="IG153" s="30"/>
      <c r="IH153" s="30"/>
      <c r="II153" s="30"/>
      <c r="IJ153" s="30"/>
      <c r="IK153" s="30"/>
      <c r="IL153" s="30"/>
      <c r="IM153" s="30"/>
      <c r="IN153" s="30"/>
      <c r="IO153" s="30"/>
      <c r="IP153" s="30"/>
      <c r="IQ153" s="30"/>
      <c r="IR153" s="30"/>
      <c r="IS153" s="30"/>
      <c r="IT153" s="30"/>
      <c r="IU153" s="30"/>
      <c r="IV153" s="30"/>
      <c r="IW153" s="30"/>
      <c r="IX153" s="30"/>
      <c r="IY153" s="30"/>
      <c r="IZ153" s="30"/>
      <c r="JA153" s="30"/>
      <c r="JB153" s="30"/>
      <c r="JC153" s="30"/>
      <c r="JD153" s="30"/>
      <c r="JE153" s="30"/>
      <c r="JF153" s="30"/>
      <c r="JG153" s="30"/>
      <c r="JH153" s="30"/>
      <c r="JI153" s="30"/>
      <c r="JJ153" s="30"/>
      <c r="JK153" s="30"/>
      <c r="JL153" s="30"/>
      <c r="JM153" s="30"/>
      <c r="JN153" s="30"/>
      <c r="JO153" s="30"/>
      <c r="JP153" s="30"/>
      <c r="JQ153" s="30"/>
      <c r="JR153" s="30"/>
      <c r="JS153" s="30"/>
      <c r="JT153" s="30"/>
      <c r="JU153" s="30"/>
      <c r="JV153" s="30"/>
      <c r="JW153" s="30"/>
      <c r="JX153" s="30"/>
      <c r="JY153" s="30"/>
      <c r="JZ153" s="30"/>
      <c r="KA153" s="30"/>
      <c r="KB153" s="30"/>
      <c r="KC153" s="30"/>
      <c r="KD153" s="30"/>
      <c r="KE153" s="30"/>
      <c r="KF153" s="30"/>
      <c r="KG153" s="30"/>
      <c r="KH153" s="30"/>
      <c r="KI153" s="30"/>
      <c r="KJ153" s="30"/>
      <c r="KK153" s="30"/>
      <c r="KL153" s="30"/>
      <c r="KM153" s="30"/>
      <c r="KN153" s="30"/>
      <c r="KO153" s="30"/>
      <c r="KP153" s="30"/>
      <c r="KQ153" s="30"/>
      <c r="KR153" s="30"/>
      <c r="KS153" s="30"/>
      <c r="KT153" s="30"/>
      <c r="KU153" s="30"/>
      <c r="KV153" s="30"/>
      <c r="KW153" s="30"/>
      <c r="KX153" s="30"/>
      <c r="KY153" s="30"/>
      <c r="KZ153" s="30"/>
      <c r="LA153" s="30"/>
      <c r="LB153" s="30"/>
      <c r="LC153" s="30"/>
      <c r="LD153" s="30"/>
      <c r="LE153" s="30"/>
      <c r="LF153" s="30"/>
      <c r="LG153" s="30"/>
      <c r="LH153" s="30"/>
      <c r="LI153" s="30"/>
      <c r="LJ153" s="30"/>
      <c r="LK153" s="30"/>
      <c r="LL153" s="30"/>
      <c r="LM153" s="30"/>
      <c r="LN153" s="30"/>
      <c r="LO153" s="30"/>
      <c r="LP153" s="30"/>
      <c r="LQ153" s="30"/>
      <c r="LR153" s="30"/>
      <c r="LS153" s="30"/>
      <c r="LT153" s="30"/>
      <c r="LU153" s="30"/>
      <c r="LV153" s="30"/>
      <c r="LW153" s="30"/>
      <c r="LX153" s="30"/>
      <c r="LY153" s="30"/>
      <c r="LZ153" s="30"/>
      <c r="MA153" s="30"/>
      <c r="MB153" s="30"/>
      <c r="MC153" s="30"/>
      <c r="MD153" s="30"/>
      <c r="ME153" s="30"/>
      <c r="MF153" s="30"/>
      <c r="MG153" s="30"/>
      <c r="MH153" s="30"/>
      <c r="MI153" s="30"/>
      <c r="MJ153" s="30"/>
      <c r="MK153" s="30"/>
      <c r="ML153" s="30"/>
      <c r="MM153" s="30"/>
      <c r="MN153" s="30"/>
      <c r="MO153" s="30"/>
      <c r="MP153" s="30"/>
      <c r="MQ153" s="30"/>
      <c r="MR153" s="30"/>
      <c r="MS153" s="30"/>
      <c r="MT153" s="30"/>
    </row>
    <row r="154" s="262" customFormat="true" ht="14.4" hidden="false" customHeight="false" outlineLevel="0" collapsed="false">
      <c r="A154" s="134" t="s">
        <v>137</v>
      </c>
      <c r="B154" s="313" t="n">
        <f aca="false">'Input data processed products'!C46</f>
        <v>1</v>
      </c>
      <c r="C154" s="137" t="s">
        <v>133</v>
      </c>
      <c r="D154" s="352"/>
      <c r="E154" s="137"/>
      <c r="F154" s="81" t="n">
        <f aca="false">IF($E$1="GWP100 without fb",F155+F156*'Common input data'!$C$5+F157*'Common input data'!$D$5,IF($E$1="GWP100 with fb",F155+F156*'Common input data'!$C$6+F157*'Common input data'!$D$6,IF($E$1="GTP100 without fb",F155+F156*'Common input data'!$C$7+F157*'Common input data'!$D$7,IF($E$1="GTP100 with fb",F155+F156*'Common input data'!$C$8+F157*'Common input data'!$D$8,F155+F156*'Common input data'!$C$9+F157*'Common input data'!$D$9))))</f>
        <v>6.85687910431386</v>
      </c>
      <c r="G154" s="261"/>
      <c r="H154" s="261"/>
      <c r="I154" s="359"/>
      <c r="J154" s="359"/>
      <c r="K154" s="74"/>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c r="FQ154" s="30"/>
      <c r="FR154" s="30"/>
      <c r="FS154" s="30"/>
      <c r="FT154" s="30"/>
      <c r="FU154" s="30"/>
      <c r="FV154" s="30"/>
      <c r="FW154" s="30"/>
      <c r="FX154" s="30"/>
      <c r="FY154" s="30"/>
      <c r="FZ154" s="30"/>
      <c r="GA154" s="30"/>
      <c r="GB154" s="30"/>
      <c r="GC154" s="30"/>
      <c r="GD154" s="30"/>
      <c r="GE154" s="30"/>
      <c r="GF154" s="30"/>
      <c r="GG154" s="30"/>
      <c r="GH154" s="30"/>
      <c r="GI154" s="30"/>
      <c r="GJ154" s="30"/>
      <c r="GK154" s="30"/>
      <c r="GL154" s="30"/>
      <c r="GM154" s="30"/>
      <c r="GN154" s="30"/>
      <c r="GO154" s="30"/>
      <c r="GP154" s="30"/>
      <c r="GQ154" s="30"/>
      <c r="GR154" s="30"/>
      <c r="GS154" s="30"/>
      <c r="GT154" s="30"/>
      <c r="GU154" s="30"/>
      <c r="GV154" s="30"/>
      <c r="GW154" s="30"/>
      <c r="GX154" s="30"/>
      <c r="GY154" s="30"/>
      <c r="GZ154" s="30"/>
      <c r="HA154" s="30"/>
      <c r="HB154" s="30"/>
      <c r="HC154" s="30"/>
      <c r="HD154" s="30"/>
      <c r="HE154" s="30"/>
      <c r="HF154" s="30"/>
      <c r="HG154" s="30"/>
      <c r="HH154" s="30"/>
      <c r="HI154" s="30"/>
      <c r="HJ154" s="30"/>
      <c r="HK154" s="30"/>
      <c r="HL154" s="30"/>
      <c r="HM154" s="30"/>
      <c r="HN154" s="30"/>
      <c r="HO154" s="30"/>
      <c r="HP154" s="30"/>
      <c r="HQ154" s="30"/>
      <c r="HR154" s="30"/>
      <c r="HS154" s="30"/>
      <c r="HT154" s="30"/>
      <c r="HU154" s="30"/>
      <c r="HV154" s="30"/>
      <c r="HW154" s="30"/>
      <c r="HX154" s="30"/>
      <c r="HY154" s="30"/>
      <c r="HZ154" s="30"/>
      <c r="IA154" s="30"/>
      <c r="IB154" s="30"/>
      <c r="IC154" s="30"/>
      <c r="ID154" s="30"/>
      <c r="IE154" s="30"/>
      <c r="IF154" s="30"/>
      <c r="IG154" s="30"/>
      <c r="IH154" s="30"/>
      <c r="II154" s="30"/>
      <c r="IJ154" s="30"/>
      <c r="IK154" s="30"/>
      <c r="IL154" s="30"/>
      <c r="IM154" s="30"/>
      <c r="IN154" s="30"/>
      <c r="IO154" s="30"/>
      <c r="IP154" s="30"/>
      <c r="IQ154" s="30"/>
      <c r="IR154" s="30"/>
      <c r="IS154" s="30"/>
      <c r="IT154" s="30"/>
      <c r="IU154" s="30"/>
      <c r="IV154" s="30"/>
      <c r="IW154" s="30"/>
      <c r="IX154" s="30"/>
      <c r="IY154" s="30"/>
      <c r="IZ154" s="30"/>
      <c r="JA154" s="30"/>
      <c r="JB154" s="30"/>
      <c r="JC154" s="30"/>
      <c r="JD154" s="30"/>
      <c r="JE154" s="30"/>
      <c r="JF154" s="30"/>
      <c r="JG154" s="30"/>
      <c r="JH154" s="30"/>
      <c r="JI154" s="30"/>
      <c r="JJ154" s="30"/>
      <c r="JK154" s="30"/>
      <c r="JL154" s="30"/>
      <c r="JM154" s="30"/>
      <c r="JN154" s="30"/>
      <c r="JO154" s="30"/>
      <c r="JP154" s="30"/>
      <c r="JQ154" s="30"/>
      <c r="JR154" s="30"/>
      <c r="JS154" s="30"/>
      <c r="JT154" s="30"/>
      <c r="JU154" s="30"/>
      <c r="JV154" s="30"/>
      <c r="JW154" s="30"/>
      <c r="JX154" s="30"/>
      <c r="JY154" s="30"/>
      <c r="JZ154" s="30"/>
      <c r="KA154" s="30"/>
      <c r="KB154" s="30"/>
      <c r="KC154" s="30"/>
      <c r="KD154" s="30"/>
      <c r="KE154" s="30"/>
      <c r="KF154" s="30"/>
      <c r="KG154" s="30"/>
      <c r="KH154" s="30"/>
      <c r="KI154" s="30"/>
      <c r="KJ154" s="30"/>
      <c r="KK154" s="30"/>
      <c r="KL154" s="30"/>
      <c r="KM154" s="30"/>
      <c r="KN154" s="30"/>
      <c r="KO154" s="30"/>
      <c r="KP154" s="30"/>
      <c r="KQ154" s="30"/>
      <c r="KR154" s="30"/>
      <c r="KS154" s="30"/>
      <c r="KT154" s="30"/>
      <c r="KU154" s="30"/>
      <c r="KV154" s="30"/>
      <c r="KW154" s="30"/>
      <c r="KX154" s="30"/>
      <c r="KY154" s="30"/>
      <c r="KZ154" s="30"/>
      <c r="LA154" s="30"/>
      <c r="LB154" s="30"/>
      <c r="LC154" s="30"/>
      <c r="LD154" s="30"/>
      <c r="LE154" s="30"/>
      <c r="LF154" s="30"/>
      <c r="LG154" s="30"/>
      <c r="LH154" s="30"/>
      <c r="LI154" s="30"/>
      <c r="LJ154" s="30"/>
      <c r="LK154" s="30"/>
      <c r="LL154" s="30"/>
      <c r="LM154" s="30"/>
      <c r="LN154" s="30"/>
      <c r="LO154" s="30"/>
      <c r="LP154" s="30"/>
      <c r="LQ154" s="30"/>
      <c r="LR154" s="30"/>
      <c r="LS154" s="30"/>
      <c r="LT154" s="30"/>
      <c r="LU154" s="30"/>
      <c r="LV154" s="30"/>
      <c r="LW154" s="30"/>
      <c r="LX154" s="30"/>
      <c r="LY154" s="30"/>
      <c r="LZ154" s="30"/>
      <c r="MA154" s="30"/>
      <c r="MB154" s="30"/>
      <c r="MC154" s="30"/>
      <c r="MD154" s="30"/>
      <c r="ME154" s="30"/>
      <c r="MF154" s="30"/>
      <c r="MG154" s="30"/>
      <c r="MH154" s="30"/>
      <c r="MI154" s="30"/>
      <c r="MJ154" s="30"/>
      <c r="MK154" s="30"/>
      <c r="ML154" s="30"/>
      <c r="MM154" s="30"/>
      <c r="MN154" s="30"/>
      <c r="MO154" s="30"/>
      <c r="MP154" s="30"/>
      <c r="MQ154" s="30"/>
      <c r="MR154" s="30"/>
      <c r="MS154" s="30"/>
      <c r="MT154" s="30"/>
    </row>
    <row r="155" customFormat="false" ht="14.4" hidden="false" customHeight="false" outlineLevel="0" collapsed="false">
      <c r="A155" s="99"/>
      <c r="B155" s="93"/>
      <c r="C155" s="85" t="s">
        <v>134</v>
      </c>
      <c r="D155" s="353"/>
      <c r="E155" s="85"/>
      <c r="F155" s="88" t="n">
        <f aca="false">SUM(G155:J155)/(1-'Common input data'!$B$136)</f>
        <v>2.76806594504945</v>
      </c>
      <c r="G155" s="87" t="n">
        <f aca="false">SUMPRODUCT('Input data processed products'!D$46:AB$46,'Input data processed products'!D$55:AB$55)</f>
        <v>2.31125935054451</v>
      </c>
      <c r="H155" s="87" t="n">
        <f aca="false">'Input data processed products'!H$67</f>
        <v>0.1</v>
      </c>
      <c r="I155" s="89" t="n">
        <f aca="false">'Common input data'!B$90</f>
        <v>0.05</v>
      </c>
      <c r="J155" s="89" t="n">
        <f aca="false">'Common input data'!C$98</f>
        <v>0.03</v>
      </c>
      <c r="K155" s="74"/>
    </row>
    <row r="156" customFormat="false" ht="14.4" hidden="false" customHeight="false" outlineLevel="0" collapsed="false">
      <c r="A156" s="100"/>
      <c r="B156" s="87"/>
      <c r="C156" s="85" t="s">
        <v>135</v>
      </c>
      <c r="D156" s="353"/>
      <c r="E156" s="85"/>
      <c r="F156" s="88" t="n">
        <f aca="false">SUM(G156:J156)/(1-'Common input data'!$B$136)</f>
        <v>0.0683169267480488</v>
      </c>
      <c r="G156" s="87" t="n">
        <f aca="false">SUMPRODUCT('Input data processed products'!D$46:AB$46,'Input data processed products'!D$56:AB$56)</f>
        <v>0.0614852340732439</v>
      </c>
      <c r="H156" s="87" t="n">
        <v>0</v>
      </c>
      <c r="I156" s="89" t="n">
        <v>0</v>
      </c>
      <c r="J156" s="89" t="n">
        <v>0</v>
      </c>
      <c r="K156" s="74"/>
    </row>
    <row r="157" customFormat="false" ht="14.4" hidden="false" customHeight="false" outlineLevel="0" collapsed="false">
      <c r="A157" s="100"/>
      <c r="B157" s="87"/>
      <c r="C157" s="31" t="s">
        <v>136</v>
      </c>
      <c r="D157" s="356"/>
      <c r="E157" s="125"/>
      <c r="F157" s="106" t="n">
        <f aca="false">SUM(G157:J157)/(1-'Common input data'!$B$136)</f>
        <v>0.0059263008383582</v>
      </c>
      <c r="G157" s="87" t="n">
        <f aca="false">SUMPRODUCT('Input data processed products'!D$46:AB$46,'Input data processed products'!D$57:AB$57)</f>
        <v>0.00533367075452238</v>
      </c>
      <c r="H157" s="87" t="n">
        <v>0</v>
      </c>
      <c r="I157" s="89" t="n">
        <v>0</v>
      </c>
      <c r="J157" s="89" t="n">
        <v>0</v>
      </c>
      <c r="K157" s="74"/>
    </row>
    <row r="158" s="132" customFormat="true" ht="14.4" hidden="false" customHeight="false" outlineLevel="0" collapsed="false">
      <c r="A158" s="127" t="s">
        <v>401</v>
      </c>
      <c r="B158" s="129"/>
      <c r="C158" s="130"/>
      <c r="D158" s="349"/>
      <c r="E158" s="270"/>
      <c r="F158" s="112" t="s">
        <v>402</v>
      </c>
      <c r="G158" s="129"/>
      <c r="H158" s="129"/>
      <c r="I158" s="131"/>
      <c r="J158" s="131"/>
      <c r="K158" s="74"/>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c r="FR158" s="30"/>
      <c r="FS158" s="30"/>
      <c r="FT158" s="30"/>
      <c r="FU158" s="30"/>
      <c r="FV158" s="30"/>
      <c r="FW158" s="30"/>
      <c r="FX158" s="30"/>
      <c r="FY158" s="30"/>
      <c r="FZ158" s="30"/>
      <c r="GA158" s="30"/>
      <c r="GB158" s="30"/>
      <c r="GC158" s="30"/>
      <c r="GD158" s="30"/>
      <c r="GE158" s="30"/>
      <c r="GF158" s="30"/>
      <c r="GG158" s="30"/>
      <c r="GH158" s="30"/>
      <c r="GI158" s="30"/>
      <c r="GJ158" s="30"/>
      <c r="GK158" s="30"/>
      <c r="GL158" s="30"/>
      <c r="GM158" s="30"/>
      <c r="GN158" s="30"/>
      <c r="GO158" s="30"/>
      <c r="GP158" s="30"/>
      <c r="GQ158" s="30"/>
      <c r="GR158" s="30"/>
      <c r="GS158" s="30"/>
      <c r="GT158" s="30"/>
      <c r="GU158" s="30"/>
      <c r="GV158" s="30"/>
      <c r="GW158" s="30"/>
      <c r="GX158" s="30"/>
      <c r="GY158" s="30"/>
      <c r="GZ158" s="30"/>
      <c r="HA158" s="30"/>
      <c r="HB158" s="30"/>
      <c r="HC158" s="30"/>
      <c r="HD158" s="30"/>
      <c r="HE158" s="30"/>
      <c r="HF158" s="30"/>
      <c r="HG158" s="30"/>
      <c r="HH158" s="30"/>
      <c r="HI158" s="30"/>
      <c r="HJ158" s="30"/>
      <c r="HK158" s="30"/>
      <c r="HL158" s="30"/>
      <c r="HM158" s="30"/>
      <c r="HN158" s="30"/>
      <c r="HO158" s="30"/>
      <c r="HP158" s="30"/>
      <c r="HQ158" s="30"/>
      <c r="HR158" s="30"/>
      <c r="HS158" s="30"/>
      <c r="HT158" s="30"/>
      <c r="HU158" s="30"/>
      <c r="HV158" s="30"/>
      <c r="HW158" s="30"/>
      <c r="HX158" s="30"/>
      <c r="HY158" s="30"/>
      <c r="HZ158" s="30"/>
      <c r="IA158" s="30"/>
      <c r="IB158" s="30"/>
      <c r="IC158" s="30"/>
      <c r="ID158" s="30"/>
      <c r="IE158" s="30"/>
      <c r="IF158" s="30"/>
      <c r="IG158" s="30"/>
      <c r="IH158" s="30"/>
      <c r="II158" s="30"/>
      <c r="IJ158" s="30"/>
      <c r="IK158" s="30"/>
      <c r="IL158" s="30"/>
      <c r="IM158" s="30"/>
      <c r="IN158" s="30"/>
      <c r="IO158" s="30"/>
      <c r="IP158" s="30"/>
      <c r="IQ158" s="30"/>
      <c r="IR158" s="30"/>
      <c r="IS158" s="30"/>
      <c r="IT158" s="30"/>
      <c r="IU158" s="30"/>
      <c r="IV158" s="30"/>
      <c r="IW158" s="30"/>
      <c r="IX158" s="30"/>
      <c r="IY158" s="30"/>
      <c r="IZ158" s="30"/>
      <c r="JA158" s="30"/>
      <c r="JB158" s="30"/>
      <c r="JC158" s="30"/>
      <c r="JD158" s="30"/>
      <c r="JE158" s="30"/>
      <c r="JF158" s="30"/>
      <c r="JG158" s="30"/>
      <c r="JH158" s="30"/>
      <c r="JI158" s="30"/>
      <c r="JJ158" s="30"/>
      <c r="JK158" s="30"/>
      <c r="JL158" s="30"/>
      <c r="JM158" s="30"/>
      <c r="JN158" s="30"/>
      <c r="JO158" s="30"/>
      <c r="JP158" s="30"/>
      <c r="JQ158" s="30"/>
      <c r="JR158" s="30"/>
      <c r="JS158" s="30"/>
      <c r="JT158" s="30"/>
      <c r="JU158" s="30"/>
      <c r="JV158" s="30"/>
      <c r="JW158" s="30"/>
      <c r="JX158" s="30"/>
      <c r="JY158" s="30"/>
      <c r="JZ158" s="30"/>
      <c r="KA158" s="30"/>
      <c r="KB158" s="30"/>
      <c r="KC158" s="30"/>
      <c r="KD158" s="30"/>
      <c r="KE158" s="30"/>
      <c r="KF158" s="30"/>
      <c r="KG158" s="30"/>
      <c r="KH158" s="30"/>
      <c r="KI158" s="30"/>
      <c r="KJ158" s="30"/>
      <c r="KK158" s="30"/>
      <c r="KL158" s="30"/>
      <c r="KM158" s="30"/>
      <c r="KN158" s="30"/>
      <c r="KO158" s="30"/>
      <c r="KP158" s="30"/>
      <c r="KQ158" s="30"/>
      <c r="KR158" s="30"/>
      <c r="KS158" s="30"/>
      <c r="KT158" s="30"/>
      <c r="KU158" s="30"/>
      <c r="KV158" s="30"/>
      <c r="KW158" s="30"/>
      <c r="KX158" s="30"/>
      <c r="KY158" s="30"/>
      <c r="KZ158" s="30"/>
      <c r="LA158" s="30"/>
      <c r="LB158" s="30"/>
      <c r="LC158" s="30"/>
      <c r="LD158" s="30"/>
      <c r="LE158" s="30"/>
      <c r="LF158" s="30"/>
      <c r="LG158" s="30"/>
      <c r="LH158" s="30"/>
      <c r="LI158" s="30"/>
      <c r="LJ158" s="30"/>
      <c r="LK158" s="30"/>
      <c r="LL158" s="30"/>
      <c r="LM158" s="30"/>
      <c r="LN158" s="30"/>
      <c r="LO158" s="30"/>
      <c r="LP158" s="30"/>
      <c r="LQ158" s="30"/>
      <c r="LR158" s="30"/>
      <c r="LS158" s="30"/>
      <c r="LT158" s="30"/>
      <c r="LU158" s="30"/>
      <c r="LV158" s="30"/>
      <c r="LW158" s="30"/>
      <c r="LX158" s="30"/>
      <c r="LY158" s="30"/>
      <c r="LZ158" s="30"/>
      <c r="MA158" s="30"/>
      <c r="MB158" s="30"/>
      <c r="MC158" s="30"/>
      <c r="MD158" s="30"/>
      <c r="ME158" s="30"/>
      <c r="MF158" s="30"/>
      <c r="MG158" s="30"/>
      <c r="MH158" s="30"/>
      <c r="MI158" s="30"/>
      <c r="MJ158" s="30"/>
      <c r="MK158" s="30"/>
      <c r="ML158" s="30"/>
      <c r="MM158" s="30"/>
      <c r="MN158" s="30"/>
      <c r="MO158" s="30"/>
      <c r="MP158" s="30"/>
      <c r="MQ158" s="30"/>
      <c r="MR158" s="30"/>
      <c r="MS158" s="30"/>
      <c r="MT158" s="30"/>
    </row>
    <row r="159" s="262" customFormat="true" ht="14.4" hidden="false" customHeight="false" outlineLevel="0" collapsed="false">
      <c r="A159" s="134" t="s">
        <v>137</v>
      </c>
      <c r="B159" s="313" t="n">
        <f aca="false">'Input data processed products'!C48</f>
        <v>1</v>
      </c>
      <c r="C159" s="137" t="s">
        <v>133</v>
      </c>
      <c r="D159" s="352"/>
      <c r="E159" s="137"/>
      <c r="F159" s="81" t="n">
        <f aca="false">IF($E$1="GWP100 without fb",F160+F161*'Common input data'!$C$5+F162*'Common input data'!$D$5,IF($E$1="GWP100 with fb",F160+F161*'Common input data'!$C$6+F162*'Common input data'!$D$6,IF($E$1="GTP100 without fb",F160+F161*'Common input data'!$C$7+F162*'Common input data'!$D$7,IF($E$1="GTP100 with fb",F160+F161*'Common input data'!$C$8+F162*'Common input data'!$D$8,F160+F161*'Common input data'!$C$9+F162*'Common input data'!$D$9))))</f>
        <v>2.89291367962504</v>
      </c>
      <c r="G159" s="261"/>
      <c r="H159" s="261"/>
      <c r="I159" s="359"/>
      <c r="J159" s="359"/>
      <c r="K159" s="74"/>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c r="FQ159" s="30"/>
      <c r="FR159" s="30"/>
      <c r="FS159" s="30"/>
      <c r="FT159" s="30"/>
      <c r="FU159" s="30"/>
      <c r="FV159" s="30"/>
      <c r="FW159" s="30"/>
      <c r="FX159" s="30"/>
      <c r="FY159" s="30"/>
      <c r="FZ159" s="30"/>
      <c r="GA159" s="30"/>
      <c r="GB159" s="30"/>
      <c r="GC159" s="30"/>
      <c r="GD159" s="30"/>
      <c r="GE159" s="30"/>
      <c r="GF159" s="30"/>
      <c r="GG159" s="30"/>
      <c r="GH159" s="30"/>
      <c r="GI159" s="30"/>
      <c r="GJ159" s="30"/>
      <c r="GK159" s="30"/>
      <c r="GL159" s="30"/>
      <c r="GM159" s="30"/>
      <c r="GN159" s="30"/>
      <c r="GO159" s="30"/>
      <c r="GP159" s="30"/>
      <c r="GQ159" s="30"/>
      <c r="GR159" s="30"/>
      <c r="GS159" s="30"/>
      <c r="GT159" s="30"/>
      <c r="GU159" s="30"/>
      <c r="GV159" s="30"/>
      <c r="GW159" s="30"/>
      <c r="GX159" s="30"/>
      <c r="GY159" s="30"/>
      <c r="GZ159" s="30"/>
      <c r="HA159" s="30"/>
      <c r="HB159" s="30"/>
      <c r="HC159" s="30"/>
      <c r="HD159" s="30"/>
      <c r="HE159" s="30"/>
      <c r="HF159" s="30"/>
      <c r="HG159" s="30"/>
      <c r="HH159" s="30"/>
      <c r="HI159" s="30"/>
      <c r="HJ159" s="30"/>
      <c r="HK159" s="30"/>
      <c r="HL159" s="30"/>
      <c r="HM159" s="30"/>
      <c r="HN159" s="30"/>
      <c r="HO159" s="30"/>
      <c r="HP159" s="30"/>
      <c r="HQ159" s="30"/>
      <c r="HR159" s="30"/>
      <c r="HS159" s="30"/>
      <c r="HT159" s="30"/>
      <c r="HU159" s="30"/>
      <c r="HV159" s="30"/>
      <c r="HW159" s="30"/>
      <c r="HX159" s="30"/>
      <c r="HY159" s="30"/>
      <c r="HZ159" s="30"/>
      <c r="IA159" s="30"/>
      <c r="IB159" s="30"/>
      <c r="IC159" s="30"/>
      <c r="ID159" s="30"/>
      <c r="IE159" s="30"/>
      <c r="IF159" s="30"/>
      <c r="IG159" s="30"/>
      <c r="IH159" s="30"/>
      <c r="II159" s="30"/>
      <c r="IJ159" s="30"/>
      <c r="IK159" s="30"/>
      <c r="IL159" s="30"/>
      <c r="IM159" s="30"/>
      <c r="IN159" s="30"/>
      <c r="IO159" s="30"/>
      <c r="IP159" s="30"/>
      <c r="IQ159" s="30"/>
      <c r="IR159" s="30"/>
      <c r="IS159" s="30"/>
      <c r="IT159" s="30"/>
      <c r="IU159" s="30"/>
      <c r="IV159" s="30"/>
      <c r="IW159" s="30"/>
      <c r="IX159" s="30"/>
      <c r="IY159" s="30"/>
      <c r="IZ159" s="30"/>
      <c r="JA159" s="30"/>
      <c r="JB159" s="30"/>
      <c r="JC159" s="30"/>
      <c r="JD159" s="30"/>
      <c r="JE159" s="30"/>
      <c r="JF159" s="30"/>
      <c r="JG159" s="30"/>
      <c r="JH159" s="30"/>
      <c r="JI159" s="30"/>
      <c r="JJ159" s="30"/>
      <c r="JK159" s="30"/>
      <c r="JL159" s="30"/>
      <c r="JM159" s="30"/>
      <c r="JN159" s="30"/>
      <c r="JO159" s="30"/>
      <c r="JP159" s="30"/>
      <c r="JQ159" s="30"/>
      <c r="JR159" s="30"/>
      <c r="JS159" s="30"/>
      <c r="JT159" s="30"/>
      <c r="JU159" s="30"/>
      <c r="JV159" s="30"/>
      <c r="JW159" s="30"/>
      <c r="JX159" s="30"/>
      <c r="JY159" s="30"/>
      <c r="JZ159" s="30"/>
      <c r="KA159" s="30"/>
      <c r="KB159" s="30"/>
      <c r="KC159" s="30"/>
      <c r="KD159" s="30"/>
      <c r="KE159" s="30"/>
      <c r="KF159" s="30"/>
      <c r="KG159" s="30"/>
      <c r="KH159" s="30"/>
      <c r="KI159" s="30"/>
      <c r="KJ159" s="30"/>
      <c r="KK159" s="30"/>
      <c r="KL159" s="30"/>
      <c r="KM159" s="30"/>
      <c r="KN159" s="30"/>
      <c r="KO159" s="30"/>
      <c r="KP159" s="30"/>
      <c r="KQ159" s="30"/>
      <c r="KR159" s="30"/>
      <c r="KS159" s="30"/>
      <c r="KT159" s="30"/>
      <c r="KU159" s="30"/>
      <c r="KV159" s="30"/>
      <c r="KW159" s="30"/>
      <c r="KX159" s="30"/>
      <c r="KY159" s="30"/>
      <c r="KZ159" s="30"/>
      <c r="LA159" s="30"/>
      <c r="LB159" s="30"/>
      <c r="LC159" s="30"/>
      <c r="LD159" s="30"/>
      <c r="LE159" s="30"/>
      <c r="LF159" s="30"/>
      <c r="LG159" s="30"/>
      <c r="LH159" s="30"/>
      <c r="LI159" s="30"/>
      <c r="LJ159" s="30"/>
      <c r="LK159" s="30"/>
      <c r="LL159" s="30"/>
      <c r="LM159" s="30"/>
      <c r="LN159" s="30"/>
      <c r="LO159" s="30"/>
      <c r="LP159" s="30"/>
      <c r="LQ159" s="30"/>
      <c r="LR159" s="30"/>
      <c r="LS159" s="30"/>
      <c r="LT159" s="30"/>
      <c r="LU159" s="30"/>
      <c r="LV159" s="30"/>
      <c r="LW159" s="30"/>
      <c r="LX159" s="30"/>
      <c r="LY159" s="30"/>
      <c r="LZ159" s="30"/>
      <c r="MA159" s="30"/>
      <c r="MB159" s="30"/>
      <c r="MC159" s="30"/>
      <c r="MD159" s="30"/>
      <c r="ME159" s="30"/>
      <c r="MF159" s="30"/>
      <c r="MG159" s="30"/>
      <c r="MH159" s="30"/>
      <c r="MI159" s="30"/>
      <c r="MJ159" s="30"/>
      <c r="MK159" s="30"/>
      <c r="ML159" s="30"/>
      <c r="MM159" s="30"/>
      <c r="MN159" s="30"/>
      <c r="MO159" s="30"/>
      <c r="MP159" s="30"/>
      <c r="MQ159" s="30"/>
      <c r="MR159" s="30"/>
      <c r="MS159" s="30"/>
      <c r="MT159" s="30"/>
    </row>
    <row r="160" customFormat="false" ht="14.4" hidden="false" customHeight="false" outlineLevel="0" collapsed="false">
      <c r="A160" s="99"/>
      <c r="B160" s="93"/>
      <c r="C160" s="85" t="s">
        <v>134</v>
      </c>
      <c r="D160" s="353"/>
      <c r="E160" s="85"/>
      <c r="F160" s="88" t="n">
        <f aca="false">SUM(G160:J160)/(1-'Common input data'!$B$138)</f>
        <v>1.92784325191995</v>
      </c>
      <c r="G160" s="87" t="n">
        <f aca="false">SUMPRODUCT('Input data processed products'!D$48:AB$48,'Input data processed products'!D$55:AB$55)</f>
        <v>0.912894224285554</v>
      </c>
      <c r="H160" s="87" t="n">
        <f aca="false">'Input data processed products'!I$67</f>
        <v>0.8</v>
      </c>
      <c r="I160" s="89" t="n">
        <f aca="false">'Common input data'!B$90</f>
        <v>0.05</v>
      </c>
      <c r="J160" s="89" t="n">
        <f aca="false">'Common input data'!C$98</f>
        <v>0.03</v>
      </c>
      <c r="K160" s="74"/>
    </row>
    <row r="161" customFormat="false" ht="14.4" hidden="false" customHeight="false" outlineLevel="0" collapsed="false">
      <c r="A161" s="100"/>
      <c r="B161" s="87"/>
      <c r="C161" s="85" t="s">
        <v>135</v>
      </c>
      <c r="D161" s="353"/>
      <c r="E161" s="85"/>
      <c r="F161" s="88" t="n">
        <f aca="false">SUM(G161:J161)/(1-'Common input data'!$B$138)</f>
        <v>0.0134104822490072</v>
      </c>
      <c r="G161" s="87" t="n">
        <f aca="false">SUMPRODUCT('Input data processed products'!D$48:AB$48,'Input data processed products'!D$56:AB$56)</f>
        <v>0.0124717484915767</v>
      </c>
      <c r="H161" s="87" t="n">
        <v>0</v>
      </c>
      <c r="I161" s="89" t="n">
        <v>0</v>
      </c>
      <c r="J161" s="89" t="n">
        <v>0</v>
      </c>
      <c r="K161" s="74"/>
    </row>
    <row r="162" customFormat="false" ht="14.4" hidden="false" customHeight="false" outlineLevel="0" collapsed="false">
      <c r="A162" s="100"/>
      <c r="B162" s="87"/>
      <c r="C162" s="31" t="s">
        <v>136</v>
      </c>
      <c r="D162" s="356"/>
      <c r="E162" s="125"/>
      <c r="F162" s="106" t="n">
        <f aca="false">SUM(G162:J162)/(1-'Common input data'!$B$138)</f>
        <v>0.00170843634643906</v>
      </c>
      <c r="G162" s="87" t="n">
        <f aca="false">SUMPRODUCT('Input data processed products'!D$48:AB$48,'Input data processed products'!D$57:AB$57)</f>
        <v>0.00158884580218833</v>
      </c>
      <c r="H162" s="87" t="n">
        <v>0</v>
      </c>
      <c r="I162" s="89" t="n">
        <v>0</v>
      </c>
      <c r="J162" s="89" t="n">
        <v>0</v>
      </c>
      <c r="K162" s="74"/>
    </row>
    <row r="163" s="132" customFormat="true" ht="14.4" hidden="false" customHeight="false" outlineLevel="0" collapsed="false">
      <c r="A163" s="127" t="s">
        <v>403</v>
      </c>
      <c r="B163" s="129"/>
      <c r="C163" s="130"/>
      <c r="D163" s="349"/>
      <c r="E163" s="270"/>
      <c r="F163" s="112" t="s">
        <v>404</v>
      </c>
      <c r="G163" s="129"/>
      <c r="H163" s="129"/>
      <c r="I163" s="131"/>
      <c r="J163" s="131"/>
      <c r="K163" s="74"/>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c r="FQ163" s="30"/>
      <c r="FR163" s="30"/>
      <c r="FS163" s="30"/>
      <c r="FT163" s="30"/>
      <c r="FU163" s="30"/>
      <c r="FV163" s="30"/>
      <c r="FW163" s="30"/>
      <c r="FX163" s="30"/>
      <c r="FY163" s="30"/>
      <c r="FZ163" s="30"/>
      <c r="GA163" s="30"/>
      <c r="GB163" s="30"/>
      <c r="GC163" s="30"/>
      <c r="GD163" s="30"/>
      <c r="GE163" s="30"/>
      <c r="GF163" s="30"/>
      <c r="GG163" s="30"/>
      <c r="GH163" s="30"/>
      <c r="GI163" s="30"/>
      <c r="GJ163" s="30"/>
      <c r="GK163" s="30"/>
      <c r="GL163" s="30"/>
      <c r="GM163" s="30"/>
      <c r="GN163" s="30"/>
      <c r="GO163" s="30"/>
      <c r="GP163" s="30"/>
      <c r="GQ163" s="30"/>
      <c r="GR163" s="30"/>
      <c r="GS163" s="30"/>
      <c r="GT163" s="30"/>
      <c r="GU163" s="30"/>
      <c r="GV163" s="30"/>
      <c r="GW163" s="30"/>
      <c r="GX163" s="30"/>
      <c r="GY163" s="30"/>
      <c r="GZ163" s="30"/>
      <c r="HA163" s="30"/>
      <c r="HB163" s="30"/>
      <c r="HC163" s="30"/>
      <c r="HD163" s="30"/>
      <c r="HE163" s="30"/>
      <c r="HF163" s="30"/>
      <c r="HG163" s="30"/>
      <c r="HH163" s="30"/>
      <c r="HI163" s="30"/>
      <c r="HJ163" s="30"/>
      <c r="HK163" s="30"/>
      <c r="HL163" s="30"/>
      <c r="HM163" s="30"/>
      <c r="HN163" s="30"/>
      <c r="HO163" s="30"/>
      <c r="HP163" s="30"/>
      <c r="HQ163" s="30"/>
      <c r="HR163" s="30"/>
      <c r="HS163" s="30"/>
      <c r="HT163" s="30"/>
      <c r="HU163" s="30"/>
      <c r="HV163" s="30"/>
      <c r="HW163" s="30"/>
      <c r="HX163" s="30"/>
      <c r="HY163" s="30"/>
      <c r="HZ163" s="30"/>
      <c r="IA163" s="30"/>
      <c r="IB163" s="30"/>
      <c r="IC163" s="30"/>
      <c r="ID163" s="30"/>
      <c r="IE163" s="30"/>
      <c r="IF163" s="30"/>
      <c r="IG163" s="30"/>
      <c r="IH163" s="30"/>
      <c r="II163" s="30"/>
      <c r="IJ163" s="30"/>
      <c r="IK163" s="30"/>
      <c r="IL163" s="30"/>
      <c r="IM163" s="30"/>
      <c r="IN163" s="30"/>
      <c r="IO163" s="30"/>
      <c r="IP163" s="30"/>
      <c r="IQ163" s="30"/>
      <c r="IR163" s="30"/>
      <c r="IS163" s="30"/>
      <c r="IT163" s="30"/>
      <c r="IU163" s="30"/>
      <c r="IV163" s="30"/>
      <c r="IW163" s="30"/>
      <c r="IX163" s="30"/>
      <c r="IY163" s="30"/>
      <c r="IZ163" s="30"/>
      <c r="JA163" s="30"/>
      <c r="JB163" s="30"/>
      <c r="JC163" s="30"/>
      <c r="JD163" s="30"/>
      <c r="JE163" s="30"/>
      <c r="JF163" s="30"/>
      <c r="JG163" s="30"/>
      <c r="JH163" s="30"/>
      <c r="JI163" s="30"/>
      <c r="JJ163" s="30"/>
      <c r="JK163" s="30"/>
      <c r="JL163" s="30"/>
      <c r="JM163" s="30"/>
      <c r="JN163" s="30"/>
      <c r="JO163" s="30"/>
      <c r="JP163" s="30"/>
      <c r="JQ163" s="30"/>
      <c r="JR163" s="30"/>
      <c r="JS163" s="30"/>
      <c r="JT163" s="30"/>
      <c r="JU163" s="30"/>
      <c r="JV163" s="30"/>
      <c r="JW163" s="30"/>
      <c r="JX163" s="30"/>
      <c r="JY163" s="30"/>
      <c r="JZ163" s="30"/>
      <c r="KA163" s="30"/>
      <c r="KB163" s="30"/>
      <c r="KC163" s="30"/>
      <c r="KD163" s="30"/>
      <c r="KE163" s="30"/>
      <c r="KF163" s="30"/>
      <c r="KG163" s="30"/>
      <c r="KH163" s="30"/>
      <c r="KI163" s="30"/>
      <c r="KJ163" s="30"/>
      <c r="KK163" s="30"/>
      <c r="KL163" s="30"/>
      <c r="KM163" s="30"/>
      <c r="KN163" s="30"/>
      <c r="KO163" s="30"/>
      <c r="KP163" s="30"/>
      <c r="KQ163" s="30"/>
      <c r="KR163" s="30"/>
      <c r="KS163" s="30"/>
      <c r="KT163" s="30"/>
      <c r="KU163" s="30"/>
      <c r="KV163" s="30"/>
      <c r="KW163" s="30"/>
      <c r="KX163" s="30"/>
      <c r="KY163" s="30"/>
      <c r="KZ163" s="30"/>
      <c r="LA163" s="30"/>
      <c r="LB163" s="30"/>
      <c r="LC163" s="30"/>
      <c r="LD163" s="30"/>
      <c r="LE163" s="30"/>
      <c r="LF163" s="30"/>
      <c r="LG163" s="30"/>
      <c r="LH163" s="30"/>
      <c r="LI163" s="30"/>
      <c r="LJ163" s="30"/>
      <c r="LK163" s="30"/>
      <c r="LL163" s="30"/>
      <c r="LM163" s="30"/>
      <c r="LN163" s="30"/>
      <c r="LO163" s="30"/>
      <c r="LP163" s="30"/>
      <c r="LQ163" s="30"/>
      <c r="LR163" s="30"/>
      <c r="LS163" s="30"/>
      <c r="LT163" s="30"/>
      <c r="LU163" s="30"/>
      <c r="LV163" s="30"/>
      <c r="LW163" s="30"/>
      <c r="LX163" s="30"/>
      <c r="LY163" s="30"/>
      <c r="LZ163" s="30"/>
      <c r="MA163" s="30"/>
      <c r="MB163" s="30"/>
      <c r="MC163" s="30"/>
      <c r="MD163" s="30"/>
      <c r="ME163" s="30"/>
      <c r="MF163" s="30"/>
      <c r="MG163" s="30"/>
      <c r="MH163" s="30"/>
      <c r="MI163" s="30"/>
      <c r="MJ163" s="30"/>
      <c r="MK163" s="30"/>
      <c r="ML163" s="30"/>
      <c r="MM163" s="30"/>
      <c r="MN163" s="30"/>
      <c r="MO163" s="30"/>
      <c r="MP163" s="30"/>
      <c r="MQ163" s="30"/>
      <c r="MR163" s="30"/>
      <c r="MS163" s="30"/>
      <c r="MT163" s="30"/>
    </row>
    <row r="164" s="262" customFormat="true" ht="14.4" hidden="false" customHeight="false" outlineLevel="0" collapsed="false">
      <c r="A164" s="134" t="s">
        <v>137</v>
      </c>
      <c r="B164" s="313" t="n">
        <f aca="false">'Input data processed products'!C50</f>
        <v>1</v>
      </c>
      <c r="C164" s="137" t="s">
        <v>133</v>
      </c>
      <c r="D164" s="352"/>
      <c r="E164" s="137"/>
      <c r="F164" s="81" t="n">
        <f aca="false">IF($E$1="GWP100 without fb",F165+F166*'Common input data'!$C$5+F167*'Common input data'!$D$5,IF($E$1="GWP100 with fb",F165+F166*'Common input data'!$C$6+F167*'Common input data'!$D$6,IF($E$1="GTP100 without fb",F165+F166*'Common input data'!$C$7+F167*'Common input data'!$D$7,IF($E$1="GTP100 with fb",F165+F166*'Common input data'!$C$8+F167*'Common input data'!$D$8,F165+F166*'Common input data'!$C$9+F167*'Common input data'!$D$9))))</f>
        <v>4.28145655636175</v>
      </c>
      <c r="G164" s="261"/>
      <c r="H164" s="261"/>
      <c r="I164" s="359"/>
      <c r="J164" s="359"/>
      <c r="K164" s="74"/>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c r="FQ164" s="30"/>
      <c r="FR164" s="30"/>
      <c r="FS164" s="30"/>
      <c r="FT164" s="30"/>
      <c r="FU164" s="30"/>
      <c r="FV164" s="30"/>
      <c r="FW164" s="30"/>
      <c r="FX164" s="30"/>
      <c r="FY164" s="30"/>
      <c r="FZ164" s="30"/>
      <c r="GA164" s="30"/>
      <c r="GB164" s="30"/>
      <c r="GC164" s="30"/>
      <c r="GD164" s="30"/>
      <c r="GE164" s="30"/>
      <c r="GF164" s="30"/>
      <c r="GG164" s="30"/>
      <c r="GH164" s="30"/>
      <c r="GI164" s="30"/>
      <c r="GJ164" s="30"/>
      <c r="GK164" s="30"/>
      <c r="GL164" s="30"/>
      <c r="GM164" s="30"/>
      <c r="GN164" s="30"/>
      <c r="GO164" s="30"/>
      <c r="GP164" s="30"/>
      <c r="GQ164" s="30"/>
      <c r="GR164" s="30"/>
      <c r="GS164" s="30"/>
      <c r="GT164" s="30"/>
      <c r="GU164" s="30"/>
      <c r="GV164" s="30"/>
      <c r="GW164" s="30"/>
      <c r="GX164" s="30"/>
      <c r="GY164" s="30"/>
      <c r="GZ164" s="30"/>
      <c r="HA164" s="30"/>
      <c r="HB164" s="30"/>
      <c r="HC164" s="30"/>
      <c r="HD164" s="30"/>
      <c r="HE164" s="30"/>
      <c r="HF164" s="30"/>
      <c r="HG164" s="30"/>
      <c r="HH164" s="30"/>
      <c r="HI164" s="30"/>
      <c r="HJ164" s="30"/>
      <c r="HK164" s="30"/>
      <c r="HL164" s="30"/>
      <c r="HM164" s="30"/>
      <c r="HN164" s="30"/>
      <c r="HO164" s="30"/>
      <c r="HP164" s="30"/>
      <c r="HQ164" s="30"/>
      <c r="HR164" s="30"/>
      <c r="HS164" s="30"/>
      <c r="HT164" s="30"/>
      <c r="HU164" s="30"/>
      <c r="HV164" s="30"/>
      <c r="HW164" s="30"/>
      <c r="HX164" s="30"/>
      <c r="HY164" s="30"/>
      <c r="HZ164" s="30"/>
      <c r="IA164" s="30"/>
      <c r="IB164" s="30"/>
      <c r="IC164" s="30"/>
      <c r="ID164" s="30"/>
      <c r="IE164" s="30"/>
      <c r="IF164" s="30"/>
      <c r="IG164" s="30"/>
      <c r="IH164" s="30"/>
      <c r="II164" s="30"/>
      <c r="IJ164" s="30"/>
      <c r="IK164" s="30"/>
      <c r="IL164" s="30"/>
      <c r="IM164" s="30"/>
      <c r="IN164" s="30"/>
      <c r="IO164" s="30"/>
      <c r="IP164" s="30"/>
      <c r="IQ164" s="30"/>
      <c r="IR164" s="30"/>
      <c r="IS164" s="30"/>
      <c r="IT164" s="30"/>
      <c r="IU164" s="30"/>
      <c r="IV164" s="30"/>
      <c r="IW164" s="30"/>
      <c r="IX164" s="30"/>
      <c r="IY164" s="30"/>
      <c r="IZ164" s="30"/>
      <c r="JA164" s="30"/>
      <c r="JB164" s="30"/>
      <c r="JC164" s="30"/>
      <c r="JD164" s="30"/>
      <c r="JE164" s="30"/>
      <c r="JF164" s="30"/>
      <c r="JG164" s="30"/>
      <c r="JH164" s="30"/>
      <c r="JI164" s="30"/>
      <c r="JJ164" s="30"/>
      <c r="JK164" s="30"/>
      <c r="JL164" s="30"/>
      <c r="JM164" s="30"/>
      <c r="JN164" s="30"/>
      <c r="JO164" s="30"/>
      <c r="JP164" s="30"/>
      <c r="JQ164" s="30"/>
      <c r="JR164" s="30"/>
      <c r="JS164" s="30"/>
      <c r="JT164" s="30"/>
      <c r="JU164" s="30"/>
      <c r="JV164" s="30"/>
      <c r="JW164" s="30"/>
      <c r="JX164" s="30"/>
      <c r="JY164" s="30"/>
      <c r="JZ164" s="30"/>
      <c r="KA164" s="30"/>
      <c r="KB164" s="30"/>
      <c r="KC164" s="30"/>
      <c r="KD164" s="30"/>
      <c r="KE164" s="30"/>
      <c r="KF164" s="30"/>
      <c r="KG164" s="30"/>
      <c r="KH164" s="30"/>
      <c r="KI164" s="30"/>
      <c r="KJ164" s="30"/>
      <c r="KK164" s="30"/>
      <c r="KL164" s="30"/>
      <c r="KM164" s="30"/>
      <c r="KN164" s="30"/>
      <c r="KO164" s="30"/>
      <c r="KP164" s="30"/>
      <c r="KQ164" s="30"/>
      <c r="KR164" s="30"/>
      <c r="KS164" s="30"/>
      <c r="KT164" s="30"/>
      <c r="KU164" s="30"/>
      <c r="KV164" s="30"/>
      <c r="KW164" s="30"/>
      <c r="KX164" s="30"/>
      <c r="KY164" s="30"/>
      <c r="KZ164" s="30"/>
      <c r="LA164" s="30"/>
      <c r="LB164" s="30"/>
      <c r="LC164" s="30"/>
      <c r="LD164" s="30"/>
      <c r="LE164" s="30"/>
      <c r="LF164" s="30"/>
      <c r="LG164" s="30"/>
      <c r="LH164" s="30"/>
      <c r="LI164" s="30"/>
      <c r="LJ164" s="30"/>
      <c r="LK164" s="30"/>
      <c r="LL164" s="30"/>
      <c r="LM164" s="30"/>
      <c r="LN164" s="30"/>
      <c r="LO164" s="30"/>
      <c r="LP164" s="30"/>
      <c r="LQ164" s="30"/>
      <c r="LR164" s="30"/>
      <c r="LS164" s="30"/>
      <c r="LT164" s="30"/>
      <c r="LU164" s="30"/>
      <c r="LV164" s="30"/>
      <c r="LW164" s="30"/>
      <c r="LX164" s="30"/>
      <c r="LY164" s="30"/>
      <c r="LZ164" s="30"/>
      <c r="MA164" s="30"/>
      <c r="MB164" s="30"/>
      <c r="MC164" s="30"/>
      <c r="MD164" s="30"/>
      <c r="ME164" s="30"/>
      <c r="MF164" s="30"/>
      <c r="MG164" s="30"/>
      <c r="MH164" s="30"/>
      <c r="MI164" s="30"/>
      <c r="MJ164" s="30"/>
      <c r="MK164" s="30"/>
      <c r="ML164" s="30"/>
      <c r="MM164" s="30"/>
      <c r="MN164" s="30"/>
      <c r="MO164" s="30"/>
      <c r="MP164" s="30"/>
      <c r="MQ164" s="30"/>
      <c r="MR164" s="30"/>
      <c r="MS164" s="30"/>
      <c r="MT164" s="30"/>
    </row>
    <row r="165" customFormat="false" ht="14.4" hidden="false" customHeight="false" outlineLevel="0" collapsed="false">
      <c r="C165" s="85" t="s">
        <v>134</v>
      </c>
      <c r="D165" s="353"/>
      <c r="E165" s="85"/>
      <c r="F165" s="88" t="n">
        <f aca="false">SUM(G165:J165)/(1-'Common input data'!$B$140)</f>
        <v>1.26123275321613</v>
      </c>
      <c r="G165" s="87" t="n">
        <f aca="false">SUMPRODUCT('Input data processed products'!D$50:AB$50,'Input data processed products'!D$55:AB$55)</f>
        <v>0.874926589450048</v>
      </c>
      <c r="H165" s="87" t="n">
        <f aca="false">'Input data processed products'!J$67</f>
        <v>0.3</v>
      </c>
      <c r="I165" s="89" t="n">
        <f aca="false">'Common input data'!B$90</f>
        <v>0.05</v>
      </c>
      <c r="J165" s="89" t="n">
        <f aca="false">'Common input data'!C$98</f>
        <v>0.03</v>
      </c>
      <c r="K165" s="74"/>
    </row>
    <row r="166" customFormat="false" ht="14.4" hidden="false" customHeight="false" outlineLevel="0" collapsed="false">
      <c r="A166" s="99"/>
      <c r="B166" s="93"/>
      <c r="C166" s="85" t="s">
        <v>135</v>
      </c>
      <c r="D166" s="353"/>
      <c r="E166" s="85"/>
      <c r="F166" s="88" t="n">
        <f aca="false">SUM(G166:J166)/(1-'Common input data'!$B$140)</f>
        <v>0.0645305617097073</v>
      </c>
      <c r="G166" s="87" t="n">
        <f aca="false">SUMPRODUCT('Input data processed products'!D$50:AB$50,'Input data processed products'!D$56:AB$56)</f>
        <v>0.0642079089011587</v>
      </c>
      <c r="H166" s="87" t="n">
        <v>0</v>
      </c>
      <c r="I166" s="89" t="n">
        <v>0</v>
      </c>
      <c r="J166" s="89" t="n">
        <v>0</v>
      </c>
      <c r="K166" s="74"/>
    </row>
    <row r="167" customFormat="false" ht="15" hidden="false" customHeight="false" outlineLevel="0" collapsed="false">
      <c r="A167" s="250"/>
      <c r="B167" s="105"/>
      <c r="C167" s="125" t="s">
        <v>136</v>
      </c>
      <c r="D167" s="368"/>
      <c r="E167" s="369"/>
      <c r="F167" s="200" t="n">
        <f aca="false">SUM(G167:J167)/(1-'Common input data'!$B$140)</f>
        <v>0.00277243189602541</v>
      </c>
      <c r="G167" s="105" t="n">
        <f aca="false">SUMPRODUCT('Input data processed products'!D$50:AB$50,'Input data processed products'!D$57:AB$57)</f>
        <v>0.00275856973654528</v>
      </c>
      <c r="H167" s="105" t="n">
        <v>0</v>
      </c>
      <c r="I167" s="126" t="n">
        <v>0</v>
      </c>
      <c r="J167" s="126" t="n">
        <v>0</v>
      </c>
      <c r="K167" s="74"/>
    </row>
  </sheetData>
  <mergeCells count="1">
    <mergeCell ref="G4:H4"/>
  </mergeCells>
  <dataValidations count="2">
    <dataValidation allowBlank="true" operator="between" showDropDown="false" showErrorMessage="true" showInputMessage="true" sqref="E2:E3" type="list">
      <formula1>"Yes,No"</formula1>
      <formula2>0</formula2>
    </dataValidation>
    <dataValidation allowBlank="true" operator="between" showDropDown="false" showErrorMessage="true" showInputMessage="true" sqref="E1" type="list">
      <formula1>"GWP100 without fb,GWP100 with fb,GTP100 without fb,GTP100 with fb,GTP climate goal"</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9DC3E6"/>
    <pageSetUpPr fitToPage="false"/>
  </sheetPr>
  <dimension ref="A1:T14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0234375" defaultRowHeight="13.8" zeroHeight="false" outlineLevelRow="0" outlineLevelCol="0"/>
  <cols>
    <col collapsed="false" customWidth="true" hidden="false" outlineLevel="0" max="1" min="1" style="370" width="51.66"/>
    <col collapsed="false" customWidth="true" hidden="false" outlineLevel="0" max="2" min="2" style="370" width="33.56"/>
    <col collapsed="false" customWidth="true" hidden="false" outlineLevel="0" max="3" min="3" style="370" width="26.33"/>
    <col collapsed="false" customWidth="true" hidden="false" outlineLevel="0" max="4" min="4" style="370" width="30.33"/>
    <col collapsed="false" customWidth="true" hidden="false" outlineLevel="0" max="5" min="5" style="370" width="42.67"/>
    <col collapsed="false" customWidth="true" hidden="false" outlineLevel="0" max="6" min="6" style="370" width="19.66"/>
    <col collapsed="false" customWidth="true" hidden="false" outlineLevel="0" max="7" min="7" style="370" width="52.89"/>
    <col collapsed="false" customWidth="true" hidden="false" outlineLevel="0" max="8" min="8" style="370" width="60.44"/>
    <col collapsed="false" customWidth="true" hidden="false" outlineLevel="0" max="9" min="9" style="370" width="21.44"/>
    <col collapsed="false" customWidth="true" hidden="false" outlineLevel="0" max="10" min="10" style="370" width="10.45"/>
    <col collapsed="false" customWidth="true" hidden="false" outlineLevel="0" max="11" min="11" style="370" width="14.78"/>
    <col collapsed="false" customWidth="false" hidden="false" outlineLevel="0" max="1025" min="12" style="370" width="8.89"/>
  </cols>
  <sheetData>
    <row r="1" customFormat="false" ht="23.4" hidden="false" customHeight="false" outlineLevel="0" collapsed="false">
      <c r="A1" s="371" t="s">
        <v>405</v>
      </c>
    </row>
    <row r="2" customFormat="false" ht="23.4" hidden="false" customHeight="false" outlineLevel="0" collapsed="false">
      <c r="A2" s="371"/>
    </row>
    <row r="3" customFormat="false" ht="13.8" hidden="false" customHeight="false" outlineLevel="0" collapsed="false">
      <c r="A3" s="372" t="s">
        <v>406</v>
      </c>
    </row>
    <row r="4" customFormat="false" ht="13.8" hidden="false" customHeight="false" outlineLevel="0" collapsed="false">
      <c r="A4" s="373"/>
      <c r="B4" s="374" t="s">
        <v>407</v>
      </c>
      <c r="C4" s="374" t="s">
        <v>408</v>
      </c>
      <c r="D4" s="374" t="s">
        <v>409</v>
      </c>
      <c r="E4" s="375" t="s">
        <v>410</v>
      </c>
      <c r="F4" s="376" t="s">
        <v>411</v>
      </c>
    </row>
    <row r="5" customFormat="false" ht="13.8" hidden="false" customHeight="false" outlineLevel="0" collapsed="false">
      <c r="A5" s="377" t="s">
        <v>412</v>
      </c>
      <c r="B5" s="378" t="n">
        <v>1</v>
      </c>
      <c r="C5" s="23" t="n">
        <v>28</v>
      </c>
      <c r="D5" s="23" t="n">
        <v>265</v>
      </c>
      <c r="E5" s="379" t="n">
        <v>1760</v>
      </c>
      <c r="F5" s="380" t="s">
        <v>413</v>
      </c>
    </row>
    <row r="6" customFormat="false" ht="14.4" hidden="false" customHeight="false" outlineLevel="0" collapsed="false">
      <c r="A6" s="377" t="s">
        <v>105</v>
      </c>
      <c r="B6" s="23" t="n">
        <v>1</v>
      </c>
      <c r="C6" s="122" t="n">
        <v>34</v>
      </c>
      <c r="D6" s="23" t="n">
        <v>298</v>
      </c>
      <c r="E6" s="300" t="n">
        <v>2106</v>
      </c>
      <c r="F6" s="380" t="s">
        <v>413</v>
      </c>
    </row>
    <row r="7" customFormat="false" ht="13.8" hidden="false" customHeight="false" outlineLevel="0" collapsed="false">
      <c r="A7" s="377" t="s">
        <v>414</v>
      </c>
      <c r="B7" s="380" t="n">
        <v>1</v>
      </c>
      <c r="C7" s="380" t="n">
        <v>4</v>
      </c>
      <c r="D7" s="380" t="n">
        <v>234</v>
      </c>
      <c r="E7" s="381" t="n">
        <v>262</v>
      </c>
      <c r="F7" s="380" t="s">
        <v>413</v>
      </c>
    </row>
    <row r="8" customFormat="false" ht="13.8" hidden="false" customHeight="false" outlineLevel="0" collapsed="false">
      <c r="A8" s="377" t="s">
        <v>415</v>
      </c>
      <c r="B8" s="380" t="n">
        <v>1</v>
      </c>
      <c r="C8" s="380" t="n">
        <v>11</v>
      </c>
      <c r="D8" s="380" t="n">
        <v>297</v>
      </c>
      <c r="E8" s="382" t="n">
        <v>708</v>
      </c>
      <c r="F8" s="380" t="s">
        <v>413</v>
      </c>
    </row>
    <row r="9" customFormat="false" ht="13.8" hidden="false" customHeight="false" outlineLevel="0" collapsed="false">
      <c r="A9" s="383" t="s">
        <v>416</v>
      </c>
      <c r="B9" s="384" t="n">
        <v>1</v>
      </c>
      <c r="C9" s="384" t="n">
        <v>18</v>
      </c>
      <c r="D9" s="385" t="n">
        <v>271</v>
      </c>
      <c r="E9" s="386" t="n">
        <v>1264</v>
      </c>
      <c r="F9" s="380" t="s">
        <v>417</v>
      </c>
    </row>
    <row r="10" customFormat="false" ht="13.8" hidden="false" customHeight="false" outlineLevel="0" collapsed="false">
      <c r="C10" s="380"/>
      <c r="D10" s="380"/>
      <c r="E10" s="380"/>
    </row>
    <row r="11" customFormat="false" ht="14.4" hidden="false" customHeight="false" outlineLevel="0" collapsed="false">
      <c r="A11" s="387" t="s">
        <v>418</v>
      </c>
      <c r="C11" s="388"/>
      <c r="D11" s="389"/>
      <c r="E11" s="389"/>
      <c r="F11" s="361"/>
      <c r="G11" s="389"/>
      <c r="H11" s="389"/>
    </row>
    <row r="12" customFormat="false" ht="27.6" hidden="false" customHeight="false" outlineLevel="0" collapsed="false">
      <c r="A12" s="390"/>
      <c r="B12" s="374" t="s">
        <v>419</v>
      </c>
      <c r="C12" s="374" t="s">
        <v>420</v>
      </c>
      <c r="D12" s="374" t="s">
        <v>421</v>
      </c>
      <c r="E12" s="374" t="s">
        <v>422</v>
      </c>
      <c r="F12" s="375" t="s">
        <v>423</v>
      </c>
      <c r="G12" s="333" t="s">
        <v>411</v>
      </c>
      <c r="H12" s="389"/>
    </row>
    <row r="13" customFormat="false" ht="14.4" hidden="false" customHeight="false" outlineLevel="0" collapsed="false">
      <c r="A13" s="391" t="s">
        <v>424</v>
      </c>
      <c r="B13" s="392" t="n">
        <f aca="false">B15</f>
        <v>0.108271767984466</v>
      </c>
      <c r="C13" s="392" t="n">
        <f aca="false">C15</f>
        <v>0.238291206237002</v>
      </c>
      <c r="D13" s="392" t="n">
        <f aca="false">D15</f>
        <v>0.159771495181245</v>
      </c>
      <c r="E13" s="392" t="n">
        <f aca="false">E15</f>
        <v>0.0399894869629571</v>
      </c>
      <c r="F13" s="393" t="n">
        <f aca="false">F15</f>
        <v>-0.0911390481413813</v>
      </c>
      <c r="G13" s="333"/>
      <c r="H13" s="389"/>
    </row>
    <row r="14" customFormat="false" ht="14.4" hidden="false" customHeight="false" outlineLevel="0" collapsed="false">
      <c r="A14" s="394" t="s">
        <v>425</v>
      </c>
      <c r="B14" s="392" t="n">
        <v>0.190388049545201</v>
      </c>
      <c r="C14" s="392" t="n">
        <v>0.318473890336743</v>
      </c>
      <c r="D14" s="392" t="n">
        <v>0.327921883920233</v>
      </c>
      <c r="E14" s="392" t="n">
        <v>0.0373216005603712</v>
      </c>
      <c r="F14" s="393" t="n">
        <v>-0.0178627465281019</v>
      </c>
      <c r="G14" s="395" t="s">
        <v>426</v>
      </c>
      <c r="H14" s="389"/>
    </row>
    <row r="15" customFormat="false" ht="14.4" hidden="false" customHeight="false" outlineLevel="0" collapsed="false">
      <c r="A15" s="396" t="s">
        <v>427</v>
      </c>
      <c r="B15" s="228" t="n">
        <v>0.108271767984466</v>
      </c>
      <c r="C15" s="228" t="n">
        <v>0.238291206237002</v>
      </c>
      <c r="D15" s="397" t="n">
        <v>0.159771495181245</v>
      </c>
      <c r="E15" s="397" t="n">
        <v>0.0399894869629571</v>
      </c>
      <c r="F15" s="398" t="n">
        <v>-0.0911390481413813</v>
      </c>
      <c r="G15" s="389" t="s">
        <v>428</v>
      </c>
      <c r="H15" s="389"/>
    </row>
    <row r="16" customFormat="false" ht="14.4" hidden="false" customHeight="false" outlineLevel="0" collapsed="false">
      <c r="A16" s="399" t="s">
        <v>429</v>
      </c>
      <c r="B16" s="400"/>
      <c r="C16" s="400"/>
      <c r="D16" s="400"/>
      <c r="E16" s="400"/>
      <c r="F16" s="400"/>
      <c r="G16" s="401"/>
      <c r="H16" s="389"/>
    </row>
    <row r="17" customFormat="false" ht="14.4" hidden="false" customHeight="false" outlineLevel="0" collapsed="false">
      <c r="A17" s="370" t="s">
        <v>430</v>
      </c>
      <c r="B17" s="361"/>
      <c r="C17" s="361"/>
      <c r="D17" s="389"/>
      <c r="E17" s="389"/>
      <c r="F17" s="361"/>
      <c r="G17" s="389"/>
      <c r="H17" s="389"/>
    </row>
    <row r="18" customFormat="false" ht="14.4" hidden="false" customHeight="false" outlineLevel="0" collapsed="false">
      <c r="G18" s="389"/>
      <c r="H18" s="389"/>
    </row>
    <row r="19" customFormat="false" ht="14.4" hidden="false" customHeight="false" outlineLevel="0" collapsed="false">
      <c r="A19" s="402" t="s">
        <v>431</v>
      </c>
      <c r="B19" s="23"/>
      <c r="C19" s="361"/>
      <c r="D19" s="389"/>
      <c r="E19" s="389"/>
      <c r="F19" s="361"/>
      <c r="G19" s="389"/>
      <c r="H19" s="389"/>
    </row>
    <row r="20" customFormat="false" ht="14.4" hidden="false" customHeight="false" outlineLevel="0" collapsed="false">
      <c r="A20" s="403"/>
      <c r="B20" s="374" t="s">
        <v>432</v>
      </c>
      <c r="C20" s="375" t="s">
        <v>433</v>
      </c>
      <c r="D20" s="25" t="s">
        <v>411</v>
      </c>
      <c r="E20" s="389"/>
      <c r="F20" s="361"/>
      <c r="G20" s="389"/>
      <c r="H20" s="389"/>
    </row>
    <row r="21" customFormat="false" ht="14.4" hidden="false" customHeight="false" outlineLevel="0" collapsed="false">
      <c r="A21" s="404" t="s">
        <v>434</v>
      </c>
      <c r="B21" s="405" t="n">
        <v>1.07807054424287</v>
      </c>
      <c r="C21" s="406" t="n">
        <v>1.66838363676944</v>
      </c>
      <c r="D21" s="361" t="s">
        <v>435</v>
      </c>
      <c r="E21" s="389"/>
      <c r="F21" s="361"/>
      <c r="G21" s="389"/>
      <c r="H21" s="389"/>
    </row>
    <row r="22" customFormat="false" ht="14.4" hidden="false" customHeight="false" outlineLevel="0" collapsed="false">
      <c r="A22" s="370" t="s">
        <v>436</v>
      </c>
      <c r="C22" s="389"/>
      <c r="D22" s="389"/>
      <c r="E22" s="389"/>
      <c r="F22" s="389"/>
      <c r="G22" s="389"/>
      <c r="H22" s="389"/>
    </row>
    <row r="23" customFormat="false" ht="13.8" hidden="false" customHeight="false" outlineLevel="0" collapsed="false">
      <c r="C23" s="380"/>
      <c r="D23" s="380"/>
      <c r="E23" s="380"/>
    </row>
    <row r="24" customFormat="false" ht="13.8" hidden="false" customHeight="false" outlineLevel="0" collapsed="false">
      <c r="A24" s="376" t="s">
        <v>437</v>
      </c>
      <c r="H24" s="407"/>
      <c r="I24" s="407"/>
    </row>
    <row r="25" customFormat="false" ht="41.4" hidden="false" customHeight="false" outlineLevel="0" collapsed="false">
      <c r="A25" s="408" t="s">
        <v>112</v>
      </c>
      <c r="B25" s="409" t="s">
        <v>438</v>
      </c>
      <c r="C25" s="409" t="s">
        <v>439</v>
      </c>
      <c r="D25" s="409" t="s">
        <v>440</v>
      </c>
      <c r="E25" s="409" t="s">
        <v>441</v>
      </c>
      <c r="F25" s="409" t="s">
        <v>439</v>
      </c>
      <c r="G25" s="409" t="s">
        <v>440</v>
      </c>
      <c r="H25" s="410" t="s">
        <v>442</v>
      </c>
      <c r="I25" s="409" t="s">
        <v>439</v>
      </c>
      <c r="J25" s="411" t="s">
        <v>440</v>
      </c>
      <c r="K25" s="376" t="s">
        <v>411</v>
      </c>
      <c r="L25" s="407"/>
    </row>
    <row r="26" customFormat="false" ht="13.8" hidden="false" customHeight="false" outlineLevel="0" collapsed="false">
      <c r="A26" s="412" t="s">
        <v>280</v>
      </c>
      <c r="B26" s="413" t="s">
        <v>443</v>
      </c>
      <c r="C26" s="414" t="n">
        <f aca="false">0.4</f>
        <v>0.4</v>
      </c>
      <c r="D26" s="413" t="n">
        <v>0.72</v>
      </c>
      <c r="E26" s="413" t="s">
        <v>444</v>
      </c>
      <c r="F26" s="414" t="n">
        <v>0.6</v>
      </c>
      <c r="G26" s="413" t="n">
        <v>0.28</v>
      </c>
      <c r="H26" s="414"/>
      <c r="I26" s="414"/>
      <c r="J26" s="415"/>
      <c r="K26" s="416" t="s">
        <v>445</v>
      </c>
    </row>
    <row r="27" customFormat="false" ht="47.4" hidden="false" customHeight="true" outlineLevel="0" collapsed="false">
      <c r="A27" s="412" t="s">
        <v>446</v>
      </c>
      <c r="B27" s="413" t="s">
        <v>446</v>
      </c>
      <c r="C27" s="414" t="n">
        <v>0.62</v>
      </c>
      <c r="D27" s="121" t="n">
        <v>0.9075</v>
      </c>
      <c r="E27" s="413" t="s">
        <v>447</v>
      </c>
      <c r="F27" s="414" t="n">
        <v>0.38</v>
      </c>
      <c r="G27" s="417" t="n">
        <v>0.0925</v>
      </c>
      <c r="H27" s="414"/>
      <c r="I27" s="414"/>
      <c r="J27" s="415"/>
      <c r="K27" s="416" t="s">
        <v>448</v>
      </c>
    </row>
    <row r="28" customFormat="false" ht="12" hidden="false" customHeight="true" outlineLevel="0" collapsed="false">
      <c r="A28" s="412" t="s">
        <v>449</v>
      </c>
      <c r="B28" s="413" t="s">
        <v>450</v>
      </c>
      <c r="C28" s="414" t="n">
        <v>0.77</v>
      </c>
      <c r="D28" s="413" t="n">
        <v>0.91</v>
      </c>
      <c r="E28" s="413" t="s">
        <v>451</v>
      </c>
      <c r="F28" s="414" t="n">
        <v>0.23</v>
      </c>
      <c r="G28" s="413" t="n">
        <v>0.09</v>
      </c>
      <c r="H28" s="414"/>
      <c r="I28" s="414"/>
      <c r="J28" s="415"/>
      <c r="K28" s="416" t="s">
        <v>452</v>
      </c>
    </row>
    <row r="29" customFormat="false" ht="13.8" hidden="false" customHeight="false" outlineLevel="0" collapsed="false">
      <c r="A29" s="412" t="s">
        <v>453</v>
      </c>
      <c r="B29" s="413" t="s">
        <v>454</v>
      </c>
      <c r="C29" s="414" t="n">
        <v>0.7</v>
      </c>
      <c r="D29" s="413" t="n">
        <v>0.8</v>
      </c>
      <c r="E29" s="413" t="s">
        <v>455</v>
      </c>
      <c r="F29" s="414" t="n">
        <v>0.3</v>
      </c>
      <c r="G29" s="413" t="n">
        <v>0.2</v>
      </c>
      <c r="H29" s="414"/>
      <c r="I29" s="414"/>
      <c r="J29" s="415"/>
      <c r="K29" s="416" t="s">
        <v>456</v>
      </c>
    </row>
    <row r="30" customFormat="false" ht="13.8" hidden="false" customHeight="false" outlineLevel="0" collapsed="false">
      <c r="A30" s="412" t="s">
        <v>457</v>
      </c>
      <c r="B30" s="413" t="s">
        <v>458</v>
      </c>
      <c r="C30" s="414" t="n">
        <v>0.18</v>
      </c>
      <c r="D30" s="413" t="n">
        <v>0.35</v>
      </c>
      <c r="E30" s="413" t="s">
        <v>459</v>
      </c>
      <c r="F30" s="414" t="n">
        <v>0.82</v>
      </c>
      <c r="G30" s="413" t="n">
        <v>0.65</v>
      </c>
      <c r="H30" s="414"/>
      <c r="I30" s="414"/>
      <c r="J30" s="415"/>
      <c r="K30" s="416" t="s">
        <v>456</v>
      </c>
    </row>
    <row r="31" customFormat="false" ht="13.8" hidden="false" customHeight="false" outlineLevel="0" collapsed="false">
      <c r="A31" s="412" t="s">
        <v>460</v>
      </c>
      <c r="B31" s="413" t="s">
        <v>460</v>
      </c>
      <c r="C31" s="414" t="n">
        <v>0.79</v>
      </c>
      <c r="D31" s="413" t="n">
        <v>0.85</v>
      </c>
      <c r="E31" s="413" t="s">
        <v>461</v>
      </c>
      <c r="F31" s="414" t="n">
        <v>0.1</v>
      </c>
      <c r="G31" s="413" t="n">
        <v>0.12</v>
      </c>
      <c r="H31" s="414" t="s">
        <v>462</v>
      </c>
      <c r="I31" s="414" t="n">
        <v>0.11</v>
      </c>
      <c r="J31" s="418" t="n">
        <v>0.03</v>
      </c>
      <c r="K31" s="416" t="s">
        <v>456</v>
      </c>
    </row>
    <row r="32" customFormat="false" ht="13.8" hidden="false" customHeight="false" outlineLevel="0" collapsed="false">
      <c r="A32" s="412" t="s">
        <v>463</v>
      </c>
      <c r="B32" s="413" t="s">
        <v>464</v>
      </c>
      <c r="C32" s="417" t="n">
        <v>0.308</v>
      </c>
      <c r="D32" s="413" t="n">
        <v>0.24</v>
      </c>
      <c r="E32" s="413" t="s">
        <v>465</v>
      </c>
      <c r="F32" s="417" t="n">
        <v>0.225</v>
      </c>
      <c r="G32" s="417" t="n">
        <v>0.375</v>
      </c>
      <c r="H32" s="414" t="s">
        <v>466</v>
      </c>
      <c r="I32" s="419" t="n">
        <v>0.467</v>
      </c>
      <c r="J32" s="418" t="n">
        <v>0.386</v>
      </c>
      <c r="K32" s="416" t="s">
        <v>467</v>
      </c>
      <c r="N32" s="420"/>
      <c r="O32" s="421"/>
      <c r="P32" s="421"/>
      <c r="Q32" s="421"/>
      <c r="R32" s="421"/>
      <c r="S32" s="421"/>
      <c r="T32" s="421"/>
    </row>
    <row r="33" customFormat="false" ht="13.8" hidden="false" customHeight="false" outlineLevel="0" collapsed="false">
      <c r="A33" s="412" t="s">
        <v>468</v>
      </c>
      <c r="B33" s="413" t="s">
        <v>27</v>
      </c>
      <c r="C33" s="414"/>
      <c r="D33" s="413" t="n">
        <v>0.9</v>
      </c>
      <c r="E33" s="413" t="s">
        <v>469</v>
      </c>
      <c r="F33" s="414"/>
      <c r="G33" s="413" t="n">
        <v>0.1</v>
      </c>
      <c r="H33" s="414"/>
      <c r="I33" s="414"/>
      <c r="J33" s="415"/>
      <c r="K33" s="416" t="s">
        <v>470</v>
      </c>
    </row>
    <row r="34" customFormat="false" ht="13.8" hidden="false" customHeight="false" outlineLevel="0" collapsed="false">
      <c r="A34" s="412" t="s">
        <v>471</v>
      </c>
      <c r="B34" s="413" t="s">
        <v>34</v>
      </c>
      <c r="C34" s="414"/>
      <c r="D34" s="413" t="n">
        <v>0.91</v>
      </c>
      <c r="E34" s="413" t="s">
        <v>469</v>
      </c>
      <c r="F34" s="414"/>
      <c r="G34" s="413" t="n">
        <v>0.09</v>
      </c>
      <c r="H34" s="419"/>
      <c r="I34" s="414"/>
      <c r="J34" s="415"/>
      <c r="K34" s="416" t="s">
        <v>470</v>
      </c>
    </row>
    <row r="35" customFormat="false" ht="13.8" hidden="false" customHeight="false" outlineLevel="0" collapsed="false">
      <c r="A35" s="412" t="s">
        <v>472</v>
      </c>
      <c r="B35" s="413" t="s">
        <v>41</v>
      </c>
      <c r="C35" s="414"/>
      <c r="D35" s="413" t="n">
        <v>0.91</v>
      </c>
      <c r="E35" s="413" t="s">
        <v>469</v>
      </c>
      <c r="F35" s="414"/>
      <c r="G35" s="413" t="n">
        <v>0.09</v>
      </c>
      <c r="H35" s="414"/>
      <c r="I35" s="414"/>
      <c r="J35" s="415"/>
      <c r="K35" s="416" t="s">
        <v>470</v>
      </c>
    </row>
    <row r="36" customFormat="false" ht="13.8" hidden="false" customHeight="false" outlineLevel="0" collapsed="false">
      <c r="A36" s="412" t="s">
        <v>473</v>
      </c>
      <c r="B36" s="413" t="s">
        <v>79</v>
      </c>
      <c r="C36" s="414"/>
      <c r="D36" s="417" t="n">
        <v>0.906666666666667</v>
      </c>
      <c r="E36" s="413" t="s">
        <v>469</v>
      </c>
      <c r="F36" s="414"/>
      <c r="G36" s="417" t="n">
        <v>0.0933333333333333</v>
      </c>
      <c r="H36" s="414"/>
      <c r="I36" s="414"/>
      <c r="J36" s="415"/>
      <c r="K36" s="416" t="s">
        <v>474</v>
      </c>
    </row>
    <row r="37" customFormat="false" ht="13.8" hidden="false" customHeight="false" outlineLevel="0" collapsed="false">
      <c r="A37" s="412" t="s">
        <v>475</v>
      </c>
      <c r="B37" s="413" t="s">
        <v>475</v>
      </c>
      <c r="C37" s="414"/>
      <c r="D37" s="422" t="n">
        <v>0.927908887874183</v>
      </c>
      <c r="E37" s="413" t="s">
        <v>476</v>
      </c>
      <c r="F37" s="414"/>
      <c r="G37" s="422" t="n">
        <v>0.0720911121258168</v>
      </c>
      <c r="H37" s="414"/>
      <c r="I37" s="414"/>
      <c r="J37" s="415"/>
      <c r="K37" s="416" t="s">
        <v>477</v>
      </c>
    </row>
    <row r="38" customFormat="false" ht="13.8" hidden="false" customHeight="false" outlineLevel="0" collapsed="false">
      <c r="A38" s="412" t="s">
        <v>478</v>
      </c>
      <c r="B38" s="413" t="s">
        <v>38</v>
      </c>
      <c r="C38" s="414"/>
      <c r="D38" s="413" t="n">
        <v>0.48</v>
      </c>
      <c r="E38" s="413" t="s">
        <v>479</v>
      </c>
      <c r="F38" s="414"/>
      <c r="G38" s="413" t="n">
        <v>0.51</v>
      </c>
      <c r="H38" s="414" t="s">
        <v>480</v>
      </c>
      <c r="I38" s="414"/>
      <c r="J38" s="423" t="n">
        <v>0.01</v>
      </c>
      <c r="K38" s="416" t="s">
        <v>481</v>
      </c>
      <c r="M38" s="416"/>
      <c r="N38" s="420"/>
      <c r="O38" s="420"/>
      <c r="P38" s="420"/>
      <c r="Q38" s="420"/>
      <c r="R38" s="420"/>
      <c r="S38" s="420"/>
      <c r="T38" s="420"/>
    </row>
    <row r="39" customFormat="false" ht="13.8" hidden="false" customHeight="false" outlineLevel="0" collapsed="false">
      <c r="A39" s="412" t="s">
        <v>482</v>
      </c>
      <c r="B39" s="413" t="s">
        <v>51</v>
      </c>
      <c r="C39" s="414"/>
      <c r="D39" s="413" t="n">
        <v>0.5</v>
      </c>
      <c r="E39" s="413" t="s">
        <v>479</v>
      </c>
      <c r="F39" s="414"/>
      <c r="G39" s="413" t="n">
        <v>0.5</v>
      </c>
      <c r="H39" s="414"/>
      <c r="I39" s="414"/>
      <c r="J39" s="423"/>
      <c r="K39" s="416" t="s">
        <v>481</v>
      </c>
      <c r="N39" s="420"/>
      <c r="O39" s="421"/>
      <c r="P39" s="421"/>
      <c r="Q39" s="421"/>
      <c r="R39" s="421"/>
      <c r="S39" s="421"/>
      <c r="T39" s="421"/>
    </row>
    <row r="40" customFormat="false" ht="13.8" hidden="false" customHeight="false" outlineLevel="0" collapsed="false">
      <c r="A40" s="412" t="s">
        <v>483</v>
      </c>
      <c r="B40" s="413" t="s">
        <v>484</v>
      </c>
      <c r="C40" s="414"/>
      <c r="D40" s="413" t="n">
        <v>0.94</v>
      </c>
      <c r="E40" s="413" t="s">
        <v>485</v>
      </c>
      <c r="F40" s="414"/>
      <c r="G40" s="413" t="n">
        <v>0.06</v>
      </c>
      <c r="H40" s="414"/>
      <c r="I40" s="414"/>
      <c r="J40" s="423"/>
      <c r="K40" s="416" t="s">
        <v>481</v>
      </c>
      <c r="N40" s="420"/>
      <c r="O40" s="421"/>
      <c r="P40" s="421"/>
      <c r="Q40" s="421"/>
      <c r="R40" s="421"/>
      <c r="S40" s="421"/>
      <c r="T40" s="421"/>
    </row>
    <row r="41" customFormat="false" ht="13.8" hidden="false" customHeight="false" outlineLevel="0" collapsed="false">
      <c r="A41" s="412" t="s">
        <v>486</v>
      </c>
      <c r="B41" s="414" t="s">
        <v>69</v>
      </c>
      <c r="C41" s="414"/>
      <c r="D41" s="413" t="n">
        <v>0.51</v>
      </c>
      <c r="E41" s="413" t="s">
        <v>479</v>
      </c>
      <c r="F41" s="414"/>
      <c r="G41" s="413" t="n">
        <v>0.49</v>
      </c>
      <c r="H41" s="414"/>
      <c r="I41" s="414"/>
      <c r="J41" s="423"/>
      <c r="K41" s="416" t="s">
        <v>481</v>
      </c>
      <c r="N41" s="420"/>
      <c r="O41" s="421"/>
      <c r="P41" s="421"/>
      <c r="Q41" s="421"/>
      <c r="R41" s="421"/>
      <c r="S41" s="421"/>
      <c r="T41" s="421"/>
    </row>
    <row r="42" customFormat="false" ht="13.8" hidden="false" customHeight="false" outlineLevel="0" collapsed="false">
      <c r="A42" s="424" t="s">
        <v>487</v>
      </c>
      <c r="B42" s="425" t="s">
        <v>488</v>
      </c>
      <c r="C42" s="425" t="n">
        <v>0.9</v>
      </c>
      <c r="D42" s="425" t="n">
        <v>0.95</v>
      </c>
      <c r="E42" s="425" t="s">
        <v>489</v>
      </c>
      <c r="F42" s="425" t="n">
        <v>0.1</v>
      </c>
      <c r="G42" s="425" t="n">
        <v>0.05</v>
      </c>
      <c r="H42" s="425"/>
      <c r="I42" s="425"/>
      <c r="J42" s="426"/>
      <c r="K42" s="395" t="s">
        <v>490</v>
      </c>
    </row>
    <row r="43" customFormat="false" ht="13.8" hidden="false" customHeight="false" outlineLevel="0" collapsed="false">
      <c r="A43" s="282" t="s">
        <v>491</v>
      </c>
      <c r="B43" s="380"/>
      <c r="D43" s="380"/>
      <c r="E43" s="380"/>
      <c r="G43" s="380"/>
      <c r="K43" s="395"/>
    </row>
    <row r="44" customFormat="false" ht="13.8" hidden="false" customHeight="false" outlineLevel="0" collapsed="false">
      <c r="A44" s="370" t="s">
        <v>492</v>
      </c>
      <c r="C44" s="400"/>
      <c r="D44" s="400"/>
      <c r="F44" s="389"/>
      <c r="H44" s="416"/>
      <c r="M44" s="427"/>
      <c r="N44" s="427"/>
      <c r="O44" s="427"/>
      <c r="P44" s="427"/>
      <c r="Q44" s="427"/>
      <c r="R44" s="427"/>
      <c r="S44" s="427"/>
      <c r="T44" s="427"/>
    </row>
    <row r="45" customFormat="false" ht="13.8" hidden="false" customHeight="false" outlineLevel="0" collapsed="false">
      <c r="A45" s="428" t="s">
        <v>493</v>
      </c>
      <c r="D45" s="400"/>
      <c r="E45" s="400"/>
      <c r="G45" s="429"/>
      <c r="M45" s="427"/>
      <c r="N45" s="427"/>
      <c r="O45" s="427"/>
      <c r="P45" s="427"/>
      <c r="Q45" s="427"/>
      <c r="R45" s="427"/>
      <c r="S45" s="427"/>
      <c r="T45" s="427"/>
    </row>
    <row r="46" customFormat="false" ht="13.8" hidden="false" customHeight="false" outlineLevel="0" collapsed="false">
      <c r="A46" s="401"/>
      <c r="D46" s="400"/>
      <c r="E46" s="400"/>
      <c r="G46" s="429"/>
      <c r="M46" s="427"/>
      <c r="N46" s="427"/>
      <c r="O46" s="427"/>
      <c r="P46" s="427"/>
      <c r="Q46" s="427"/>
      <c r="R46" s="427"/>
      <c r="S46" s="427"/>
      <c r="T46" s="427"/>
    </row>
    <row r="47" customFormat="false" ht="13.8" hidden="false" customHeight="false" outlineLevel="0" collapsed="false">
      <c r="A47" s="376" t="s">
        <v>494</v>
      </c>
      <c r="B47" s="400"/>
      <c r="C47" s="400"/>
      <c r="D47" s="400"/>
    </row>
    <row r="48" customFormat="false" ht="13.8" hidden="false" customHeight="false" outlineLevel="0" collapsed="false">
      <c r="A48" s="430"/>
      <c r="B48" s="374" t="s">
        <v>495</v>
      </c>
      <c r="C48" s="374" t="s">
        <v>496</v>
      </c>
      <c r="D48" s="374" t="s">
        <v>497</v>
      </c>
      <c r="E48" s="374" t="s">
        <v>498</v>
      </c>
      <c r="F48" s="374" t="s">
        <v>499</v>
      </c>
      <c r="G48" s="374" t="s">
        <v>500</v>
      </c>
      <c r="H48" s="374" t="s">
        <v>501</v>
      </c>
      <c r="I48" s="431" t="s">
        <v>502</v>
      </c>
      <c r="J48" s="376" t="s">
        <v>411</v>
      </c>
      <c r="K48" s="420"/>
      <c r="L48" s="420"/>
      <c r="M48" s="420"/>
      <c r="N48" s="420"/>
      <c r="O48" s="420"/>
      <c r="P48" s="420"/>
      <c r="Q48" s="420"/>
      <c r="R48" s="420"/>
      <c r="S48" s="420"/>
      <c r="T48" s="420"/>
    </row>
    <row r="49" customFormat="false" ht="13.8" hidden="false" customHeight="false" outlineLevel="0" collapsed="false">
      <c r="A49" s="432" t="s">
        <v>503</v>
      </c>
      <c r="B49" s="392" t="n">
        <v>0.08056</v>
      </c>
      <c r="C49" s="392" t="n">
        <v>0.062</v>
      </c>
      <c r="D49" s="392" t="n">
        <v>0.071</v>
      </c>
      <c r="E49" s="392" t="n">
        <v>0.0017</v>
      </c>
      <c r="F49" s="392" t="n">
        <v>0.00365</v>
      </c>
      <c r="G49" s="392" t="n">
        <v>0.002675</v>
      </c>
      <c r="H49" s="392" t="n">
        <v>0.07592</v>
      </c>
      <c r="I49" s="433" t="n">
        <v>0.0246111111111111</v>
      </c>
      <c r="J49" s="434" t="s">
        <v>504</v>
      </c>
      <c r="K49" s="420"/>
      <c r="L49" s="420"/>
      <c r="M49" s="420"/>
      <c r="N49" s="420"/>
      <c r="O49" s="420"/>
      <c r="P49" s="420"/>
      <c r="Q49" s="420"/>
      <c r="R49" s="420"/>
      <c r="S49" s="420"/>
      <c r="T49" s="420"/>
    </row>
    <row r="50" customFormat="false" ht="13.8" hidden="false" customHeight="false" outlineLevel="0" collapsed="false">
      <c r="A50" s="432" t="s">
        <v>505</v>
      </c>
      <c r="B50" s="392" t="n">
        <v>3.06E-005</v>
      </c>
      <c r="C50" s="392" t="n">
        <v>0.00028</v>
      </c>
      <c r="D50" s="392" t="n">
        <v>0.000155</v>
      </c>
      <c r="E50" s="392" t="n">
        <v>2.86666666666667E-006</v>
      </c>
      <c r="F50" s="392" t="n">
        <v>1.75E-005</v>
      </c>
      <c r="G50" s="392" t="n">
        <v>1.01833333333333E-005</v>
      </c>
      <c r="H50" s="392" t="n">
        <v>3.363E-005</v>
      </c>
      <c r="I50" s="382" t="n">
        <v>0</v>
      </c>
      <c r="K50" s="420"/>
      <c r="L50" s="420"/>
      <c r="M50" s="420"/>
      <c r="N50" s="420"/>
      <c r="O50" s="420"/>
      <c r="P50" s="420"/>
      <c r="Q50" s="420"/>
      <c r="R50" s="420"/>
      <c r="S50" s="420"/>
      <c r="T50" s="420"/>
    </row>
    <row r="51" customFormat="false" ht="13.8" hidden="false" customHeight="false" outlineLevel="0" collapsed="false">
      <c r="A51" s="404" t="s">
        <v>506</v>
      </c>
      <c r="B51" s="435" t="n">
        <v>2.8526E-006</v>
      </c>
      <c r="C51" s="435" t="n">
        <v>2E-006</v>
      </c>
      <c r="D51" s="435" t="n">
        <v>1.325E-006</v>
      </c>
      <c r="E51" s="435" t="n">
        <v>6.76666666666667E-007</v>
      </c>
      <c r="F51" s="435" t="n">
        <v>7.8E-006</v>
      </c>
      <c r="G51" s="435" t="n">
        <v>4.23833333333333E-006</v>
      </c>
      <c r="H51" s="435" t="n">
        <v>2.04E-006</v>
      </c>
      <c r="I51" s="436" t="n">
        <v>0</v>
      </c>
      <c r="K51" s="420"/>
      <c r="L51" s="437"/>
      <c r="M51" s="437"/>
      <c r="N51" s="437"/>
      <c r="O51" s="437"/>
      <c r="P51" s="437"/>
      <c r="Q51" s="437"/>
      <c r="R51" s="437"/>
      <c r="S51" s="437"/>
      <c r="T51" s="437"/>
    </row>
    <row r="52" customFormat="false" ht="13.8" hidden="false" customHeight="false" outlineLevel="0" collapsed="false">
      <c r="A52" s="438" t="s">
        <v>507</v>
      </c>
      <c r="B52" s="439"/>
      <c r="C52" s="439"/>
      <c r="D52" s="439"/>
      <c r="E52" s="439"/>
      <c r="F52" s="439"/>
      <c r="G52" s="439"/>
      <c r="H52" s="439"/>
      <c r="I52" s="380"/>
      <c r="K52" s="420"/>
      <c r="L52" s="437"/>
      <c r="M52" s="437"/>
      <c r="N52" s="437"/>
      <c r="O52" s="437"/>
      <c r="P52" s="437"/>
      <c r="Q52" s="437"/>
      <c r="R52" s="437"/>
      <c r="S52" s="437"/>
      <c r="T52" s="437"/>
    </row>
    <row r="53" customFormat="false" ht="13.8" hidden="false" customHeight="false" outlineLevel="0" collapsed="false">
      <c r="A53" s="440" t="s">
        <v>508</v>
      </c>
      <c r="B53" s="441"/>
      <c r="C53" s="441"/>
      <c r="D53" s="441"/>
      <c r="E53" s="441"/>
      <c r="F53" s="441"/>
      <c r="G53" s="441"/>
      <c r="H53" s="441"/>
      <c r="I53" s="420"/>
      <c r="K53" s="420"/>
      <c r="L53" s="442"/>
      <c r="M53" s="442"/>
      <c r="N53" s="442"/>
      <c r="O53" s="442"/>
      <c r="P53" s="442"/>
      <c r="Q53" s="442"/>
      <c r="R53" s="442"/>
      <c r="S53" s="437"/>
      <c r="T53" s="437"/>
    </row>
    <row r="54" customFormat="false" ht="13.8" hidden="false" customHeight="false" outlineLevel="0" collapsed="false">
      <c r="A54" s="440" t="s">
        <v>509</v>
      </c>
      <c r="B54" s="400"/>
      <c r="C54" s="400"/>
      <c r="D54" s="400"/>
    </row>
    <row r="55" customFormat="false" ht="13.8" hidden="false" customHeight="false" outlineLevel="0" collapsed="false">
      <c r="A55" s="440" t="s">
        <v>510</v>
      </c>
      <c r="B55" s="400"/>
      <c r="C55" s="400"/>
      <c r="D55" s="400"/>
    </row>
    <row r="56" customFormat="false" ht="13.8" hidden="false" customHeight="false" outlineLevel="0" collapsed="false">
      <c r="A56" s="416"/>
      <c r="D56" s="429"/>
    </row>
    <row r="57" customFormat="false" ht="13.8" hidden="false" customHeight="false" outlineLevel="0" collapsed="false">
      <c r="A57" s="376" t="s">
        <v>511</v>
      </c>
    </row>
    <row r="58" customFormat="false" ht="13.8" hidden="false" customHeight="false" outlineLevel="0" collapsed="false">
      <c r="A58" s="443"/>
      <c r="B58" s="444" t="s">
        <v>495</v>
      </c>
      <c r="C58" s="431" t="s">
        <v>501</v>
      </c>
      <c r="D58" s="376" t="s">
        <v>411</v>
      </c>
    </row>
    <row r="59" customFormat="false" ht="13.8" hidden="false" customHeight="false" outlineLevel="0" collapsed="false">
      <c r="A59" s="445" t="s">
        <v>512</v>
      </c>
      <c r="B59" s="446" t="n">
        <v>41</v>
      </c>
      <c r="C59" s="447" t="n">
        <v>35.2</v>
      </c>
      <c r="D59" s="434" t="s">
        <v>504</v>
      </c>
    </row>
    <row r="61" customFormat="false" ht="13.8" hidden="false" customHeight="false" outlineLevel="0" collapsed="false">
      <c r="A61" s="372" t="s">
        <v>513</v>
      </c>
      <c r="L61" s="376" t="s">
        <v>411</v>
      </c>
    </row>
    <row r="62" customFormat="false" ht="35.4" hidden="false" customHeight="true" outlineLevel="0" collapsed="false">
      <c r="A62" s="430"/>
      <c r="B62" s="374" t="s">
        <v>514</v>
      </c>
      <c r="C62" s="374" t="s">
        <v>515</v>
      </c>
      <c r="D62" s="374" t="s">
        <v>353</v>
      </c>
      <c r="E62" s="374" t="s">
        <v>516</v>
      </c>
      <c r="F62" s="374" t="s">
        <v>517</v>
      </c>
      <c r="G62" s="374" t="s">
        <v>273</v>
      </c>
      <c r="H62" s="374" t="s">
        <v>317</v>
      </c>
      <c r="I62" s="374" t="s">
        <v>229</v>
      </c>
      <c r="J62" s="374" t="s">
        <v>232</v>
      </c>
      <c r="K62" s="375" t="s">
        <v>171</v>
      </c>
      <c r="L62" s="416" t="s">
        <v>518</v>
      </c>
    </row>
    <row r="63" customFormat="false" ht="13.8" hidden="false" customHeight="false" outlineLevel="0" collapsed="false">
      <c r="A63" s="404" t="s">
        <v>519</v>
      </c>
      <c r="B63" s="448" t="n">
        <f aca="false">97*10^-3</f>
        <v>0.097</v>
      </c>
      <c r="C63" s="448" t="n">
        <f aca="false">295*10^-3</f>
        <v>0.295</v>
      </c>
      <c r="D63" s="448" t="n">
        <v>0.25007</v>
      </c>
      <c r="E63" s="448" t="n">
        <v>1.0234</v>
      </c>
      <c r="F63" s="448" t="n">
        <f aca="false">135*10^-3</f>
        <v>0.135</v>
      </c>
      <c r="G63" s="448" t="n">
        <v>0.67132</v>
      </c>
      <c r="H63" s="448" t="n">
        <v>0.65593</v>
      </c>
      <c r="I63" s="448" t="n">
        <v>0.66899</v>
      </c>
      <c r="J63" s="448" t="n">
        <f aca="false">467*10^-3</f>
        <v>0.467</v>
      </c>
      <c r="K63" s="449" t="n">
        <v>0.7361</v>
      </c>
      <c r="L63" s="416" t="s">
        <v>520</v>
      </c>
    </row>
    <row r="64" customFormat="false" ht="13.8" hidden="false" customHeight="false" outlineLevel="0" collapsed="false">
      <c r="A64" s="416" t="s">
        <v>521</v>
      </c>
    </row>
    <row r="65" customFormat="false" ht="15" hidden="false" customHeight="false" outlineLevel="0" collapsed="false">
      <c r="A65" s="416" t="s">
        <v>522</v>
      </c>
      <c r="D65" s="450"/>
      <c r="E65" s="450"/>
      <c r="G65" s="450"/>
      <c r="K65" s="450"/>
      <c r="L65" s="416"/>
    </row>
    <row r="66" customFormat="false" ht="15" hidden="false" customHeight="false" outlineLevel="0" collapsed="false">
      <c r="A66" s="416"/>
      <c r="H66" s="450"/>
      <c r="I66" s="450"/>
      <c r="L66" s="416"/>
    </row>
    <row r="67" customFormat="false" ht="15" hidden="false" customHeight="false" outlineLevel="0" collapsed="false">
      <c r="A67" s="372" t="s">
        <v>523</v>
      </c>
      <c r="G67" s="451"/>
      <c r="H67" s="451"/>
      <c r="L67" s="416"/>
    </row>
    <row r="68" customFormat="false" ht="13.8" hidden="false" customHeight="false" outlineLevel="0" collapsed="false">
      <c r="A68" s="403"/>
      <c r="B68" s="374" t="s">
        <v>524</v>
      </c>
      <c r="C68" s="375" t="s">
        <v>525</v>
      </c>
      <c r="D68" s="376" t="s">
        <v>411</v>
      </c>
      <c r="G68" s="451"/>
      <c r="H68" s="452"/>
      <c r="L68" s="416"/>
    </row>
    <row r="69" customFormat="false" ht="13.8" hidden="false" customHeight="false" outlineLevel="0" collapsed="false">
      <c r="A69" s="453" t="s">
        <v>526</v>
      </c>
      <c r="B69" s="419" t="n">
        <v>2.3</v>
      </c>
      <c r="C69" s="454" t="n">
        <v>2.823640011719</v>
      </c>
      <c r="D69" s="455" t="s">
        <v>527</v>
      </c>
      <c r="G69" s="456"/>
      <c r="H69" s="451"/>
    </row>
    <row r="70" customFormat="false" ht="13.8" hidden="false" customHeight="false" outlineLevel="0" collapsed="false">
      <c r="A70" s="453" t="s">
        <v>528</v>
      </c>
      <c r="B70" s="419" t="n">
        <v>0</v>
      </c>
      <c r="C70" s="457" t="n">
        <v>1.6796E-008</v>
      </c>
      <c r="D70" s="370" t="s">
        <v>529</v>
      </c>
      <c r="G70" s="458"/>
      <c r="H70" s="459"/>
    </row>
    <row r="71" customFormat="false" ht="13.8" hidden="false" customHeight="false" outlineLevel="0" collapsed="false">
      <c r="A71" s="445" t="s">
        <v>530</v>
      </c>
      <c r="B71" s="460" t="n">
        <v>0.00436241610738255</v>
      </c>
      <c r="C71" s="461" t="n">
        <v>0.0189380188127738</v>
      </c>
      <c r="G71" s="458"/>
      <c r="H71" s="451"/>
    </row>
    <row r="72" customFormat="false" ht="13.8" hidden="false" customHeight="false" outlineLevel="0" collapsed="false">
      <c r="A72" s="434" t="s">
        <v>531</v>
      </c>
      <c r="B72" s="419"/>
      <c r="C72" s="283"/>
      <c r="G72" s="451"/>
      <c r="H72" s="451"/>
    </row>
    <row r="73" customFormat="false" ht="13.8" hidden="false" customHeight="false" outlineLevel="0" collapsed="false">
      <c r="G73" s="451"/>
      <c r="H73" s="451"/>
    </row>
    <row r="74" customFormat="false" ht="13.8" hidden="false" customHeight="false" outlineLevel="0" collapsed="false">
      <c r="A74" s="333" t="s">
        <v>532</v>
      </c>
      <c r="B74" s="333"/>
      <c r="C74" s="333"/>
      <c r="D74" s="333"/>
      <c r="E74" s="380"/>
    </row>
    <row r="75" customFormat="false" ht="13.8" hidden="false" customHeight="false" outlineLevel="0" collapsed="false">
      <c r="A75" s="462"/>
      <c r="B75" s="463" t="s">
        <v>533</v>
      </c>
      <c r="C75" s="463" t="s">
        <v>534</v>
      </c>
      <c r="D75" s="464" t="s">
        <v>535</v>
      </c>
      <c r="E75" s="376" t="s">
        <v>411</v>
      </c>
    </row>
    <row r="76" customFormat="false" ht="13.8" hidden="false" customHeight="false" outlineLevel="0" collapsed="false">
      <c r="A76" s="465" t="s">
        <v>524</v>
      </c>
      <c r="B76" s="282" t="n">
        <v>0.6</v>
      </c>
      <c r="C76" s="282" t="n">
        <v>0.3</v>
      </c>
      <c r="D76" s="466" t="n">
        <v>0.1</v>
      </c>
      <c r="E76" s="467" t="s">
        <v>536</v>
      </c>
    </row>
    <row r="77" customFormat="false" ht="13.8" hidden="false" customHeight="false" outlineLevel="0" collapsed="false">
      <c r="A77" s="468" t="s">
        <v>537</v>
      </c>
      <c r="B77" s="469" t="n">
        <v>0.4</v>
      </c>
      <c r="C77" s="469" t="n">
        <v>0.7</v>
      </c>
      <c r="D77" s="470" t="n">
        <v>0.9</v>
      </c>
    </row>
    <row r="79" customFormat="false" ht="13.8" hidden="false" customHeight="false" outlineLevel="0" collapsed="false">
      <c r="A79" s="372" t="s">
        <v>538</v>
      </c>
    </row>
    <row r="80" customFormat="false" ht="41.4" hidden="false" customHeight="false" outlineLevel="0" collapsed="false">
      <c r="A80" s="373"/>
      <c r="B80" s="375" t="s">
        <v>539</v>
      </c>
      <c r="C80" s="376" t="s">
        <v>411</v>
      </c>
      <c r="E80" s="471"/>
    </row>
    <row r="81" customFormat="false" ht="13.8" hidden="false" customHeight="false" outlineLevel="0" collapsed="false">
      <c r="A81" s="445" t="s">
        <v>434</v>
      </c>
      <c r="B81" s="436" t="n">
        <v>0.03</v>
      </c>
      <c r="C81" s="455" t="s">
        <v>540</v>
      </c>
    </row>
    <row r="82" customFormat="false" ht="13.8" hidden="false" customHeight="false" outlineLevel="0" collapsed="false">
      <c r="A82" s="416" t="s">
        <v>541</v>
      </c>
      <c r="B82" s="380"/>
      <c r="C82" s="455"/>
      <c r="E82" s="416"/>
    </row>
    <row r="83" customFormat="false" ht="13.8" hidden="false" customHeight="false" outlineLevel="0" collapsed="false">
      <c r="A83" s="380"/>
      <c r="B83" s="380"/>
      <c r="C83" s="455"/>
      <c r="E83" s="416"/>
    </row>
    <row r="84" customFormat="false" ht="13.8" hidden="false" customHeight="false" outlineLevel="0" collapsed="false">
      <c r="A84" s="372" t="s">
        <v>542</v>
      </c>
    </row>
    <row r="85" customFormat="false" ht="13.8" hidden="false" customHeight="false" outlineLevel="0" collapsed="false">
      <c r="A85" s="472"/>
      <c r="B85" s="473" t="s">
        <v>543</v>
      </c>
      <c r="C85" s="376" t="s">
        <v>411</v>
      </c>
    </row>
    <row r="86" customFormat="false" ht="13.8" hidden="false" customHeight="false" outlineLevel="0" collapsed="false">
      <c r="A86" s="465" t="s">
        <v>544</v>
      </c>
      <c r="B86" s="381" t="n">
        <v>0.15</v>
      </c>
      <c r="C86" s="401" t="s">
        <v>545</v>
      </c>
    </row>
    <row r="87" customFormat="false" ht="13.8" hidden="false" customHeight="false" outlineLevel="0" collapsed="false">
      <c r="A87" s="465" t="s">
        <v>546</v>
      </c>
      <c r="B87" s="381" t="n">
        <v>0.3</v>
      </c>
    </row>
    <row r="88" customFormat="false" ht="13.8" hidden="false" customHeight="false" outlineLevel="0" collapsed="false">
      <c r="A88" s="465" t="s">
        <v>547</v>
      </c>
      <c r="B88" s="381" t="n">
        <v>0.05</v>
      </c>
    </row>
    <row r="89" customFormat="false" ht="13.8" hidden="false" customHeight="false" outlineLevel="0" collapsed="false">
      <c r="A89" s="465" t="s">
        <v>548</v>
      </c>
      <c r="B89" s="381" t="n">
        <v>0.15</v>
      </c>
    </row>
    <row r="90" customFormat="false" ht="13.8" hidden="false" customHeight="false" outlineLevel="0" collapsed="false">
      <c r="A90" s="465" t="s">
        <v>549</v>
      </c>
      <c r="B90" s="381" t="n">
        <v>0.05</v>
      </c>
    </row>
    <row r="91" customFormat="false" ht="13.8" hidden="false" customHeight="false" outlineLevel="0" collapsed="false">
      <c r="A91" s="465" t="s">
        <v>4</v>
      </c>
      <c r="B91" s="381" t="n">
        <v>0.05</v>
      </c>
    </row>
    <row r="92" customFormat="false" ht="13.8" hidden="false" customHeight="false" outlineLevel="0" collapsed="false">
      <c r="A92" s="465" t="s">
        <v>550</v>
      </c>
      <c r="B92" s="381" t="n">
        <v>0.1</v>
      </c>
    </row>
    <row r="93" customFormat="false" ht="13.8" hidden="false" customHeight="false" outlineLevel="0" collapsed="false">
      <c r="A93" s="465" t="s">
        <v>551</v>
      </c>
      <c r="B93" s="381" t="n">
        <v>0.3</v>
      </c>
    </row>
    <row r="94" customFormat="false" ht="13.8" hidden="false" customHeight="false" outlineLevel="0" collapsed="false">
      <c r="A94" s="468" t="s">
        <v>552</v>
      </c>
      <c r="B94" s="474" t="n">
        <v>0.1</v>
      </c>
    </row>
    <row r="95" customFormat="false" ht="13.8" hidden="false" customHeight="false" outlineLevel="0" collapsed="false">
      <c r="A95" s="23"/>
      <c r="B95" s="282"/>
    </row>
    <row r="96" customFormat="false" ht="13.8" hidden="false" customHeight="false" outlineLevel="0" collapsed="false">
      <c r="A96" s="372" t="s">
        <v>553</v>
      </c>
      <c r="B96" s="282"/>
    </row>
    <row r="97" customFormat="false" ht="27.6" hidden="false" customHeight="false" outlineLevel="0" collapsed="false">
      <c r="A97" s="475"/>
      <c r="B97" s="476" t="s">
        <v>554</v>
      </c>
      <c r="C97" s="477" t="s">
        <v>555</v>
      </c>
      <c r="D97" s="376" t="s">
        <v>411</v>
      </c>
      <c r="E97" s="467"/>
    </row>
    <row r="98" customFormat="false" ht="15" hidden="false" customHeight="false" outlineLevel="0" collapsed="false">
      <c r="A98" s="465" t="s">
        <v>556</v>
      </c>
      <c r="B98" s="23" t="n">
        <v>0.05</v>
      </c>
      <c r="C98" s="478" t="n">
        <v>0.03</v>
      </c>
      <c r="D98" s="434" t="s">
        <v>557</v>
      </c>
    </row>
    <row r="99" customFormat="false" ht="15" hidden="false" customHeight="false" outlineLevel="0" collapsed="false">
      <c r="A99" s="465" t="s">
        <v>558</v>
      </c>
      <c r="B99" s="23" t="n">
        <v>0.1</v>
      </c>
      <c r="C99" s="478" t="n">
        <v>0.03</v>
      </c>
      <c r="D99" s="434" t="s">
        <v>559</v>
      </c>
    </row>
    <row r="100" customFormat="false" ht="15" hidden="false" customHeight="false" outlineLevel="0" collapsed="false">
      <c r="A100" s="465" t="s">
        <v>560</v>
      </c>
      <c r="B100" s="23" t="n">
        <v>0.2</v>
      </c>
      <c r="C100" s="478" t="n">
        <v>0.03</v>
      </c>
    </row>
    <row r="101" customFormat="false" ht="15" hidden="false" customHeight="false" outlineLevel="0" collapsed="false">
      <c r="A101" s="465" t="s">
        <v>561</v>
      </c>
      <c r="B101" s="23" t="n">
        <v>0.3</v>
      </c>
      <c r="C101" s="478" t="n">
        <v>0.03</v>
      </c>
    </row>
    <row r="102" customFormat="false" ht="13.8" hidden="false" customHeight="false" outlineLevel="0" collapsed="false">
      <c r="A102" s="465" t="s">
        <v>141</v>
      </c>
      <c r="B102" s="23" t="n">
        <v>0.2</v>
      </c>
      <c r="C102" s="478" t="n">
        <v>0.03</v>
      </c>
    </row>
    <row r="103" customFormat="false" ht="15" hidden="false" customHeight="false" outlineLevel="0" collapsed="false">
      <c r="A103" s="465" t="s">
        <v>562</v>
      </c>
      <c r="B103" s="23" t="n">
        <v>0.3</v>
      </c>
      <c r="C103" s="478" t="n">
        <v>0.03</v>
      </c>
    </row>
    <row r="104" customFormat="false" ht="15" hidden="false" customHeight="false" outlineLevel="0" collapsed="false">
      <c r="A104" s="465" t="s">
        <v>563</v>
      </c>
      <c r="B104" s="23" t="n">
        <v>0.3</v>
      </c>
      <c r="C104" s="478" t="n">
        <v>0.03</v>
      </c>
    </row>
    <row r="105" customFormat="false" ht="15" hidden="false" customHeight="false" outlineLevel="0" collapsed="false">
      <c r="A105" s="465" t="s">
        <v>564</v>
      </c>
      <c r="B105" s="23" t="n">
        <v>0.4</v>
      </c>
      <c r="C105" s="478" t="n">
        <v>0.03</v>
      </c>
    </row>
    <row r="106" customFormat="false" ht="13.8" hidden="false" customHeight="false" outlineLevel="0" collapsed="false">
      <c r="A106" s="25" t="s">
        <v>516</v>
      </c>
      <c r="B106" s="23" t="n">
        <v>0.5</v>
      </c>
      <c r="C106" s="478" t="n">
        <v>0.03</v>
      </c>
    </row>
    <row r="107" customFormat="false" ht="15" hidden="false" customHeight="false" outlineLevel="0" collapsed="false">
      <c r="A107" s="25" t="s">
        <v>565</v>
      </c>
      <c r="B107" s="23" t="n">
        <v>0.5</v>
      </c>
      <c r="C107" s="478" t="n">
        <v>0.03</v>
      </c>
    </row>
    <row r="108" customFormat="false" ht="13.8" hidden="false" customHeight="false" outlineLevel="0" collapsed="false">
      <c r="A108" s="479" t="s">
        <v>566</v>
      </c>
      <c r="B108" s="384" t="n">
        <v>0.4</v>
      </c>
      <c r="C108" s="436" t="n">
        <v>0.03</v>
      </c>
    </row>
    <row r="109" customFormat="false" ht="15" hidden="false" customHeight="false" outlineLevel="0" collapsed="false">
      <c r="A109" s="480" t="s">
        <v>567</v>
      </c>
      <c r="B109" s="481"/>
      <c r="C109" s="481"/>
    </row>
    <row r="110" customFormat="false" ht="15" hidden="false" customHeight="false" outlineLevel="0" collapsed="false">
      <c r="A110" s="480" t="s">
        <v>568</v>
      </c>
      <c r="B110" s="481"/>
      <c r="C110" s="481"/>
    </row>
    <row r="111" customFormat="false" ht="15" hidden="false" customHeight="false" outlineLevel="0" collapsed="false">
      <c r="A111" s="480" t="s">
        <v>569</v>
      </c>
      <c r="B111" s="481"/>
      <c r="C111" s="481"/>
    </row>
    <row r="112" customFormat="false" ht="15" hidden="false" customHeight="false" outlineLevel="0" collapsed="false">
      <c r="A112" s="480" t="s">
        <v>570</v>
      </c>
      <c r="B112" s="481"/>
      <c r="C112" s="481"/>
    </row>
    <row r="113" customFormat="false" ht="15" hidden="false" customHeight="false" outlineLevel="0" collapsed="false">
      <c r="A113" s="480" t="s">
        <v>571</v>
      </c>
      <c r="B113" s="481"/>
      <c r="C113" s="481"/>
    </row>
    <row r="114" customFormat="false" ht="15" hidden="false" customHeight="false" outlineLevel="0" collapsed="false">
      <c r="A114" s="480" t="s">
        <v>572</v>
      </c>
      <c r="B114" s="481"/>
      <c r="C114" s="481"/>
    </row>
    <row r="115" customFormat="false" ht="15" hidden="false" customHeight="false" outlineLevel="0" collapsed="false">
      <c r="A115" s="480" t="s">
        <v>573</v>
      </c>
      <c r="B115" s="481"/>
      <c r="C115" s="481"/>
    </row>
    <row r="116" customFormat="false" ht="15" hidden="false" customHeight="false" outlineLevel="0" collapsed="false">
      <c r="A116" s="480" t="s">
        <v>574</v>
      </c>
      <c r="B116" s="481"/>
      <c r="C116" s="481"/>
    </row>
    <row r="117" customFormat="false" ht="13.8" hidden="false" customHeight="false" outlineLevel="0" collapsed="false">
      <c r="A117" s="482" t="s">
        <v>575</v>
      </c>
      <c r="B117" s="481"/>
      <c r="C117" s="481"/>
    </row>
    <row r="118" customFormat="false" ht="15" hidden="false" customHeight="false" outlineLevel="0" collapsed="false">
      <c r="A118" s="483"/>
      <c r="B118" s="481"/>
      <c r="C118" s="481"/>
    </row>
    <row r="119" customFormat="false" ht="13.8" hidden="false" customHeight="false" outlineLevel="0" collapsed="false">
      <c r="A119" s="372" t="s">
        <v>576</v>
      </c>
      <c r="B119" s="484"/>
      <c r="C119" s="484"/>
      <c r="D119" s="484"/>
    </row>
    <row r="120" customFormat="false" ht="13.8" hidden="false" customHeight="false" outlineLevel="0" collapsed="false">
      <c r="A120" s="485"/>
      <c r="B120" s="444" t="s">
        <v>534</v>
      </c>
      <c r="C120" s="444" t="s">
        <v>577</v>
      </c>
      <c r="D120" s="410" t="s">
        <v>578</v>
      </c>
      <c r="E120" s="410" t="s">
        <v>579</v>
      </c>
      <c r="F120" s="444" t="s">
        <v>580</v>
      </c>
      <c r="G120" s="444" t="s">
        <v>581</v>
      </c>
      <c r="H120" s="431" t="s">
        <v>582</v>
      </c>
      <c r="I120" s="376" t="s">
        <v>411</v>
      </c>
      <c r="J120" s="376"/>
      <c r="K120" s="482"/>
      <c r="M120" s="482"/>
      <c r="N120" s="482"/>
    </row>
    <row r="121" customFormat="false" ht="13.8" hidden="false" customHeight="false" outlineLevel="0" collapsed="false">
      <c r="A121" s="29" t="s">
        <v>583</v>
      </c>
      <c r="B121" s="439" t="n">
        <v>0.1621</v>
      </c>
      <c r="C121" s="439" t="n">
        <v>0.15328</v>
      </c>
      <c r="D121" s="439" t="n">
        <v>0.38575</v>
      </c>
      <c r="E121" s="290" t="n">
        <v>0.18856</v>
      </c>
      <c r="F121" s="290" t="n">
        <v>0.352</v>
      </c>
      <c r="G121" s="439" t="n">
        <v>0.38575</v>
      </c>
      <c r="H121" s="433" t="n">
        <f aca="false">AVERAGE(B121:G121)</f>
        <v>0.27124</v>
      </c>
      <c r="I121" s="380" t="s">
        <v>584</v>
      </c>
      <c r="J121" s="102"/>
      <c r="K121" s="361"/>
      <c r="L121" s="486"/>
      <c r="M121" s="361"/>
      <c r="N121" s="361"/>
    </row>
    <row r="122" customFormat="false" ht="13.8" hidden="false" customHeight="false" outlineLevel="0" collapsed="false">
      <c r="A122" s="29" t="s">
        <v>585</v>
      </c>
      <c r="B122" s="290" t="n">
        <v>0.1575136</v>
      </c>
      <c r="C122" s="439" t="n">
        <v>0.1399618</v>
      </c>
      <c r="D122" s="439" t="n">
        <v>0.120499</v>
      </c>
      <c r="E122" s="439" t="n">
        <v>0.210169</v>
      </c>
      <c r="F122" s="439" t="n">
        <v>0.14255488</v>
      </c>
      <c r="G122" s="439" t="n">
        <v>0.129956</v>
      </c>
      <c r="H122" s="433" t="n">
        <f aca="false">AVERAGE(B122:G122)</f>
        <v>0.150109046666667</v>
      </c>
      <c r="I122" s="427"/>
      <c r="J122" s="102"/>
      <c r="K122" s="361"/>
      <c r="L122" s="486"/>
      <c r="M122" s="361"/>
      <c r="N122" s="361"/>
    </row>
    <row r="123" customFormat="false" ht="13.8" hidden="false" customHeight="false" outlineLevel="0" collapsed="false">
      <c r="A123" s="29" t="s">
        <v>586</v>
      </c>
      <c r="B123" s="439" t="n">
        <v>0.280645</v>
      </c>
      <c r="C123" s="439" t="n">
        <v>0.28855</v>
      </c>
      <c r="D123" s="439" t="n">
        <v>0.32203</v>
      </c>
      <c r="E123" s="290" t="n">
        <v>0.264835</v>
      </c>
      <c r="F123" s="290" t="n">
        <v>0.296176</v>
      </c>
      <c r="G123" s="439" t="n">
        <v>0.35179</v>
      </c>
      <c r="H123" s="433" t="n">
        <f aca="false">AVERAGE(B123:G123)</f>
        <v>0.300671</v>
      </c>
      <c r="I123" s="427"/>
      <c r="J123" s="102"/>
      <c r="K123" s="361"/>
      <c r="L123" s="486"/>
      <c r="M123" s="361"/>
      <c r="N123" s="361"/>
    </row>
    <row r="124" customFormat="false" ht="13.8" hidden="false" customHeight="false" outlineLevel="0" collapsed="false">
      <c r="A124" s="29" t="s">
        <v>587</v>
      </c>
      <c r="B124" s="439" t="n">
        <v>0.0689050000000001</v>
      </c>
      <c r="C124" s="439" t="n">
        <v>0.0595</v>
      </c>
      <c r="D124" s="439" t="n">
        <v>0.198496</v>
      </c>
      <c r="E124" s="290" t="n">
        <v>0.087715</v>
      </c>
      <c r="F124" s="290" t="n">
        <v>0.116524</v>
      </c>
      <c r="G124" s="439" t="n">
        <v>0.162064</v>
      </c>
      <c r="H124" s="433" t="n">
        <f aca="false">AVERAGE(B124:G124)</f>
        <v>0.115534</v>
      </c>
      <c r="I124" s="427"/>
      <c r="J124" s="102"/>
      <c r="K124" s="361"/>
      <c r="L124" s="486"/>
      <c r="M124" s="361"/>
      <c r="N124" s="361"/>
    </row>
    <row r="125" customFormat="false" ht="13.8" hidden="false" customHeight="false" outlineLevel="0" collapsed="false">
      <c r="A125" s="29" t="s">
        <v>5</v>
      </c>
      <c r="B125" s="439" t="n">
        <v>0.148877</v>
      </c>
      <c r="C125" s="439" t="n">
        <v>0.148877</v>
      </c>
      <c r="D125" s="439" t="n">
        <v>0.221586</v>
      </c>
      <c r="E125" s="290" t="n">
        <v>0.161708</v>
      </c>
      <c r="F125" s="290" t="n">
        <v>0.213305</v>
      </c>
      <c r="G125" s="439" t="n">
        <v>0.221586</v>
      </c>
      <c r="H125" s="433" t="n">
        <f aca="false">AVERAGE(B125:G125)</f>
        <v>0.185989833333333</v>
      </c>
      <c r="I125" s="427"/>
      <c r="J125" s="102"/>
      <c r="K125" s="361"/>
      <c r="L125" s="486"/>
    </row>
    <row r="126" customFormat="false" ht="13.8" hidden="false" customHeight="false" outlineLevel="0" collapsed="false">
      <c r="A126" s="29" t="s">
        <v>588</v>
      </c>
      <c r="B126" s="290" t="n">
        <v>0.0880000000000001</v>
      </c>
      <c r="C126" s="290" t="n">
        <v>0.0880000000000001</v>
      </c>
      <c r="D126" s="290" t="n">
        <v>0.0880000000000001</v>
      </c>
      <c r="E126" s="290" t="n">
        <v>0.0880000000000001</v>
      </c>
      <c r="F126" s="290" t="n">
        <v>0.0880000000000001</v>
      </c>
      <c r="G126" s="290" t="n">
        <v>0.0880000000000001</v>
      </c>
      <c r="H126" s="433" t="n">
        <f aca="false">AVERAGE(B126:G126)</f>
        <v>0.0880000000000001</v>
      </c>
      <c r="I126" s="427"/>
      <c r="J126" s="102"/>
      <c r="K126" s="361"/>
      <c r="L126" s="486"/>
      <c r="M126" s="361"/>
      <c r="N126" s="361"/>
    </row>
    <row r="127" customFormat="false" ht="13.8" hidden="false" customHeight="false" outlineLevel="0" collapsed="false">
      <c r="A127" s="487" t="s">
        <v>589</v>
      </c>
      <c r="B127" s="435" t="n">
        <v>0.0218552999999998</v>
      </c>
      <c r="C127" s="435" t="n">
        <v>0.0218553</v>
      </c>
      <c r="D127" s="435" t="n">
        <v>0.0834060000000001</v>
      </c>
      <c r="E127" s="397" t="n">
        <v>0.0267706</v>
      </c>
      <c r="F127" s="397" t="n">
        <v>0.0834060000000001</v>
      </c>
      <c r="G127" s="435" t="n">
        <v>0.11533555</v>
      </c>
      <c r="H127" s="488" t="n">
        <f aca="false">AVERAGE(B127:G127)</f>
        <v>0.0587714583333333</v>
      </c>
      <c r="I127" s="427"/>
      <c r="J127" s="102"/>
      <c r="K127" s="361"/>
      <c r="L127" s="486"/>
      <c r="M127" s="361"/>
      <c r="N127" s="361"/>
    </row>
    <row r="128" customFormat="false" ht="13.8" hidden="false" customHeight="false" outlineLevel="0" collapsed="false">
      <c r="A128" s="370" t="s">
        <v>590</v>
      </c>
      <c r="B128" s="389"/>
      <c r="C128" s="389"/>
      <c r="D128" s="389"/>
      <c r="E128" s="389"/>
      <c r="F128" s="389"/>
      <c r="G128" s="389"/>
      <c r="H128" s="389"/>
      <c r="I128" s="389"/>
      <c r="J128" s="389"/>
    </row>
    <row r="129" customFormat="false" ht="13.8" hidden="false" customHeight="false" outlineLevel="0" collapsed="false">
      <c r="A129" s="370" t="s">
        <v>591</v>
      </c>
      <c r="B129" s="489"/>
      <c r="C129" s="389"/>
      <c r="D129" s="389"/>
      <c r="E129" s="389"/>
      <c r="F129" s="389"/>
      <c r="G129" s="389"/>
      <c r="H129" s="389"/>
      <c r="I129" s="389"/>
      <c r="J129" s="389"/>
    </row>
    <row r="130" customFormat="false" ht="13.8" hidden="false" customHeight="false" outlineLevel="0" collapsed="false">
      <c r="A130" s="484" t="s">
        <v>592</v>
      </c>
      <c r="B130" s="389"/>
      <c r="C130" s="389"/>
      <c r="D130" s="389"/>
      <c r="E130" s="389"/>
      <c r="F130" s="389"/>
      <c r="G130" s="389"/>
      <c r="H130" s="389"/>
      <c r="I130" s="389"/>
      <c r="J130" s="389"/>
    </row>
    <row r="131" customFormat="false" ht="13.8" hidden="false" customHeight="false" outlineLevel="0" collapsed="false">
      <c r="A131" s="484" t="s">
        <v>593</v>
      </c>
      <c r="B131" s="389"/>
      <c r="C131" s="389"/>
      <c r="D131" s="389"/>
      <c r="E131" s="389"/>
      <c r="F131" s="389"/>
      <c r="G131" s="389"/>
      <c r="H131" s="389"/>
      <c r="I131" s="389"/>
      <c r="J131" s="389"/>
    </row>
    <row r="132" customFormat="false" ht="13.8" hidden="false" customHeight="false" outlineLevel="0" collapsed="false">
      <c r="A132" s="370" t="s">
        <v>594</v>
      </c>
      <c r="B132" s="389"/>
      <c r="C132" s="389"/>
      <c r="D132" s="389"/>
      <c r="E132" s="389"/>
      <c r="F132" s="389"/>
      <c r="G132" s="389"/>
      <c r="H132" s="389"/>
      <c r="I132" s="389"/>
      <c r="J132" s="389"/>
    </row>
    <row r="133" customFormat="false" ht="13.8" hidden="false" customHeight="false" outlineLevel="0" collapsed="false">
      <c r="A133" s="416" t="s">
        <v>595</v>
      </c>
      <c r="B133" s="389"/>
      <c r="C133" s="389"/>
      <c r="D133" s="389"/>
      <c r="E133" s="389"/>
      <c r="F133" s="389"/>
      <c r="G133" s="389"/>
      <c r="H133" s="389"/>
      <c r="I133" s="389"/>
      <c r="J133" s="389"/>
    </row>
    <row r="134" customFormat="false" ht="13.8" hidden="false" customHeight="false" outlineLevel="0" collapsed="false">
      <c r="A134" s="416"/>
      <c r="B134" s="389"/>
      <c r="C134" s="389"/>
      <c r="D134" s="389"/>
      <c r="E134" s="389"/>
      <c r="F134" s="389"/>
      <c r="G134" s="389"/>
      <c r="H134" s="389"/>
      <c r="I134" s="389"/>
      <c r="J134" s="389"/>
    </row>
    <row r="135" customFormat="false" ht="13.8" hidden="false" customHeight="false" outlineLevel="0" collapsed="false">
      <c r="A135" s="387" t="s">
        <v>596</v>
      </c>
      <c r="F135" s="361"/>
      <c r="G135" s="389"/>
      <c r="H135" s="389"/>
      <c r="I135" s="389"/>
      <c r="J135" s="389"/>
    </row>
    <row r="136" customFormat="false" ht="13.8" hidden="false" customHeight="false" outlineLevel="0" collapsed="false">
      <c r="A136" s="403" t="s">
        <v>597</v>
      </c>
      <c r="B136" s="490" t="n">
        <v>0.1</v>
      </c>
      <c r="C136" s="376" t="s">
        <v>411</v>
      </c>
      <c r="F136" s="361"/>
      <c r="G136" s="389"/>
      <c r="H136" s="389"/>
      <c r="I136" s="389"/>
      <c r="J136" s="389"/>
    </row>
    <row r="137" customFormat="false" ht="13.8" hidden="false" customHeight="false" outlineLevel="0" collapsed="false">
      <c r="A137" s="491" t="s">
        <v>598</v>
      </c>
      <c r="B137" s="382" t="n">
        <v>0.02</v>
      </c>
      <c r="C137" s="380" t="s">
        <v>584</v>
      </c>
      <c r="F137" s="389"/>
      <c r="G137" s="389"/>
      <c r="H137" s="389"/>
      <c r="I137" s="389"/>
      <c r="J137" s="389"/>
    </row>
    <row r="138" customFormat="false" ht="13.8" hidden="false" customHeight="false" outlineLevel="0" collapsed="false">
      <c r="A138" s="491" t="s">
        <v>599</v>
      </c>
      <c r="B138" s="382" t="n">
        <v>0.07</v>
      </c>
      <c r="C138" s="380"/>
      <c r="F138" s="389"/>
      <c r="G138" s="389"/>
      <c r="H138" s="389"/>
      <c r="I138" s="389"/>
      <c r="J138" s="389"/>
    </row>
    <row r="139" customFormat="false" ht="13.8" hidden="false" customHeight="false" outlineLevel="0" collapsed="false">
      <c r="A139" s="491" t="s">
        <v>600</v>
      </c>
      <c r="B139" s="381" t="n">
        <v>0.01</v>
      </c>
      <c r="C139" s="389"/>
      <c r="D139" s="389"/>
      <c r="E139" s="389"/>
      <c r="F139" s="389"/>
      <c r="G139" s="389"/>
      <c r="H139" s="389"/>
      <c r="I139" s="389"/>
      <c r="J139" s="389"/>
    </row>
    <row r="140" customFormat="false" ht="13.8" hidden="false" customHeight="false" outlineLevel="0" collapsed="false">
      <c r="A140" s="492" t="s">
        <v>4</v>
      </c>
      <c r="B140" s="488" t="n">
        <v>0.005</v>
      </c>
    </row>
    <row r="141" customFormat="false" ht="13.8" hidden="false" customHeight="false" outlineLevel="0" collapsed="false">
      <c r="A141" s="434" t="s">
        <v>601</v>
      </c>
    </row>
    <row r="142" customFormat="false" ht="13.8" hidden="false" customHeight="false" outlineLevel="0" collapsed="false">
      <c r="A142" s="416" t="s">
        <v>595</v>
      </c>
    </row>
    <row r="143" customFormat="false" ht="13.8" hidden="false" customHeight="false" outlineLevel="0" collapsed="false">
      <c r="A143" s="29"/>
    </row>
    <row r="144" customFormat="false" ht="13.8" hidden="false" customHeight="false" outlineLevel="0" collapsed="false">
      <c r="A144" s="29"/>
    </row>
    <row r="145" customFormat="false" ht="13.8" hidden="false" customHeight="false" outlineLevel="0" collapsed="false">
      <c r="A145" s="416"/>
    </row>
    <row r="146" customFormat="false" ht="13.8" hidden="false" customHeight="false" outlineLevel="0" collapsed="false">
      <c r="A146" s="4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9DC3E6"/>
    <pageSetUpPr fitToPage="false"/>
  </sheetPr>
  <dimension ref="A1:AY47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6" activeCellId="0" sqref="C16"/>
    </sheetView>
  </sheetViews>
  <sheetFormatPr defaultColWidth="8.90234375" defaultRowHeight="13.8" zeroHeight="false" outlineLevelRow="0" outlineLevelCol="0"/>
  <cols>
    <col collapsed="false" customWidth="true" hidden="false" outlineLevel="0" max="1" min="1" style="162" width="54.99"/>
    <col collapsed="false" customWidth="true" hidden="false" outlineLevel="0" max="2" min="2" style="282" width="31.55"/>
    <col collapsed="false" customWidth="true" hidden="false" outlineLevel="0" max="3" min="3" style="282" width="42.11"/>
    <col collapsed="false" customWidth="true" hidden="false" outlineLevel="0" max="4" min="4" style="282" width="35.56"/>
    <col collapsed="false" customWidth="true" hidden="false" outlineLevel="0" max="5" min="5" style="282" width="37.89"/>
    <col collapsed="false" customWidth="true" hidden="false" outlineLevel="0" max="6" min="6" style="282" width="44.89"/>
    <col collapsed="false" customWidth="true" hidden="false" outlineLevel="0" max="7" min="7" style="282" width="31.34"/>
    <col collapsed="false" customWidth="true" hidden="false" outlineLevel="0" max="8" min="8" style="282" width="27.56"/>
    <col collapsed="false" customWidth="true" hidden="false" outlineLevel="0" max="9" min="9" style="282" width="34"/>
    <col collapsed="false" customWidth="true" hidden="false" outlineLevel="0" max="10" min="10" style="282" width="50.33"/>
    <col collapsed="false" customWidth="true" hidden="false" outlineLevel="0" max="12" min="11" style="282" width="18"/>
    <col collapsed="false" customWidth="true" hidden="false" outlineLevel="0" max="13" min="13" style="282" width="34.33"/>
    <col collapsed="false" customWidth="true" hidden="false" outlineLevel="0" max="14" min="14" style="282" width="53.45"/>
    <col collapsed="false" customWidth="true" hidden="false" outlineLevel="0" max="15" min="15" style="282" width="30.01"/>
    <col collapsed="false" customWidth="true" hidden="false" outlineLevel="0" max="16" min="16" style="282" width="20.66"/>
    <col collapsed="false" customWidth="true" hidden="false" outlineLevel="0" max="17" min="17" style="282" width="23.01"/>
    <col collapsed="false" customWidth="true" hidden="false" outlineLevel="0" max="18" min="18" style="282" width="25.67"/>
    <col collapsed="false" customWidth="true" hidden="false" outlineLevel="0" max="19" min="19" style="282" width="23.44"/>
    <col collapsed="false" customWidth="true" hidden="false" outlineLevel="0" max="20" min="20" style="282" width="27.45"/>
    <col collapsed="false" customWidth="true" hidden="false" outlineLevel="0" max="21" min="21" style="282" width="24.56"/>
    <col collapsed="false" customWidth="true" hidden="false" outlineLevel="0" max="22" min="22" style="282" width="42.67"/>
    <col collapsed="false" customWidth="true" hidden="false" outlineLevel="0" max="23" min="23" style="282" width="47.33"/>
    <col collapsed="false" customWidth="true" hidden="false" outlineLevel="0" max="24" min="24" style="282" width="35.33"/>
    <col collapsed="false" customWidth="true" hidden="false" outlineLevel="0" max="25" min="25" style="282" width="31.44"/>
    <col collapsed="false" customWidth="true" hidden="false" outlineLevel="0" max="26" min="26" style="282" width="7.34"/>
    <col collapsed="false" customWidth="true" hidden="false" outlineLevel="0" max="27" min="27" style="282" width="12.66"/>
    <col collapsed="false" customWidth="true" hidden="false" outlineLevel="0" max="28" min="28" style="282" width="9.44"/>
    <col collapsed="false" customWidth="true" hidden="false" outlineLevel="0" max="29" min="29" style="282" width="16.33"/>
    <col collapsed="false" customWidth="true" hidden="false" outlineLevel="0" max="30" min="30" style="282" width="16.67"/>
    <col collapsed="false" customWidth="false" hidden="false" outlineLevel="0" max="31" min="31" style="282" width="8.89"/>
    <col collapsed="false" customWidth="true" hidden="false" outlineLevel="0" max="32" min="32" style="282" width="26.11"/>
    <col collapsed="false" customWidth="false" hidden="false" outlineLevel="0" max="34" min="33" style="282" width="8.89"/>
    <col collapsed="false" customWidth="true" hidden="false" outlineLevel="0" max="35" min="35" style="282" width="43.11"/>
    <col collapsed="false" customWidth="false" hidden="false" outlineLevel="0" max="37" min="36" style="282" width="8.89"/>
    <col collapsed="false" customWidth="true" hidden="false" outlineLevel="0" max="38" min="38" style="282" width="16.56"/>
    <col collapsed="false" customWidth="true" hidden="false" outlineLevel="0" max="39" min="39" style="282" width="21.44"/>
    <col collapsed="false" customWidth="true" hidden="false" outlineLevel="0" max="40" min="40" style="282" width="31.88"/>
    <col collapsed="false" customWidth="true" hidden="false" outlineLevel="0" max="41" min="41" style="282" width="22.11"/>
    <col collapsed="false" customWidth="true" hidden="false" outlineLevel="0" max="42" min="42" style="282" width="17.56"/>
    <col collapsed="false" customWidth="true" hidden="false" outlineLevel="0" max="43" min="43" style="282" width="22.66"/>
    <col collapsed="false" customWidth="false" hidden="false" outlineLevel="0" max="44" min="44" style="282" width="8.89"/>
    <col collapsed="false" customWidth="true" hidden="false" outlineLevel="0" max="45" min="45" style="282" width="31.44"/>
    <col collapsed="false" customWidth="true" hidden="false" outlineLevel="0" max="46" min="46" style="282" width="17.89"/>
    <col collapsed="false" customWidth="true" hidden="false" outlineLevel="0" max="47" min="47" style="282" width="15.34"/>
    <col collapsed="false" customWidth="true" hidden="false" outlineLevel="0" max="48" min="48" style="282" width="8.67"/>
    <col collapsed="false" customWidth="false" hidden="false" outlineLevel="0" max="1025" min="49" style="282" width="8.89"/>
  </cols>
  <sheetData>
    <row r="1" customFormat="false" ht="23.4" hidden="false" customHeight="false" outlineLevel="0" collapsed="false">
      <c r="A1" s="493" t="s">
        <v>602</v>
      </c>
    </row>
    <row r="2" customFormat="false" ht="13.8" hidden="false" customHeight="false" outlineLevel="0" collapsed="false">
      <c r="E2" s="29" t="s">
        <v>411</v>
      </c>
    </row>
    <row r="3" customFormat="false" ht="13.8" hidden="false" customHeight="false" outlineLevel="0" collapsed="false">
      <c r="A3" s="494" t="s">
        <v>603</v>
      </c>
      <c r="B3" s="495" t="s">
        <v>604</v>
      </c>
      <c r="C3" s="495" t="s">
        <v>112</v>
      </c>
      <c r="D3" s="496" t="s">
        <v>605</v>
      </c>
      <c r="E3" s="333" t="s">
        <v>606</v>
      </c>
      <c r="F3" s="333" t="s">
        <v>112</v>
      </c>
    </row>
    <row r="4" customFormat="false" ht="13.8" hidden="false" customHeight="false" outlineLevel="0" collapsed="false">
      <c r="A4" s="497" t="s">
        <v>44</v>
      </c>
      <c r="B4" s="177" t="s">
        <v>137</v>
      </c>
      <c r="C4" s="177" t="s">
        <v>163</v>
      </c>
      <c r="D4" s="498" t="n">
        <v>0.229933059497954</v>
      </c>
      <c r="E4" s="378" t="s">
        <v>607</v>
      </c>
      <c r="F4" s="282" t="s">
        <v>608</v>
      </c>
    </row>
    <row r="5" customFormat="false" ht="13.8" hidden="false" customHeight="false" outlineLevel="0" collapsed="false">
      <c r="A5" s="499"/>
      <c r="B5" s="23"/>
      <c r="C5" s="282" t="s">
        <v>609</v>
      </c>
      <c r="D5" s="454" t="n">
        <v>0.122823495684019</v>
      </c>
      <c r="E5" s="378" t="s">
        <v>607</v>
      </c>
      <c r="F5" s="282" t="s">
        <v>608</v>
      </c>
    </row>
    <row r="6" customFormat="false" ht="13.8" hidden="false" customHeight="false" outlineLevel="0" collapsed="false">
      <c r="A6" s="499"/>
      <c r="B6" s="23"/>
      <c r="C6" s="282" t="s">
        <v>610</v>
      </c>
      <c r="D6" s="454" t="n">
        <v>0.0170600001777126</v>
      </c>
      <c r="E6" s="378" t="s">
        <v>607</v>
      </c>
      <c r="F6" s="282" t="s">
        <v>608</v>
      </c>
    </row>
    <row r="7" customFormat="false" ht="13.8" hidden="false" customHeight="false" outlineLevel="0" collapsed="false">
      <c r="A7" s="499"/>
      <c r="B7" s="23"/>
      <c r="C7" s="282" t="s">
        <v>611</v>
      </c>
      <c r="D7" s="454" t="n">
        <v>0.0984319339092864</v>
      </c>
      <c r="E7" s="378" t="s">
        <v>607</v>
      </c>
      <c r="F7" s="282" t="s">
        <v>608</v>
      </c>
    </row>
    <row r="8" customFormat="false" ht="13.8" hidden="false" customHeight="false" outlineLevel="0" collapsed="false">
      <c r="A8" s="499"/>
      <c r="B8" s="23"/>
      <c r="C8" s="282" t="s">
        <v>612</v>
      </c>
      <c r="D8" s="454" t="n">
        <v>0.0155299033327312</v>
      </c>
      <c r="E8" s="378" t="s">
        <v>607</v>
      </c>
      <c r="F8" s="282" t="s">
        <v>608</v>
      </c>
    </row>
    <row r="9" customFormat="false" ht="13.8" hidden="false" customHeight="false" outlineLevel="0" collapsed="false">
      <c r="A9" s="499"/>
      <c r="B9" s="23"/>
      <c r="C9" s="282" t="s">
        <v>613</v>
      </c>
      <c r="D9" s="454" t="n">
        <v>0.0327955066382389</v>
      </c>
      <c r="E9" s="378" t="s">
        <v>607</v>
      </c>
      <c r="F9" s="282" t="s">
        <v>608</v>
      </c>
    </row>
    <row r="10" customFormat="false" ht="13.8" hidden="false" customHeight="false" outlineLevel="0" collapsed="false">
      <c r="A10" s="499"/>
      <c r="B10" s="23"/>
      <c r="C10" s="282" t="s">
        <v>614</v>
      </c>
      <c r="D10" s="454" t="n">
        <v>0.0134261007600587</v>
      </c>
      <c r="E10" s="378" t="s">
        <v>607</v>
      </c>
      <c r="F10" s="282" t="s">
        <v>608</v>
      </c>
    </row>
    <row r="11" customFormat="false" ht="13.8" hidden="false" customHeight="false" outlineLevel="0" collapsed="false">
      <c r="A11" s="23"/>
      <c r="B11" s="23" t="s">
        <v>162</v>
      </c>
      <c r="C11" s="282" t="s">
        <v>163</v>
      </c>
      <c r="D11" s="500" t="n">
        <v>0.132396913710795</v>
      </c>
      <c r="E11" s="378" t="s">
        <v>607</v>
      </c>
      <c r="F11" s="282" t="s">
        <v>615</v>
      </c>
      <c r="G11" s="25"/>
    </row>
    <row r="12" customFormat="false" ht="13.8" hidden="false" customHeight="false" outlineLevel="0" collapsed="false">
      <c r="A12" s="23"/>
      <c r="B12" s="23" t="s">
        <v>165</v>
      </c>
      <c r="C12" s="282" t="s">
        <v>616</v>
      </c>
      <c r="D12" s="500" t="n">
        <v>0.139283028498511</v>
      </c>
      <c r="E12" s="378" t="s">
        <v>607</v>
      </c>
      <c r="F12" s="282" t="s">
        <v>617</v>
      </c>
      <c r="G12" s="501"/>
    </row>
    <row r="13" customFormat="false" ht="27.6" hidden="false" customHeight="false" outlineLevel="0" collapsed="false">
      <c r="A13" s="23"/>
      <c r="B13" s="23" t="s">
        <v>141</v>
      </c>
      <c r="C13" s="282" t="s">
        <v>618</v>
      </c>
      <c r="D13" s="500" t="n">
        <v>0.152349105218509</v>
      </c>
      <c r="E13" s="378" t="s">
        <v>619</v>
      </c>
      <c r="F13" s="297" t="s">
        <v>620</v>
      </c>
    </row>
    <row r="14" customFormat="false" ht="27.6" hidden="false" customHeight="false" outlineLevel="0" collapsed="false">
      <c r="A14" s="23"/>
      <c r="B14" s="282" t="s">
        <v>171</v>
      </c>
      <c r="C14" s="282" t="s">
        <v>621</v>
      </c>
      <c r="D14" s="500" t="n">
        <v>0.0460416159532732</v>
      </c>
      <c r="E14" s="378" t="s">
        <v>619</v>
      </c>
      <c r="F14" s="297" t="s">
        <v>620</v>
      </c>
    </row>
    <row r="15" customFormat="false" ht="13.8" hidden="false" customHeight="false" outlineLevel="0" collapsed="false">
      <c r="A15" s="497" t="s">
        <v>23</v>
      </c>
      <c r="B15" s="289" t="s">
        <v>137</v>
      </c>
      <c r="C15" s="177" t="s">
        <v>138</v>
      </c>
      <c r="D15" s="498" t="n">
        <v>0.6938</v>
      </c>
      <c r="E15" s="378" t="s">
        <v>607</v>
      </c>
      <c r="F15" s="297" t="s">
        <v>622</v>
      </c>
    </row>
    <row r="16" customFormat="false" ht="13.8" hidden="false" customHeight="false" outlineLevel="0" collapsed="false">
      <c r="A16" s="499"/>
      <c r="B16" s="23" t="s">
        <v>139</v>
      </c>
      <c r="C16" s="282" t="s">
        <v>138</v>
      </c>
      <c r="D16" s="454" t="n">
        <v>0.114575973104458</v>
      </c>
      <c r="E16" s="378" t="s">
        <v>607</v>
      </c>
      <c r="F16" s="297" t="s">
        <v>623</v>
      </c>
    </row>
    <row r="17" customFormat="false" ht="13.8" hidden="false" customHeight="false" outlineLevel="0" collapsed="false">
      <c r="A17" s="499"/>
      <c r="B17" s="23" t="s">
        <v>140</v>
      </c>
      <c r="C17" s="282" t="s">
        <v>138</v>
      </c>
      <c r="D17" s="454" t="n">
        <v>0.118922056429857</v>
      </c>
      <c r="E17" s="378" t="s">
        <v>607</v>
      </c>
      <c r="F17" s="297" t="s">
        <v>624</v>
      </c>
    </row>
    <row r="18" customFormat="false" ht="13.8" hidden="false" customHeight="false" outlineLevel="0" collapsed="false">
      <c r="A18" s="499"/>
      <c r="B18" s="23" t="s">
        <v>141</v>
      </c>
      <c r="C18" s="282" t="s">
        <v>138</v>
      </c>
      <c r="D18" s="454" t="n">
        <v>0.0727019704656846</v>
      </c>
      <c r="E18" s="378" t="s">
        <v>607</v>
      </c>
      <c r="F18" s="297" t="s">
        <v>625</v>
      </c>
    </row>
    <row r="19" customFormat="false" ht="13.8" hidden="false" customHeight="false" outlineLevel="0" collapsed="false">
      <c r="A19" s="497" t="s">
        <v>30</v>
      </c>
      <c r="B19" s="289" t="s">
        <v>137</v>
      </c>
      <c r="C19" s="177" t="s">
        <v>138</v>
      </c>
      <c r="D19" s="502" t="n">
        <v>0.6602</v>
      </c>
      <c r="E19" s="378" t="s">
        <v>607</v>
      </c>
      <c r="F19" s="297" t="s">
        <v>622</v>
      </c>
    </row>
    <row r="20" customFormat="false" ht="13.8" hidden="false" customHeight="false" outlineLevel="0" collapsed="false">
      <c r="A20" s="499"/>
      <c r="B20" s="23" t="s">
        <v>139</v>
      </c>
      <c r="C20" s="282" t="s">
        <v>138</v>
      </c>
      <c r="D20" s="500" t="n">
        <v>0.229404164769638</v>
      </c>
      <c r="E20" s="378" t="s">
        <v>607</v>
      </c>
      <c r="F20" s="297" t="s">
        <v>623</v>
      </c>
    </row>
    <row r="21" customFormat="false" ht="13.8" hidden="false" customHeight="false" outlineLevel="0" collapsed="false">
      <c r="A21" s="499"/>
      <c r="B21" s="23" t="s">
        <v>141</v>
      </c>
      <c r="C21" s="282" t="s">
        <v>138</v>
      </c>
      <c r="D21" s="454" t="n">
        <v>0.110395835230362</v>
      </c>
      <c r="E21" s="378" t="s">
        <v>607</v>
      </c>
      <c r="F21" s="297" t="s">
        <v>625</v>
      </c>
    </row>
    <row r="22" customFormat="false" ht="13.8" hidden="false" customHeight="false" outlineLevel="0" collapsed="false">
      <c r="A22" s="497" t="s">
        <v>37</v>
      </c>
      <c r="B22" s="289" t="s">
        <v>137</v>
      </c>
      <c r="C22" s="177" t="s">
        <v>138</v>
      </c>
      <c r="D22" s="498" t="n">
        <v>0.9066</v>
      </c>
      <c r="E22" s="378" t="s">
        <v>607</v>
      </c>
      <c r="F22" s="297" t="s">
        <v>622</v>
      </c>
    </row>
    <row r="23" customFormat="false" ht="13.8" hidden="false" customHeight="false" outlineLevel="0" collapsed="false">
      <c r="A23" s="503"/>
      <c r="B23" s="504" t="s">
        <v>141</v>
      </c>
      <c r="C23" s="469" t="s">
        <v>138</v>
      </c>
      <c r="D23" s="398" t="n">
        <v>0.0933999999999999</v>
      </c>
      <c r="E23" s="378" t="s">
        <v>607</v>
      </c>
      <c r="F23" s="297" t="s">
        <v>625</v>
      </c>
    </row>
    <row r="24" customFormat="false" ht="13.8" hidden="false" customHeight="false" outlineLevel="0" collapsed="false">
      <c r="A24" s="395" t="s">
        <v>626</v>
      </c>
      <c r="B24" s="23"/>
      <c r="D24" s="102"/>
      <c r="E24" s="378"/>
      <c r="F24" s="297"/>
    </row>
    <row r="25" customFormat="false" ht="13.8" hidden="false" customHeight="false" outlineLevel="0" collapsed="false">
      <c r="A25" s="395" t="s">
        <v>627</v>
      </c>
      <c r="B25" s="23"/>
      <c r="D25" s="290"/>
      <c r="E25" s="505"/>
    </row>
    <row r="26" customFormat="false" ht="13.8" hidden="false" customHeight="false" outlineLevel="0" collapsed="false">
      <c r="A26" s="395" t="s">
        <v>628</v>
      </c>
      <c r="B26" s="23"/>
      <c r="D26" s="290"/>
      <c r="E26" s="505"/>
    </row>
    <row r="27" customFormat="false" ht="13.8" hidden="false" customHeight="false" outlineLevel="0" collapsed="false">
      <c r="A27" s="23"/>
      <c r="B27" s="23"/>
      <c r="D27" s="290"/>
      <c r="E27" s="505"/>
    </row>
    <row r="28" customFormat="false" ht="13.8" hidden="false" customHeight="false" outlineLevel="0" collapsed="false">
      <c r="A28" s="25" t="s">
        <v>629</v>
      </c>
      <c r="B28" s="23"/>
      <c r="D28" s="290"/>
      <c r="E28" s="505"/>
    </row>
    <row r="29" customFormat="false" ht="13.8" hidden="false" customHeight="false" outlineLevel="0" collapsed="false">
      <c r="A29" s="475" t="s">
        <v>630</v>
      </c>
      <c r="B29" s="506" t="n">
        <v>0.695</v>
      </c>
      <c r="C29" s="333" t="s">
        <v>411</v>
      </c>
      <c r="D29" s="290"/>
      <c r="E29" s="505"/>
    </row>
    <row r="30" customFormat="false" ht="13.8" hidden="false" customHeight="false" outlineLevel="0" collapsed="false">
      <c r="A30" s="499" t="s">
        <v>631</v>
      </c>
      <c r="B30" s="454" t="n">
        <v>0.59</v>
      </c>
      <c r="C30" s="282" t="s">
        <v>632</v>
      </c>
      <c r="D30" s="290"/>
      <c r="E30" s="505"/>
    </row>
    <row r="31" customFormat="false" ht="13.8" hidden="false" customHeight="false" outlineLevel="0" collapsed="false">
      <c r="A31" s="503" t="s">
        <v>633</v>
      </c>
      <c r="B31" s="398" t="n">
        <v>0.77</v>
      </c>
      <c r="D31" s="290"/>
      <c r="E31" s="505"/>
    </row>
    <row r="32" customFormat="false" ht="13.8" hidden="false" customHeight="false" outlineLevel="0" collapsed="false">
      <c r="A32" s="23"/>
      <c r="B32" s="23"/>
      <c r="D32" s="290"/>
      <c r="E32" s="505"/>
    </row>
    <row r="33" customFormat="false" ht="13.8" hidden="false" customHeight="false" outlineLevel="0" collapsed="false">
      <c r="A33" s="333" t="s">
        <v>634</v>
      </c>
    </row>
    <row r="34" customFormat="false" ht="13.8" hidden="false" customHeight="false" outlineLevel="0" collapsed="false">
      <c r="A34" s="472"/>
      <c r="B34" s="463" t="s">
        <v>635</v>
      </c>
      <c r="C34" s="463" t="s">
        <v>636</v>
      </c>
      <c r="D34" s="464" t="s">
        <v>637</v>
      </c>
      <c r="E34" s="333" t="s">
        <v>411</v>
      </c>
      <c r="F34" s="507"/>
      <c r="G34" s="507"/>
      <c r="H34" s="508"/>
      <c r="I34" s="507"/>
      <c r="J34" s="507"/>
    </row>
    <row r="35" customFormat="false" ht="14.4" hidden="false" customHeight="false" outlineLevel="0" collapsed="false">
      <c r="A35" s="162" t="s">
        <v>638</v>
      </c>
      <c r="B35" s="93" t="n">
        <v>0.23380507909197</v>
      </c>
      <c r="C35" s="93" t="n">
        <v>2.91719526534388E-005</v>
      </c>
      <c r="D35" s="365" t="n">
        <v>0.00110557717178203</v>
      </c>
      <c r="E35" s="395" t="s">
        <v>639</v>
      </c>
      <c r="F35" s="507"/>
      <c r="G35" s="509"/>
      <c r="H35" s="510"/>
      <c r="I35" s="509"/>
      <c r="J35" s="509"/>
    </row>
    <row r="36" customFormat="false" ht="14.4" hidden="false" customHeight="false" outlineLevel="0" collapsed="false">
      <c r="A36" s="100" t="s">
        <v>640</v>
      </c>
      <c r="B36" s="93" t="n">
        <v>0.148718232</v>
      </c>
      <c r="C36" s="93" t="n">
        <v>7.44644578666667E-005</v>
      </c>
      <c r="D36" s="365" t="n">
        <v>0.00067100148098434</v>
      </c>
      <c r="E36" s="511" t="s">
        <v>456</v>
      </c>
      <c r="F36" s="512"/>
      <c r="G36" s="173"/>
      <c r="H36" s="173"/>
      <c r="I36" s="173"/>
      <c r="J36" s="173"/>
    </row>
    <row r="37" customFormat="false" ht="14.4" hidden="false" customHeight="false" outlineLevel="0" collapsed="false">
      <c r="A37" s="162" t="s">
        <v>641</v>
      </c>
      <c r="B37" s="93" t="n">
        <v>0.173063426527082</v>
      </c>
      <c r="C37" s="93" t="n">
        <v>1.48807590667938E-005</v>
      </c>
      <c r="D37" s="365" t="n">
        <v>0.000432940229505172</v>
      </c>
      <c r="E37" s="395" t="s">
        <v>639</v>
      </c>
      <c r="F37" s="512"/>
      <c r="G37" s="173"/>
      <c r="H37" s="173"/>
      <c r="I37" s="173"/>
      <c r="J37" s="173"/>
    </row>
    <row r="38" customFormat="false" ht="14.4" hidden="false" customHeight="false" outlineLevel="0" collapsed="false">
      <c r="A38" s="162" t="s">
        <v>642</v>
      </c>
      <c r="B38" s="93" t="n">
        <v>0.352</v>
      </c>
      <c r="C38" s="93" t="n">
        <v>0.00302826086956522</v>
      </c>
      <c r="D38" s="365" t="n">
        <v>0.000802702702702703</v>
      </c>
      <c r="E38" s="511" t="s">
        <v>456</v>
      </c>
      <c r="F38" s="512"/>
      <c r="G38" s="173"/>
      <c r="H38" s="173"/>
      <c r="I38" s="173"/>
      <c r="J38" s="173"/>
    </row>
    <row r="39" customFormat="false" ht="14.4" hidden="false" customHeight="false" outlineLevel="0" collapsed="false">
      <c r="A39" s="162" t="s">
        <v>643</v>
      </c>
      <c r="B39" s="93" t="n">
        <v>0.4487</v>
      </c>
      <c r="C39" s="93" t="n">
        <v>0.00962347826086957</v>
      </c>
      <c r="D39" s="365" t="n">
        <v>0.000680033783783784</v>
      </c>
      <c r="E39" s="511" t="s">
        <v>456</v>
      </c>
    </row>
    <row r="40" customFormat="false" ht="14.4" hidden="false" customHeight="false" outlineLevel="0" collapsed="false">
      <c r="A40" s="162" t="s">
        <v>644</v>
      </c>
      <c r="B40" s="93" t="n">
        <v>0.356385952081121</v>
      </c>
      <c r="C40" s="93" t="n">
        <v>5.09125652007204E-005</v>
      </c>
      <c r="D40" s="365" t="n">
        <v>0.00216422423952639</v>
      </c>
      <c r="E40" s="395" t="s">
        <v>639</v>
      </c>
      <c r="F40" s="103"/>
      <c r="G40" s="103"/>
      <c r="H40" s="103"/>
    </row>
    <row r="41" customFormat="false" ht="14.4" hidden="false" customHeight="false" outlineLevel="0" collapsed="false">
      <c r="A41" s="162" t="s">
        <v>645</v>
      </c>
      <c r="B41" s="93" t="n">
        <v>0.19920904697119</v>
      </c>
      <c r="C41" s="93" t="n">
        <v>5.12396290936695E-005</v>
      </c>
      <c r="D41" s="365" t="n">
        <v>0.00101159523337898</v>
      </c>
      <c r="E41" s="395" t="s">
        <v>639</v>
      </c>
    </row>
    <row r="42" customFormat="false" ht="14.4" hidden="false" customHeight="false" outlineLevel="0" collapsed="false">
      <c r="A42" s="162" t="s">
        <v>646</v>
      </c>
      <c r="B42" s="93" t="n">
        <v>0.756</v>
      </c>
      <c r="C42" s="93" t="n">
        <v>0.00134782608695652</v>
      </c>
      <c r="D42" s="365" t="n">
        <v>5.70945945945946E-005</v>
      </c>
      <c r="E42" s="511" t="s">
        <v>456</v>
      </c>
    </row>
    <row r="43" customFormat="false" ht="14.4" hidden="false" customHeight="false" outlineLevel="0" collapsed="false">
      <c r="A43" s="453" t="s">
        <v>647</v>
      </c>
      <c r="B43" s="93" t="n">
        <v>0.51145695082426</v>
      </c>
      <c r="C43" s="93" t="n">
        <v>0.0001888576</v>
      </c>
      <c r="D43" s="365" t="n">
        <v>0.000364578573825503</v>
      </c>
      <c r="E43" s="511" t="s">
        <v>456</v>
      </c>
    </row>
    <row r="44" customFormat="false" ht="14.4" hidden="false" customHeight="false" outlineLevel="0" collapsed="false">
      <c r="A44" s="162" t="s">
        <v>648</v>
      </c>
      <c r="B44" s="93" t="n">
        <v>0.186333333333333</v>
      </c>
      <c r="C44" s="93" t="n">
        <v>5.72E-005</v>
      </c>
      <c r="D44" s="365" t="n">
        <v>0.000378076062639821</v>
      </c>
      <c r="E44" s="511" t="s">
        <v>456</v>
      </c>
    </row>
    <row r="45" customFormat="false" ht="14.4" hidden="false" customHeight="false" outlineLevel="0" collapsed="false">
      <c r="A45" s="162" t="s">
        <v>649</v>
      </c>
      <c r="B45" s="93" t="n">
        <v>0.349250709447635</v>
      </c>
      <c r="C45" s="93" t="n">
        <v>0.00011358174136459</v>
      </c>
      <c r="D45" s="365" t="n">
        <v>0.000390359444287938</v>
      </c>
      <c r="E45" s="395" t="s">
        <v>639</v>
      </c>
    </row>
    <row r="46" customFormat="false" ht="14.4" hidden="false" customHeight="false" outlineLevel="0" collapsed="false">
      <c r="A46" s="162" t="s">
        <v>650</v>
      </c>
      <c r="B46" s="93" t="n">
        <v>0.368933268798291</v>
      </c>
      <c r="C46" s="93" t="n">
        <v>0.00149180416801301</v>
      </c>
      <c r="D46" s="365" t="n">
        <v>0.000760043183114297</v>
      </c>
      <c r="E46" s="395" t="s">
        <v>651</v>
      </c>
    </row>
    <row r="47" customFormat="false" ht="14.4" hidden="false" customHeight="false" outlineLevel="0" collapsed="false">
      <c r="A47" s="162" t="s">
        <v>652</v>
      </c>
      <c r="B47" s="93" t="n">
        <v>0.0816867993125</v>
      </c>
      <c r="C47" s="93" t="n">
        <v>3.8913171E-005</v>
      </c>
      <c r="D47" s="365" t="n">
        <v>0.000208610474795302</v>
      </c>
      <c r="E47" s="511" t="s">
        <v>456</v>
      </c>
    </row>
    <row r="48" customFormat="false" ht="14.4" hidden="false" customHeight="false" outlineLevel="0" collapsed="false">
      <c r="A48" s="513" t="s">
        <v>653</v>
      </c>
      <c r="B48" s="514" t="n">
        <v>0.085925</v>
      </c>
      <c r="C48" s="514" t="n">
        <v>4.86086956521739E-005</v>
      </c>
      <c r="D48" s="515" t="n">
        <v>0.000380596452702703</v>
      </c>
      <c r="E48" s="511" t="s">
        <v>456</v>
      </c>
    </row>
    <row r="49" customFormat="false" ht="13.8" hidden="false" customHeight="false" outlineLevel="0" collapsed="false">
      <c r="A49" s="516" t="s">
        <v>654</v>
      </c>
      <c r="B49" s="290"/>
      <c r="C49" s="290"/>
      <c r="D49" s="290"/>
      <c r="E49" s="101"/>
    </row>
    <row r="50" customFormat="false" ht="13.8" hidden="false" customHeight="false" outlineLevel="0" collapsed="false">
      <c r="A50" s="517" t="s">
        <v>655</v>
      </c>
      <c r="E50" s="173"/>
    </row>
    <row r="51" customFormat="false" ht="13.8" hidden="false" customHeight="false" outlineLevel="0" collapsed="false">
      <c r="B51" s="518"/>
      <c r="C51" s="518"/>
      <c r="D51" s="518"/>
      <c r="E51" s="173"/>
    </row>
    <row r="53" customFormat="false" ht="13.8" hidden="false" customHeight="false" outlineLevel="0" collapsed="false">
      <c r="A53" s="519" t="s">
        <v>656</v>
      </c>
    </row>
    <row r="54" customFormat="false" ht="13.8" hidden="false" customHeight="false" outlineLevel="0" collapsed="false">
      <c r="A54" s="472"/>
      <c r="B54" s="463" t="s">
        <v>657</v>
      </c>
      <c r="C54" s="464" t="s">
        <v>658</v>
      </c>
      <c r="D54" s="333" t="s">
        <v>411</v>
      </c>
    </row>
    <row r="55" customFormat="false" ht="13.8" hidden="false" customHeight="false" outlineLevel="0" collapsed="false">
      <c r="A55" s="162" t="s">
        <v>659</v>
      </c>
      <c r="B55" s="290" t="n">
        <v>0.640516533118893</v>
      </c>
      <c r="C55" s="500" t="n">
        <v>0.359483466881107</v>
      </c>
      <c r="D55" s="395" t="s">
        <v>660</v>
      </c>
    </row>
    <row r="56" customFormat="false" ht="13.8" hidden="false" customHeight="false" outlineLevel="0" collapsed="false">
      <c r="A56" s="162" t="s">
        <v>134</v>
      </c>
      <c r="B56" s="290" t="n">
        <v>1</v>
      </c>
      <c r="C56" s="500" t="n">
        <v>0</v>
      </c>
    </row>
    <row r="57" customFormat="false" ht="13.8" hidden="false" customHeight="false" outlineLevel="0" collapsed="false">
      <c r="A57" s="162" t="s">
        <v>135</v>
      </c>
      <c r="B57" s="290" t="n">
        <v>1</v>
      </c>
      <c r="C57" s="500" t="n">
        <v>0</v>
      </c>
      <c r="F57" s="520"/>
    </row>
    <row r="58" customFormat="false" ht="13.8" hidden="false" customHeight="false" outlineLevel="0" collapsed="false">
      <c r="A58" s="513" t="s">
        <v>136</v>
      </c>
      <c r="B58" s="397" t="n">
        <v>0.283479098775295</v>
      </c>
      <c r="C58" s="521" t="n">
        <v>0.716520901224705</v>
      </c>
    </row>
    <row r="59" s="282" customFormat="true" ht="13.8" hidden="false" customHeight="false" outlineLevel="0" collapsed="false">
      <c r="E59" s="522"/>
      <c r="F59" s="523"/>
    </row>
    <row r="60" customFormat="false" ht="13.8" hidden="false" customHeight="false" outlineLevel="0" collapsed="false">
      <c r="A60" s="524" t="s">
        <v>661</v>
      </c>
      <c r="E60" s="522"/>
      <c r="F60" s="525"/>
      <c r="G60" s="526" t="s">
        <v>662</v>
      </c>
      <c r="H60" s="422"/>
    </row>
    <row r="61" customFormat="false" ht="13.8" hidden="false" customHeight="false" outlineLevel="0" collapsed="false">
      <c r="A61" s="472"/>
      <c r="B61" s="527" t="s">
        <v>663</v>
      </c>
      <c r="C61" s="463" t="s">
        <v>664</v>
      </c>
      <c r="D61" s="463" t="s">
        <v>665</v>
      </c>
      <c r="E61" s="444" t="s">
        <v>666</v>
      </c>
      <c r="F61" s="464" t="s">
        <v>667</v>
      </c>
      <c r="G61" s="528" t="s">
        <v>663</v>
      </c>
      <c r="H61" s="333" t="s">
        <v>664</v>
      </c>
      <c r="I61" s="333" t="s">
        <v>665</v>
      </c>
      <c r="J61" s="376" t="s">
        <v>666</v>
      </c>
      <c r="K61" s="333" t="s">
        <v>667</v>
      </c>
      <c r="L61" s="333"/>
    </row>
    <row r="62" customFormat="false" ht="13.8" hidden="false" customHeight="false" outlineLevel="0" collapsed="false">
      <c r="A62" s="162" t="s">
        <v>638</v>
      </c>
      <c r="B62" s="103" t="n">
        <v>0.82</v>
      </c>
      <c r="C62" s="290" t="n">
        <v>0.7</v>
      </c>
      <c r="D62" s="101" t="n">
        <v>0.63</v>
      </c>
      <c r="E62" s="529"/>
      <c r="F62" s="381"/>
      <c r="G62" s="395" t="s">
        <v>668</v>
      </c>
      <c r="H62" s="395" t="s">
        <v>669</v>
      </c>
      <c r="I62" s="395" t="s">
        <v>670</v>
      </c>
      <c r="J62" s="395" t="s">
        <v>671</v>
      </c>
      <c r="K62" s="395" t="s">
        <v>671</v>
      </c>
      <c r="L62" s="395"/>
      <c r="M62" s="395"/>
    </row>
    <row r="63" customFormat="false" ht="13.8" hidden="false" customHeight="false" outlineLevel="0" collapsed="false">
      <c r="A63" s="100" t="s">
        <v>640</v>
      </c>
      <c r="B63" s="103" t="n">
        <v>0</v>
      </c>
      <c r="C63" s="290" t="n">
        <v>0.05</v>
      </c>
      <c r="D63" s="101" t="n">
        <v>0</v>
      </c>
      <c r="E63" s="529"/>
      <c r="F63" s="381"/>
      <c r="G63" s="401" t="s">
        <v>672</v>
      </c>
      <c r="H63" s="467" t="s">
        <v>672</v>
      </c>
      <c r="I63" s="467" t="s">
        <v>672</v>
      </c>
      <c r="J63" s="467" t="s">
        <v>672</v>
      </c>
      <c r="K63" s="467" t="s">
        <v>672</v>
      </c>
      <c r="L63" s="467"/>
      <c r="M63" s="395"/>
    </row>
    <row r="64" customFormat="false" ht="13.8" hidden="false" customHeight="false" outlineLevel="0" collapsed="false">
      <c r="A64" s="100" t="s">
        <v>673</v>
      </c>
      <c r="B64" s="103" t="n">
        <v>0.18</v>
      </c>
      <c r="C64" s="290" t="n">
        <v>0.25</v>
      </c>
      <c r="D64" s="101" t="n">
        <v>0.37</v>
      </c>
      <c r="E64" s="529"/>
      <c r="F64" s="381"/>
      <c r="G64" s="530"/>
    </row>
    <row r="65" customFormat="false" ht="13.8" hidden="false" customHeight="false" outlineLevel="0" collapsed="false">
      <c r="A65" s="531" t="s">
        <v>641</v>
      </c>
      <c r="B65" s="532" t="n">
        <v>0.640564265628021</v>
      </c>
      <c r="C65" s="533" t="n">
        <v>0.0880748964646043</v>
      </c>
      <c r="D65" s="533" t="n">
        <v>0.0543196477535359</v>
      </c>
      <c r="E65" s="534" t="n">
        <v>0.379692563006347</v>
      </c>
      <c r="F65" s="535" t="n">
        <v>0.371387975234115</v>
      </c>
      <c r="G65" s="522"/>
    </row>
    <row r="66" customFormat="false" ht="13.8" hidden="false" customHeight="false" outlineLevel="0" collapsed="false">
      <c r="A66" s="531" t="s">
        <v>642</v>
      </c>
      <c r="B66" s="532" t="n">
        <v>0.00834206053734274</v>
      </c>
      <c r="C66" s="532" t="n">
        <v>0.0854426063993453</v>
      </c>
      <c r="D66" s="533" t="n">
        <v>0.0456116111825791</v>
      </c>
      <c r="E66" s="534" t="n">
        <v>0.0430137506472722</v>
      </c>
      <c r="F66" s="535" t="n">
        <v>0.0420729593269607</v>
      </c>
      <c r="G66" s="522"/>
    </row>
    <row r="67" customFormat="false" ht="13.8" hidden="false" customHeight="false" outlineLevel="0" collapsed="false">
      <c r="A67" s="531" t="s">
        <v>643</v>
      </c>
      <c r="B67" s="532" t="n">
        <v>0</v>
      </c>
      <c r="C67" s="532" t="n">
        <v>0</v>
      </c>
      <c r="D67" s="533" t="n">
        <v>0</v>
      </c>
      <c r="E67" s="534" t="n">
        <v>0.0537752306529859</v>
      </c>
      <c r="F67" s="535" t="n">
        <v>0.0525990656014669</v>
      </c>
      <c r="G67" s="522"/>
    </row>
    <row r="68" customFormat="false" ht="13.8" hidden="false" customHeight="false" outlineLevel="0" collapsed="false">
      <c r="A68" s="531" t="s">
        <v>644</v>
      </c>
      <c r="B68" s="532" t="n">
        <v>0</v>
      </c>
      <c r="C68" s="533" t="n">
        <v>0.0254408573614449</v>
      </c>
      <c r="D68" s="533" t="n">
        <v>0.127530152105986</v>
      </c>
      <c r="E68" s="534" t="n">
        <v>0.00521672696096668</v>
      </c>
      <c r="F68" s="535" t="n">
        <v>0.00510262736789565</v>
      </c>
      <c r="G68" s="522"/>
    </row>
    <row r="69" customFormat="false" ht="13.8" hidden="false" customHeight="false" outlineLevel="0" collapsed="false">
      <c r="A69" s="531" t="s">
        <v>645</v>
      </c>
      <c r="B69" s="532" t="n">
        <v>0.0940359058719159</v>
      </c>
      <c r="C69" s="533" t="n">
        <v>0.0802389101567927</v>
      </c>
      <c r="D69" s="533" t="n">
        <v>0.166377671953524</v>
      </c>
      <c r="E69" s="534" t="n">
        <v>0.259502870908886</v>
      </c>
      <c r="F69" s="535" t="n">
        <v>0.253827056898874</v>
      </c>
      <c r="G69" s="522"/>
    </row>
    <row r="70" customFormat="false" ht="13.8" hidden="false" customHeight="false" outlineLevel="0" collapsed="false">
      <c r="A70" s="531" t="s">
        <v>646</v>
      </c>
      <c r="B70" s="532" t="n">
        <v>0.0583521299319575</v>
      </c>
      <c r="C70" s="532" t="n">
        <v>0.0930518560041059</v>
      </c>
      <c r="D70" s="533" t="n">
        <v>0.243219951384625</v>
      </c>
      <c r="E70" s="534" t="n">
        <v>0.047888301980761</v>
      </c>
      <c r="F70" s="535" t="n">
        <v>0.0468408950894763</v>
      </c>
      <c r="G70" s="522"/>
    </row>
    <row r="71" customFormat="false" ht="13.8" hidden="false" customHeight="false" outlineLevel="0" collapsed="false">
      <c r="A71" s="536" t="s">
        <v>647</v>
      </c>
      <c r="B71" s="532" t="n">
        <v>0.0868038033609718</v>
      </c>
      <c r="C71" s="532" t="n">
        <v>0.545681469804942</v>
      </c>
      <c r="D71" s="533" t="n">
        <v>0.271329883962293</v>
      </c>
      <c r="E71" s="534" t="n">
        <v>0.0760272284200672</v>
      </c>
      <c r="F71" s="535" t="n">
        <v>0.0962362441563332</v>
      </c>
      <c r="G71" s="522"/>
    </row>
    <row r="72" customFormat="false" ht="13.8" hidden="false" customHeight="false" outlineLevel="0" collapsed="false">
      <c r="A72" s="531" t="s">
        <v>648</v>
      </c>
      <c r="B72" s="532" t="n">
        <v>0.00829711000072348</v>
      </c>
      <c r="C72" s="532" t="n">
        <v>0.0480955076464757</v>
      </c>
      <c r="D72" s="533" t="n">
        <v>0.0131530243869556</v>
      </c>
      <c r="E72" s="534" t="n">
        <v>0.0116466168303069</v>
      </c>
      <c r="F72" s="535" t="n">
        <v>0.0113918834982894</v>
      </c>
      <c r="G72" s="522"/>
    </row>
    <row r="73" customFormat="false" ht="13.8" hidden="false" customHeight="false" outlineLevel="0" collapsed="false">
      <c r="A73" s="531" t="s">
        <v>649</v>
      </c>
      <c r="B73" s="532" t="n">
        <v>0.00412795365943623</v>
      </c>
      <c r="C73" s="533" t="n">
        <v>0</v>
      </c>
      <c r="D73" s="533" t="n">
        <v>0</v>
      </c>
      <c r="E73" s="534" t="n">
        <v>0.10492649213376</v>
      </c>
      <c r="F73" s="535" t="n">
        <v>0.102631553152975</v>
      </c>
    </row>
    <row r="74" customFormat="false" ht="13.8" hidden="false" customHeight="false" outlineLevel="0" collapsed="false">
      <c r="A74" s="537" t="s">
        <v>650</v>
      </c>
      <c r="B74" s="538" t="n">
        <v>0.0994767710096317</v>
      </c>
      <c r="C74" s="538" t="n">
        <v>0.0339738961622892</v>
      </c>
      <c r="D74" s="539" t="n">
        <v>0.0784580572705011</v>
      </c>
      <c r="E74" s="540" t="n">
        <v>0.0183102184586467</v>
      </c>
      <c r="F74" s="541" t="n">
        <v>0.0179097396736144</v>
      </c>
      <c r="H74" s="542"/>
    </row>
    <row r="75" s="282" customFormat="true" ht="13.8" hidden="false" customHeight="false" outlineLevel="0" collapsed="false">
      <c r="B75" s="520"/>
      <c r="C75" s="520"/>
      <c r="D75" s="520"/>
      <c r="H75" s="542"/>
    </row>
    <row r="76" customFormat="false" ht="13.8" hidden="false" customHeight="false" outlineLevel="0" collapsed="false">
      <c r="A76" s="543" t="s">
        <v>674</v>
      </c>
    </row>
    <row r="77" customFormat="false" ht="13.8" hidden="false" customHeight="false" outlineLevel="0" collapsed="false">
      <c r="A77" s="462"/>
      <c r="B77" s="463" t="s">
        <v>675</v>
      </c>
      <c r="C77" s="464" t="s">
        <v>676</v>
      </c>
      <c r="D77" s="526" t="s">
        <v>411</v>
      </c>
    </row>
    <row r="78" customFormat="false" ht="13.8" hidden="false" customHeight="false" outlineLevel="0" collapsed="false">
      <c r="A78" s="162" t="s">
        <v>677</v>
      </c>
      <c r="B78" s="505" t="n">
        <v>0.4</v>
      </c>
      <c r="C78" s="381"/>
      <c r="D78" s="544" t="s">
        <v>678</v>
      </c>
      <c r="F78" s="545"/>
      <c r="G78" s="545"/>
    </row>
    <row r="79" customFormat="false" ht="13.8" hidden="false" customHeight="false" outlineLevel="0" collapsed="false">
      <c r="A79" s="162" t="s">
        <v>679</v>
      </c>
      <c r="B79" s="505" t="n">
        <v>51</v>
      </c>
      <c r="C79" s="546"/>
      <c r="D79" s="101"/>
      <c r="E79" s="547"/>
      <c r="F79" s="548"/>
      <c r="G79" s="545"/>
    </row>
    <row r="80" customFormat="false" ht="13.8" hidden="false" customHeight="false" outlineLevel="0" collapsed="false">
      <c r="A80" s="100" t="s">
        <v>680</v>
      </c>
      <c r="B80" s="549" t="n">
        <v>0.99</v>
      </c>
      <c r="C80" s="381"/>
      <c r="D80" s="101"/>
      <c r="F80" s="548"/>
      <c r="G80" s="545"/>
    </row>
    <row r="81" customFormat="false" ht="13.8" hidden="false" customHeight="false" outlineLevel="0" collapsed="false">
      <c r="A81" s="100" t="s">
        <v>681</v>
      </c>
      <c r="B81" s="549" t="n">
        <v>0.49</v>
      </c>
      <c r="C81" s="381"/>
      <c r="D81" s="526"/>
      <c r="F81" s="548"/>
      <c r="G81" s="545"/>
    </row>
    <row r="82" customFormat="false" ht="13.8" hidden="false" customHeight="false" outlineLevel="0" collapsed="false">
      <c r="A82" s="100" t="s">
        <v>682</v>
      </c>
      <c r="B82" s="158" t="n">
        <v>937.6</v>
      </c>
      <c r="C82" s="550" t="n">
        <v>264.459289854107</v>
      </c>
      <c r="F82" s="545"/>
      <c r="G82" s="545"/>
    </row>
    <row r="83" customFormat="false" ht="13.8" hidden="false" customHeight="false" outlineLevel="0" collapsed="false">
      <c r="A83" s="250" t="s">
        <v>683</v>
      </c>
      <c r="B83" s="551" t="n">
        <v>7.75</v>
      </c>
      <c r="C83" s="552"/>
      <c r="F83" s="545"/>
      <c r="G83" s="545"/>
      <c r="U83" s="553"/>
      <c r="V83" s="554"/>
    </row>
    <row r="84" customFormat="false" ht="13.8" hidden="false" customHeight="false" outlineLevel="0" collapsed="false">
      <c r="A84" s="511" t="s">
        <v>684</v>
      </c>
      <c r="B84" s="549"/>
      <c r="C84" s="549"/>
      <c r="F84" s="545"/>
      <c r="G84" s="545"/>
      <c r="U84" s="553"/>
      <c r="V84" s="554"/>
    </row>
    <row r="85" customFormat="false" ht="13.8" hidden="false" customHeight="false" outlineLevel="0" collapsed="false">
      <c r="A85" s="511" t="s">
        <v>685</v>
      </c>
      <c r="B85" s="549"/>
      <c r="C85" s="549"/>
      <c r="F85" s="545"/>
      <c r="G85" s="545"/>
      <c r="U85" s="553"/>
      <c r="V85" s="554"/>
    </row>
    <row r="86" customFormat="false" ht="13.8" hidden="false" customHeight="false" outlineLevel="0" collapsed="false">
      <c r="A86" s="395" t="s">
        <v>686</v>
      </c>
      <c r="F86" s="545"/>
      <c r="G86" s="545"/>
      <c r="R86" s="555"/>
    </row>
    <row r="87" s="282" customFormat="true" ht="13.8" hidden="false" customHeight="false" outlineLevel="0" collapsed="false">
      <c r="F87" s="545"/>
      <c r="G87" s="545"/>
      <c r="R87" s="555"/>
    </row>
    <row r="88" customFormat="false" ht="13.8" hidden="false" customHeight="false" outlineLevel="0" collapsed="false">
      <c r="A88" s="333" t="s">
        <v>687</v>
      </c>
      <c r="F88" s="545"/>
      <c r="G88" s="545"/>
      <c r="R88" s="555"/>
    </row>
    <row r="89" customFormat="false" ht="13.8" hidden="false" customHeight="false" outlineLevel="0" collapsed="false">
      <c r="A89" s="462"/>
      <c r="B89" s="463" t="s">
        <v>688</v>
      </c>
      <c r="C89" s="464" t="s">
        <v>495</v>
      </c>
      <c r="D89" s="333" t="s">
        <v>411</v>
      </c>
      <c r="F89" s="545"/>
      <c r="G89" s="545"/>
    </row>
    <row r="90" customFormat="false" ht="13.8" hidden="false" customHeight="false" outlineLevel="0" collapsed="false">
      <c r="A90" s="162" t="s">
        <v>689</v>
      </c>
      <c r="B90" s="505" t="n">
        <v>1.09178082191781</v>
      </c>
      <c r="C90" s="556" t="n">
        <v>0.434246575342466</v>
      </c>
      <c r="D90" s="282" t="s">
        <v>690</v>
      </c>
      <c r="F90" s="545"/>
      <c r="G90" s="545"/>
    </row>
    <row r="91" customFormat="false" ht="13.8" hidden="false" customHeight="false" outlineLevel="0" collapsed="false">
      <c r="A91" s="162" t="s">
        <v>680</v>
      </c>
      <c r="B91" s="505" t="n">
        <v>0.304285714285714</v>
      </c>
      <c r="C91" s="556" t="n">
        <v>0.238571428571429</v>
      </c>
      <c r="F91" s="545"/>
      <c r="G91" s="545"/>
    </row>
    <row r="92" customFormat="false" ht="13.8" hidden="false" customHeight="false" outlineLevel="0" collapsed="false">
      <c r="A92" s="513" t="s">
        <v>691</v>
      </c>
      <c r="B92" s="551" t="n">
        <v>1.13207547169811</v>
      </c>
      <c r="C92" s="552" t="n">
        <v>0.943396226415094</v>
      </c>
      <c r="D92" s="557"/>
      <c r="E92" s="554"/>
      <c r="F92" s="554"/>
      <c r="G92" s="545"/>
    </row>
    <row r="93" customFormat="false" ht="13.8" hidden="false" customHeight="false" outlineLevel="0" collapsed="false">
      <c r="A93" s="511" t="s">
        <v>684</v>
      </c>
      <c r="B93" s="505"/>
      <c r="C93" s="505"/>
      <c r="D93" s="558"/>
    </row>
    <row r="94" customFormat="false" ht="13.8" hidden="false" customHeight="false" outlineLevel="0" collapsed="false">
      <c r="A94" s="511"/>
      <c r="B94" s="505"/>
      <c r="C94" s="505"/>
      <c r="D94" s="558"/>
    </row>
    <row r="95" customFormat="false" ht="13.8" hidden="false" customHeight="false" outlineLevel="0" collapsed="false">
      <c r="A95" s="543" t="s">
        <v>663</v>
      </c>
      <c r="E95" s="333" t="s">
        <v>662</v>
      </c>
    </row>
    <row r="96" customFormat="false" ht="13.8" hidden="false" customHeight="false" outlineLevel="0" collapsed="false">
      <c r="A96" s="559" t="s">
        <v>692</v>
      </c>
      <c r="B96" s="560" t="n">
        <v>79.8</v>
      </c>
      <c r="C96" s="561"/>
      <c r="D96" s="473"/>
      <c r="E96" s="282" t="s">
        <v>693</v>
      </c>
      <c r="AN96" s="547"/>
      <c r="AO96" s="562"/>
      <c r="AP96" s="562"/>
      <c r="AQ96" s="562"/>
      <c r="AR96" s="562"/>
      <c r="AS96" s="562"/>
      <c r="AT96" s="562"/>
      <c r="AU96" s="562"/>
      <c r="AV96" s="547"/>
      <c r="AW96" s="547"/>
      <c r="AX96" s="547"/>
      <c r="AY96" s="547"/>
    </row>
    <row r="97" customFormat="false" ht="13.8" hidden="false" customHeight="false" outlineLevel="0" collapsed="false">
      <c r="A97" s="100" t="s">
        <v>694</v>
      </c>
      <c r="B97" s="158" t="n">
        <v>97.8</v>
      </c>
      <c r="D97" s="381"/>
      <c r="E97" s="282" t="s">
        <v>693</v>
      </c>
      <c r="AM97" s="481"/>
      <c r="AN97" s="481"/>
      <c r="AO97" s="563"/>
      <c r="AP97" s="563"/>
      <c r="AQ97" s="563"/>
      <c r="AR97" s="563"/>
      <c r="AS97" s="563"/>
      <c r="AT97" s="563"/>
      <c r="AU97" s="563"/>
      <c r="AV97" s="564"/>
      <c r="AW97" s="563"/>
      <c r="AX97" s="563"/>
      <c r="AY97" s="563"/>
    </row>
    <row r="98" customFormat="false" ht="13.8" hidden="false" customHeight="false" outlineLevel="0" collapsed="false">
      <c r="A98" s="100" t="s">
        <v>695</v>
      </c>
      <c r="B98" s="160" t="n">
        <v>177.6</v>
      </c>
      <c r="D98" s="381"/>
      <c r="E98" s="282" t="s">
        <v>693</v>
      </c>
      <c r="AM98" s="563"/>
      <c r="AN98" s="563"/>
      <c r="AO98" s="563"/>
      <c r="AP98" s="563"/>
      <c r="AQ98" s="563"/>
      <c r="AR98" s="563"/>
      <c r="AS98" s="563"/>
      <c r="AT98" s="563"/>
      <c r="AU98" s="563"/>
      <c r="AV98" s="563"/>
      <c r="AW98" s="563"/>
      <c r="AX98" s="563"/>
      <c r="AY98" s="563"/>
    </row>
    <row r="99" customFormat="false" ht="13.8" hidden="false" customHeight="false" outlineLevel="0" collapsed="false">
      <c r="A99" s="543"/>
      <c r="D99" s="381"/>
      <c r="AM99" s="565"/>
      <c r="AN99" s="565"/>
      <c r="AO99" s="565"/>
      <c r="AP99" s="565"/>
      <c r="AQ99" s="565"/>
      <c r="AR99" s="566"/>
      <c r="AS99" s="566"/>
      <c r="AT99" s="566"/>
      <c r="AU99" s="566"/>
      <c r="AV99" s="567"/>
      <c r="AW99" s="567"/>
      <c r="AX99" s="567"/>
      <c r="AY99" s="567"/>
    </row>
    <row r="100" customFormat="false" ht="13.8" hidden="false" customHeight="false" outlineLevel="0" collapsed="false">
      <c r="B100" s="333" t="s">
        <v>137</v>
      </c>
      <c r="C100" s="333" t="s">
        <v>139</v>
      </c>
      <c r="D100" s="568" t="s">
        <v>140</v>
      </c>
      <c r="E100" s="333" t="s">
        <v>137</v>
      </c>
      <c r="F100" s="333" t="s">
        <v>139</v>
      </c>
      <c r="G100" s="333" t="s">
        <v>140</v>
      </c>
      <c r="AM100" s="565"/>
      <c r="AN100" s="565"/>
      <c r="AO100" s="565"/>
      <c r="AP100" s="565"/>
      <c r="AQ100" s="565"/>
      <c r="AR100" s="566"/>
      <c r="AS100" s="566"/>
      <c r="AT100" s="569"/>
      <c r="AU100" s="569"/>
      <c r="AV100" s="570"/>
      <c r="AW100" s="570"/>
      <c r="AX100" s="570"/>
      <c r="AY100" s="570"/>
    </row>
    <row r="101" customFormat="false" ht="13.8" hidden="false" customHeight="false" outlineLevel="0" collapsed="false">
      <c r="A101" s="162" t="s">
        <v>696</v>
      </c>
      <c r="B101" s="160" t="n">
        <v>238570000</v>
      </c>
      <c r="C101" s="571" t="n">
        <v>1634618200</v>
      </c>
      <c r="D101" s="550" t="n">
        <v>5539025200</v>
      </c>
      <c r="E101" s="282" t="s">
        <v>697</v>
      </c>
      <c r="F101" s="282" t="s">
        <v>698</v>
      </c>
      <c r="G101" s="282" t="s">
        <v>698</v>
      </c>
      <c r="AP101" s="123"/>
      <c r="AQ101" s="572"/>
      <c r="AR101" s="572"/>
    </row>
    <row r="102" customFormat="false" ht="13.8" hidden="false" customHeight="false" outlineLevel="0" collapsed="false">
      <c r="A102" s="162" t="s">
        <v>699</v>
      </c>
      <c r="B102" s="160" t="n">
        <v>2620916</v>
      </c>
      <c r="C102" s="571" t="n">
        <v>19411940</v>
      </c>
      <c r="D102" s="573" t="n">
        <v>59018757.6</v>
      </c>
      <c r="E102" s="282" t="s">
        <v>697</v>
      </c>
      <c r="F102" s="282" t="s">
        <v>698</v>
      </c>
      <c r="G102" s="282" t="s">
        <v>698</v>
      </c>
      <c r="AM102" s="123"/>
      <c r="AN102" s="555"/>
      <c r="AO102" s="123"/>
      <c r="AP102" s="173"/>
      <c r="AQ102" s="123"/>
      <c r="AR102" s="123"/>
      <c r="AT102" s="555"/>
      <c r="AU102" s="555"/>
      <c r="AV102" s="555"/>
      <c r="AW102" s="555"/>
      <c r="AX102" s="555"/>
      <c r="AY102" s="555"/>
    </row>
    <row r="103" customFormat="false" ht="13.8" hidden="false" customHeight="false" outlineLevel="0" collapsed="false">
      <c r="A103" s="162" t="s">
        <v>700</v>
      </c>
      <c r="B103" s="103" t="n">
        <v>0.0164</v>
      </c>
      <c r="C103" s="103" t="n">
        <v>0.036</v>
      </c>
      <c r="D103" s="500" t="n">
        <v>0.0262</v>
      </c>
      <c r="E103" s="282" t="s">
        <v>693</v>
      </c>
      <c r="F103" s="282" t="s">
        <v>701</v>
      </c>
      <c r="G103" s="282" t="s">
        <v>701</v>
      </c>
      <c r="AM103" s="123"/>
      <c r="AN103" s="173"/>
      <c r="AO103" s="123"/>
      <c r="AP103" s="123"/>
      <c r="AQ103" s="123"/>
      <c r="AR103" s="123"/>
      <c r="AS103" s="555"/>
      <c r="AT103" s="555"/>
      <c r="AU103" s="555"/>
      <c r="AV103" s="555"/>
      <c r="AW103" s="555"/>
      <c r="AX103" s="555"/>
      <c r="AY103" s="555"/>
    </row>
    <row r="104" customFormat="false" ht="27.6" hidden="false" customHeight="false" outlineLevel="0" collapsed="false">
      <c r="A104" s="23" t="s">
        <v>702</v>
      </c>
      <c r="B104" s="103" t="n">
        <v>0.007</v>
      </c>
      <c r="C104" s="103" t="n">
        <v>0.007</v>
      </c>
      <c r="D104" s="574" t="n">
        <v>0.007</v>
      </c>
      <c r="E104" s="282" t="s">
        <v>584</v>
      </c>
      <c r="F104" s="282" t="s">
        <v>584</v>
      </c>
      <c r="G104" s="282" t="s">
        <v>584</v>
      </c>
      <c r="AM104" s="123"/>
      <c r="AN104" s="173"/>
      <c r="AO104" s="123"/>
      <c r="AP104" s="123"/>
      <c r="AQ104" s="123"/>
      <c r="AR104" s="123"/>
      <c r="AS104" s="555"/>
      <c r="AT104" s="555"/>
      <c r="AU104" s="555"/>
      <c r="AV104" s="555"/>
      <c r="AW104" s="555"/>
      <c r="AX104" s="555"/>
      <c r="AY104" s="555"/>
    </row>
    <row r="105" s="282" customFormat="true" ht="13.8" hidden="false" customHeight="false" outlineLevel="0" collapsed="false">
      <c r="D105" s="381"/>
      <c r="AM105" s="123"/>
      <c r="AN105" s="555"/>
      <c r="AO105" s="123"/>
      <c r="AP105" s="123"/>
      <c r="AQ105" s="123"/>
      <c r="AR105" s="123"/>
      <c r="AS105" s="555"/>
      <c r="AT105" s="555"/>
      <c r="AU105" s="555"/>
      <c r="AV105" s="555"/>
      <c r="AW105" s="555"/>
      <c r="AX105" s="555"/>
      <c r="AY105" s="555"/>
    </row>
    <row r="106" customFormat="false" ht="13.8" hidden="false" customHeight="false" outlineLevel="0" collapsed="false">
      <c r="A106" s="543" t="s">
        <v>703</v>
      </c>
      <c r="B106" s="333"/>
      <c r="C106" s="333"/>
      <c r="D106" s="568"/>
      <c r="AN106" s="555"/>
      <c r="AO106" s="555"/>
      <c r="AP106" s="123"/>
      <c r="AQ106" s="123"/>
      <c r="AR106" s="572"/>
    </row>
    <row r="107" customFormat="false" ht="13.8" hidden="false" customHeight="false" outlineLevel="0" collapsed="false">
      <c r="A107" s="162" t="s">
        <v>704</v>
      </c>
      <c r="B107" s="575" t="n">
        <v>144537.4</v>
      </c>
      <c r="C107" s="158" t="n">
        <v>1022770</v>
      </c>
      <c r="D107" s="550" t="n">
        <v>2424266.07516944</v>
      </c>
      <c r="E107" s="282" t="s">
        <v>697</v>
      </c>
      <c r="F107" s="297" t="s">
        <v>705</v>
      </c>
      <c r="G107" s="297" t="s">
        <v>706</v>
      </c>
      <c r="AM107" s="123"/>
      <c r="AN107" s="123"/>
      <c r="AO107" s="123"/>
      <c r="AP107" s="123"/>
      <c r="AQ107" s="123"/>
      <c r="AR107" s="123"/>
      <c r="AS107" s="123"/>
      <c r="AT107" s="555"/>
      <c r="AU107" s="555"/>
      <c r="AV107" s="555"/>
      <c r="AW107" s="555"/>
      <c r="AX107" s="555"/>
      <c r="AY107" s="555"/>
    </row>
    <row r="108" customFormat="false" ht="13.8" hidden="false" customHeight="false" outlineLevel="0" collapsed="false">
      <c r="A108" s="162" t="s">
        <v>707</v>
      </c>
      <c r="B108" s="575" t="n">
        <v>1755.4</v>
      </c>
      <c r="C108" s="160" t="n">
        <v>12421.4940769655</v>
      </c>
      <c r="D108" s="550" t="n">
        <v>29442.5987208324</v>
      </c>
      <c r="E108" s="282" t="s">
        <v>697</v>
      </c>
      <c r="AM108" s="123"/>
      <c r="AN108" s="123"/>
      <c r="AO108" s="123"/>
      <c r="AP108" s="123"/>
      <c r="AQ108" s="123"/>
      <c r="AR108" s="123"/>
      <c r="AS108" s="123"/>
      <c r="AT108" s="555"/>
      <c r="AU108" s="555"/>
      <c r="AV108" s="555"/>
      <c r="AW108" s="555"/>
      <c r="AX108" s="555"/>
      <c r="AY108" s="555"/>
    </row>
    <row r="109" customFormat="false" ht="13.8" hidden="false" customHeight="false" outlineLevel="0" collapsed="false">
      <c r="A109" s="162" t="s">
        <v>708</v>
      </c>
      <c r="B109" s="158" t="n">
        <f aca="false">B102/((1-B103)*(1-B104))</f>
        <v>2683399.49389525</v>
      </c>
      <c r="C109" s="158" t="n">
        <f aca="false">C102/((1-C103)*(1-C104))</f>
        <v>20278818.9525851</v>
      </c>
      <c r="D109" s="576" t="n">
        <f aca="false">D102/((1-D103)*(1-D104))</f>
        <v>61033889.1029567</v>
      </c>
      <c r="E109" s="282" t="s">
        <v>697</v>
      </c>
      <c r="F109" s="297" t="s">
        <v>705</v>
      </c>
      <c r="G109" s="297" t="s">
        <v>706</v>
      </c>
      <c r="AM109" s="123"/>
      <c r="AN109" s="123"/>
      <c r="AO109" s="123"/>
      <c r="AP109" s="123"/>
      <c r="AQ109" s="555"/>
      <c r="AR109" s="123"/>
      <c r="AS109" s="123"/>
      <c r="AT109" s="555"/>
      <c r="AU109" s="555"/>
      <c r="AV109" s="555"/>
      <c r="AW109" s="555"/>
      <c r="AX109" s="555"/>
      <c r="AY109" s="555"/>
    </row>
    <row r="110" customFormat="false" ht="13.8" hidden="false" customHeight="false" outlineLevel="0" collapsed="false">
      <c r="A110" s="162" t="s">
        <v>709</v>
      </c>
      <c r="B110" s="158" t="n">
        <f aca="false">B102/((1-B103)*(1-B104))</f>
        <v>2683399.49389525</v>
      </c>
      <c r="C110" s="158" t="n">
        <f aca="false">C102/((1-C103)*(1-C104))</f>
        <v>20278818.9525851</v>
      </c>
      <c r="D110" s="576" t="n">
        <f aca="false">D102/((1-D103)*(1-D104))</f>
        <v>61033889.1029567</v>
      </c>
      <c r="E110" s="282" t="s">
        <v>697</v>
      </c>
      <c r="F110" s="297" t="s">
        <v>705</v>
      </c>
      <c r="G110" s="297" t="s">
        <v>706</v>
      </c>
      <c r="AR110" s="572"/>
    </row>
    <row r="111" customFormat="false" ht="27.6" hidden="false" customHeight="false" outlineLevel="0" collapsed="false">
      <c r="A111" s="499" t="s">
        <v>710</v>
      </c>
      <c r="D111" s="381"/>
      <c r="AM111" s="123"/>
      <c r="AN111" s="555"/>
      <c r="AO111" s="555"/>
      <c r="AP111" s="555"/>
      <c r="AQ111" s="555"/>
      <c r="AR111" s="123"/>
      <c r="AS111" s="555"/>
      <c r="AT111" s="555"/>
      <c r="AU111" s="555"/>
      <c r="AV111" s="555"/>
      <c r="AW111" s="555"/>
      <c r="AX111" s="555"/>
      <c r="AY111" s="555"/>
    </row>
    <row r="112" customFormat="false" ht="13.8" hidden="false" customHeight="false" outlineLevel="0" collapsed="false">
      <c r="D112" s="381"/>
      <c r="AM112" s="123"/>
      <c r="AN112" s="555"/>
      <c r="AO112" s="555"/>
      <c r="AP112" s="555"/>
      <c r="AQ112" s="555"/>
      <c r="AR112" s="123"/>
      <c r="AS112" s="555"/>
      <c r="AT112" s="555"/>
      <c r="AU112" s="555"/>
      <c r="AV112" s="555"/>
      <c r="AW112" s="555"/>
      <c r="AX112" s="555"/>
      <c r="AY112" s="555"/>
    </row>
    <row r="113" customFormat="false" ht="13.8" hidden="false" customHeight="false" outlineLevel="0" collapsed="false">
      <c r="A113" s="577" t="s">
        <v>711</v>
      </c>
      <c r="B113" s="333"/>
      <c r="C113" s="333"/>
      <c r="D113" s="568"/>
      <c r="AM113" s="123"/>
      <c r="AN113" s="555"/>
      <c r="AO113" s="555"/>
      <c r="AP113" s="555"/>
      <c r="AQ113" s="555"/>
      <c r="AR113" s="123"/>
      <c r="AS113" s="555"/>
      <c r="AT113" s="555"/>
      <c r="AU113" s="555"/>
      <c r="AV113" s="555"/>
      <c r="AW113" s="555"/>
      <c r="AX113" s="555"/>
      <c r="AY113" s="555"/>
    </row>
    <row r="114" customFormat="false" ht="13.8" hidden="false" customHeight="false" outlineLevel="0" collapsed="false">
      <c r="A114" s="100" t="s">
        <v>712</v>
      </c>
      <c r="B114" s="505" t="n">
        <v>1.5</v>
      </c>
      <c r="C114" s="549" t="n">
        <v>2.85</v>
      </c>
      <c r="D114" s="546" t="n">
        <v>1.13</v>
      </c>
      <c r="E114" s="297" t="s">
        <v>713</v>
      </c>
      <c r="F114" s="297" t="s">
        <v>705</v>
      </c>
      <c r="G114" s="297" t="s">
        <v>706</v>
      </c>
      <c r="AR114" s="572"/>
    </row>
    <row r="115" customFormat="false" ht="13.8" hidden="false" customHeight="false" outlineLevel="0" collapsed="false">
      <c r="A115" s="100" t="s">
        <v>708</v>
      </c>
      <c r="B115" s="505" t="n">
        <v>1.5</v>
      </c>
      <c r="C115" s="549" t="n">
        <v>1.57</v>
      </c>
      <c r="D115" s="546" t="n">
        <v>1.13</v>
      </c>
      <c r="E115" s="297" t="s">
        <v>713</v>
      </c>
      <c r="F115" s="297" t="s">
        <v>705</v>
      </c>
      <c r="G115" s="297" t="s">
        <v>706</v>
      </c>
      <c r="AM115" s="123"/>
      <c r="AN115" s="555"/>
      <c r="AO115" s="555"/>
      <c r="AP115" s="555"/>
      <c r="AQ115" s="555"/>
      <c r="AR115" s="123"/>
      <c r="AS115" s="555"/>
      <c r="AT115" s="555"/>
      <c r="AU115" s="555"/>
      <c r="AV115" s="555"/>
      <c r="AW115" s="555"/>
      <c r="AX115" s="555"/>
      <c r="AY115" s="555"/>
    </row>
    <row r="116" customFormat="false" ht="13.8" hidden="false" customHeight="false" outlineLevel="0" collapsed="false">
      <c r="A116" s="100" t="s">
        <v>709</v>
      </c>
      <c r="B116" s="505" t="n">
        <v>1.5</v>
      </c>
      <c r="C116" s="505" t="n">
        <v>0.423333333333333</v>
      </c>
      <c r="D116" s="546" t="n">
        <v>1.13</v>
      </c>
      <c r="E116" s="297" t="s">
        <v>713</v>
      </c>
      <c r="F116" s="297" t="s">
        <v>705</v>
      </c>
      <c r="G116" s="297" t="s">
        <v>706</v>
      </c>
      <c r="AM116" s="123"/>
      <c r="AN116" s="555"/>
      <c r="AO116" s="555"/>
      <c r="AP116" s="555"/>
      <c r="AQ116" s="555"/>
      <c r="AR116" s="123"/>
      <c r="AS116" s="555"/>
      <c r="AT116" s="555"/>
      <c r="AU116" s="555"/>
      <c r="AV116" s="555"/>
      <c r="AW116" s="555"/>
      <c r="AX116" s="555"/>
      <c r="AY116" s="555"/>
    </row>
    <row r="117" customFormat="false" ht="13.8" hidden="false" customHeight="false" outlineLevel="0" collapsed="false">
      <c r="D117" s="381"/>
      <c r="AM117" s="123"/>
      <c r="AN117" s="555"/>
      <c r="AO117" s="555"/>
      <c r="AP117" s="555"/>
      <c r="AQ117" s="555"/>
      <c r="AR117" s="123"/>
      <c r="AS117" s="555"/>
      <c r="AT117" s="555"/>
      <c r="AU117" s="555"/>
      <c r="AV117" s="555"/>
      <c r="AW117" s="555"/>
      <c r="AX117" s="555"/>
      <c r="AY117" s="555"/>
    </row>
    <row r="118" customFormat="false" ht="13.8" hidden="false" customHeight="false" outlineLevel="0" collapsed="false">
      <c r="A118" s="543" t="s">
        <v>714</v>
      </c>
      <c r="B118" s="333" t="s">
        <v>715</v>
      </c>
      <c r="C118" s="528" t="s">
        <v>716</v>
      </c>
      <c r="D118" s="578" t="s">
        <v>717</v>
      </c>
      <c r="AR118" s="572"/>
    </row>
    <row r="119" customFormat="false" ht="13.8" hidden="false" customHeight="false" outlineLevel="0" collapsed="false">
      <c r="A119" s="100" t="s">
        <v>704</v>
      </c>
      <c r="B119" s="158" t="n">
        <v>1412.46353407056</v>
      </c>
      <c r="C119" s="579" t="n">
        <v>1550</v>
      </c>
      <c r="D119" s="576" t="n">
        <v>764.31</v>
      </c>
      <c r="E119" s="282" t="s">
        <v>718</v>
      </c>
      <c r="F119" s="297" t="s">
        <v>705</v>
      </c>
      <c r="G119" s="297" t="s">
        <v>706</v>
      </c>
      <c r="AM119" s="123"/>
      <c r="AN119" s="555"/>
      <c r="AO119" s="555"/>
      <c r="AP119" s="555"/>
      <c r="AQ119" s="555"/>
      <c r="AR119" s="123"/>
      <c r="AS119" s="555"/>
      <c r="AT119" s="555"/>
      <c r="AU119" s="555"/>
      <c r="AV119" s="555"/>
      <c r="AW119" s="555"/>
      <c r="AX119" s="555"/>
      <c r="AY119" s="555"/>
    </row>
    <row r="120" customFormat="false" ht="13.8" hidden="false" customHeight="false" outlineLevel="0" collapsed="false">
      <c r="A120" s="100" t="s">
        <v>719</v>
      </c>
      <c r="B120" s="158" t="n">
        <v>837.015427597367</v>
      </c>
      <c r="C120" s="579" t="n">
        <v>1550</v>
      </c>
      <c r="D120" s="576" t="n">
        <v>764.31</v>
      </c>
      <c r="E120" s="282" t="s">
        <v>718</v>
      </c>
      <c r="F120" s="297" t="s">
        <v>705</v>
      </c>
      <c r="G120" s="297" t="s">
        <v>706</v>
      </c>
      <c r="AM120" s="123"/>
      <c r="AN120" s="555"/>
      <c r="AO120" s="555"/>
      <c r="AP120" s="555"/>
      <c r="AQ120" s="555"/>
      <c r="AR120" s="123"/>
      <c r="AS120" s="555"/>
      <c r="AT120" s="555"/>
      <c r="AU120" s="555"/>
      <c r="AV120" s="555"/>
      <c r="AW120" s="555"/>
      <c r="AX120" s="555"/>
      <c r="AY120" s="555"/>
    </row>
    <row r="121" customFormat="false" ht="13.8" hidden="false" customHeight="false" outlineLevel="0" collapsed="false">
      <c r="A121" s="100" t="s">
        <v>708</v>
      </c>
      <c r="B121" s="158" t="n">
        <v>251.10462827921</v>
      </c>
      <c r="C121" s="579" t="n">
        <v>820.392966892475</v>
      </c>
      <c r="D121" s="576" t="n">
        <v>764.31</v>
      </c>
      <c r="E121" s="282" t="s">
        <v>718</v>
      </c>
      <c r="F121" s="297" t="s">
        <v>705</v>
      </c>
      <c r="G121" s="297" t="s">
        <v>706</v>
      </c>
      <c r="AM121" s="123"/>
      <c r="AN121" s="555"/>
      <c r="AO121" s="555"/>
      <c r="AP121" s="555"/>
      <c r="AQ121" s="555"/>
      <c r="AR121" s="123"/>
      <c r="AS121" s="555"/>
      <c r="AT121" s="555"/>
      <c r="AU121" s="555"/>
      <c r="AV121" s="555"/>
      <c r="AW121" s="555"/>
      <c r="AX121" s="555"/>
      <c r="AY121" s="555"/>
    </row>
    <row r="122" customFormat="false" ht="13.8" hidden="false" customHeight="false" outlineLevel="0" collapsed="false">
      <c r="A122" s="100" t="s">
        <v>709</v>
      </c>
      <c r="B122" s="158" t="n">
        <v>41.8507713798684</v>
      </c>
      <c r="C122" s="579" t="n">
        <v>238.258824011774</v>
      </c>
      <c r="D122" s="576" t="n">
        <v>764.31</v>
      </c>
      <c r="E122" s="282" t="s">
        <v>718</v>
      </c>
      <c r="F122" s="297" t="s">
        <v>705</v>
      </c>
      <c r="G122" s="297" t="s">
        <v>706</v>
      </c>
      <c r="AR122" s="572"/>
    </row>
    <row r="123" customFormat="false" ht="13.8" hidden="false" customHeight="false" outlineLevel="0" collapsed="false">
      <c r="A123" s="100" t="s">
        <v>720</v>
      </c>
      <c r="B123" s="549" t="n">
        <f aca="false">(B107*B119+B108*B120+B109*B121+B110*B122)/B101</f>
        <v>4.15701670314803</v>
      </c>
      <c r="C123" s="549" t="n">
        <f aca="false">(C107*C119+C108*C120+C109*C121*B97/365+C110*C122*B96/365)/C101</f>
        <v>4.35488798700628</v>
      </c>
      <c r="D123" s="580" t="n">
        <f aca="false">(D107*D119+D108*D120+D109*D121*B97/365+D110*D122*B96/365)/D101</f>
        <v>4.43644048489826</v>
      </c>
      <c r="F123" s="297"/>
      <c r="AM123" s="123"/>
      <c r="AN123" s="123"/>
      <c r="AO123" s="555"/>
      <c r="AP123" s="555"/>
      <c r="AQ123" s="555"/>
      <c r="AR123" s="123"/>
      <c r="AV123" s="555"/>
      <c r="AW123" s="555"/>
      <c r="AX123" s="555"/>
      <c r="AY123" s="555"/>
    </row>
    <row r="124" customFormat="false" ht="13.8" hidden="false" customHeight="false" outlineLevel="0" collapsed="false">
      <c r="B124" s="158"/>
      <c r="C124" s="101"/>
      <c r="D124" s="546"/>
      <c r="F124" s="297"/>
      <c r="AM124" s="123"/>
      <c r="AN124" s="555"/>
      <c r="AO124" s="555"/>
      <c r="AP124" s="555"/>
      <c r="AQ124" s="555"/>
      <c r="AR124" s="123"/>
      <c r="AV124" s="555"/>
      <c r="AW124" s="555"/>
      <c r="AX124" s="555"/>
      <c r="AY124" s="555"/>
    </row>
    <row r="125" customFormat="false" ht="13.8" hidden="false" customHeight="false" outlineLevel="0" collapsed="false">
      <c r="A125" s="543" t="s">
        <v>721</v>
      </c>
      <c r="B125" s="333" t="s">
        <v>722</v>
      </c>
      <c r="C125" s="526" t="s">
        <v>723</v>
      </c>
      <c r="D125" s="581" t="s">
        <v>724</v>
      </c>
      <c r="AM125" s="123"/>
      <c r="AN125" s="555"/>
      <c r="AO125" s="555"/>
      <c r="AP125" s="555"/>
      <c r="AQ125" s="555"/>
      <c r="AR125" s="123"/>
      <c r="AV125" s="555"/>
      <c r="AW125" s="555"/>
      <c r="AX125" s="555"/>
      <c r="AY125" s="555"/>
    </row>
    <row r="126" customFormat="false" ht="13.8" hidden="false" customHeight="false" outlineLevel="0" collapsed="false">
      <c r="A126" s="100" t="s">
        <v>704</v>
      </c>
      <c r="B126" s="582" t="n">
        <v>0.793</v>
      </c>
      <c r="C126" s="103" t="n">
        <v>0.474408088292587</v>
      </c>
      <c r="D126" s="583" t="n">
        <v>0.3</v>
      </c>
      <c r="E126" s="297" t="s">
        <v>713</v>
      </c>
      <c r="F126" s="297" t="s">
        <v>705</v>
      </c>
      <c r="G126" s="297" t="s">
        <v>706</v>
      </c>
      <c r="AR126" s="572"/>
    </row>
    <row r="127" customFormat="false" ht="13.8" hidden="false" customHeight="false" outlineLevel="0" collapsed="false">
      <c r="A127" s="100" t="s">
        <v>719</v>
      </c>
      <c r="B127" s="582" t="n">
        <v>0.52</v>
      </c>
      <c r="C127" s="103" t="n">
        <v>0.474408088292587</v>
      </c>
      <c r="D127" s="583" t="n">
        <v>0.3</v>
      </c>
      <c r="E127" s="297" t="s">
        <v>713</v>
      </c>
      <c r="F127" s="297" t="s">
        <v>705</v>
      </c>
      <c r="G127" s="297" t="s">
        <v>706</v>
      </c>
      <c r="AM127" s="123"/>
      <c r="AN127" s="555"/>
      <c r="AO127" s="555"/>
      <c r="AP127" s="123"/>
      <c r="AQ127" s="123"/>
      <c r="AR127" s="555"/>
      <c r="AV127" s="555"/>
      <c r="AW127" s="555"/>
      <c r="AX127" s="555"/>
      <c r="AY127" s="555"/>
    </row>
    <row r="128" customFormat="false" ht="13.8" hidden="false" customHeight="false" outlineLevel="0" collapsed="false">
      <c r="A128" s="100" t="s">
        <v>708</v>
      </c>
      <c r="B128" s="582" t="n">
        <v>0.42</v>
      </c>
      <c r="C128" s="103" t="n">
        <v>0.33556091496236</v>
      </c>
      <c r="D128" s="583" t="n">
        <v>0.3</v>
      </c>
      <c r="E128" s="297" t="s">
        <v>713</v>
      </c>
      <c r="F128" s="297" t="s">
        <v>705</v>
      </c>
      <c r="G128" s="297" t="s">
        <v>706</v>
      </c>
      <c r="AM128" s="123"/>
      <c r="AN128" s="555"/>
      <c r="AO128" s="555"/>
      <c r="AP128" s="123"/>
      <c r="AQ128" s="123"/>
      <c r="AR128" s="555"/>
      <c r="AS128" s="555"/>
      <c r="AT128" s="555"/>
      <c r="AU128" s="555"/>
      <c r="AV128" s="555"/>
      <c r="AW128" s="555"/>
      <c r="AX128" s="555"/>
      <c r="AY128" s="555"/>
    </row>
    <row r="129" customFormat="false" ht="13.8" hidden="false" customHeight="false" outlineLevel="0" collapsed="false">
      <c r="A129" s="100" t="s">
        <v>709</v>
      </c>
      <c r="B129" s="582" t="n">
        <v>0.05</v>
      </c>
      <c r="C129" s="103" t="n">
        <v>0.0786996663839102</v>
      </c>
      <c r="D129" s="583" t="n">
        <v>0.3</v>
      </c>
      <c r="E129" s="297" t="s">
        <v>713</v>
      </c>
      <c r="F129" s="297" t="s">
        <v>705</v>
      </c>
      <c r="G129" s="297" t="s">
        <v>706</v>
      </c>
      <c r="AM129" s="123"/>
      <c r="AN129" s="555"/>
      <c r="AO129" s="555"/>
      <c r="AP129" s="123"/>
      <c r="AQ129" s="123"/>
      <c r="AR129" s="555"/>
      <c r="AS129" s="555"/>
      <c r="AT129" s="555"/>
      <c r="AU129" s="555"/>
      <c r="AV129" s="555"/>
      <c r="AW129" s="555"/>
      <c r="AX129" s="555"/>
      <c r="AY129" s="555"/>
    </row>
    <row r="130" customFormat="false" ht="13.8" hidden="false" customHeight="false" outlineLevel="0" collapsed="false">
      <c r="D130" s="381"/>
      <c r="AP130" s="123"/>
      <c r="AQ130" s="123"/>
      <c r="AR130" s="555"/>
      <c r="AS130" s="555"/>
      <c r="AT130" s="555"/>
      <c r="AU130" s="555"/>
      <c r="AV130" s="555"/>
      <c r="AW130" s="555"/>
      <c r="AX130" s="555"/>
      <c r="AY130" s="555"/>
    </row>
    <row r="131" customFormat="false" ht="13.8" hidden="false" customHeight="false" outlineLevel="0" collapsed="false">
      <c r="A131" s="543" t="s">
        <v>725</v>
      </c>
      <c r="B131" s="160" t="n">
        <f aca="false">B126*365*B107+B127*365*B108+B128*$B$97*B109+B129*B110*$B$96</f>
        <v>163098884.254883</v>
      </c>
      <c r="C131" s="160" t="n">
        <f aca="false">C126*365*C107+C127*365*C108+C128*$B$97*C109+C129*C110*$B$96</f>
        <v>972115780.425427</v>
      </c>
      <c r="D131" s="550" t="n">
        <f aca="false">D126*365*D107+D127*365*D108+D128*$B$97*D109+D129*D110*$B$96</f>
        <v>3520566711.19652</v>
      </c>
      <c r="AM131" s="123"/>
      <c r="AN131" s="555"/>
      <c r="AO131" s="555"/>
      <c r="AP131" s="123"/>
      <c r="AQ131" s="123"/>
      <c r="AR131" s="555"/>
      <c r="AS131" s="555"/>
      <c r="AT131" s="555"/>
      <c r="AU131" s="555"/>
      <c r="AV131" s="555"/>
      <c r="AW131" s="555"/>
      <c r="AX131" s="555"/>
      <c r="AY131" s="555"/>
    </row>
    <row r="132" customFormat="false" ht="13.8" hidden="false" customHeight="false" outlineLevel="0" collapsed="false">
      <c r="A132" s="584" t="s">
        <v>726</v>
      </c>
      <c r="B132" s="585" t="n">
        <f aca="false">B$126*365*B$107*B142+B$127*365*B$108*B143+B$128*$B$97*B$109*B144+B$129*B$110*$B$96*B145</f>
        <v>20619488.1124316</v>
      </c>
      <c r="C132" s="585" t="n">
        <f aca="false">C$126*365*C$107*C142+C$127*365*C$108*C143+C$128*$B$97*C$109*C144+C$129*C$110*$B$96*C145</f>
        <v>1067086.47686655</v>
      </c>
      <c r="D132" s="586" t="n">
        <f aca="false">D$126*365*D$107*D142+D$127*365*D$108*D143+D$128*$B$97*D$109*D144+D$129*D$110*$B$96*D145</f>
        <v>239891286.029965</v>
      </c>
      <c r="AM132" s="123"/>
      <c r="AN132" s="555"/>
      <c r="AO132" s="555"/>
      <c r="AP132" s="123"/>
      <c r="AQ132" s="123"/>
      <c r="AR132" s="555"/>
      <c r="AS132" s="555"/>
      <c r="AT132" s="555"/>
      <c r="AU132" s="555"/>
      <c r="AV132" s="555"/>
      <c r="AW132" s="555"/>
      <c r="AX132" s="555"/>
      <c r="AY132" s="555"/>
    </row>
    <row r="133" customFormat="false" ht="13.8" hidden="false" customHeight="false" outlineLevel="0" collapsed="false">
      <c r="A133" s="584" t="s">
        <v>727</v>
      </c>
      <c r="B133" s="585" t="n">
        <f aca="false">B$126*365*B$107*B147+B$127*365*B$108*B148+B$128*$B$97*B$109*B149+B$129*B$110*$B$96*B150</f>
        <v>137486055.739657</v>
      </c>
      <c r="C133" s="585" t="n">
        <f aca="false">C$126*365*C$107*C147+C$127*365*C$108*C148+C$128*$B$97*C$109*C149+C$129*C$110*$B$96*C150</f>
        <v>951841137.364963</v>
      </c>
      <c r="D133" s="586" t="n">
        <f aca="false">D$126*365*D$107*D147+D$127*365*D$108*D148+D$128*$B$97*D$109*D149+D$129*D$110*$B$96*D150</f>
        <v>3228807038.99791</v>
      </c>
      <c r="AM133" s="123"/>
      <c r="AN133" s="555"/>
      <c r="AO133" s="555"/>
      <c r="AP133" s="123"/>
      <c r="AQ133" s="123"/>
      <c r="AR133" s="555"/>
      <c r="AS133" s="555"/>
      <c r="AT133" s="555"/>
      <c r="AU133" s="555"/>
      <c r="AV133" s="555"/>
      <c r="AW133" s="555"/>
      <c r="AX133" s="555"/>
      <c r="AY133" s="555"/>
    </row>
    <row r="134" customFormat="false" ht="13.8" hidden="false" customHeight="false" outlineLevel="0" collapsed="false">
      <c r="A134" s="584" t="s">
        <v>728</v>
      </c>
      <c r="B134" s="585" t="n">
        <f aca="false">B$126*365*B$107*B152+B$127*365*B$108*B153+B$128*$B$97*B$109*B154+B$129*B$110*$B$96*B155</f>
        <v>4993340.4027946</v>
      </c>
      <c r="C134" s="585"/>
      <c r="D134" s="586"/>
      <c r="AP134" s="123"/>
      <c r="AQ134" s="123"/>
      <c r="AR134" s="555"/>
      <c r="AS134" s="555"/>
      <c r="AT134" s="555"/>
      <c r="AU134" s="555"/>
      <c r="AV134" s="555"/>
      <c r="AW134" s="555"/>
      <c r="AX134" s="555"/>
      <c r="AY134" s="555"/>
    </row>
    <row r="135" customFormat="false" ht="13.8" hidden="false" customHeight="false" outlineLevel="0" collapsed="false">
      <c r="A135" s="531" t="s">
        <v>704</v>
      </c>
      <c r="B135" s="160"/>
      <c r="C135" s="585" t="n">
        <f aca="false">C$126*365*C$107*C152</f>
        <v>3499266.81475518</v>
      </c>
      <c r="D135" s="586" t="n">
        <f aca="false">D$126*365*D$107*D152</f>
        <v>3910970.68480374</v>
      </c>
      <c r="AM135" s="123"/>
      <c r="AN135" s="555"/>
      <c r="AO135" s="555"/>
      <c r="AP135" s="123"/>
      <c r="AQ135" s="123"/>
      <c r="AR135" s="555"/>
      <c r="AS135" s="555"/>
      <c r="AT135" s="555"/>
      <c r="AU135" s="555"/>
      <c r="AV135" s="555"/>
      <c r="AW135" s="555"/>
      <c r="AX135" s="555"/>
      <c r="AY135" s="555"/>
    </row>
    <row r="136" customFormat="false" ht="13.8" hidden="false" customHeight="false" outlineLevel="0" collapsed="false">
      <c r="A136" s="531" t="s">
        <v>719</v>
      </c>
      <c r="B136" s="160"/>
      <c r="C136" s="585" t="n">
        <f aca="false">C$127*365*C$108*C153</f>
        <v>42498.4327006107</v>
      </c>
      <c r="D136" s="586" t="n">
        <f aca="false">D$127*365*D$108*D153</f>
        <v>47498.5570523925</v>
      </c>
      <c r="AM136" s="123"/>
      <c r="AN136" s="555"/>
      <c r="AO136" s="555"/>
      <c r="AP136" s="123"/>
      <c r="AQ136" s="123"/>
      <c r="AR136" s="555"/>
      <c r="AS136" s="555"/>
      <c r="AT136" s="555"/>
      <c r="AU136" s="555"/>
      <c r="AV136" s="555"/>
      <c r="AW136" s="555"/>
      <c r="AX136" s="555"/>
      <c r="AY136" s="555"/>
    </row>
    <row r="137" customFormat="false" ht="13.8" hidden="false" customHeight="false" outlineLevel="0" collapsed="false">
      <c r="A137" s="531" t="s">
        <v>708</v>
      </c>
      <c r="B137" s="160"/>
      <c r="C137" s="585" t="n">
        <f aca="false">C$128*$B$97*C$109*C154</f>
        <v>13149432.5199641</v>
      </c>
      <c r="D137" s="586" t="n">
        <f aca="false">D$128*$B$97*D$109*D154</f>
        <v>26382825.8752228</v>
      </c>
      <c r="AM137" s="123"/>
      <c r="AN137" s="555"/>
      <c r="AO137" s="555"/>
      <c r="AP137" s="123"/>
      <c r="AQ137" s="123"/>
      <c r="AR137" s="555"/>
      <c r="AS137" s="555"/>
      <c r="AT137" s="555"/>
      <c r="AU137" s="555"/>
      <c r="AV137" s="555"/>
      <c r="AW137" s="555"/>
      <c r="AX137" s="555"/>
      <c r="AY137" s="555"/>
    </row>
    <row r="138" customFormat="false" ht="13.8" hidden="false" customHeight="false" outlineLevel="0" collapsed="false">
      <c r="A138" s="531" t="s">
        <v>709</v>
      </c>
      <c r="B138" s="160"/>
      <c r="C138" s="585" t="n">
        <f aca="false">C$129*C$110*$B$96*C155</f>
        <v>2516358.81617797</v>
      </c>
      <c r="D138" s="586" t="n">
        <f aca="false">D$129*D$110*$B$96*D155</f>
        <v>21527091.0515622</v>
      </c>
      <c r="AP138" s="123"/>
      <c r="AQ138" s="123"/>
      <c r="AR138" s="555"/>
      <c r="AS138" s="555"/>
      <c r="AT138" s="555"/>
      <c r="AU138" s="555"/>
      <c r="AV138" s="555"/>
      <c r="AW138" s="555"/>
      <c r="AX138" s="555"/>
      <c r="AY138" s="555"/>
    </row>
    <row r="139" customFormat="false" ht="13.8" hidden="false" customHeight="false" outlineLevel="0" collapsed="false">
      <c r="A139" s="531"/>
      <c r="D139" s="381"/>
      <c r="AM139" s="123"/>
      <c r="AN139" s="555"/>
      <c r="AO139" s="555"/>
      <c r="AP139" s="123"/>
      <c r="AQ139" s="123"/>
      <c r="AR139" s="555"/>
      <c r="AS139" s="555"/>
      <c r="AT139" s="555"/>
      <c r="AU139" s="555"/>
      <c r="AV139" s="555"/>
      <c r="AW139" s="555"/>
      <c r="AX139" s="555"/>
      <c r="AY139" s="555"/>
    </row>
    <row r="140" customFormat="false" ht="13.8" hidden="false" customHeight="false" outlineLevel="0" collapsed="false">
      <c r="A140" s="543" t="s">
        <v>729</v>
      </c>
      <c r="B140" s="333"/>
      <c r="C140" s="333"/>
      <c r="D140" s="568"/>
      <c r="AM140" s="123"/>
      <c r="AN140" s="555"/>
      <c r="AO140" s="555"/>
      <c r="AP140" s="123"/>
      <c r="AQ140" s="123"/>
      <c r="AR140" s="555"/>
      <c r="AS140" s="555"/>
      <c r="AT140" s="555"/>
      <c r="AU140" s="555"/>
      <c r="AV140" s="555"/>
      <c r="AW140" s="555"/>
      <c r="AX140" s="555"/>
      <c r="AY140" s="555"/>
    </row>
    <row r="141" customFormat="false" ht="13.8" hidden="false" customHeight="false" outlineLevel="0" collapsed="false">
      <c r="A141" s="543" t="s">
        <v>730</v>
      </c>
      <c r="B141" s="528"/>
      <c r="D141" s="381"/>
      <c r="AM141" s="123"/>
      <c r="AN141" s="555"/>
      <c r="AO141" s="555"/>
      <c r="AR141" s="572"/>
    </row>
    <row r="142" customFormat="false" ht="13.8" hidden="false" customHeight="false" outlineLevel="0" collapsed="false">
      <c r="A142" s="100" t="s">
        <v>704</v>
      </c>
      <c r="B142" s="103" t="n">
        <v>0.38</v>
      </c>
      <c r="C142" s="290" t="n">
        <v>0.00109769484083425</v>
      </c>
      <c r="D142" s="500" t="n">
        <v>0.0681399631675875</v>
      </c>
      <c r="E142" s="297" t="s">
        <v>713</v>
      </c>
      <c r="F142" s="297" t="s">
        <v>705</v>
      </c>
      <c r="G142" s="297" t="s">
        <v>706</v>
      </c>
      <c r="AP142" s="123"/>
      <c r="AQ142" s="123"/>
      <c r="AR142" s="123"/>
      <c r="AS142" s="555"/>
      <c r="AT142" s="555"/>
      <c r="AU142" s="555"/>
      <c r="AV142" s="555"/>
      <c r="AW142" s="555"/>
      <c r="AX142" s="555"/>
      <c r="AY142" s="555"/>
    </row>
    <row r="143" customFormat="false" ht="13.8" hidden="false" customHeight="false" outlineLevel="0" collapsed="false">
      <c r="A143" s="100" t="s">
        <v>719</v>
      </c>
      <c r="B143" s="103" t="n">
        <v>0.38</v>
      </c>
      <c r="C143" s="290" t="n">
        <v>0.00109769484083425</v>
      </c>
      <c r="D143" s="500" t="n">
        <v>0.0681399631675875</v>
      </c>
      <c r="E143" s="297" t="s">
        <v>713</v>
      </c>
      <c r="F143" s="297" t="s">
        <v>705</v>
      </c>
      <c r="G143" s="297" t="s">
        <v>706</v>
      </c>
      <c r="AM143" s="123"/>
      <c r="AN143" s="555"/>
      <c r="AO143" s="555"/>
      <c r="AP143" s="123"/>
      <c r="AQ143" s="123"/>
      <c r="AR143" s="123"/>
      <c r="AS143" s="555"/>
      <c r="AT143" s="555"/>
      <c r="AU143" s="555"/>
      <c r="AV143" s="555"/>
      <c r="AW143" s="555"/>
      <c r="AX143" s="555"/>
      <c r="AY143" s="555"/>
    </row>
    <row r="144" customFormat="false" ht="13.8" hidden="false" customHeight="false" outlineLevel="0" collapsed="false">
      <c r="A144" s="100" t="s">
        <v>708</v>
      </c>
      <c r="B144" s="103" t="n">
        <v>0.038</v>
      </c>
      <c r="C144" s="290" t="n">
        <v>0.00109769484083425</v>
      </c>
      <c r="D144" s="500" t="n">
        <v>0.0681399631675875</v>
      </c>
      <c r="E144" s="297" t="s">
        <v>713</v>
      </c>
      <c r="F144" s="297" t="s">
        <v>705</v>
      </c>
      <c r="G144" s="297" t="s">
        <v>706</v>
      </c>
      <c r="AM144" s="123"/>
      <c r="AN144" s="555"/>
      <c r="AO144" s="555"/>
      <c r="AP144" s="123"/>
      <c r="AQ144" s="123"/>
      <c r="AR144" s="123"/>
      <c r="AS144" s="555"/>
      <c r="AT144" s="555"/>
      <c r="AU144" s="555"/>
      <c r="AV144" s="555"/>
      <c r="AW144" s="555"/>
      <c r="AX144" s="555"/>
      <c r="AY144" s="555"/>
    </row>
    <row r="145" customFormat="false" ht="13.8" hidden="false" customHeight="false" outlineLevel="0" collapsed="false">
      <c r="A145" s="100" t="s">
        <v>709</v>
      </c>
      <c r="B145" s="103" t="n">
        <v>0.038</v>
      </c>
      <c r="C145" s="290" t="n">
        <v>0.00109769484083425</v>
      </c>
      <c r="D145" s="500" t="n">
        <v>0.0681399631675875</v>
      </c>
      <c r="E145" s="297" t="s">
        <v>713</v>
      </c>
      <c r="F145" s="297" t="s">
        <v>705</v>
      </c>
      <c r="G145" s="297" t="s">
        <v>706</v>
      </c>
      <c r="AM145" s="123"/>
      <c r="AN145" s="555"/>
      <c r="AO145" s="555"/>
      <c r="AR145" s="572"/>
    </row>
    <row r="146" customFormat="false" ht="13.8" hidden="false" customHeight="false" outlineLevel="0" collapsed="false">
      <c r="A146" s="543" t="s">
        <v>731</v>
      </c>
      <c r="B146" s="333"/>
      <c r="C146" s="103"/>
      <c r="D146" s="587"/>
      <c r="AP146" s="123"/>
      <c r="AQ146" s="123"/>
      <c r="AR146" s="555"/>
      <c r="AS146" s="555"/>
      <c r="AT146" s="555"/>
      <c r="AU146" s="555"/>
      <c r="AV146" s="555"/>
      <c r="AW146" s="555"/>
      <c r="AX146" s="555"/>
      <c r="AY146" s="555"/>
    </row>
    <row r="147" customFormat="false" ht="13.8" hidden="false" customHeight="false" outlineLevel="0" collapsed="false">
      <c r="A147" s="100" t="s">
        <v>704</v>
      </c>
      <c r="B147" s="103" t="n">
        <v>0.536</v>
      </c>
      <c r="C147" s="103" t="n">
        <v>0.97914379802415</v>
      </c>
      <c r="D147" s="433" t="n">
        <v>0.917127071823204</v>
      </c>
      <c r="E147" s="297" t="s">
        <v>713</v>
      </c>
      <c r="F147" s="297" t="s">
        <v>705</v>
      </c>
      <c r="G147" s="297" t="s">
        <v>706</v>
      </c>
      <c r="AM147" s="123"/>
      <c r="AN147" s="555"/>
      <c r="AO147" s="123"/>
      <c r="AP147" s="123"/>
      <c r="AQ147" s="123"/>
      <c r="AR147" s="555"/>
      <c r="AS147" s="555"/>
      <c r="AT147" s="555"/>
      <c r="AU147" s="555"/>
      <c r="AV147" s="555"/>
      <c r="AW147" s="555"/>
      <c r="AX147" s="555"/>
      <c r="AY147" s="555"/>
    </row>
    <row r="148" customFormat="false" ht="13.8" hidden="false" customHeight="false" outlineLevel="0" collapsed="false">
      <c r="A148" s="100" t="s">
        <v>719</v>
      </c>
      <c r="B148" s="103" t="n">
        <v>0.536</v>
      </c>
      <c r="C148" s="103" t="n">
        <v>0.97914379802415</v>
      </c>
      <c r="D148" s="433" t="n">
        <v>0.917127071823204</v>
      </c>
      <c r="E148" s="297" t="s">
        <v>713</v>
      </c>
      <c r="F148" s="297" t="s">
        <v>705</v>
      </c>
      <c r="G148" s="297" t="s">
        <v>706</v>
      </c>
      <c r="AM148" s="123"/>
      <c r="AN148" s="555"/>
      <c r="AO148" s="123"/>
      <c r="AP148" s="123"/>
      <c r="AQ148" s="123"/>
      <c r="AR148" s="555"/>
      <c r="AS148" s="555"/>
      <c r="AT148" s="555"/>
      <c r="AU148" s="555"/>
      <c r="AV148" s="555"/>
      <c r="AW148" s="555"/>
      <c r="AX148" s="555"/>
      <c r="AY148" s="555"/>
    </row>
    <row r="149" customFormat="false" ht="13.8" hidden="false" customHeight="false" outlineLevel="0" collapsed="false">
      <c r="A149" s="100" t="s">
        <v>708</v>
      </c>
      <c r="B149" s="103" t="n">
        <v>0.95</v>
      </c>
      <c r="C149" s="103" t="n">
        <v>0.97914379802415</v>
      </c>
      <c r="D149" s="433" t="n">
        <v>0.917127071823204</v>
      </c>
      <c r="E149" s="297" t="s">
        <v>713</v>
      </c>
      <c r="F149" s="297" t="s">
        <v>705</v>
      </c>
      <c r="G149" s="297" t="s">
        <v>706</v>
      </c>
      <c r="AM149" s="123"/>
      <c r="AN149" s="555"/>
      <c r="AO149" s="123"/>
      <c r="AR149" s="555"/>
    </row>
    <row r="150" customFormat="false" ht="13.8" hidden="false" customHeight="false" outlineLevel="0" collapsed="false">
      <c r="A150" s="100" t="s">
        <v>709</v>
      </c>
      <c r="B150" s="103" t="n">
        <v>0.95</v>
      </c>
      <c r="C150" s="103" t="n">
        <v>0.97914379802415</v>
      </c>
      <c r="D150" s="433" t="n">
        <v>0.917127071823204</v>
      </c>
      <c r="E150" s="297" t="s">
        <v>713</v>
      </c>
      <c r="F150" s="297" t="s">
        <v>705</v>
      </c>
      <c r="G150" s="297" t="s">
        <v>706</v>
      </c>
      <c r="AM150" s="123"/>
      <c r="AN150" s="555"/>
      <c r="AO150" s="123"/>
      <c r="AP150" s="123"/>
      <c r="AQ150" s="123"/>
      <c r="AR150" s="555"/>
      <c r="AS150" s="555"/>
      <c r="AT150" s="555"/>
      <c r="AU150" s="555"/>
      <c r="AV150" s="555"/>
      <c r="AW150" s="555"/>
      <c r="AX150" s="555"/>
      <c r="AY150" s="555"/>
    </row>
    <row r="151" customFormat="false" ht="13.8" hidden="false" customHeight="false" outlineLevel="0" collapsed="false">
      <c r="A151" s="543" t="s">
        <v>732</v>
      </c>
      <c r="B151" s="333"/>
      <c r="C151" s="103"/>
      <c r="D151" s="587"/>
      <c r="AM151" s="123"/>
      <c r="AN151" s="123"/>
      <c r="AO151" s="123"/>
      <c r="AP151" s="123"/>
      <c r="AQ151" s="123"/>
      <c r="AR151" s="555"/>
      <c r="AS151" s="555"/>
      <c r="AT151" s="555"/>
      <c r="AU151" s="555"/>
      <c r="AV151" s="555"/>
      <c r="AW151" s="555"/>
      <c r="AX151" s="555"/>
      <c r="AY151" s="555"/>
    </row>
    <row r="152" customFormat="false" ht="13.8" hidden="false" customHeight="false" outlineLevel="0" collapsed="false">
      <c r="A152" s="100" t="s">
        <v>704</v>
      </c>
      <c r="B152" s="103" t="n">
        <v>0.084</v>
      </c>
      <c r="C152" s="103" t="n">
        <v>0.0197585071350165</v>
      </c>
      <c r="D152" s="433" t="n">
        <v>0.0147329650092081</v>
      </c>
      <c r="E152" s="297" t="s">
        <v>713</v>
      </c>
      <c r="F152" s="297" t="s">
        <v>705</v>
      </c>
      <c r="G152" s="297" t="s">
        <v>706</v>
      </c>
      <c r="AM152" s="512"/>
      <c r="AN152" s="512"/>
      <c r="AO152" s="512"/>
      <c r="AP152" s="123"/>
      <c r="AQ152" s="123"/>
      <c r="AR152" s="555"/>
      <c r="AS152" s="555"/>
      <c r="AT152" s="555"/>
      <c r="AU152" s="555"/>
      <c r="AV152" s="555"/>
      <c r="AW152" s="555"/>
      <c r="AX152" s="555"/>
      <c r="AY152" s="555"/>
    </row>
    <row r="153" customFormat="false" ht="13.8" hidden="false" customHeight="false" outlineLevel="0" collapsed="false">
      <c r="A153" s="100" t="s">
        <v>719</v>
      </c>
      <c r="B153" s="103" t="n">
        <v>0.084</v>
      </c>
      <c r="C153" s="103" t="n">
        <v>0.0197585071350165</v>
      </c>
      <c r="D153" s="433" t="n">
        <v>0.0147329650092081</v>
      </c>
      <c r="E153" s="297" t="s">
        <v>713</v>
      </c>
      <c r="F153" s="297" t="s">
        <v>705</v>
      </c>
      <c r="G153" s="297" t="s">
        <v>706</v>
      </c>
      <c r="AN153" s="512"/>
      <c r="AO153" s="507"/>
      <c r="AR153" s="555"/>
    </row>
    <row r="154" customFormat="false" ht="13.8" hidden="false" customHeight="false" outlineLevel="0" collapsed="false">
      <c r="A154" s="100" t="s">
        <v>708</v>
      </c>
      <c r="B154" s="103" t="n">
        <v>0.012</v>
      </c>
      <c r="C154" s="103" t="n">
        <v>0.0197585071350165</v>
      </c>
      <c r="D154" s="433" t="n">
        <v>0.0147329650092081</v>
      </c>
      <c r="E154" s="297" t="s">
        <v>713</v>
      </c>
      <c r="F154" s="297" t="s">
        <v>705</v>
      </c>
      <c r="G154" s="297" t="s">
        <v>706</v>
      </c>
      <c r="AP154" s="123"/>
      <c r="AQ154" s="123"/>
      <c r="AR154" s="555"/>
      <c r="AS154" s="555"/>
      <c r="AT154" s="555"/>
      <c r="AU154" s="555"/>
      <c r="AV154" s="555"/>
      <c r="AW154" s="555"/>
      <c r="AX154" s="555"/>
      <c r="AY154" s="555"/>
    </row>
    <row r="155" customFormat="false" ht="13.8" hidden="false" customHeight="false" outlineLevel="0" collapsed="false">
      <c r="A155" s="100" t="s">
        <v>709</v>
      </c>
      <c r="B155" s="103" t="n">
        <v>0.012</v>
      </c>
      <c r="C155" s="103" t="n">
        <v>0.0197585071350165</v>
      </c>
      <c r="D155" s="433" t="n">
        <v>0.0147329650092081</v>
      </c>
      <c r="E155" s="297" t="s">
        <v>713</v>
      </c>
      <c r="F155" s="297" t="s">
        <v>705</v>
      </c>
      <c r="G155" s="297" t="s">
        <v>706</v>
      </c>
      <c r="AP155" s="123"/>
      <c r="AQ155" s="123"/>
      <c r="AR155" s="555"/>
      <c r="AS155" s="555"/>
      <c r="AT155" s="555"/>
      <c r="AU155" s="555"/>
      <c r="AV155" s="555"/>
      <c r="AW155" s="555"/>
      <c r="AX155" s="555"/>
      <c r="AY155" s="555"/>
    </row>
    <row r="156" customFormat="false" ht="13.8" hidden="false" customHeight="false" outlineLevel="0" collapsed="false">
      <c r="C156" s="582"/>
      <c r="D156" s="588"/>
      <c r="AP156" s="123"/>
      <c r="AQ156" s="123"/>
      <c r="AR156" s="555"/>
      <c r="AS156" s="555"/>
      <c r="AT156" s="555"/>
      <c r="AU156" s="555"/>
      <c r="AV156" s="555"/>
      <c r="AW156" s="555"/>
      <c r="AX156" s="555"/>
      <c r="AY156" s="555"/>
    </row>
    <row r="157" customFormat="false" ht="13.8" hidden="false" customHeight="false" outlineLevel="0" collapsed="false">
      <c r="A157" s="165" t="s">
        <v>733</v>
      </c>
      <c r="B157" s="333"/>
      <c r="C157" s="333"/>
      <c r="D157" s="568"/>
      <c r="AR157" s="572"/>
    </row>
    <row r="158" customFormat="false" ht="13.8" hidden="false" customHeight="false" outlineLevel="0" collapsed="false">
      <c r="A158" s="100" t="s">
        <v>704</v>
      </c>
      <c r="B158" s="549" t="n">
        <v>22.5</v>
      </c>
      <c r="C158" s="103" t="n">
        <v>7.934</v>
      </c>
      <c r="D158" s="381" t="n">
        <v>12.96</v>
      </c>
      <c r="E158" s="297" t="s">
        <v>713</v>
      </c>
      <c r="F158" s="297" t="s">
        <v>705</v>
      </c>
      <c r="G158" s="297" t="s">
        <v>706</v>
      </c>
      <c r="AP158" s="123"/>
      <c r="AQ158" s="123"/>
      <c r="AR158" s="123"/>
      <c r="AS158" s="555"/>
      <c r="AT158" s="555"/>
      <c r="AU158" s="555"/>
      <c r="AV158" s="555"/>
      <c r="AW158" s="555"/>
      <c r="AX158" s="555"/>
      <c r="AY158" s="555"/>
    </row>
    <row r="159" customFormat="false" ht="13.8" hidden="false" customHeight="false" outlineLevel="0" collapsed="false">
      <c r="A159" s="100" t="s">
        <v>719</v>
      </c>
      <c r="B159" s="549" t="n">
        <v>13</v>
      </c>
      <c r="C159" s="103" t="n">
        <v>7.934</v>
      </c>
      <c r="D159" s="381" t="n">
        <v>12.96</v>
      </c>
      <c r="E159" s="297" t="s">
        <v>713</v>
      </c>
      <c r="F159" s="297" t="s">
        <v>705</v>
      </c>
      <c r="G159" s="297" t="s">
        <v>706</v>
      </c>
      <c r="AP159" s="123"/>
      <c r="AQ159" s="123"/>
      <c r="AR159" s="123"/>
      <c r="AS159" s="555"/>
      <c r="AT159" s="555"/>
      <c r="AU159" s="555"/>
      <c r="AV159" s="555"/>
      <c r="AW159" s="555"/>
      <c r="AX159" s="555"/>
      <c r="AY159" s="555"/>
    </row>
    <row r="160" customFormat="false" ht="13.8" hidden="false" customHeight="false" outlineLevel="0" collapsed="false">
      <c r="A160" s="100" t="s">
        <v>708</v>
      </c>
      <c r="B160" s="549" t="n">
        <v>10.8</v>
      </c>
      <c r="C160" s="103" t="n">
        <v>7.934</v>
      </c>
      <c r="D160" s="381" t="n">
        <v>12.96</v>
      </c>
      <c r="E160" s="297" t="s">
        <v>713</v>
      </c>
      <c r="F160" s="297" t="s">
        <v>705</v>
      </c>
      <c r="G160" s="297" t="s">
        <v>706</v>
      </c>
      <c r="AP160" s="123"/>
      <c r="AQ160" s="123"/>
      <c r="AR160" s="123"/>
      <c r="AS160" s="555"/>
      <c r="AT160" s="555"/>
      <c r="AU160" s="555"/>
      <c r="AV160" s="555"/>
      <c r="AW160" s="555"/>
      <c r="AX160" s="555"/>
      <c r="AY160" s="555"/>
    </row>
    <row r="161" customFormat="false" ht="13.8" hidden="false" customHeight="false" outlineLevel="0" collapsed="false">
      <c r="A161" s="100" t="s">
        <v>709</v>
      </c>
      <c r="B161" s="549" t="n">
        <v>0.64</v>
      </c>
      <c r="C161" s="103" t="n">
        <v>7.934</v>
      </c>
      <c r="D161" s="381" t="n">
        <v>12.96</v>
      </c>
      <c r="E161" s="297" t="s">
        <v>713</v>
      </c>
      <c r="F161" s="297" t="s">
        <v>705</v>
      </c>
      <c r="G161" s="297" t="s">
        <v>706</v>
      </c>
      <c r="AR161" s="572"/>
    </row>
    <row r="162" customFormat="false" ht="13.8" hidden="false" customHeight="false" outlineLevel="0" collapsed="false">
      <c r="A162" s="100"/>
      <c r="B162" s="549"/>
      <c r="C162" s="103"/>
      <c r="D162" s="381"/>
      <c r="AP162" s="123"/>
      <c r="AQ162" s="123"/>
      <c r="AR162" s="555"/>
      <c r="AS162" s="555"/>
      <c r="AT162" s="555"/>
      <c r="AU162" s="555"/>
      <c r="AV162" s="555"/>
      <c r="AW162" s="555"/>
      <c r="AX162" s="555"/>
      <c r="AY162" s="555"/>
    </row>
    <row r="163" customFormat="false" ht="13.8" hidden="false" customHeight="false" outlineLevel="0" collapsed="false">
      <c r="A163" s="165" t="s">
        <v>734</v>
      </c>
      <c r="B163" s="158" t="n">
        <f aca="false">B158*B107+B159*B108+B160*B109*$B$97/365+B161*B110*$B$96/365</f>
        <v>11415625.2900935</v>
      </c>
      <c r="C163" s="158" t="n">
        <f aca="false">C158*C107+C159*C108+C160*C109*$B$97/365+C161*C110*$B$96/365</f>
        <v>86499362.0909883</v>
      </c>
      <c r="D163" s="576" t="n">
        <f aca="false">D158*D107+D159*D108+D160*D109*$B$97/365+D161*D110*$B$96/365</f>
        <v>416680772.39367</v>
      </c>
      <c r="AP163" s="123"/>
      <c r="AQ163" s="123"/>
      <c r="AR163" s="555"/>
      <c r="AS163" s="555"/>
      <c r="AT163" s="555"/>
      <c r="AU163" s="555"/>
      <c r="AV163" s="555"/>
      <c r="AW163" s="555"/>
      <c r="AX163" s="555"/>
      <c r="AY163" s="555"/>
    </row>
    <row r="164" customFormat="false" ht="13.8" hidden="false" customHeight="false" outlineLevel="0" collapsed="false">
      <c r="A164" s="584" t="s">
        <v>726</v>
      </c>
      <c r="B164" s="532"/>
      <c r="C164" s="532"/>
      <c r="D164" s="589"/>
      <c r="AP164" s="123"/>
      <c r="AQ164" s="123"/>
      <c r="AR164" s="555"/>
      <c r="AS164" s="555"/>
      <c r="AT164" s="555"/>
      <c r="AU164" s="555"/>
      <c r="AV164" s="555"/>
      <c r="AW164" s="555"/>
      <c r="AX164" s="555"/>
      <c r="AY164" s="555"/>
    </row>
    <row r="165" customFormat="false" ht="13.8" hidden="false" customHeight="false" outlineLevel="0" collapsed="false">
      <c r="A165" s="590" t="s">
        <v>704</v>
      </c>
      <c r="B165" s="591" t="n">
        <f aca="false">B$158*B$107*B142</f>
        <v>1235794.77</v>
      </c>
      <c r="C165" s="591" t="n">
        <f aca="false">C$158*C$107*C142</f>
        <v>8907.41732162459</v>
      </c>
      <c r="D165" s="592" t="n">
        <f aca="false">D$158*D$107*D142</f>
        <v>2140854.63787339</v>
      </c>
      <c r="AR165" s="555"/>
    </row>
    <row r="166" customFormat="false" ht="13.8" hidden="false" customHeight="false" outlineLevel="0" collapsed="false">
      <c r="A166" s="590" t="s">
        <v>719</v>
      </c>
      <c r="B166" s="591" t="n">
        <f aca="false">B$159*B$108*B143</f>
        <v>8671.676</v>
      </c>
      <c r="C166" s="591" t="n">
        <f aca="false">C$159*C$108*C143</f>
        <v>108.180169052299</v>
      </c>
      <c r="D166" s="592" t="n">
        <f aca="false">D$159*D$108*D143</f>
        <v>26000.5799974466</v>
      </c>
      <c r="AP166" s="123"/>
      <c r="AQ166" s="123"/>
      <c r="AR166" s="555"/>
      <c r="AS166" s="555"/>
      <c r="AT166" s="555"/>
      <c r="AU166" s="555"/>
      <c r="AV166" s="173"/>
      <c r="AW166" s="173"/>
      <c r="AX166" s="173"/>
      <c r="AY166" s="173"/>
    </row>
    <row r="167" customFormat="false" ht="13.8" hidden="false" customHeight="false" outlineLevel="0" collapsed="false">
      <c r="A167" s="590" t="s">
        <v>708</v>
      </c>
      <c r="B167" s="591" t="n">
        <f aca="false">B$160*B$109*$B$97/365*B144</f>
        <v>295079.25340935</v>
      </c>
      <c r="C167" s="591" t="n">
        <f aca="false">C$160*C$109*$B$97/365*C144</f>
        <v>47321.9320269084</v>
      </c>
      <c r="D167" s="592" t="n">
        <f aca="false">D$160*D$109*$B$97/365*D144</f>
        <v>14441886.6023822</v>
      </c>
      <c r="AP167" s="123"/>
      <c r="AQ167" s="123"/>
      <c r="AR167" s="555"/>
      <c r="AS167" s="555"/>
      <c r="AT167" s="555"/>
      <c r="AU167" s="555"/>
      <c r="AV167" s="173"/>
      <c r="AW167" s="173"/>
      <c r="AX167" s="173"/>
      <c r="AY167" s="173"/>
    </row>
    <row r="168" customFormat="false" ht="13.8" hidden="false" customHeight="false" outlineLevel="0" collapsed="false">
      <c r="A168" s="590" t="s">
        <v>709</v>
      </c>
      <c r="B168" s="591" t="n">
        <f aca="false">B$161*B$110*$B$96/365*B145</f>
        <v>14267.8630142035</v>
      </c>
      <c r="C168" s="591" t="n">
        <f aca="false">C$161*C$110*$B$96/365*C145</f>
        <v>38612.3739851461</v>
      </c>
      <c r="D168" s="592" t="n">
        <f aca="false">D$161*D$110*$B$96/365*D145</f>
        <v>11783870.6632935</v>
      </c>
      <c r="AP168" s="123"/>
      <c r="AQ168" s="123"/>
      <c r="AR168" s="555"/>
      <c r="AS168" s="555"/>
      <c r="AT168" s="555"/>
      <c r="AU168" s="555"/>
      <c r="AV168" s="173"/>
      <c r="AW168" s="173"/>
      <c r="AX168" s="173"/>
      <c r="AY168" s="173"/>
    </row>
    <row r="169" customFormat="false" ht="13.8" hidden="false" customHeight="false" outlineLevel="0" collapsed="false">
      <c r="A169" s="584" t="s">
        <v>727</v>
      </c>
      <c r="B169" s="532"/>
      <c r="C169" s="532"/>
      <c r="D169" s="589"/>
      <c r="AP169" s="123"/>
      <c r="AQ169" s="123"/>
      <c r="AR169" s="555"/>
      <c r="AS169" s="555"/>
      <c r="AT169" s="555"/>
      <c r="AU169" s="555"/>
      <c r="AV169" s="173"/>
      <c r="AW169" s="173"/>
      <c r="AX169" s="173"/>
      <c r="AY169" s="173"/>
    </row>
    <row r="170" customFormat="false" ht="13.8" hidden="false" customHeight="false" outlineLevel="0" collapsed="false">
      <c r="A170" s="590" t="s">
        <v>704</v>
      </c>
      <c r="B170" s="591" t="n">
        <f aca="false">B$158*B$107*B147</f>
        <v>1743121.044</v>
      </c>
      <c r="C170" s="591" t="n">
        <f aca="false">C$158*C$107*C147</f>
        <v>7945416.25088913</v>
      </c>
      <c r="D170" s="592" t="n">
        <f aca="false">D$158*D$107*D147</f>
        <v>28814746.2070526</v>
      </c>
      <c r="M170" s="593"/>
      <c r="AP170" s="123"/>
      <c r="AQ170" s="123"/>
      <c r="AR170" s="123"/>
      <c r="AS170" s="123"/>
      <c r="AT170" s="123"/>
      <c r="AU170" s="123"/>
      <c r="AV170" s="123"/>
      <c r="AW170" s="123"/>
      <c r="AX170" s="123"/>
      <c r="AY170" s="123"/>
    </row>
    <row r="171" customFormat="false" ht="13.8" hidden="false" customHeight="false" outlineLevel="0" collapsed="false">
      <c r="A171" s="590" t="s">
        <v>719</v>
      </c>
      <c r="B171" s="591" t="n">
        <f aca="false">B$159*B$108*B148</f>
        <v>12231.6272</v>
      </c>
      <c r="C171" s="591" t="n">
        <f aca="false">C$159*C$108*C148</f>
        <v>96496.710794651</v>
      </c>
      <c r="D171" s="592" t="n">
        <f aca="false">D$159*D$108*D148</f>
        <v>349953.752398066</v>
      </c>
      <c r="M171" s="593"/>
      <c r="AP171" s="512"/>
      <c r="AQ171" s="512"/>
      <c r="AR171" s="512"/>
      <c r="AS171" s="512"/>
      <c r="AT171" s="512"/>
      <c r="AU171" s="512"/>
      <c r="AV171" s="554"/>
      <c r="AW171" s="554"/>
      <c r="AX171" s="512"/>
      <c r="AY171" s="512"/>
    </row>
    <row r="172" customFormat="false" ht="13.8" hidden="false" customHeight="false" outlineLevel="0" collapsed="false">
      <c r="A172" s="590" t="s">
        <v>708</v>
      </c>
      <c r="B172" s="591" t="n">
        <f aca="false">B$160*B$109*$B$97/365*B149</f>
        <v>7376981.33523376</v>
      </c>
      <c r="C172" s="591" t="n">
        <f aca="false">C$160*C$109*$B$97/365*C149</f>
        <v>42211163.3680023</v>
      </c>
      <c r="D172" s="592" t="n">
        <f aca="false">D$160*D$109*$B$97/365*D149</f>
        <v>194379987.242875</v>
      </c>
      <c r="AP172" s="512"/>
      <c r="AQ172" s="565"/>
      <c r="AR172" s="512"/>
      <c r="AS172" s="512"/>
      <c r="AT172" s="594"/>
      <c r="AU172" s="594"/>
      <c r="AV172" s="548"/>
      <c r="AW172" s="548"/>
      <c r="AX172" s="548"/>
      <c r="AY172" s="548"/>
    </row>
    <row r="173" customFormat="false" ht="13.8" hidden="false" customHeight="false" outlineLevel="0" collapsed="false">
      <c r="A173" s="590" t="s">
        <v>709</v>
      </c>
      <c r="B173" s="591" t="n">
        <f aca="false">B$161*B$110*$B$96/365*B150</f>
        <v>356696.575355088</v>
      </c>
      <c r="C173" s="591" t="n">
        <f aca="false">C$161*C$110*$B$96/365*C150</f>
        <v>34442237.5947503</v>
      </c>
      <c r="D173" s="592" t="n">
        <f aca="false">D$161*D$110*$B$96/365*D150</f>
        <v>158604529.468112</v>
      </c>
      <c r="AQ173" s="565"/>
      <c r="AR173" s="512"/>
      <c r="AS173" s="512"/>
      <c r="AT173" s="594"/>
      <c r="AU173" s="594"/>
      <c r="AV173" s="548"/>
      <c r="AW173" s="548"/>
      <c r="AX173" s="548"/>
      <c r="AY173" s="548"/>
    </row>
    <row r="174" customFormat="false" ht="13.8" hidden="false" customHeight="false" outlineLevel="0" collapsed="false">
      <c r="A174" s="584" t="s">
        <v>728</v>
      </c>
      <c r="B174" s="532"/>
      <c r="C174" s="532"/>
      <c r="D174" s="589"/>
      <c r="AQ174" s="123"/>
      <c r="AR174" s="555"/>
      <c r="AS174" s="555"/>
      <c r="AT174" s="594"/>
      <c r="AU174" s="594"/>
      <c r="AV174" s="548"/>
      <c r="AW174" s="548"/>
      <c r="AX174" s="548"/>
      <c r="AY174" s="548"/>
    </row>
    <row r="175" customFormat="false" ht="13.8" hidden="false" customHeight="false" outlineLevel="0" collapsed="false">
      <c r="A175" s="590" t="s">
        <v>704</v>
      </c>
      <c r="B175" s="591" t="n">
        <f aca="false">B$158*B$107*B152</f>
        <v>273175.686</v>
      </c>
      <c r="C175" s="591" t="n">
        <f aca="false">C$158*C$107*C152</f>
        <v>160333.511789243</v>
      </c>
      <c r="D175" s="592" t="n">
        <f aca="false">D$158*D$107*D152</f>
        <v>462887.489269922</v>
      </c>
      <c r="M175" s="593"/>
      <c r="AQ175" s="123"/>
      <c r="AR175" s="123"/>
      <c r="AS175" s="123"/>
      <c r="AT175" s="123"/>
      <c r="AU175" s="123"/>
      <c r="AV175" s="594"/>
      <c r="AW175" s="554"/>
      <c r="AX175" s="554"/>
      <c r="AY175" s="554"/>
    </row>
    <row r="176" customFormat="false" ht="13.8" hidden="false" customHeight="false" outlineLevel="0" collapsed="false">
      <c r="A176" s="590" t="s">
        <v>719</v>
      </c>
      <c r="B176" s="591" t="n">
        <f aca="false">B$159*B$108*B153</f>
        <v>1916.8968</v>
      </c>
      <c r="C176" s="591" t="n">
        <f aca="false">C$159*C$108*C153</f>
        <v>1947.24304294139</v>
      </c>
      <c r="D176" s="592" t="n">
        <f aca="false">D$159*D$108*D153</f>
        <v>5621.74702647495</v>
      </c>
      <c r="M176" s="593"/>
      <c r="AQ176" s="123"/>
      <c r="AR176" s="123"/>
      <c r="AS176" s="123"/>
      <c r="AT176" s="123"/>
      <c r="AU176" s="123"/>
      <c r="AV176" s="594"/>
      <c r="AW176" s="554"/>
      <c r="AX176" s="554"/>
      <c r="AY176" s="554"/>
    </row>
    <row r="177" customFormat="false" ht="13.8" hidden="false" customHeight="false" outlineLevel="0" collapsed="false">
      <c r="A177" s="590" t="s">
        <v>708</v>
      </c>
      <c r="B177" s="591" t="n">
        <f aca="false">B$160*B$109*$B$97/365*B154</f>
        <v>93182.9221292686</v>
      </c>
      <c r="C177" s="591" t="n">
        <f aca="false">C$160*C$109*$B$97/365*C154</f>
        <v>851794.776484351</v>
      </c>
      <c r="D177" s="592" t="n">
        <f aca="false">D$160*D$109*$B$97/365*D154</f>
        <v>3122570.07619076</v>
      </c>
      <c r="AQ177" s="123"/>
      <c r="AR177" s="123"/>
      <c r="AS177" s="123"/>
      <c r="AT177" s="123"/>
      <c r="AU177" s="123"/>
      <c r="AV177" s="594"/>
      <c r="AW177" s="595"/>
      <c r="AX177" s="554"/>
      <c r="AY177" s="554"/>
    </row>
    <row r="178" customFormat="false" ht="13.8" hidden="false" customHeight="false" outlineLevel="0" collapsed="false">
      <c r="A178" s="590" t="s">
        <v>709</v>
      </c>
      <c r="B178" s="591" t="n">
        <f aca="false">B$161*B$110*$B$96/365*B155</f>
        <v>4505.64095185375</v>
      </c>
      <c r="C178" s="591" t="n">
        <f aca="false">C$161*C$110*$B$96/365*C155</f>
        <v>695022.73173263</v>
      </c>
      <c r="D178" s="592" t="n">
        <f aca="false">D$161*D$110*$B$96/365*D155</f>
        <v>2547863.92719859</v>
      </c>
      <c r="AQ178" s="123"/>
      <c r="AR178" s="123"/>
      <c r="AS178" s="123"/>
      <c r="AT178" s="123"/>
      <c r="AU178" s="123"/>
      <c r="AV178" s="594"/>
      <c r="AW178" s="595"/>
      <c r="AX178" s="554"/>
      <c r="AY178" s="554"/>
    </row>
    <row r="179" customFormat="false" ht="13.8" hidden="false" customHeight="false" outlineLevel="0" collapsed="false">
      <c r="A179" s="531"/>
      <c r="B179" s="585"/>
      <c r="C179" s="585"/>
      <c r="D179" s="586"/>
      <c r="AQ179" s="123"/>
      <c r="AR179" s="173"/>
      <c r="AS179" s="173"/>
      <c r="AT179" s="123"/>
      <c r="AU179" s="123"/>
      <c r="AV179" s="594"/>
      <c r="AW179" s="595"/>
      <c r="AX179" s="554"/>
      <c r="AY179" s="554"/>
    </row>
    <row r="180" customFormat="false" ht="13.8" hidden="false" customHeight="false" outlineLevel="0" collapsed="false">
      <c r="A180" s="543" t="s">
        <v>735</v>
      </c>
      <c r="B180" s="158"/>
      <c r="C180" s="101"/>
      <c r="D180" s="596"/>
      <c r="AQ180" s="123"/>
      <c r="AR180" s="555"/>
      <c r="AS180" s="555"/>
      <c r="AT180" s="123"/>
      <c r="AU180" s="123"/>
      <c r="AV180" s="123"/>
      <c r="AW180" s="548"/>
      <c r="AX180" s="548"/>
      <c r="AY180" s="597"/>
    </row>
    <row r="181" customFormat="false" ht="13.8" hidden="false" customHeight="false" outlineLevel="0" collapsed="false">
      <c r="B181" s="528"/>
      <c r="C181" s="333"/>
      <c r="D181" s="568"/>
      <c r="AQ181" s="598"/>
      <c r="AR181" s="555"/>
      <c r="AS181" s="555"/>
      <c r="AT181" s="123"/>
      <c r="AU181" s="123"/>
      <c r="AV181" s="123"/>
      <c r="AW181" s="554"/>
      <c r="AX181" s="512"/>
      <c r="AY181" s="512"/>
    </row>
    <row r="182" customFormat="false" ht="13.8" hidden="false" customHeight="false" outlineLevel="0" collapsed="false">
      <c r="A182" s="162" t="s">
        <v>736</v>
      </c>
      <c r="B182" s="103" t="n">
        <v>0.02</v>
      </c>
      <c r="C182" s="290" t="n">
        <v>0.02</v>
      </c>
      <c r="D182" s="574" t="n">
        <v>0.02</v>
      </c>
      <c r="E182" s="297" t="s">
        <v>713</v>
      </c>
      <c r="F182" s="297" t="s">
        <v>705</v>
      </c>
      <c r="G182" s="297" t="s">
        <v>706</v>
      </c>
      <c r="AQ182" s="598"/>
      <c r="AR182" s="555"/>
      <c r="AS182" s="555"/>
      <c r="AT182" s="123"/>
      <c r="AU182" s="123"/>
      <c r="AV182" s="123"/>
      <c r="AW182" s="554"/>
      <c r="AX182" s="512"/>
      <c r="AY182" s="512"/>
    </row>
    <row r="183" customFormat="false" ht="13.8" hidden="false" customHeight="false" outlineLevel="0" collapsed="false">
      <c r="A183" s="100" t="s">
        <v>737</v>
      </c>
      <c r="B183" s="103" t="n">
        <v>0.035</v>
      </c>
      <c r="C183" s="103" t="n">
        <v>0.1449</v>
      </c>
      <c r="D183" s="574" t="n">
        <v>0.2212</v>
      </c>
      <c r="E183" s="297" t="s">
        <v>713</v>
      </c>
      <c r="F183" s="297" t="s">
        <v>705</v>
      </c>
      <c r="G183" s="297" t="s">
        <v>706</v>
      </c>
      <c r="AQ183" s="598"/>
      <c r="AR183" s="555"/>
      <c r="AS183" s="555"/>
      <c r="AT183" s="123"/>
      <c r="AU183" s="123"/>
      <c r="AV183" s="123"/>
      <c r="AW183" s="554"/>
      <c r="AX183" s="512"/>
      <c r="AY183" s="512"/>
    </row>
    <row r="184" customFormat="false" ht="13.8" hidden="false" customHeight="false" outlineLevel="0" collapsed="false">
      <c r="A184" s="453" t="s">
        <v>738</v>
      </c>
      <c r="B184" s="103" t="n">
        <v>0.17</v>
      </c>
      <c r="C184" s="103" t="n">
        <v>0.147</v>
      </c>
      <c r="D184" s="574" t="n">
        <v>0.25</v>
      </c>
      <c r="E184" s="297" t="s">
        <v>713</v>
      </c>
      <c r="F184" s="297" t="s">
        <v>705</v>
      </c>
      <c r="G184" s="297" t="s">
        <v>706</v>
      </c>
      <c r="AQ184" s="598"/>
      <c r="AR184" s="598"/>
      <c r="AS184" s="598"/>
      <c r="AT184" s="598"/>
      <c r="AU184" s="598"/>
      <c r="AV184" s="123"/>
      <c r="AW184" s="554"/>
      <c r="AX184" s="512"/>
      <c r="AY184" s="512"/>
    </row>
    <row r="185" customFormat="false" ht="13.8" hidden="false" customHeight="false" outlineLevel="0" collapsed="false">
      <c r="A185" s="453" t="s">
        <v>739</v>
      </c>
      <c r="B185" s="103" t="n">
        <v>0.17</v>
      </c>
      <c r="C185" s="103" t="n">
        <v>0.114</v>
      </c>
      <c r="D185" s="574" t="n">
        <v>0.25</v>
      </c>
      <c r="E185" s="297" t="s">
        <v>713</v>
      </c>
      <c r="F185" s="297" t="s">
        <v>705</v>
      </c>
      <c r="G185" s="297" t="s">
        <v>706</v>
      </c>
      <c r="AQ185" s="598"/>
      <c r="AR185" s="598"/>
      <c r="AS185" s="598"/>
      <c r="AT185" s="598"/>
      <c r="AU185" s="598"/>
      <c r="AV185" s="123"/>
      <c r="AW185" s="554"/>
      <c r="AX185" s="512"/>
      <c r="AY185" s="512"/>
    </row>
    <row r="186" customFormat="false" ht="13.8" hidden="false" customHeight="false" outlineLevel="0" collapsed="false">
      <c r="A186" s="453" t="s">
        <v>740</v>
      </c>
      <c r="B186" s="103" t="n">
        <v>0.17</v>
      </c>
      <c r="C186" s="103" t="n">
        <v>0.072</v>
      </c>
      <c r="D186" s="574" t="n">
        <v>0.25</v>
      </c>
      <c r="E186" s="297" t="s">
        <v>713</v>
      </c>
      <c r="F186" s="297" t="s">
        <v>705</v>
      </c>
      <c r="G186" s="297" t="s">
        <v>706</v>
      </c>
      <c r="AQ186" s="598"/>
      <c r="AR186" s="598"/>
      <c r="AS186" s="598"/>
      <c r="AT186" s="598"/>
      <c r="AU186" s="598"/>
      <c r="AV186" s="123"/>
      <c r="AW186" s="554"/>
      <c r="AX186" s="512"/>
      <c r="AY186" s="512"/>
    </row>
    <row r="187" customFormat="false" ht="13.8" hidden="false" customHeight="false" outlineLevel="0" collapsed="false">
      <c r="A187" s="162" t="s">
        <v>741</v>
      </c>
      <c r="B187" s="103" t="n">
        <v>0.005</v>
      </c>
      <c r="C187" s="103" t="n">
        <v>0.005</v>
      </c>
      <c r="D187" s="574" t="n">
        <v>0.005</v>
      </c>
      <c r="E187" s="297" t="s">
        <v>713</v>
      </c>
      <c r="F187" s="297" t="s">
        <v>705</v>
      </c>
      <c r="G187" s="297" t="s">
        <v>706</v>
      </c>
      <c r="AQ187" s="598"/>
      <c r="AR187" s="598"/>
      <c r="AS187" s="598"/>
      <c r="AT187" s="598"/>
      <c r="AU187" s="598"/>
      <c r="AV187" s="123"/>
      <c r="AW187" s="554"/>
      <c r="AX187" s="512"/>
      <c r="AY187" s="512"/>
    </row>
    <row r="188" customFormat="false" ht="13.8" hidden="false" customHeight="false" outlineLevel="0" collapsed="false">
      <c r="A188" s="100" t="s">
        <v>742</v>
      </c>
      <c r="B188" s="103" t="n">
        <v>0.005</v>
      </c>
      <c r="C188" s="103" t="n">
        <v>0.005</v>
      </c>
      <c r="D188" s="574" t="n">
        <v>0.005</v>
      </c>
      <c r="E188" s="297" t="s">
        <v>713</v>
      </c>
      <c r="F188" s="297" t="s">
        <v>705</v>
      </c>
      <c r="G188" s="297" t="s">
        <v>706</v>
      </c>
      <c r="AQ188" s="598"/>
      <c r="AR188" s="598"/>
      <c r="AS188" s="598"/>
      <c r="AT188" s="598"/>
      <c r="AU188" s="598"/>
      <c r="AV188" s="123"/>
      <c r="AW188" s="554"/>
      <c r="AX188" s="512"/>
      <c r="AY188" s="512"/>
    </row>
    <row r="189" customFormat="false" ht="13.8" hidden="false" customHeight="false" outlineLevel="0" collapsed="false">
      <c r="A189" s="453" t="s">
        <v>743</v>
      </c>
      <c r="B189" s="103" t="n">
        <v>0.01</v>
      </c>
      <c r="C189" s="103" t="n">
        <v>0.07</v>
      </c>
      <c r="D189" s="574" t="n">
        <v>0.01</v>
      </c>
      <c r="E189" s="297" t="s">
        <v>713</v>
      </c>
      <c r="F189" s="297" t="s">
        <v>705</v>
      </c>
      <c r="G189" s="297" t="s">
        <v>706</v>
      </c>
      <c r="AQ189" s="598"/>
      <c r="AR189" s="598"/>
      <c r="AS189" s="598"/>
      <c r="AT189" s="598"/>
      <c r="AU189" s="598"/>
      <c r="AV189" s="123"/>
      <c r="AW189" s="554"/>
      <c r="AX189" s="512"/>
      <c r="AY189" s="512"/>
    </row>
    <row r="190" customFormat="false" ht="13.8" hidden="false" customHeight="false" outlineLevel="0" collapsed="false">
      <c r="A190" s="100" t="s">
        <v>744</v>
      </c>
      <c r="B190" s="103" t="n">
        <f aca="false">0.01</f>
        <v>0.01</v>
      </c>
      <c r="C190" s="103" t="n">
        <f aca="false">0.01</f>
        <v>0.01</v>
      </c>
      <c r="D190" s="574" t="n">
        <f aca="false">0.01</f>
        <v>0.01</v>
      </c>
      <c r="E190" s="297" t="s">
        <v>713</v>
      </c>
      <c r="F190" s="297" t="s">
        <v>705</v>
      </c>
      <c r="G190" s="297" t="s">
        <v>706</v>
      </c>
      <c r="AQ190" s="598"/>
      <c r="AR190" s="598"/>
      <c r="AS190" s="598"/>
      <c r="AT190" s="598"/>
      <c r="AU190" s="598"/>
      <c r="AV190" s="123"/>
      <c r="AW190" s="554"/>
      <c r="AX190" s="512"/>
      <c r="AY190" s="512"/>
    </row>
    <row r="191" customFormat="false" ht="13.8" hidden="false" customHeight="false" outlineLevel="0" collapsed="false">
      <c r="A191" s="162" t="s">
        <v>745</v>
      </c>
      <c r="B191" s="290" t="n">
        <v>0.87</v>
      </c>
      <c r="C191" s="290" t="n">
        <v>1</v>
      </c>
      <c r="D191" s="500" t="n">
        <v>1</v>
      </c>
      <c r="E191" s="297" t="s">
        <v>713</v>
      </c>
      <c r="F191" s="297" t="s">
        <v>705</v>
      </c>
      <c r="G191" s="297" t="s">
        <v>706</v>
      </c>
      <c r="AQ191" s="598"/>
      <c r="AR191" s="598"/>
      <c r="AS191" s="598"/>
      <c r="AT191" s="598"/>
      <c r="AU191" s="598"/>
      <c r="AV191" s="123"/>
      <c r="AW191" s="554"/>
      <c r="AX191" s="512"/>
      <c r="AY191" s="512"/>
    </row>
    <row r="192" customFormat="false" ht="13.8" hidden="false" customHeight="false" outlineLevel="0" collapsed="false">
      <c r="A192" s="282" t="s">
        <v>746</v>
      </c>
      <c r="B192" s="290" t="n">
        <v>0.67</v>
      </c>
      <c r="C192" s="290" t="n">
        <v>0.67</v>
      </c>
      <c r="D192" s="500" t="n">
        <v>0.67</v>
      </c>
      <c r="E192" s="297" t="s">
        <v>747</v>
      </c>
      <c r="F192" s="297" t="s">
        <v>747</v>
      </c>
      <c r="G192" s="297" t="s">
        <v>747</v>
      </c>
      <c r="AQ192" s="598"/>
      <c r="AR192" s="598"/>
      <c r="AS192" s="598"/>
      <c r="AT192" s="598"/>
      <c r="AU192" s="598"/>
      <c r="AV192" s="123"/>
      <c r="AW192" s="554"/>
      <c r="AX192" s="512"/>
      <c r="AY192" s="512"/>
    </row>
    <row r="193" customFormat="false" ht="13.8" hidden="false" customHeight="false" outlineLevel="0" collapsed="false">
      <c r="A193" s="162" t="s">
        <v>748</v>
      </c>
      <c r="B193" s="290" t="n">
        <v>0.45</v>
      </c>
      <c r="C193" s="290" t="n">
        <v>0.45</v>
      </c>
      <c r="D193" s="500" t="n">
        <v>0.3</v>
      </c>
      <c r="E193" s="297" t="s">
        <v>713</v>
      </c>
      <c r="F193" s="297" t="s">
        <v>705</v>
      </c>
      <c r="G193" s="297" t="s">
        <v>706</v>
      </c>
      <c r="AQ193" s="598"/>
      <c r="AR193" s="598"/>
      <c r="AS193" s="598"/>
      <c r="AT193" s="598"/>
      <c r="AU193" s="598"/>
      <c r="AV193" s="123"/>
      <c r="AW193" s="554"/>
      <c r="AX193" s="512"/>
      <c r="AY193" s="512"/>
    </row>
    <row r="194" customFormat="false" ht="13.8" hidden="false" customHeight="false" outlineLevel="0" collapsed="false">
      <c r="D194" s="381"/>
      <c r="E194" s="599"/>
      <c r="AQ194" s="598"/>
      <c r="AR194" s="598"/>
      <c r="AS194" s="598"/>
      <c r="AT194" s="598"/>
      <c r="AU194" s="598"/>
      <c r="AV194" s="123"/>
      <c r="AW194" s="554"/>
      <c r="AX194" s="512"/>
      <c r="AY194" s="512"/>
    </row>
    <row r="195" customFormat="false" ht="13.8" hidden="false" customHeight="false" outlineLevel="0" collapsed="false">
      <c r="A195" s="165" t="s">
        <v>749</v>
      </c>
      <c r="D195" s="381"/>
      <c r="E195" s="599"/>
      <c r="AQ195" s="598"/>
      <c r="AR195" s="598"/>
      <c r="AS195" s="598"/>
      <c r="AT195" s="598"/>
      <c r="AU195" s="598"/>
      <c r="AV195" s="123"/>
      <c r="AW195" s="554"/>
      <c r="AX195" s="512"/>
      <c r="AY195" s="512"/>
    </row>
    <row r="196" customFormat="false" ht="13.8" hidden="false" customHeight="false" outlineLevel="0" collapsed="false">
      <c r="A196" s="165"/>
      <c r="D196" s="381"/>
      <c r="AQ196" s="598"/>
      <c r="AR196" s="598"/>
      <c r="AS196" s="598"/>
      <c r="AT196" s="598"/>
      <c r="AU196" s="598"/>
      <c r="AV196" s="123"/>
      <c r="AW196" s="554"/>
      <c r="AX196" s="512"/>
      <c r="AY196" s="512"/>
    </row>
    <row r="197" customFormat="false" ht="13.8" hidden="false" customHeight="false" outlineLevel="0" collapsed="false">
      <c r="A197" s="165" t="s">
        <v>750</v>
      </c>
      <c r="B197" s="333"/>
      <c r="C197" s="333"/>
      <c r="D197" s="568"/>
      <c r="AQ197" s="598"/>
      <c r="AR197" s="598"/>
      <c r="AS197" s="598"/>
      <c r="AT197" s="598"/>
      <c r="AU197" s="598"/>
      <c r="AV197" s="123"/>
      <c r="AW197" s="554"/>
      <c r="AX197" s="512"/>
      <c r="AY197" s="512"/>
    </row>
    <row r="198" customFormat="false" ht="13.8" hidden="false" customHeight="false" outlineLevel="0" collapsed="false">
      <c r="A198" s="165" t="s">
        <v>751</v>
      </c>
      <c r="C198" s="103"/>
      <c r="D198" s="574"/>
      <c r="AQ198" s="598"/>
      <c r="AR198" s="600"/>
      <c r="AS198" s="600"/>
      <c r="AT198" s="598"/>
      <c r="AU198" s="598"/>
      <c r="AV198" s="123"/>
      <c r="AW198" s="554"/>
      <c r="AX198" s="512"/>
      <c r="AY198" s="512"/>
    </row>
    <row r="199" customFormat="false" ht="13.8" hidden="false" customHeight="false" outlineLevel="0" collapsed="false">
      <c r="A199" s="100" t="s">
        <v>704</v>
      </c>
      <c r="B199" s="103" t="n">
        <v>0.28</v>
      </c>
      <c r="C199" s="103" t="n">
        <v>0.3142</v>
      </c>
      <c r="D199" s="574" t="n">
        <v>0.5</v>
      </c>
      <c r="E199" s="297" t="s">
        <v>752</v>
      </c>
      <c r="F199" s="297" t="s">
        <v>753</v>
      </c>
      <c r="G199" s="282" t="s">
        <v>747</v>
      </c>
      <c r="AQ199" s="598"/>
      <c r="AR199" s="600"/>
      <c r="AS199" s="600"/>
      <c r="AT199" s="598"/>
      <c r="AU199" s="598"/>
      <c r="AV199" s="123"/>
      <c r="AW199" s="554"/>
      <c r="AX199" s="512"/>
      <c r="AY199" s="512"/>
    </row>
    <row r="200" customFormat="false" ht="13.8" hidden="false" customHeight="false" outlineLevel="0" collapsed="false">
      <c r="A200" s="100" t="s">
        <v>719</v>
      </c>
      <c r="B200" s="103" t="n">
        <v>0.28</v>
      </c>
      <c r="C200" s="103" t="n">
        <v>0</v>
      </c>
      <c r="D200" s="574" t="n">
        <v>0</v>
      </c>
      <c r="E200" s="297" t="s">
        <v>752</v>
      </c>
      <c r="F200" s="297" t="s">
        <v>753</v>
      </c>
      <c r="G200" s="282" t="s">
        <v>747</v>
      </c>
      <c r="H200" s="601"/>
      <c r="AQ200" s="123"/>
      <c r="AR200" s="512"/>
      <c r="AS200" s="512"/>
      <c r="AT200" s="512"/>
      <c r="AU200" s="512"/>
      <c r="AV200" s="512"/>
      <c r="AW200" s="554"/>
      <c r="AX200" s="512"/>
      <c r="AY200" s="512"/>
    </row>
    <row r="201" customFormat="false" ht="13.8" hidden="false" customHeight="false" outlineLevel="0" collapsed="false">
      <c r="A201" s="100" t="s">
        <v>708</v>
      </c>
      <c r="B201" s="103" t="n">
        <v>0.28</v>
      </c>
      <c r="C201" s="103" t="n">
        <v>0.3358</v>
      </c>
      <c r="D201" s="574" t="n">
        <v>0.5</v>
      </c>
      <c r="E201" s="297" t="s">
        <v>752</v>
      </c>
      <c r="F201" s="297" t="s">
        <v>753</v>
      </c>
      <c r="G201" s="282" t="s">
        <v>747</v>
      </c>
      <c r="H201" s="601"/>
      <c r="AQ201" s="123"/>
      <c r="AR201" s="555"/>
      <c r="AS201" s="555"/>
      <c r="AT201" s="123"/>
      <c r="AU201" s="123"/>
      <c r="AV201" s="123"/>
      <c r="AW201" s="554"/>
      <c r="AX201" s="512"/>
      <c r="AY201" s="512"/>
    </row>
    <row r="202" customFormat="false" ht="13.8" hidden="false" customHeight="false" outlineLevel="0" collapsed="false">
      <c r="A202" s="100" t="s">
        <v>709</v>
      </c>
      <c r="B202" s="103" t="n">
        <v>0.28</v>
      </c>
      <c r="C202" s="103" t="n">
        <v>0.3925</v>
      </c>
      <c r="D202" s="574" t="n">
        <v>0.5</v>
      </c>
      <c r="E202" s="297" t="s">
        <v>752</v>
      </c>
      <c r="F202" s="297" t="s">
        <v>753</v>
      </c>
      <c r="G202" s="282" t="s">
        <v>747</v>
      </c>
      <c r="H202" s="601"/>
      <c r="AQ202" s="512"/>
      <c r="AR202" s="123"/>
      <c r="AS202" s="123"/>
      <c r="AT202" s="123"/>
      <c r="AU202" s="123"/>
      <c r="AV202" s="123"/>
      <c r="AW202" s="554"/>
      <c r="AX202" s="512"/>
      <c r="AY202" s="512"/>
    </row>
    <row r="203" customFormat="false" ht="13.8" hidden="false" customHeight="false" outlineLevel="0" collapsed="false">
      <c r="A203" s="165" t="s">
        <v>754</v>
      </c>
      <c r="D203" s="574"/>
      <c r="H203" s="601"/>
      <c r="AQ203" s="512"/>
      <c r="AR203" s="512"/>
      <c r="AS203" s="512"/>
      <c r="AT203" s="512"/>
      <c r="AU203" s="512"/>
      <c r="AV203" s="554"/>
      <c r="AW203" s="554"/>
      <c r="AX203" s="512"/>
      <c r="AY203" s="512"/>
    </row>
    <row r="204" customFormat="false" ht="13.8" hidden="false" customHeight="false" outlineLevel="0" collapsed="false">
      <c r="A204" s="100" t="s">
        <v>704</v>
      </c>
      <c r="B204" s="103" t="n">
        <v>0.175475</v>
      </c>
      <c r="C204" s="103" t="n">
        <v>0.19968</v>
      </c>
      <c r="D204" s="574" t="n">
        <v>0.48</v>
      </c>
      <c r="E204" s="297" t="s">
        <v>752</v>
      </c>
      <c r="F204" s="297" t="s">
        <v>753</v>
      </c>
      <c r="G204" s="282" t="s">
        <v>747</v>
      </c>
      <c r="H204" s="601"/>
      <c r="AQ204" s="512"/>
      <c r="AR204" s="512"/>
      <c r="AS204" s="512"/>
      <c r="AT204" s="512"/>
      <c r="AU204" s="512"/>
      <c r="AV204" s="554"/>
      <c r="AW204" s="554"/>
      <c r="AX204" s="594"/>
      <c r="AY204" s="512"/>
    </row>
    <row r="205" customFormat="false" ht="13.8" hidden="false" customHeight="false" outlineLevel="0" collapsed="false">
      <c r="A205" s="100" t="s">
        <v>719</v>
      </c>
      <c r="B205" s="103" t="n">
        <v>0.175475</v>
      </c>
      <c r="C205" s="103" t="n">
        <v>0</v>
      </c>
      <c r="D205" s="574" t="n">
        <v>0</v>
      </c>
      <c r="E205" s="297" t="s">
        <v>752</v>
      </c>
      <c r="F205" s="297" t="s">
        <v>753</v>
      </c>
      <c r="G205" s="282" t="s">
        <v>747</v>
      </c>
      <c r="H205" s="601"/>
      <c r="AQ205" s="512"/>
      <c r="AR205" s="512"/>
      <c r="AS205" s="512"/>
      <c r="AT205" s="512"/>
      <c r="AU205" s="512"/>
      <c r="AV205" s="554"/>
      <c r="AW205" s="554"/>
      <c r="AX205" s="594"/>
      <c r="AY205" s="512"/>
    </row>
    <row r="206" customFormat="false" ht="13.8" hidden="false" customHeight="false" outlineLevel="0" collapsed="false">
      <c r="A206" s="100" t="s">
        <v>708</v>
      </c>
      <c r="B206" s="103" t="n">
        <v>0.175475</v>
      </c>
      <c r="C206" s="103" t="n">
        <v>0.205536</v>
      </c>
      <c r="D206" s="574" t="n">
        <v>0.48</v>
      </c>
      <c r="E206" s="297" t="s">
        <v>752</v>
      </c>
      <c r="F206" s="297" t="s">
        <v>753</v>
      </c>
      <c r="G206" s="282" t="s">
        <v>747</v>
      </c>
      <c r="H206" s="601"/>
      <c r="AQ206" s="512"/>
      <c r="AR206" s="512"/>
      <c r="AS206" s="512"/>
      <c r="AT206" s="512"/>
      <c r="AU206" s="512"/>
      <c r="AV206" s="554"/>
      <c r="AW206" s="554"/>
      <c r="AX206" s="594"/>
      <c r="AY206" s="512"/>
    </row>
    <row r="207" customFormat="false" ht="13.8" hidden="false" customHeight="false" outlineLevel="0" collapsed="false">
      <c r="A207" s="100" t="s">
        <v>709</v>
      </c>
      <c r="B207" s="103" t="n">
        <v>0.175475</v>
      </c>
      <c r="C207" s="103" t="n">
        <v>0.202933333333333</v>
      </c>
      <c r="D207" s="574" t="n">
        <v>0.48</v>
      </c>
      <c r="E207" s="297" t="s">
        <v>752</v>
      </c>
      <c r="F207" s="297" t="s">
        <v>753</v>
      </c>
      <c r="G207" s="282" t="s">
        <v>747</v>
      </c>
      <c r="H207" s="601"/>
      <c r="AQ207" s="512"/>
      <c r="AR207" s="512"/>
      <c r="AS207" s="512"/>
      <c r="AT207" s="512"/>
      <c r="AU207" s="512"/>
      <c r="AV207" s="554"/>
      <c r="AW207" s="554"/>
      <c r="AX207" s="594"/>
      <c r="AY207" s="512"/>
    </row>
    <row r="208" customFormat="false" ht="13.8" hidden="false" customHeight="false" outlineLevel="0" collapsed="false">
      <c r="A208" s="165" t="s">
        <v>732</v>
      </c>
      <c r="C208" s="103"/>
      <c r="D208" s="574"/>
      <c r="H208" s="601"/>
      <c r="AQ208" s="512"/>
      <c r="AR208" s="512"/>
      <c r="AS208" s="512"/>
      <c r="AT208" s="512"/>
      <c r="AU208" s="512"/>
      <c r="AV208" s="554"/>
      <c r="AW208" s="554"/>
      <c r="AX208" s="594"/>
      <c r="AY208" s="512"/>
    </row>
    <row r="209" customFormat="false" ht="13.8" hidden="false" customHeight="false" outlineLevel="0" collapsed="false">
      <c r="A209" s="100" t="s">
        <v>704</v>
      </c>
      <c r="B209" s="103" t="n">
        <v>0.475</v>
      </c>
      <c r="C209" s="103" t="n">
        <v>0.20525</v>
      </c>
      <c r="D209" s="574" t="n">
        <v>0.5</v>
      </c>
      <c r="E209" s="297" t="s">
        <v>752</v>
      </c>
      <c r="F209" s="297" t="s">
        <v>753</v>
      </c>
      <c r="G209" s="282" t="s">
        <v>747</v>
      </c>
      <c r="H209" s="601"/>
      <c r="AQ209" s="512"/>
      <c r="AR209" s="512"/>
      <c r="AS209" s="512"/>
      <c r="AT209" s="512"/>
      <c r="AU209" s="512"/>
      <c r="AV209" s="554"/>
      <c r="AW209" s="554"/>
      <c r="AX209" s="594"/>
      <c r="AY209" s="512"/>
    </row>
    <row r="210" customFormat="false" ht="13.8" hidden="false" customHeight="false" outlineLevel="0" collapsed="false">
      <c r="A210" s="100" t="s">
        <v>719</v>
      </c>
      <c r="B210" s="103" t="n">
        <v>0.475</v>
      </c>
      <c r="C210" s="282" t="n">
        <v>0</v>
      </c>
      <c r="D210" s="574" t="n">
        <v>0</v>
      </c>
      <c r="E210" s="297" t="s">
        <v>752</v>
      </c>
      <c r="F210" s="297" t="s">
        <v>753</v>
      </c>
      <c r="G210" s="282" t="s">
        <v>747</v>
      </c>
      <c r="AQ210" s="512"/>
      <c r="AR210" s="512"/>
      <c r="AS210" s="512"/>
      <c r="AT210" s="512"/>
      <c r="AU210" s="512"/>
      <c r="AV210" s="554"/>
      <c r="AW210" s="554"/>
      <c r="AX210" s="594"/>
      <c r="AY210" s="512"/>
    </row>
    <row r="211" customFormat="false" ht="13.8" hidden="false" customHeight="false" outlineLevel="0" collapsed="false">
      <c r="A211" s="100" t="s">
        <v>708</v>
      </c>
      <c r="B211" s="103" t="n">
        <v>0.475</v>
      </c>
      <c r="C211" s="103" t="n">
        <v>0.2333</v>
      </c>
      <c r="D211" s="574" t="n">
        <v>0.5</v>
      </c>
      <c r="E211" s="297" t="s">
        <v>752</v>
      </c>
      <c r="F211" s="297" t="s">
        <v>753</v>
      </c>
      <c r="G211" s="282" t="s">
        <v>747</v>
      </c>
      <c r="AQ211" s="512"/>
      <c r="AR211" s="512"/>
      <c r="AS211" s="512"/>
      <c r="AT211" s="512"/>
      <c r="AU211" s="512"/>
      <c r="AV211" s="554"/>
      <c r="AW211" s="554"/>
      <c r="AX211" s="594"/>
      <c r="AY211" s="512"/>
    </row>
    <row r="212" customFormat="false" ht="13.8" hidden="false" customHeight="false" outlineLevel="0" collapsed="false">
      <c r="A212" s="100" t="s">
        <v>709</v>
      </c>
      <c r="B212" s="103" t="n">
        <v>0.475</v>
      </c>
      <c r="C212" s="103" t="n">
        <v>0.2333</v>
      </c>
      <c r="D212" s="574" t="n">
        <v>0.5</v>
      </c>
      <c r="E212" s="297" t="s">
        <v>752</v>
      </c>
      <c r="F212" s="297" t="s">
        <v>753</v>
      </c>
      <c r="G212" s="282" t="s">
        <v>747</v>
      </c>
      <c r="AQ212" s="512"/>
      <c r="AR212" s="512"/>
      <c r="AS212" s="512"/>
      <c r="AT212" s="512"/>
      <c r="AU212" s="512"/>
      <c r="AV212" s="554"/>
      <c r="AW212" s="554"/>
      <c r="AX212" s="594"/>
      <c r="AY212" s="512"/>
    </row>
    <row r="213" customFormat="false" ht="13.8" hidden="false" customHeight="false" outlineLevel="0" collapsed="false">
      <c r="D213" s="381"/>
      <c r="E213" s="548"/>
      <c r="AQ213" s="512"/>
      <c r="AR213" s="512"/>
      <c r="AS213" s="512"/>
      <c r="AT213" s="512"/>
      <c r="AU213" s="512"/>
      <c r="AV213" s="554"/>
      <c r="AW213" s="554"/>
      <c r="AX213" s="594"/>
      <c r="AY213" s="512"/>
    </row>
    <row r="214" customFormat="false" ht="13.8" hidden="false" customHeight="false" outlineLevel="0" collapsed="false">
      <c r="A214" s="165" t="s">
        <v>755</v>
      </c>
      <c r="B214" s="103"/>
      <c r="C214" s="103"/>
      <c r="D214" s="574"/>
      <c r="E214" s="548"/>
      <c r="M214" s="601"/>
      <c r="AQ214" s="512"/>
      <c r="AR214" s="512"/>
      <c r="AS214" s="512"/>
      <c r="AT214" s="512"/>
      <c r="AU214" s="512"/>
      <c r="AV214" s="554"/>
      <c r="AW214" s="554"/>
      <c r="AX214" s="594"/>
      <c r="AY214" s="512"/>
    </row>
    <row r="215" customFormat="false" ht="13.8" hidden="false" customHeight="false" outlineLevel="0" collapsed="false">
      <c r="A215" s="543" t="s">
        <v>730</v>
      </c>
      <c r="B215" s="158"/>
      <c r="C215" s="103"/>
      <c r="D215" s="574"/>
      <c r="E215" s="548"/>
      <c r="M215" s="601"/>
      <c r="AQ215" s="512"/>
      <c r="AR215" s="512"/>
      <c r="AS215" s="512"/>
      <c r="AT215" s="512"/>
      <c r="AU215" s="512"/>
      <c r="AV215" s="554"/>
      <c r="AW215" s="554"/>
      <c r="AX215" s="594"/>
      <c r="AY215" s="512"/>
    </row>
    <row r="216" customFormat="false" ht="13.8" hidden="false" customHeight="false" outlineLevel="0" collapsed="false">
      <c r="A216" s="100" t="s">
        <v>704</v>
      </c>
      <c r="B216" s="158" t="n">
        <f aca="false">B165*B199</f>
        <v>346022.5356</v>
      </c>
      <c r="C216" s="158" t="n">
        <f aca="false">C165*C199</f>
        <v>2798.71052245445</v>
      </c>
      <c r="D216" s="576" t="n">
        <f aca="false">D165*D199</f>
        <v>1070427.31893669</v>
      </c>
      <c r="E216" s="548"/>
      <c r="AQ216" s="512"/>
      <c r="AR216" s="512"/>
      <c r="AS216" s="512"/>
      <c r="AT216" s="512"/>
      <c r="AU216" s="512"/>
      <c r="AV216" s="554"/>
      <c r="AW216" s="554"/>
      <c r="AX216" s="594"/>
      <c r="AY216" s="512"/>
    </row>
    <row r="217" customFormat="false" ht="13.8" hidden="false" customHeight="false" outlineLevel="0" collapsed="false">
      <c r="A217" s="100" t="s">
        <v>719</v>
      </c>
      <c r="B217" s="158" t="n">
        <f aca="false">B166*B200</f>
        <v>2428.06928</v>
      </c>
      <c r="C217" s="158" t="n">
        <f aca="false">C166*C200</f>
        <v>0</v>
      </c>
      <c r="D217" s="576" t="n">
        <f aca="false">D166*D200</f>
        <v>0</v>
      </c>
      <c r="E217" s="548"/>
      <c r="AQ217" s="512"/>
      <c r="AR217" s="512"/>
      <c r="AS217" s="512"/>
      <c r="AT217" s="512"/>
      <c r="AU217" s="512"/>
      <c r="AV217" s="554"/>
      <c r="AW217" s="554"/>
      <c r="AX217" s="594"/>
      <c r="AY217" s="512"/>
    </row>
    <row r="218" customFormat="false" ht="13.8" hidden="false" customHeight="false" outlineLevel="0" collapsed="false">
      <c r="A218" s="100" t="s">
        <v>708</v>
      </c>
      <c r="B218" s="158" t="n">
        <f aca="false">B167*B201</f>
        <v>82622.1909546181</v>
      </c>
      <c r="C218" s="158" t="n">
        <f aca="false">C167*C201</f>
        <v>15890.7047746358</v>
      </c>
      <c r="D218" s="576" t="n">
        <f aca="false">D167*D201</f>
        <v>7220943.30119112</v>
      </c>
      <c r="E218" s="548"/>
      <c r="AQ218" s="512"/>
      <c r="AR218" s="512"/>
      <c r="AS218" s="512"/>
      <c r="AT218" s="512"/>
      <c r="AU218" s="512"/>
      <c r="AV218" s="554"/>
      <c r="AW218" s="554"/>
      <c r="AX218" s="594"/>
      <c r="AY218" s="512"/>
    </row>
    <row r="219" customFormat="false" ht="13.8" hidden="false" customHeight="false" outlineLevel="0" collapsed="false">
      <c r="A219" s="100" t="s">
        <v>709</v>
      </c>
      <c r="B219" s="158" t="n">
        <f aca="false">B168*B202</f>
        <v>3995.00164397699</v>
      </c>
      <c r="C219" s="158" t="n">
        <f aca="false">C168*C202</f>
        <v>15155.3567891698</v>
      </c>
      <c r="D219" s="576" t="n">
        <f aca="false">D168*D202</f>
        <v>5891935.33164674</v>
      </c>
      <c r="E219" s="548"/>
      <c r="M219" s="601"/>
      <c r="AQ219" s="512"/>
      <c r="AR219" s="512"/>
      <c r="AS219" s="512"/>
      <c r="AT219" s="512"/>
      <c r="AU219" s="512"/>
      <c r="AV219" s="554"/>
      <c r="AW219" s="554"/>
      <c r="AX219" s="594"/>
      <c r="AY219" s="512"/>
    </row>
    <row r="220" customFormat="false" ht="13.8" hidden="false" customHeight="false" outlineLevel="0" collapsed="false">
      <c r="A220" s="543" t="s">
        <v>731</v>
      </c>
      <c r="B220" s="158"/>
      <c r="C220" s="158"/>
      <c r="D220" s="576"/>
      <c r="E220" s="548"/>
      <c r="M220" s="601"/>
      <c r="AQ220" s="512"/>
      <c r="AR220" s="512"/>
      <c r="AS220" s="512"/>
      <c r="AT220" s="512"/>
      <c r="AU220" s="512"/>
      <c r="AV220" s="554"/>
      <c r="AW220" s="554"/>
      <c r="AX220" s="594"/>
      <c r="AY220" s="512"/>
    </row>
    <row r="221" customFormat="false" ht="13.8" hidden="false" customHeight="false" outlineLevel="0" collapsed="false">
      <c r="A221" s="100" t="s">
        <v>704</v>
      </c>
      <c r="B221" s="158" t="n">
        <f aca="false">B170*B204</f>
        <v>305874.1651959</v>
      </c>
      <c r="C221" s="158" t="n">
        <f aca="false">C170*C204</f>
        <v>1586540.71697754</v>
      </c>
      <c r="D221" s="576" t="n">
        <f aca="false">D170*D204</f>
        <v>13831078.1793853</v>
      </c>
      <c r="E221" s="548"/>
      <c r="M221" s="333"/>
      <c r="AQ221" s="512"/>
      <c r="AR221" s="512"/>
      <c r="AS221" s="512"/>
      <c r="AT221" s="512"/>
      <c r="AU221" s="512"/>
      <c r="AV221" s="554"/>
      <c r="AW221" s="554"/>
      <c r="AX221" s="594"/>
      <c r="AY221" s="512"/>
    </row>
    <row r="222" customFormat="false" ht="13.8" hidden="false" customHeight="false" outlineLevel="0" collapsed="false">
      <c r="A222" s="100" t="s">
        <v>719</v>
      </c>
      <c r="B222" s="158" t="n">
        <f aca="false">B171*B205</f>
        <v>2146.34478292</v>
      </c>
      <c r="C222" s="158" t="n">
        <f aca="false">C171*C205</f>
        <v>0</v>
      </c>
      <c r="D222" s="576" t="n">
        <f aca="false">D171*D205</f>
        <v>0</v>
      </c>
      <c r="E222" s="548"/>
      <c r="M222" s="601"/>
      <c r="AQ222" s="512"/>
      <c r="AR222" s="512"/>
      <c r="AS222" s="512"/>
      <c r="AT222" s="512"/>
      <c r="AU222" s="512"/>
      <c r="AV222" s="554"/>
      <c r="AW222" s="554"/>
      <c r="AX222" s="594"/>
      <c r="AY222" s="512"/>
    </row>
    <row r="223" customFormat="false" ht="13.8" hidden="false" customHeight="false" outlineLevel="0" collapsed="false">
      <c r="A223" s="100" t="s">
        <v>708</v>
      </c>
      <c r="B223" s="158" t="n">
        <f aca="false">B172*B206</f>
        <v>1294475.79980014</v>
      </c>
      <c r="C223" s="158" t="n">
        <f aca="false">C172*C206</f>
        <v>8675913.67400572</v>
      </c>
      <c r="D223" s="576" t="n">
        <f aca="false">D172*D206</f>
        <v>93302393.8765798</v>
      </c>
      <c r="E223" s="548"/>
      <c r="M223" s="601"/>
      <c r="AQ223" s="512"/>
      <c r="AR223" s="512"/>
      <c r="AS223" s="512"/>
      <c r="AT223" s="512"/>
      <c r="AU223" s="512"/>
      <c r="AV223" s="554"/>
      <c r="AW223" s="554"/>
      <c r="AX223" s="594"/>
      <c r="AY223" s="512"/>
    </row>
    <row r="224" customFormat="false" ht="13.8" hidden="false" customHeight="false" outlineLevel="0" collapsed="false">
      <c r="A224" s="100" t="s">
        <v>709</v>
      </c>
      <c r="B224" s="158" t="n">
        <f aca="false">B173*B207</f>
        <v>62591.3315604342</v>
      </c>
      <c r="C224" s="158" t="n">
        <f aca="false">C173*C207</f>
        <v>6989478.08256134</v>
      </c>
      <c r="D224" s="576" t="n">
        <f aca="false">D173*D207</f>
        <v>76130174.1446939</v>
      </c>
      <c r="E224" s="548"/>
      <c r="M224" s="601"/>
      <c r="AQ224" s="512"/>
      <c r="AR224" s="512"/>
      <c r="AS224" s="512"/>
      <c r="AT224" s="512"/>
      <c r="AU224" s="512"/>
      <c r="AV224" s="554"/>
      <c r="AW224" s="554"/>
      <c r="AX224" s="512"/>
      <c r="AY224" s="512"/>
    </row>
    <row r="225" customFormat="false" ht="13.8" hidden="false" customHeight="false" outlineLevel="0" collapsed="false">
      <c r="A225" s="543" t="s">
        <v>732</v>
      </c>
      <c r="B225" s="158"/>
      <c r="C225" s="158"/>
      <c r="D225" s="576"/>
      <c r="E225" s="548"/>
      <c r="M225" s="601"/>
      <c r="AQ225" s="512"/>
      <c r="AR225" s="512"/>
      <c r="AS225" s="512"/>
      <c r="AT225" s="512"/>
      <c r="AU225" s="512"/>
      <c r="AV225" s="554"/>
      <c r="AW225" s="554"/>
      <c r="AX225" s="512"/>
      <c r="AY225" s="512"/>
    </row>
    <row r="226" customFormat="false" ht="13.8" hidden="false" customHeight="false" outlineLevel="0" collapsed="false">
      <c r="A226" s="100" t="s">
        <v>704</v>
      </c>
      <c r="B226" s="158" t="n">
        <f aca="false">B175*B209</f>
        <v>129758.45085</v>
      </c>
      <c r="C226" s="158" t="n">
        <f aca="false">C175*C209</f>
        <v>32908.453294742</v>
      </c>
      <c r="D226" s="576" t="n">
        <f aca="false">D175*D209</f>
        <v>231443.744634961</v>
      </c>
      <c r="E226" s="548"/>
      <c r="AQ226" s="512"/>
      <c r="AR226" s="512"/>
      <c r="AS226" s="512"/>
      <c r="AT226" s="512"/>
      <c r="AU226" s="512"/>
      <c r="AV226" s="554"/>
      <c r="AW226" s="554"/>
      <c r="AX226" s="512"/>
      <c r="AY226" s="512"/>
    </row>
    <row r="227" customFormat="false" ht="13.8" hidden="false" customHeight="false" outlineLevel="0" collapsed="false">
      <c r="A227" s="100" t="s">
        <v>719</v>
      </c>
      <c r="B227" s="158" t="n">
        <f aca="false">B176*B210</f>
        <v>910.52598</v>
      </c>
      <c r="C227" s="158" t="n">
        <f aca="false">C176*C210</f>
        <v>0</v>
      </c>
      <c r="D227" s="576" t="n">
        <f aca="false">D176*D210</f>
        <v>0</v>
      </c>
      <c r="E227" s="548"/>
      <c r="AQ227" s="512"/>
      <c r="AR227" s="512"/>
      <c r="AS227" s="512"/>
      <c r="AT227" s="512"/>
      <c r="AU227" s="512"/>
      <c r="AV227" s="554"/>
      <c r="AW227" s="554"/>
      <c r="AX227" s="512"/>
      <c r="AY227" s="512"/>
    </row>
    <row r="228" customFormat="false" ht="13.8" hidden="false" customHeight="false" outlineLevel="0" collapsed="false">
      <c r="A228" s="100" t="s">
        <v>708</v>
      </c>
      <c r="B228" s="158" t="n">
        <f aca="false">B177*B211</f>
        <v>44261.8880114026</v>
      </c>
      <c r="C228" s="158" t="n">
        <f aca="false">C177*C211</f>
        <v>198723.721353799</v>
      </c>
      <c r="D228" s="576" t="n">
        <f aca="false">D177*D211</f>
        <v>1561285.03809538</v>
      </c>
      <c r="E228" s="548"/>
      <c r="AQ228" s="512"/>
      <c r="AR228" s="512"/>
      <c r="AS228" s="512"/>
      <c r="AT228" s="512"/>
      <c r="AU228" s="512"/>
      <c r="AV228" s="554"/>
      <c r="AW228" s="554"/>
      <c r="AX228" s="512"/>
      <c r="AY228" s="512"/>
    </row>
    <row r="229" customFormat="false" ht="13.8" hidden="false" customHeight="false" outlineLevel="0" collapsed="false">
      <c r="A229" s="250" t="s">
        <v>709</v>
      </c>
      <c r="B229" s="602" t="n">
        <f aca="false">B178*B212</f>
        <v>2140.17945213053</v>
      </c>
      <c r="C229" s="602" t="n">
        <f aca="false">C178*C212</f>
        <v>162148.803313223</v>
      </c>
      <c r="D229" s="603" t="n">
        <f aca="false">D178*D212</f>
        <v>1273931.9635993</v>
      </c>
      <c r="E229" s="548"/>
      <c r="AQ229" s="512"/>
      <c r="AR229" s="512"/>
      <c r="AS229" s="512"/>
      <c r="AT229" s="512"/>
      <c r="AU229" s="512"/>
      <c r="AV229" s="554"/>
      <c r="AW229" s="554"/>
      <c r="AX229" s="512"/>
      <c r="AY229" s="512"/>
    </row>
    <row r="230" s="282" customFormat="true" ht="13.8" hidden="false" customHeight="false" outlineLevel="0" collapsed="false">
      <c r="E230" s="548"/>
      <c r="AQ230" s="512"/>
      <c r="AR230" s="512"/>
      <c r="AS230" s="512"/>
      <c r="AT230" s="512"/>
      <c r="AU230" s="512"/>
      <c r="AV230" s="554"/>
      <c r="AW230" s="554"/>
      <c r="AX230" s="512"/>
      <c r="AY230" s="512"/>
    </row>
    <row r="231" customFormat="false" ht="13.8" hidden="false" customHeight="false" outlineLevel="0" collapsed="false">
      <c r="A231" s="557"/>
      <c r="C231" s="525"/>
      <c r="M231" s="604"/>
      <c r="AQ231" s="123"/>
      <c r="AR231" s="123"/>
      <c r="AS231" s="123"/>
      <c r="AT231" s="123"/>
      <c r="AU231" s="123"/>
      <c r="AV231" s="123"/>
      <c r="AW231" s="123"/>
      <c r="AX231" s="123"/>
      <c r="AY231" s="123"/>
    </row>
    <row r="232" customFormat="false" ht="13.8" hidden="false" customHeight="false" outlineLevel="0" collapsed="false">
      <c r="A232" s="333" t="s">
        <v>664</v>
      </c>
      <c r="D232" s="333" t="s">
        <v>411</v>
      </c>
      <c r="M232" s="604"/>
      <c r="AQ232" s="123"/>
      <c r="AR232" s="123"/>
      <c r="AS232" s="123"/>
      <c r="AT232" s="123"/>
      <c r="AU232" s="123"/>
      <c r="AV232" s="123"/>
      <c r="AW232" s="123"/>
      <c r="AX232" s="123"/>
      <c r="AY232" s="123"/>
    </row>
    <row r="233" customFormat="false" ht="13.8" hidden="false" customHeight="false" outlineLevel="0" collapsed="false">
      <c r="A233" s="605" t="s">
        <v>756</v>
      </c>
      <c r="B233" s="606" t="s">
        <v>137</v>
      </c>
      <c r="C233" s="464" t="s">
        <v>139</v>
      </c>
      <c r="D233" s="333" t="s">
        <v>137</v>
      </c>
      <c r="E233" s="333" t="s">
        <v>139</v>
      </c>
      <c r="AQ233" s="123"/>
      <c r="AR233" s="123"/>
      <c r="AS233" s="123"/>
      <c r="AT233" s="123"/>
      <c r="AU233" s="123"/>
      <c r="AV233" s="572"/>
      <c r="AW233" s="572"/>
      <c r="AX233" s="123"/>
      <c r="AY233" s="123"/>
    </row>
    <row r="234" customFormat="false" ht="13.8" hidden="false" customHeight="false" outlineLevel="0" collapsed="false">
      <c r="A234" s="499" t="n">
        <v>30</v>
      </c>
      <c r="B234" s="103" t="n">
        <v>0</v>
      </c>
      <c r="C234" s="500" t="n">
        <v>0.00442834138486312</v>
      </c>
      <c r="D234" s="282" t="s">
        <v>757</v>
      </c>
      <c r="E234" s="297" t="s">
        <v>705</v>
      </c>
      <c r="AQ234" s="123"/>
      <c r="AR234" s="123"/>
      <c r="AS234" s="123"/>
      <c r="AT234" s="123"/>
      <c r="AU234" s="123"/>
      <c r="AV234" s="123"/>
      <c r="AW234" s="123"/>
      <c r="AX234" s="123"/>
      <c r="AY234" s="123"/>
    </row>
    <row r="235" customFormat="false" ht="13.8" hidden="false" customHeight="false" outlineLevel="0" collapsed="false">
      <c r="A235" s="499" t="n">
        <v>32</v>
      </c>
      <c r="B235" s="290" t="n">
        <v>0</v>
      </c>
      <c r="C235" s="500" t="n">
        <v>0.179549114331723</v>
      </c>
      <c r="E235" s="297"/>
      <c r="M235" s="604"/>
      <c r="AQ235" s="123"/>
      <c r="AR235" s="123"/>
      <c r="AS235" s="123"/>
      <c r="AT235" s="123"/>
      <c r="AU235" s="123"/>
      <c r="AV235" s="123"/>
      <c r="AW235" s="123"/>
      <c r="AX235" s="123"/>
      <c r="AY235" s="123"/>
    </row>
    <row r="236" customFormat="false" ht="13.8" hidden="false" customHeight="false" outlineLevel="0" collapsed="false">
      <c r="A236" s="499" t="n">
        <v>35</v>
      </c>
      <c r="B236" s="290" t="n">
        <v>1</v>
      </c>
      <c r="C236" s="500" t="n">
        <v>0.785829307568438</v>
      </c>
      <c r="E236" s="297"/>
      <c r="M236" s="604"/>
      <c r="AQ236" s="607"/>
      <c r="AR236" s="607"/>
      <c r="AS236" s="607"/>
      <c r="AT236" s="123"/>
      <c r="AU236" s="123"/>
      <c r="AV236" s="123"/>
      <c r="AW236" s="123"/>
      <c r="AX236" s="123"/>
      <c r="AY236" s="123"/>
    </row>
    <row r="237" customFormat="false" ht="13.8" hidden="false" customHeight="false" outlineLevel="0" collapsed="false">
      <c r="A237" s="499" t="n">
        <v>40</v>
      </c>
      <c r="B237" s="290" t="n">
        <v>0</v>
      </c>
      <c r="C237" s="500" t="n">
        <v>0.0301932367149759</v>
      </c>
      <c r="E237" s="297"/>
      <c r="M237" s="601"/>
      <c r="AI237" s="608"/>
      <c r="AJ237" s="173"/>
      <c r="AK237" s="173"/>
      <c r="AL237" s="173"/>
      <c r="AM237" s="173"/>
      <c r="AN237" s="173"/>
      <c r="AO237" s="173"/>
      <c r="AP237" s="173"/>
      <c r="AQ237" s="555"/>
      <c r="AS237" s="173"/>
      <c r="AT237" s="123"/>
      <c r="AU237" s="123"/>
      <c r="AV237" s="123"/>
      <c r="AW237" s="123"/>
      <c r="AX237" s="123"/>
      <c r="AY237" s="123"/>
    </row>
    <row r="238" customFormat="false" ht="13.8" hidden="false" customHeight="false" outlineLevel="0" collapsed="false">
      <c r="C238" s="381"/>
      <c r="F238" s="525"/>
      <c r="G238" s="601"/>
      <c r="H238" s="545"/>
      <c r="M238" s="545"/>
      <c r="AI238" s="608"/>
      <c r="AJ238" s="609"/>
      <c r="AK238" s="555"/>
      <c r="AL238" s="555"/>
      <c r="AM238" s="555"/>
      <c r="AN238" s="123"/>
      <c r="AO238" s="610"/>
      <c r="AP238" s="173"/>
      <c r="AQ238" s="555"/>
      <c r="AS238" s="173"/>
      <c r="AT238" s="123"/>
      <c r="AU238" s="123"/>
      <c r="AV238" s="123"/>
      <c r="AW238" s="123"/>
      <c r="AX238" s="123"/>
      <c r="AY238" s="123"/>
    </row>
    <row r="239" customFormat="false" ht="13.8" hidden="false" customHeight="false" outlineLevel="0" collapsed="false">
      <c r="A239" s="543" t="s">
        <v>696</v>
      </c>
      <c r="B239" s="160" t="n">
        <v>120458000</v>
      </c>
      <c r="C239" s="550" t="n">
        <v>169917400</v>
      </c>
      <c r="D239" s="282" t="s">
        <v>697</v>
      </c>
      <c r="E239" s="282" t="s">
        <v>698</v>
      </c>
      <c r="M239" s="604"/>
      <c r="AI239" s="123"/>
      <c r="AJ239" s="565"/>
      <c r="AK239" s="565"/>
      <c r="AL239" s="565"/>
      <c r="AM239" s="565"/>
      <c r="AN239" s="565"/>
      <c r="AO239" s="565"/>
      <c r="AP239" s="565"/>
      <c r="AQ239" s="555"/>
      <c r="AR239" s="123"/>
      <c r="AS239" s="123"/>
      <c r="AT239" s="123"/>
      <c r="AU239" s="123"/>
      <c r="AV239" s="123"/>
      <c r="AW239" s="123"/>
      <c r="AX239" s="123"/>
      <c r="AY239" s="123"/>
    </row>
    <row r="240" customFormat="false" ht="13.8" hidden="false" customHeight="false" outlineLevel="0" collapsed="false">
      <c r="A240" s="543" t="s">
        <v>699</v>
      </c>
      <c r="B240" s="282" t="n">
        <v>83776240</v>
      </c>
      <c r="C240" s="381" t="n">
        <v>103185800</v>
      </c>
      <c r="D240" s="282" t="s">
        <v>697</v>
      </c>
      <c r="E240" s="282" t="s">
        <v>698</v>
      </c>
      <c r="M240" s="604"/>
      <c r="AI240" s="608"/>
      <c r="AJ240" s="555"/>
      <c r="AK240" s="555"/>
      <c r="AL240" s="555"/>
      <c r="AM240" s="555"/>
      <c r="AN240" s="555"/>
      <c r="AO240" s="555"/>
      <c r="AP240" s="555"/>
      <c r="AQ240" s="555"/>
      <c r="AR240" s="123"/>
      <c r="AS240" s="123"/>
      <c r="AT240" s="123"/>
      <c r="AU240" s="123"/>
      <c r="AV240" s="123"/>
      <c r="AW240" s="123"/>
      <c r="AX240" s="123"/>
      <c r="AY240" s="123"/>
    </row>
    <row r="241" customFormat="false" ht="13.8" hidden="false" customHeight="false" outlineLevel="0" collapsed="false">
      <c r="A241" s="162" t="s">
        <v>700</v>
      </c>
      <c r="B241" s="290" t="n">
        <v>0.031</v>
      </c>
      <c r="C241" s="500" t="n">
        <v>0.031</v>
      </c>
      <c r="D241" s="282" t="s">
        <v>584</v>
      </c>
      <c r="E241" s="282" t="s">
        <v>584</v>
      </c>
      <c r="F241" s="525"/>
      <c r="H241" s="599"/>
      <c r="AI241" s="565"/>
      <c r="AJ241" s="611"/>
      <c r="AK241" s="611"/>
      <c r="AL241" s="611"/>
      <c r="AM241" s="611"/>
      <c r="AN241" s="611"/>
      <c r="AO241" s="611"/>
      <c r="AP241" s="555"/>
      <c r="AQ241" s="555"/>
      <c r="AR241" s="123"/>
      <c r="AS241" s="123"/>
      <c r="AT241" s="123"/>
      <c r="AU241" s="123"/>
      <c r="AV241" s="123"/>
      <c r="AW241" s="123"/>
      <c r="AX241" s="123"/>
      <c r="AY241" s="123"/>
    </row>
    <row r="242" customFormat="false" ht="27.6" hidden="false" customHeight="false" outlineLevel="0" collapsed="false">
      <c r="A242" s="23" t="s">
        <v>702</v>
      </c>
      <c r="B242" s="290" t="n">
        <v>0.007</v>
      </c>
      <c r="C242" s="500" t="n">
        <v>0.007</v>
      </c>
      <c r="D242" s="282" t="s">
        <v>584</v>
      </c>
      <c r="E242" s="282" t="s">
        <v>584</v>
      </c>
      <c r="F242" s="525"/>
      <c r="G242" s="333"/>
      <c r="J242" s="612"/>
      <c r="K242" s="333"/>
      <c r="L242" s="333"/>
      <c r="AI242" s="565"/>
      <c r="AJ242" s="613"/>
      <c r="AK242" s="613"/>
      <c r="AL242" s="613"/>
      <c r="AM242" s="613"/>
      <c r="AN242" s="613"/>
      <c r="AO242" s="613"/>
      <c r="AP242" s="613"/>
      <c r="AQ242" s="123"/>
      <c r="AR242" s="614"/>
      <c r="AS242" s="512"/>
      <c r="AT242" s="507"/>
      <c r="AU242" s="507"/>
      <c r="AV242" s="614"/>
      <c r="AW242" s="123"/>
      <c r="AX242" s="555"/>
      <c r="AY242" s="555"/>
    </row>
    <row r="243" customFormat="false" ht="13.8" hidden="false" customHeight="false" outlineLevel="0" collapsed="false">
      <c r="A243" s="543" t="s">
        <v>758</v>
      </c>
      <c r="B243" s="505" t="n">
        <f aca="false">B239/B240</f>
        <v>1.43785397864597</v>
      </c>
      <c r="C243" s="556" t="n">
        <f aca="false">C239/C240</f>
        <v>1.64671301671354</v>
      </c>
      <c r="F243" s="524"/>
      <c r="J243" s="524"/>
      <c r="AI243" s="565"/>
      <c r="AJ243" s="613"/>
      <c r="AK243" s="613"/>
      <c r="AL243" s="613"/>
      <c r="AM243" s="613"/>
      <c r="AN243" s="613"/>
      <c r="AO243" s="613"/>
      <c r="AP243" s="613"/>
      <c r="AQ243" s="123"/>
      <c r="AR243" s="594"/>
      <c r="AS243" s="594"/>
      <c r="AT243" s="615"/>
      <c r="AU243" s="512"/>
      <c r="AV243" s="616"/>
      <c r="AW243" s="123"/>
      <c r="AX243" s="555"/>
      <c r="AY243" s="555"/>
    </row>
    <row r="244" customFormat="false" ht="13.8" hidden="false" customHeight="false" outlineLevel="0" collapsed="false">
      <c r="C244" s="381"/>
      <c r="F244" s="545"/>
      <c r="G244" s="601"/>
      <c r="J244" s="545"/>
      <c r="K244" s="601"/>
      <c r="L244" s="601"/>
      <c r="AI244" s="608"/>
      <c r="AJ244" s="555"/>
      <c r="AK244" s="555"/>
      <c r="AL244" s="555"/>
      <c r="AM244" s="555"/>
      <c r="AN244" s="555"/>
      <c r="AO244" s="555"/>
      <c r="AQ244" s="123"/>
      <c r="AR244" s="594"/>
      <c r="AS244" s="512"/>
      <c r="AT244" s="615"/>
      <c r="AU244" s="512"/>
      <c r="AV244" s="616"/>
      <c r="AW244" s="123"/>
      <c r="AX244" s="555"/>
      <c r="AY244" s="555"/>
    </row>
    <row r="245" customFormat="false" ht="13.8" hidden="false" customHeight="false" outlineLevel="0" collapsed="false">
      <c r="A245" s="543" t="s">
        <v>703</v>
      </c>
      <c r="B245" s="160"/>
      <c r="C245" s="381"/>
      <c r="F245" s="545"/>
      <c r="G245" s="601"/>
      <c r="J245" s="545"/>
      <c r="K245" s="601"/>
      <c r="L245" s="601"/>
      <c r="AI245" s="565"/>
      <c r="AJ245" s="555"/>
      <c r="AK245" s="555"/>
      <c r="AL245" s="555"/>
      <c r="AM245" s="555"/>
      <c r="AN245" s="555"/>
      <c r="AO245" s="555"/>
      <c r="AQ245" s="123"/>
      <c r="AR245" s="123"/>
      <c r="AS245" s="123"/>
      <c r="AT245" s="123"/>
      <c r="AU245" s="123"/>
      <c r="AV245" s="123"/>
      <c r="AW245" s="123"/>
      <c r="AX245" s="555"/>
      <c r="AY245" s="555"/>
    </row>
    <row r="246" customFormat="false" ht="13.8" hidden="false" customHeight="false" outlineLevel="0" collapsed="false">
      <c r="A246" s="100" t="s">
        <v>759</v>
      </c>
      <c r="B246" s="160" t="n">
        <f aca="false">B240/((1-B241)*(1-B242))</f>
        <v>87065848.9716977</v>
      </c>
      <c r="C246" s="550" t="n">
        <f aca="false">C240/((1-C241)*(1-C242))</f>
        <v>107237556.601058</v>
      </c>
      <c r="G246" s="601"/>
      <c r="K246" s="601"/>
      <c r="L246" s="601"/>
      <c r="AI246" s="608"/>
      <c r="AJ246" s="617"/>
      <c r="AK246" s="617"/>
      <c r="AL246" s="617"/>
      <c r="AM246" s="617"/>
      <c r="AN246" s="617"/>
      <c r="AO246" s="123"/>
      <c r="AP246" s="123"/>
      <c r="AQ246" s="123"/>
      <c r="AR246" s="123"/>
      <c r="AS246" s="123"/>
      <c r="AT246" s="123"/>
      <c r="AU246" s="123"/>
      <c r="AV246" s="123"/>
      <c r="AW246" s="123"/>
      <c r="AX246" s="555"/>
      <c r="AY246" s="555"/>
    </row>
    <row r="247" customFormat="false" ht="13.8" hidden="false" customHeight="false" outlineLevel="0" collapsed="false">
      <c r="A247" s="100" t="s">
        <v>760</v>
      </c>
      <c r="B247" s="160" t="n">
        <v>854478.728652753</v>
      </c>
      <c r="C247" s="550" t="n">
        <v>1052447.22368797</v>
      </c>
      <c r="D247" s="395" t="s">
        <v>761</v>
      </c>
      <c r="E247" s="282" t="s">
        <v>761</v>
      </c>
      <c r="G247" s="601"/>
      <c r="K247" s="601"/>
      <c r="L247" s="601"/>
      <c r="AI247" s="608"/>
      <c r="AJ247" s="555"/>
      <c r="AK247" s="555"/>
      <c r="AL247" s="618"/>
      <c r="AM247" s="618"/>
      <c r="AN247" s="555"/>
      <c r="AO247" s="123"/>
      <c r="AP247" s="555"/>
      <c r="AQ247" s="555"/>
      <c r="AR247" s="123"/>
      <c r="AS247" s="123"/>
      <c r="AT247" s="123"/>
      <c r="AU247" s="123"/>
      <c r="AV247" s="123"/>
      <c r="AW247" s="123"/>
      <c r="AX247" s="555"/>
      <c r="AY247" s="555"/>
    </row>
    <row r="248" customFormat="false" ht="13.8" hidden="false" customHeight="false" outlineLevel="0" collapsed="false">
      <c r="C248" s="381"/>
      <c r="F248" s="524"/>
      <c r="J248" s="524"/>
      <c r="AI248" s="608"/>
      <c r="AJ248" s="555"/>
      <c r="AK248" s="555"/>
      <c r="AL248" s="555"/>
      <c r="AM248" s="555"/>
      <c r="AN248" s="555"/>
      <c r="AO248" s="555"/>
      <c r="AP248" s="555"/>
      <c r="AQ248" s="555"/>
      <c r="AR248" s="123"/>
      <c r="AS248" s="123"/>
      <c r="AT248" s="123"/>
      <c r="AU248" s="123"/>
      <c r="AV248" s="123"/>
      <c r="AW248" s="123"/>
      <c r="AX248" s="555"/>
      <c r="AY248" s="555"/>
    </row>
    <row r="249" customFormat="false" ht="13.8" hidden="false" customHeight="false" outlineLevel="0" collapsed="false">
      <c r="A249" s="543" t="s">
        <v>714</v>
      </c>
      <c r="B249" s="333"/>
      <c r="C249" s="568"/>
      <c r="F249" s="545"/>
      <c r="J249" s="545"/>
      <c r="AI249" s="481"/>
      <c r="AJ249" s="481"/>
      <c r="AK249" s="283"/>
      <c r="AL249" s="123"/>
      <c r="AM249" s="123"/>
      <c r="AN249" s="555"/>
      <c r="AO249" s="123"/>
      <c r="AP249" s="555"/>
      <c r="AQ249" s="555"/>
      <c r="AR249" s="123"/>
      <c r="AS249" s="123"/>
      <c r="AT249" s="123"/>
      <c r="AU249" s="123"/>
      <c r="AV249" s="123"/>
      <c r="AW249" s="123"/>
      <c r="AX249" s="555"/>
      <c r="AY249" s="555"/>
    </row>
    <row r="250" customFormat="false" ht="13.8" hidden="false" customHeight="false" outlineLevel="0" collapsed="false">
      <c r="A250" s="100" t="s">
        <v>762</v>
      </c>
      <c r="B250" s="101" t="n">
        <v>2.5</v>
      </c>
      <c r="C250" s="546" t="n">
        <v>2.5</v>
      </c>
      <c r="D250" s="282" t="s">
        <v>757</v>
      </c>
      <c r="E250" s="282" t="s">
        <v>757</v>
      </c>
      <c r="H250" s="599"/>
    </row>
    <row r="251" customFormat="false" ht="13.8" hidden="false" customHeight="false" outlineLevel="0" collapsed="false">
      <c r="A251" s="100" t="s">
        <v>763</v>
      </c>
      <c r="B251" s="282" t="n">
        <v>63</v>
      </c>
      <c r="C251" s="381" t="n">
        <v>63</v>
      </c>
      <c r="D251" s="282" t="s">
        <v>757</v>
      </c>
      <c r="E251" s="282" t="s">
        <v>757</v>
      </c>
      <c r="H251" s="599"/>
    </row>
    <row r="252" customFormat="false" ht="13.8" hidden="false" customHeight="false" outlineLevel="0" collapsed="false">
      <c r="A252" s="100" t="s">
        <v>720</v>
      </c>
      <c r="B252" s="549" t="n">
        <f aca="false">(B250*B239/B240*B246+B247*B251)/B239</f>
        <v>3.04506220654075</v>
      </c>
      <c r="C252" s="580" t="n">
        <f aca="false">(C250*C239/C240*C246+C247*C251)/C239</f>
        <v>2.98838068338578</v>
      </c>
      <c r="D252" s="282" t="s">
        <v>757</v>
      </c>
      <c r="E252" s="282" t="s">
        <v>757</v>
      </c>
      <c r="H252" s="599"/>
    </row>
    <row r="253" customFormat="false" ht="13.8" hidden="false" customHeight="false" outlineLevel="0" collapsed="false">
      <c r="C253" s="381"/>
      <c r="H253" s="599"/>
    </row>
    <row r="254" customFormat="false" ht="13.8" hidden="false" customHeight="false" outlineLevel="0" collapsed="false">
      <c r="A254" s="543" t="s">
        <v>721</v>
      </c>
      <c r="C254" s="581" t="s">
        <v>723</v>
      </c>
      <c r="H254" s="599"/>
    </row>
    <row r="255" customFormat="false" ht="13.8" hidden="false" customHeight="false" outlineLevel="0" collapsed="false">
      <c r="A255" s="100" t="s">
        <v>764</v>
      </c>
      <c r="C255" s="574" t="n">
        <v>0.02</v>
      </c>
      <c r="E255" s="297" t="s">
        <v>705</v>
      </c>
      <c r="H255" s="599"/>
    </row>
    <row r="256" customFormat="false" ht="13.8" hidden="false" customHeight="false" outlineLevel="0" collapsed="false">
      <c r="A256" s="100" t="s">
        <v>765</v>
      </c>
      <c r="C256" s="500" t="n">
        <v>0.0450636933662442</v>
      </c>
      <c r="E256" s="297" t="s">
        <v>705</v>
      </c>
      <c r="H256" s="599"/>
    </row>
    <row r="257" customFormat="false" ht="13.8" hidden="false" customHeight="false" outlineLevel="0" collapsed="false">
      <c r="C257" s="381"/>
      <c r="H257" s="599"/>
    </row>
    <row r="258" customFormat="false" ht="13.8" hidden="false" customHeight="false" outlineLevel="0" collapsed="false">
      <c r="A258" s="543" t="s">
        <v>766</v>
      </c>
      <c r="B258" s="160"/>
      <c r="C258" s="550"/>
      <c r="H258" s="599"/>
    </row>
    <row r="259" customFormat="false" ht="13.8" hidden="false" customHeight="false" outlineLevel="0" collapsed="false">
      <c r="A259" s="584" t="s">
        <v>726</v>
      </c>
      <c r="B259" s="619"/>
      <c r="C259" s="620"/>
      <c r="H259" s="599"/>
    </row>
    <row r="260" customFormat="false" ht="13.8" hidden="false" customHeight="false" outlineLevel="0" collapsed="false">
      <c r="A260" s="584" t="s">
        <v>727</v>
      </c>
      <c r="B260" s="619"/>
      <c r="C260" s="620"/>
      <c r="H260" s="599"/>
    </row>
    <row r="261" customFormat="false" ht="13.8" hidden="false" customHeight="false" outlineLevel="0" collapsed="false">
      <c r="A261" s="543" t="s">
        <v>728</v>
      </c>
      <c r="B261" s="619"/>
      <c r="C261" s="381"/>
      <c r="H261" s="599"/>
    </row>
    <row r="262" customFormat="false" ht="13.8" hidden="false" customHeight="false" outlineLevel="0" collapsed="false">
      <c r="A262" s="531" t="s">
        <v>759</v>
      </c>
      <c r="C262" s="586" t="n">
        <f aca="false">C$255*$A$236*C$246*C273</f>
        <v>75066289.6207404</v>
      </c>
      <c r="H262" s="599"/>
    </row>
    <row r="263" customFormat="false" ht="13.8" hidden="false" customHeight="false" outlineLevel="0" collapsed="false">
      <c r="A263" s="531" t="s">
        <v>760</v>
      </c>
      <c r="C263" s="381" t="n">
        <f aca="false">C$256*365*C$247*C274</f>
        <v>17310913.0249369</v>
      </c>
    </row>
    <row r="264" customFormat="false" ht="13.8" hidden="false" customHeight="false" outlineLevel="0" collapsed="false">
      <c r="A264" s="100"/>
      <c r="B264" s="101"/>
      <c r="C264" s="381"/>
    </row>
    <row r="265" customFormat="false" ht="13.8" hidden="false" customHeight="false" outlineLevel="0" collapsed="false">
      <c r="A265" s="543" t="s">
        <v>729</v>
      </c>
      <c r="B265" s="528"/>
      <c r="C265" s="568"/>
    </row>
    <row r="266" customFormat="false" ht="13.8" hidden="false" customHeight="false" outlineLevel="0" collapsed="false">
      <c r="A266" s="543" t="s">
        <v>730</v>
      </c>
      <c r="C266" s="381"/>
    </row>
    <row r="267" customFormat="false" ht="13.8" hidden="false" customHeight="false" outlineLevel="0" collapsed="false">
      <c r="A267" s="162" t="s">
        <v>759</v>
      </c>
      <c r="B267" s="158" t="n">
        <v>0</v>
      </c>
      <c r="C267" s="576" t="n">
        <v>0</v>
      </c>
      <c r="D267" s="297" t="s">
        <v>713</v>
      </c>
      <c r="E267" s="297" t="s">
        <v>705</v>
      </c>
    </row>
    <row r="268" customFormat="false" ht="13.8" hidden="false" customHeight="false" outlineLevel="0" collapsed="false">
      <c r="A268" s="162" t="s">
        <v>760</v>
      </c>
      <c r="B268" s="505" t="n">
        <v>0.78</v>
      </c>
      <c r="C268" s="550" t="n">
        <v>0</v>
      </c>
      <c r="D268" s="297" t="s">
        <v>713</v>
      </c>
      <c r="E268" s="297" t="s">
        <v>705</v>
      </c>
    </row>
    <row r="269" customFormat="false" ht="13.8" hidden="false" customHeight="false" outlineLevel="0" collapsed="false">
      <c r="A269" s="543" t="s">
        <v>731</v>
      </c>
      <c r="B269" s="549"/>
      <c r="C269" s="550"/>
    </row>
    <row r="270" customFormat="false" ht="13.8" hidden="false" customHeight="false" outlineLevel="0" collapsed="false">
      <c r="A270" s="162" t="s">
        <v>759</v>
      </c>
      <c r="B270" s="158" t="n">
        <v>0</v>
      </c>
      <c r="C270" s="576" t="n">
        <v>0</v>
      </c>
      <c r="D270" s="297" t="s">
        <v>713</v>
      </c>
      <c r="E270" s="297" t="s">
        <v>705</v>
      </c>
    </row>
    <row r="271" customFormat="false" ht="13.8" hidden="false" customHeight="false" outlineLevel="0" collapsed="false">
      <c r="A271" s="162" t="s">
        <v>760</v>
      </c>
      <c r="B271" s="505" t="n">
        <v>0.09</v>
      </c>
      <c r="C271" s="550" t="n">
        <v>0</v>
      </c>
      <c r="D271" s="297" t="s">
        <v>713</v>
      </c>
      <c r="E271" s="297" t="s">
        <v>705</v>
      </c>
    </row>
    <row r="272" customFormat="false" ht="13.8" hidden="false" customHeight="false" outlineLevel="0" collapsed="false">
      <c r="A272" s="543" t="s">
        <v>732</v>
      </c>
      <c r="B272" s="549"/>
      <c r="C272" s="556"/>
    </row>
    <row r="273" customFormat="false" ht="13.8" hidden="false" customHeight="false" outlineLevel="0" collapsed="false">
      <c r="A273" s="162" t="s">
        <v>759</v>
      </c>
      <c r="B273" s="549" t="n">
        <v>1</v>
      </c>
      <c r="C273" s="580" t="n">
        <v>1</v>
      </c>
      <c r="D273" s="297" t="s">
        <v>713</v>
      </c>
      <c r="E273" s="297" t="s">
        <v>705</v>
      </c>
    </row>
    <row r="274" customFormat="false" ht="13.8" hidden="false" customHeight="false" outlineLevel="0" collapsed="false">
      <c r="A274" s="162" t="s">
        <v>760</v>
      </c>
      <c r="B274" s="505" t="n">
        <v>0.13</v>
      </c>
      <c r="C274" s="556" t="n">
        <v>1</v>
      </c>
      <c r="D274" s="297" t="s">
        <v>713</v>
      </c>
      <c r="E274" s="297" t="s">
        <v>705</v>
      </c>
    </row>
    <row r="275" customFormat="false" ht="13.8" hidden="false" customHeight="false" outlineLevel="0" collapsed="false">
      <c r="C275" s="381"/>
    </row>
    <row r="276" customFormat="false" ht="13.8" hidden="false" customHeight="false" outlineLevel="0" collapsed="false">
      <c r="A276" s="165" t="s">
        <v>733</v>
      </c>
      <c r="B276" s="528"/>
      <c r="C276" s="568"/>
    </row>
    <row r="277" customFormat="false" ht="13.8" hidden="false" customHeight="false" outlineLevel="0" collapsed="false">
      <c r="A277" s="100" t="s">
        <v>767</v>
      </c>
      <c r="B277" s="103" t="n">
        <v>0.29</v>
      </c>
      <c r="C277" s="574" t="n">
        <v>0.534</v>
      </c>
      <c r="D277" s="297" t="s">
        <v>713</v>
      </c>
      <c r="E277" s="297" t="s">
        <v>705</v>
      </c>
    </row>
    <row r="278" customFormat="false" ht="13.8" hidden="false" customHeight="false" outlineLevel="0" collapsed="false">
      <c r="A278" s="100" t="s">
        <v>768</v>
      </c>
      <c r="B278" s="103" t="n">
        <v>0.632</v>
      </c>
      <c r="C278" s="574" t="n">
        <v>0.534</v>
      </c>
      <c r="D278" s="297" t="s">
        <v>713</v>
      </c>
      <c r="E278" s="297" t="s">
        <v>705</v>
      </c>
    </row>
    <row r="279" customFormat="false" ht="13.8" hidden="false" customHeight="false" outlineLevel="0" collapsed="false">
      <c r="A279" s="165" t="s">
        <v>769</v>
      </c>
      <c r="B279" s="549"/>
      <c r="C279" s="550"/>
    </row>
    <row r="280" customFormat="false" ht="13.8" hidden="false" customHeight="false" outlineLevel="0" collapsed="false">
      <c r="A280" s="584" t="s">
        <v>726</v>
      </c>
      <c r="B280" s="582"/>
      <c r="C280" s="381"/>
    </row>
    <row r="281" customFormat="false" ht="13.8" hidden="false" customHeight="false" outlineLevel="0" collapsed="false">
      <c r="A281" s="590" t="s">
        <v>759</v>
      </c>
      <c r="B281" s="591" t="n">
        <f aca="false">B$277*B$246*B267*A236/365</f>
        <v>0</v>
      </c>
      <c r="C281" s="592" t="n">
        <v>0</v>
      </c>
    </row>
    <row r="282" customFormat="false" ht="13.8" hidden="false" customHeight="false" outlineLevel="0" collapsed="false">
      <c r="A282" s="590" t="s">
        <v>760</v>
      </c>
      <c r="B282" s="591" t="n">
        <f aca="false">B$278*B$247*B268</f>
        <v>421223.834076661</v>
      </c>
      <c r="C282" s="592" t="n">
        <v>0</v>
      </c>
    </row>
    <row r="283" customFormat="false" ht="13.8" hidden="false" customHeight="false" outlineLevel="0" collapsed="false">
      <c r="A283" s="584" t="s">
        <v>727</v>
      </c>
      <c r="B283" s="582"/>
      <c r="C283" s="381"/>
    </row>
    <row r="284" customFormat="false" ht="13.8" hidden="false" customHeight="false" outlineLevel="0" collapsed="false">
      <c r="A284" s="590" t="s">
        <v>759</v>
      </c>
      <c r="B284" s="591" t="n">
        <f aca="false">B$277*B$246*B270*A236/365</f>
        <v>0</v>
      </c>
      <c r="C284" s="592" t="n">
        <v>0</v>
      </c>
    </row>
    <row r="285" customFormat="false" ht="13.8" hidden="false" customHeight="false" outlineLevel="0" collapsed="false">
      <c r="A285" s="590" t="s">
        <v>760</v>
      </c>
      <c r="B285" s="591" t="n">
        <f aca="false">B$278*B$247*B271</f>
        <v>48602.7500857686</v>
      </c>
      <c r="C285" s="592" t="n">
        <v>0</v>
      </c>
    </row>
    <row r="286" customFormat="false" ht="13.8" hidden="false" customHeight="false" outlineLevel="0" collapsed="false">
      <c r="A286" s="584" t="s">
        <v>728</v>
      </c>
      <c r="B286" s="582"/>
      <c r="C286" s="381"/>
    </row>
    <row r="287" customFormat="false" ht="13.8" hidden="false" customHeight="false" outlineLevel="0" collapsed="false">
      <c r="A287" s="590" t="s">
        <v>759</v>
      </c>
      <c r="B287" s="591" t="n">
        <f aca="false">B$277*B$246*B273*A236/365</f>
        <v>2421146.21113077</v>
      </c>
      <c r="C287" s="592" t="n">
        <f aca="false">C$277*C$246*C273*(A234/365*C234+A235/365*C235+A236/365*C236+A237/365*C237)</f>
        <v>5426853.38565662</v>
      </c>
    </row>
    <row r="288" customFormat="false" ht="13.8" hidden="false" customHeight="false" outlineLevel="0" collapsed="false">
      <c r="A288" s="590" t="s">
        <v>760</v>
      </c>
      <c r="B288" s="591" t="n">
        <f aca="false">B$278*B$247*B274</f>
        <v>70203.9723461102</v>
      </c>
      <c r="C288" s="592" t="n">
        <f aca="false">C$278*C$247*C274</f>
        <v>562006.817449377</v>
      </c>
    </row>
    <row r="289" customFormat="false" ht="13.8" hidden="false" customHeight="false" outlineLevel="0" collapsed="false">
      <c r="A289" s="590"/>
      <c r="B289" s="582"/>
      <c r="C289" s="381"/>
    </row>
    <row r="290" customFormat="false" ht="13.8" hidden="false" customHeight="false" outlineLevel="0" collapsed="false">
      <c r="A290" s="543" t="s">
        <v>770</v>
      </c>
      <c r="C290" s="568"/>
    </row>
    <row r="291" customFormat="false" ht="13.8" hidden="false" customHeight="false" outlineLevel="0" collapsed="false">
      <c r="A291" s="453" t="s">
        <v>771</v>
      </c>
      <c r="C291" s="621" t="n">
        <v>0.015</v>
      </c>
      <c r="E291" s="297" t="s">
        <v>705</v>
      </c>
    </row>
    <row r="292" customFormat="false" ht="13.8" hidden="false" customHeight="false" outlineLevel="0" collapsed="false">
      <c r="C292" s="381"/>
      <c r="E292" s="297"/>
    </row>
    <row r="293" customFormat="false" ht="13.8" hidden="false" customHeight="false" outlineLevel="0" collapsed="false">
      <c r="A293" s="165" t="s">
        <v>772</v>
      </c>
      <c r="B293" s="528"/>
      <c r="C293" s="381"/>
    </row>
    <row r="294" customFormat="false" ht="13.8" hidden="false" customHeight="false" outlineLevel="0" collapsed="false">
      <c r="A294" s="100" t="s">
        <v>767</v>
      </c>
      <c r="B294" s="290" t="n">
        <v>0.04156</v>
      </c>
      <c r="C294" s="568"/>
      <c r="D294" s="297" t="s">
        <v>713</v>
      </c>
    </row>
    <row r="295" customFormat="false" ht="13.8" hidden="false" customHeight="false" outlineLevel="0" collapsed="false">
      <c r="A295" s="100" t="s">
        <v>768</v>
      </c>
      <c r="B295" s="290" t="n">
        <v>0.04556</v>
      </c>
      <c r="C295" s="381"/>
      <c r="D295" s="297" t="s">
        <v>713</v>
      </c>
    </row>
    <row r="296" customFormat="false" ht="13.8" hidden="false" customHeight="false" outlineLevel="0" collapsed="false">
      <c r="A296" s="100" t="s">
        <v>773</v>
      </c>
      <c r="B296" s="160" t="n">
        <f aca="false">B294*B246*A236/365+B295*B247</f>
        <v>385905.349272574</v>
      </c>
      <c r="C296" s="381"/>
    </row>
    <row r="297" customFormat="false" ht="13.8" hidden="false" customHeight="false" outlineLevel="0" collapsed="false">
      <c r="C297" s="381"/>
    </row>
    <row r="298" customFormat="false" ht="13.8" hidden="false" customHeight="false" outlineLevel="0" collapsed="false">
      <c r="A298" s="162" t="s">
        <v>741</v>
      </c>
      <c r="B298" s="103" t="n">
        <v>0.005</v>
      </c>
      <c r="C298" s="500"/>
      <c r="D298" s="297" t="s">
        <v>713</v>
      </c>
    </row>
    <row r="299" customFormat="false" ht="13.8" hidden="false" customHeight="false" outlineLevel="0" collapsed="false">
      <c r="A299" s="100" t="s">
        <v>742</v>
      </c>
      <c r="B299" s="103" t="n">
        <v>0.005</v>
      </c>
      <c r="C299" s="500"/>
      <c r="D299" s="297" t="s">
        <v>713</v>
      </c>
    </row>
    <row r="300" customFormat="false" ht="13.8" hidden="false" customHeight="false" outlineLevel="0" collapsed="false">
      <c r="A300" s="453" t="s">
        <v>774</v>
      </c>
      <c r="B300" s="103" t="n">
        <v>0.01</v>
      </c>
      <c r="C300" s="574" t="n">
        <v>0.01</v>
      </c>
      <c r="D300" s="297" t="s">
        <v>713</v>
      </c>
      <c r="E300" s="297" t="s">
        <v>705</v>
      </c>
    </row>
    <row r="301" customFormat="false" ht="13.8" hidden="false" customHeight="false" outlineLevel="0" collapsed="false">
      <c r="A301" s="100" t="s">
        <v>744</v>
      </c>
      <c r="B301" s="103" t="n">
        <f aca="false">0.01</f>
        <v>0.01</v>
      </c>
      <c r="C301" s="574" t="n">
        <f aca="false">0.01</f>
        <v>0.01</v>
      </c>
      <c r="D301" s="297" t="s">
        <v>713</v>
      </c>
      <c r="E301" s="297" t="s">
        <v>705</v>
      </c>
    </row>
    <row r="302" customFormat="false" ht="13.8" hidden="false" customHeight="false" outlineLevel="0" collapsed="false">
      <c r="A302" s="162" t="s">
        <v>745</v>
      </c>
      <c r="B302" s="290"/>
      <c r="C302" s="500" t="n">
        <v>1</v>
      </c>
      <c r="D302" s="297"/>
      <c r="E302" s="297" t="s">
        <v>705</v>
      </c>
    </row>
    <row r="303" customFormat="false" ht="13.8" hidden="false" customHeight="false" outlineLevel="0" collapsed="false">
      <c r="A303" s="282" t="s">
        <v>746</v>
      </c>
      <c r="B303" s="290"/>
      <c r="C303" s="500" t="n">
        <v>0.67</v>
      </c>
      <c r="D303" s="297"/>
      <c r="E303" s="297" t="s">
        <v>747</v>
      </c>
    </row>
    <row r="304" customFormat="false" ht="13.8" hidden="false" customHeight="false" outlineLevel="0" collapsed="false">
      <c r="A304" s="162" t="s">
        <v>775</v>
      </c>
      <c r="B304" s="290"/>
      <c r="C304" s="574" t="n">
        <v>0.36</v>
      </c>
      <c r="D304" s="297"/>
      <c r="E304" s="297" t="s">
        <v>705</v>
      </c>
    </row>
    <row r="305" customFormat="false" ht="13.8" hidden="false" customHeight="false" outlineLevel="0" collapsed="false">
      <c r="A305" s="162" t="s">
        <v>776</v>
      </c>
      <c r="B305" s="290"/>
      <c r="C305" s="574" t="n">
        <v>0.39</v>
      </c>
      <c r="E305" s="297" t="s">
        <v>705</v>
      </c>
    </row>
    <row r="306" customFormat="false" ht="13.8" hidden="false" customHeight="false" outlineLevel="0" collapsed="false">
      <c r="C306" s="381"/>
    </row>
    <row r="307" customFormat="false" ht="13.8" hidden="false" customHeight="false" outlineLevel="0" collapsed="false">
      <c r="A307" s="165" t="s">
        <v>750</v>
      </c>
      <c r="B307" s="333"/>
      <c r="C307" s="381"/>
    </row>
    <row r="308" customFormat="false" ht="13.8" hidden="false" customHeight="false" outlineLevel="0" collapsed="false">
      <c r="A308" s="165" t="s">
        <v>751</v>
      </c>
      <c r="C308" s="381"/>
    </row>
    <row r="309" customFormat="false" ht="13.8" hidden="false" customHeight="false" outlineLevel="0" collapsed="false">
      <c r="A309" s="100" t="s">
        <v>759</v>
      </c>
      <c r="B309" s="103" t="n">
        <v>0</v>
      </c>
      <c r="C309" s="574" t="n">
        <v>0</v>
      </c>
      <c r="D309" s="297" t="s">
        <v>752</v>
      </c>
      <c r="E309" s="297" t="s">
        <v>705</v>
      </c>
    </row>
    <row r="310" customFormat="false" ht="13.8" hidden="false" customHeight="false" outlineLevel="0" collapsed="false">
      <c r="A310" s="100" t="s">
        <v>760</v>
      </c>
      <c r="B310" s="103" t="n">
        <v>0.137125</v>
      </c>
      <c r="C310" s="574" t="n">
        <v>0</v>
      </c>
      <c r="D310" s="297" t="s">
        <v>752</v>
      </c>
      <c r="E310" s="297" t="s">
        <v>705</v>
      </c>
    </row>
    <row r="311" customFormat="false" ht="13.8" hidden="false" customHeight="false" outlineLevel="0" collapsed="false">
      <c r="A311" s="165" t="s">
        <v>754</v>
      </c>
      <c r="C311" s="381"/>
      <c r="E311" s="297"/>
    </row>
    <row r="312" customFormat="false" ht="13.8" hidden="false" customHeight="false" outlineLevel="0" collapsed="false">
      <c r="A312" s="100" t="s">
        <v>759</v>
      </c>
      <c r="B312" s="103" t="n">
        <v>0.12</v>
      </c>
      <c r="C312" s="574" t="n">
        <v>0</v>
      </c>
      <c r="D312" s="297" t="s">
        <v>752</v>
      </c>
      <c r="E312" s="297" t="s">
        <v>705</v>
      </c>
    </row>
    <row r="313" customFormat="false" ht="13.8" hidden="false" customHeight="false" outlineLevel="0" collapsed="false">
      <c r="A313" s="100" t="s">
        <v>760</v>
      </c>
      <c r="B313" s="103" t="n">
        <v>0.208</v>
      </c>
      <c r="C313" s="574" t="n">
        <v>0</v>
      </c>
      <c r="D313" s="297" t="s">
        <v>752</v>
      </c>
      <c r="E313" s="297" t="s">
        <v>705</v>
      </c>
    </row>
    <row r="314" customFormat="false" ht="13.8" hidden="false" customHeight="false" outlineLevel="0" collapsed="false">
      <c r="A314" s="165" t="s">
        <v>732</v>
      </c>
      <c r="C314" s="574"/>
      <c r="E314" s="297"/>
    </row>
    <row r="315" customFormat="false" ht="13.8" hidden="false" customHeight="false" outlineLevel="0" collapsed="false">
      <c r="A315" s="100" t="s">
        <v>759</v>
      </c>
      <c r="B315" s="103" t="n">
        <v>0.24</v>
      </c>
      <c r="C315" s="574" t="n">
        <v>0.13324</v>
      </c>
      <c r="D315" s="297" t="s">
        <v>752</v>
      </c>
      <c r="E315" s="297" t="s">
        <v>705</v>
      </c>
    </row>
    <row r="316" customFormat="false" ht="13.8" hidden="false" customHeight="false" outlineLevel="0" collapsed="false">
      <c r="A316" s="100" t="s">
        <v>760</v>
      </c>
      <c r="B316" s="103" t="n">
        <v>0.48</v>
      </c>
      <c r="C316" s="574" t="n">
        <v>0.13324</v>
      </c>
      <c r="D316" s="297" t="s">
        <v>752</v>
      </c>
      <c r="E316" s="297" t="s">
        <v>705</v>
      </c>
    </row>
    <row r="317" customFormat="false" ht="13.8" hidden="false" customHeight="false" outlineLevel="0" collapsed="false">
      <c r="C317" s="574"/>
      <c r="E317" s="297"/>
    </row>
    <row r="318" customFormat="false" ht="13.8" hidden="false" customHeight="false" outlineLevel="0" collapsed="false">
      <c r="A318" s="165" t="s">
        <v>755</v>
      </c>
      <c r="B318" s="103"/>
      <c r="C318" s="381"/>
    </row>
    <row r="319" customFormat="false" ht="13.8" hidden="false" customHeight="false" outlineLevel="0" collapsed="false">
      <c r="A319" s="543" t="s">
        <v>730</v>
      </c>
      <c r="B319" s="103"/>
      <c r="C319" s="381"/>
    </row>
    <row r="320" customFormat="false" ht="13.8" hidden="false" customHeight="false" outlineLevel="0" collapsed="false">
      <c r="A320" s="100" t="s">
        <v>759</v>
      </c>
      <c r="B320" s="158" t="n">
        <f aca="false">B281*B309</f>
        <v>0</v>
      </c>
      <c r="C320" s="576" t="n">
        <f aca="false">C281*C309</f>
        <v>0</v>
      </c>
    </row>
    <row r="321" customFormat="false" ht="13.8" hidden="false" customHeight="false" outlineLevel="0" collapsed="false">
      <c r="A321" s="100" t="s">
        <v>760</v>
      </c>
      <c r="B321" s="158" t="n">
        <f aca="false">B282*B310</f>
        <v>57760.3182477621</v>
      </c>
      <c r="C321" s="576" t="n">
        <f aca="false">C282*C310</f>
        <v>0</v>
      </c>
    </row>
    <row r="322" customFormat="false" ht="13.8" hidden="false" customHeight="false" outlineLevel="0" collapsed="false">
      <c r="A322" s="543" t="s">
        <v>731</v>
      </c>
      <c r="B322" s="103"/>
      <c r="C322" s="381"/>
    </row>
    <row r="323" customFormat="false" ht="13.8" hidden="false" customHeight="false" outlineLevel="0" collapsed="false">
      <c r="A323" s="100" t="s">
        <v>759</v>
      </c>
      <c r="B323" s="158" t="n">
        <f aca="false">B284*B312</f>
        <v>0</v>
      </c>
      <c r="C323" s="576" t="n">
        <f aca="false">C284*C312</f>
        <v>0</v>
      </c>
    </row>
    <row r="324" customFormat="false" ht="13.8" hidden="false" customHeight="false" outlineLevel="0" collapsed="false">
      <c r="A324" s="100" t="s">
        <v>760</v>
      </c>
      <c r="B324" s="158" t="n">
        <f aca="false">B285*B313</f>
        <v>10109.3720178399</v>
      </c>
      <c r="C324" s="576" t="n">
        <f aca="false">C285*C313</f>
        <v>0</v>
      </c>
    </row>
    <row r="325" customFormat="false" ht="13.8" hidden="false" customHeight="false" outlineLevel="0" collapsed="false">
      <c r="A325" s="543" t="s">
        <v>732</v>
      </c>
      <c r="B325" s="103"/>
      <c r="C325" s="546"/>
    </row>
    <row r="326" customFormat="false" ht="13.8" hidden="false" customHeight="false" outlineLevel="0" collapsed="false">
      <c r="A326" s="100" t="s">
        <v>759</v>
      </c>
      <c r="B326" s="158" t="n">
        <f aca="false">B287*B315</f>
        <v>581075.090671385</v>
      </c>
      <c r="C326" s="576" t="n">
        <f aca="false">C287*C315</f>
        <v>723073.945104889</v>
      </c>
    </row>
    <row r="327" customFormat="false" ht="13.8" hidden="false" customHeight="false" outlineLevel="0" collapsed="false">
      <c r="A327" s="250" t="s">
        <v>760</v>
      </c>
      <c r="B327" s="602" t="n">
        <f aca="false">B288*B316</f>
        <v>33697.9067261329</v>
      </c>
      <c r="C327" s="603" t="n">
        <f aca="false">C288*C316</f>
        <v>74881.7883569551</v>
      </c>
    </row>
    <row r="329" customFormat="false" ht="13.8" hidden="false" customHeight="false" outlineLevel="0" collapsed="false">
      <c r="A329" s="333" t="s">
        <v>665</v>
      </c>
    </row>
    <row r="330" customFormat="false" ht="13.8" hidden="false" customHeight="false" outlineLevel="0" collapsed="false">
      <c r="A330" s="472"/>
      <c r="B330" s="464" t="s">
        <v>137</v>
      </c>
      <c r="C330" s="333" t="s">
        <v>411</v>
      </c>
    </row>
    <row r="331" customFormat="false" ht="13.8" hidden="false" customHeight="false" outlineLevel="0" collapsed="false">
      <c r="A331" s="622" t="s">
        <v>777</v>
      </c>
      <c r="B331" s="546" t="n">
        <f aca="false">16*7</f>
        <v>112</v>
      </c>
      <c r="C331" s="282" t="s">
        <v>757</v>
      </c>
    </row>
    <row r="332" customFormat="false" ht="13.8" hidden="false" customHeight="false" outlineLevel="0" collapsed="false">
      <c r="A332" s="622" t="s">
        <v>778</v>
      </c>
      <c r="B332" s="478" t="n">
        <f aca="false">60*7</f>
        <v>420</v>
      </c>
      <c r="C332" s="282" t="s">
        <v>757</v>
      </c>
    </row>
    <row r="333" customFormat="false" ht="13.8" hidden="false" customHeight="false" outlineLevel="0" collapsed="false">
      <c r="A333" s="100" t="s">
        <v>779</v>
      </c>
      <c r="B333" s="623" t="n">
        <f aca="false">SUM(B331:B332)</f>
        <v>532</v>
      </c>
      <c r="C333" s="282" t="s">
        <v>757</v>
      </c>
    </row>
    <row r="334" customFormat="false" ht="13.8" hidden="false" customHeight="false" outlineLevel="0" collapsed="false">
      <c r="B334" s="381"/>
    </row>
    <row r="335" customFormat="false" ht="13.8" hidden="false" customHeight="false" outlineLevel="0" collapsed="false">
      <c r="A335" s="162" t="s">
        <v>780</v>
      </c>
      <c r="B335" s="381" t="n">
        <v>180046586.035497</v>
      </c>
      <c r="C335" s="455" t="s">
        <v>781</v>
      </c>
      <c r="D335" s="543"/>
    </row>
    <row r="336" customFormat="false" ht="13.8" hidden="false" customHeight="false" outlineLevel="0" collapsed="false">
      <c r="A336" s="162" t="s">
        <v>696</v>
      </c>
      <c r="B336" s="576" t="n">
        <v>4224000</v>
      </c>
      <c r="C336" s="282" t="s">
        <v>782</v>
      </c>
      <c r="D336" s="333"/>
    </row>
    <row r="337" customFormat="false" ht="13.8" hidden="false" customHeight="false" outlineLevel="0" collapsed="false">
      <c r="A337" s="162" t="s">
        <v>699</v>
      </c>
      <c r="B337" s="576" t="n">
        <v>3610668</v>
      </c>
      <c r="C337" s="282" t="s">
        <v>782</v>
      </c>
    </row>
    <row r="338" customFormat="false" ht="13.8" hidden="false" customHeight="false" outlineLevel="0" collapsed="false">
      <c r="B338" s="381"/>
      <c r="D338" s="23"/>
    </row>
    <row r="339" customFormat="false" ht="13.8" hidden="false" customHeight="false" outlineLevel="0" collapsed="false">
      <c r="A339" s="162" t="s">
        <v>783</v>
      </c>
      <c r="B339" s="576" t="n">
        <v>6821096.4</v>
      </c>
      <c r="C339" s="282" t="s">
        <v>782</v>
      </c>
      <c r="D339" s="333"/>
    </row>
    <row r="340" customFormat="false" ht="13.8" hidden="false" customHeight="false" outlineLevel="0" collapsed="false">
      <c r="A340" s="162" t="s">
        <v>700</v>
      </c>
      <c r="B340" s="574" t="n">
        <v>0.031</v>
      </c>
      <c r="C340" s="282" t="s">
        <v>584</v>
      </c>
      <c r="D340" s="333"/>
    </row>
    <row r="341" customFormat="false" ht="13.8" hidden="false" customHeight="false" outlineLevel="0" collapsed="false">
      <c r="A341" s="162" t="s">
        <v>784</v>
      </c>
      <c r="B341" s="576" t="n">
        <f aca="false">B339/(1-B340)</f>
        <v>7039315.17027864</v>
      </c>
      <c r="D341" s="333"/>
    </row>
    <row r="342" customFormat="false" ht="13.8" hidden="false" customHeight="false" outlineLevel="0" collapsed="false">
      <c r="B342" s="381"/>
    </row>
    <row r="343" customFormat="false" ht="13.8" hidden="false" customHeight="false" outlineLevel="0" collapsed="false">
      <c r="A343" s="165" t="s">
        <v>785</v>
      </c>
      <c r="B343" s="624" t="n">
        <v>2.42731104932993</v>
      </c>
      <c r="C343" s="282" t="s">
        <v>757</v>
      </c>
      <c r="D343" s="333"/>
    </row>
    <row r="344" customFormat="false" ht="13.8" hidden="false" customHeight="false" outlineLevel="0" collapsed="false">
      <c r="B344" s="381"/>
      <c r="D344" s="101"/>
    </row>
    <row r="345" customFormat="false" ht="13.8" hidden="false" customHeight="false" outlineLevel="0" collapsed="false">
      <c r="A345" s="543" t="s">
        <v>729</v>
      </c>
      <c r="B345" s="578"/>
      <c r="D345" s="601"/>
    </row>
    <row r="346" customFormat="false" ht="13.8" hidden="false" customHeight="false" outlineLevel="0" collapsed="false">
      <c r="A346" s="543" t="s">
        <v>730</v>
      </c>
      <c r="B346" s="381"/>
      <c r="D346" s="601"/>
    </row>
    <row r="347" customFormat="false" ht="13.8" hidden="false" customHeight="false" outlineLevel="0" collapsed="false">
      <c r="A347" s="162" t="s">
        <v>786</v>
      </c>
      <c r="B347" s="556" t="n">
        <v>0.78</v>
      </c>
      <c r="C347" s="297" t="s">
        <v>713</v>
      </c>
      <c r="D347" s="601"/>
    </row>
    <row r="348" customFormat="false" ht="13.8" hidden="false" customHeight="false" outlineLevel="0" collapsed="false">
      <c r="A348" s="543" t="s">
        <v>731</v>
      </c>
      <c r="B348" s="381"/>
      <c r="D348" s="601"/>
    </row>
    <row r="349" customFormat="false" ht="13.8" hidden="false" customHeight="false" outlineLevel="0" collapsed="false">
      <c r="A349" s="162" t="s">
        <v>786</v>
      </c>
      <c r="B349" s="556" t="n">
        <v>0.09</v>
      </c>
      <c r="C349" s="297" t="s">
        <v>713</v>
      </c>
      <c r="D349" s="601"/>
    </row>
    <row r="350" customFormat="false" ht="13.8" hidden="false" customHeight="false" outlineLevel="0" collapsed="false">
      <c r="A350" s="543" t="s">
        <v>732</v>
      </c>
      <c r="B350" s="381"/>
    </row>
    <row r="351" customFormat="false" ht="13.8" hidden="false" customHeight="false" outlineLevel="0" collapsed="false">
      <c r="A351" s="162" t="s">
        <v>786</v>
      </c>
      <c r="B351" s="556" t="n">
        <v>0.13</v>
      </c>
      <c r="C351" s="297" t="s">
        <v>713</v>
      </c>
    </row>
    <row r="352" customFormat="false" ht="13.8" hidden="false" customHeight="false" outlineLevel="0" collapsed="false">
      <c r="A352" s="100"/>
      <c r="B352" s="580"/>
    </row>
    <row r="353" customFormat="false" ht="13.8" hidden="false" customHeight="false" outlineLevel="0" collapsed="false">
      <c r="A353" s="165" t="s">
        <v>733</v>
      </c>
      <c r="B353" s="580"/>
    </row>
    <row r="354" customFormat="false" ht="13.8" hidden="false" customHeight="false" outlineLevel="0" collapsed="false">
      <c r="A354" s="162" t="s">
        <v>786</v>
      </c>
      <c r="B354" s="546" t="n">
        <v>0.632</v>
      </c>
      <c r="C354" s="297" t="s">
        <v>713</v>
      </c>
    </row>
    <row r="355" customFormat="false" ht="13.8" hidden="false" customHeight="false" outlineLevel="0" collapsed="false">
      <c r="A355" s="584" t="s">
        <v>726</v>
      </c>
      <c r="B355" s="592"/>
    </row>
    <row r="356" customFormat="false" ht="13.8" hidden="false" customHeight="false" outlineLevel="0" collapsed="false">
      <c r="A356" s="162" t="s">
        <v>786</v>
      </c>
      <c r="B356" s="592" t="n">
        <f aca="false">B$354*B$341*B347*B333/365</f>
        <v>5057790.76431007</v>
      </c>
    </row>
    <row r="357" customFormat="false" ht="13.8" hidden="false" customHeight="false" outlineLevel="0" collapsed="false">
      <c r="A357" s="584" t="s">
        <v>727</v>
      </c>
      <c r="B357" s="588"/>
    </row>
    <row r="358" customFormat="false" ht="13.8" hidden="false" customHeight="false" outlineLevel="0" collapsed="false">
      <c r="A358" s="162" t="s">
        <v>786</v>
      </c>
      <c r="B358" s="592" t="n">
        <f aca="false">B$354*B$341*B349*B333/365</f>
        <v>583591.242035778</v>
      </c>
    </row>
    <row r="359" customFormat="false" ht="13.8" hidden="false" customHeight="false" outlineLevel="0" collapsed="false">
      <c r="A359" s="584" t="s">
        <v>728</v>
      </c>
      <c r="B359" s="588"/>
    </row>
    <row r="360" customFormat="false" ht="13.8" hidden="false" customHeight="false" outlineLevel="0" collapsed="false">
      <c r="A360" s="162" t="s">
        <v>786</v>
      </c>
      <c r="B360" s="592" t="n">
        <f aca="false">B$354*B$341*B351*B333/365</f>
        <v>842965.127385012</v>
      </c>
    </row>
    <row r="361" customFormat="false" ht="13.8" hidden="false" customHeight="false" outlineLevel="0" collapsed="false">
      <c r="B361" s="381"/>
    </row>
    <row r="362" customFormat="false" ht="13.8" hidden="false" customHeight="false" outlineLevel="0" collapsed="false">
      <c r="A362" s="165" t="s">
        <v>772</v>
      </c>
      <c r="B362" s="578"/>
    </row>
    <row r="363" customFormat="false" ht="13.8" hidden="false" customHeight="false" outlineLevel="0" collapsed="false">
      <c r="A363" s="100" t="s">
        <v>786</v>
      </c>
      <c r="B363" s="500" t="n">
        <v>0.04556</v>
      </c>
      <c r="C363" s="297" t="s">
        <v>713</v>
      </c>
    </row>
    <row r="364" customFormat="false" ht="13.8" hidden="false" customHeight="false" outlineLevel="0" collapsed="false">
      <c r="A364" s="100" t="s">
        <v>773</v>
      </c>
      <c r="B364" s="550" t="n">
        <f aca="false">B363*B341*B333/365</f>
        <v>467447.556032877</v>
      </c>
    </row>
    <row r="365" customFormat="false" ht="13.8" hidden="false" customHeight="false" outlineLevel="0" collapsed="false">
      <c r="B365" s="381"/>
    </row>
    <row r="366" customFormat="false" ht="13.8" hidden="false" customHeight="false" outlineLevel="0" collapsed="false">
      <c r="A366" s="543" t="s">
        <v>787</v>
      </c>
      <c r="B366" s="578"/>
    </row>
    <row r="367" customFormat="false" ht="13.8" hidden="false" customHeight="false" outlineLevel="0" collapsed="false">
      <c r="A367" s="162" t="s">
        <v>751</v>
      </c>
      <c r="B367" s="574" t="n">
        <v>0.005</v>
      </c>
      <c r="C367" s="297" t="s">
        <v>713</v>
      </c>
    </row>
    <row r="368" customFormat="false" ht="13.8" hidden="false" customHeight="false" outlineLevel="0" collapsed="false">
      <c r="A368" s="100" t="s">
        <v>754</v>
      </c>
      <c r="B368" s="574" t="n">
        <v>0.005</v>
      </c>
      <c r="C368" s="297" t="s">
        <v>713</v>
      </c>
    </row>
    <row r="369" customFormat="false" ht="13.8" hidden="false" customHeight="false" outlineLevel="0" collapsed="false">
      <c r="A369" s="453" t="s">
        <v>732</v>
      </c>
      <c r="B369" s="574" t="n">
        <v>0.01</v>
      </c>
      <c r="C369" s="297" t="s">
        <v>713</v>
      </c>
    </row>
    <row r="370" customFormat="false" ht="13.8" hidden="false" customHeight="false" outlineLevel="0" collapsed="false">
      <c r="A370" s="100" t="s">
        <v>744</v>
      </c>
      <c r="B370" s="574" t="n">
        <f aca="false">0.01</f>
        <v>0.01</v>
      </c>
    </row>
    <row r="371" customFormat="false" ht="13.8" hidden="false" customHeight="false" outlineLevel="0" collapsed="false">
      <c r="B371" s="381"/>
    </row>
    <row r="372" customFormat="false" ht="13.8" hidden="false" customHeight="false" outlineLevel="0" collapsed="false">
      <c r="A372" s="165" t="s">
        <v>788</v>
      </c>
      <c r="B372" s="568"/>
    </row>
    <row r="373" customFormat="false" ht="13.8" hidden="false" customHeight="false" outlineLevel="0" collapsed="false">
      <c r="A373" s="165" t="s">
        <v>751</v>
      </c>
      <c r="B373" s="381"/>
    </row>
    <row r="374" customFormat="false" ht="13.8" hidden="false" customHeight="false" outlineLevel="0" collapsed="false">
      <c r="A374" s="100" t="s">
        <v>786</v>
      </c>
      <c r="B374" s="574" t="n">
        <v>0.137125</v>
      </c>
      <c r="C374" s="297" t="s">
        <v>752</v>
      </c>
    </row>
    <row r="375" customFormat="false" ht="13.8" hidden="false" customHeight="false" outlineLevel="0" collapsed="false">
      <c r="A375" s="165" t="s">
        <v>754</v>
      </c>
      <c r="B375" s="381"/>
    </row>
    <row r="376" customFormat="false" ht="13.8" hidden="false" customHeight="false" outlineLevel="0" collapsed="false">
      <c r="A376" s="100" t="s">
        <v>786</v>
      </c>
      <c r="B376" s="574" t="n">
        <v>0.208</v>
      </c>
      <c r="C376" s="297" t="s">
        <v>752</v>
      </c>
    </row>
    <row r="377" customFormat="false" ht="13.8" hidden="false" customHeight="false" outlineLevel="0" collapsed="false">
      <c r="A377" s="165" t="s">
        <v>732</v>
      </c>
      <c r="B377" s="381"/>
    </row>
    <row r="378" customFormat="false" ht="13.8" hidden="false" customHeight="false" outlineLevel="0" collapsed="false">
      <c r="A378" s="100" t="s">
        <v>786</v>
      </c>
      <c r="B378" s="574" t="n">
        <v>0.48</v>
      </c>
      <c r="C378" s="297" t="s">
        <v>752</v>
      </c>
    </row>
    <row r="379" customFormat="false" ht="13.8" hidden="false" customHeight="false" outlineLevel="0" collapsed="false">
      <c r="B379" s="381"/>
    </row>
    <row r="380" customFormat="false" ht="13.8" hidden="false" customHeight="false" outlineLevel="0" collapsed="false">
      <c r="A380" s="165" t="s">
        <v>755</v>
      </c>
      <c r="B380" s="574"/>
    </row>
    <row r="381" customFormat="false" ht="13.8" hidden="false" customHeight="false" outlineLevel="0" collapsed="false">
      <c r="A381" s="543" t="s">
        <v>730</v>
      </c>
      <c r="B381" s="381"/>
    </row>
    <row r="382" customFormat="false" ht="13.8" hidden="false" customHeight="false" outlineLevel="0" collapsed="false">
      <c r="A382" s="100" t="s">
        <v>786</v>
      </c>
      <c r="B382" s="576" t="n">
        <f aca="false">B356*B374</f>
        <v>693549.558556019</v>
      </c>
    </row>
    <row r="383" customFormat="false" ht="13.8" hidden="false" customHeight="false" outlineLevel="0" collapsed="false">
      <c r="A383" s="543" t="s">
        <v>731</v>
      </c>
      <c r="B383" s="381"/>
    </row>
    <row r="384" customFormat="false" ht="13.8" hidden="false" customHeight="false" outlineLevel="0" collapsed="false">
      <c r="A384" s="100" t="s">
        <v>786</v>
      </c>
      <c r="B384" s="576" t="n">
        <f aca="false">B358*B376</f>
        <v>121386.978343442</v>
      </c>
    </row>
    <row r="385" customFormat="false" ht="13.8" hidden="false" customHeight="false" outlineLevel="0" collapsed="false">
      <c r="A385" s="543" t="s">
        <v>732</v>
      </c>
      <c r="B385" s="574"/>
    </row>
    <row r="386" customFormat="false" ht="13.8" hidden="false" customHeight="false" outlineLevel="0" collapsed="false">
      <c r="A386" s="250" t="s">
        <v>786</v>
      </c>
      <c r="B386" s="603" t="n">
        <f aca="false">B360*B378</f>
        <v>404623.261144806</v>
      </c>
    </row>
    <row r="387" s="282" customFormat="true" ht="13.8" hidden="false" customHeight="false" outlineLevel="0" collapsed="false"/>
    <row r="389" customFormat="false" ht="13.8" hidden="false" customHeight="false" outlineLevel="0" collapsed="false">
      <c r="A389" s="333" t="s">
        <v>789</v>
      </c>
      <c r="I389" s="555"/>
      <c r="J389" s="555"/>
      <c r="O389" s="625" t="s">
        <v>790</v>
      </c>
      <c r="P389" s="561"/>
      <c r="Q389" s="561"/>
      <c r="R389" s="473"/>
      <c r="S389" s="462" t="s">
        <v>791</v>
      </c>
      <c r="T389" s="561"/>
      <c r="U389" s="561"/>
      <c r="V389" s="473"/>
      <c r="W389" s="333" t="s">
        <v>411</v>
      </c>
      <c r="AB389" s="333"/>
      <c r="AF389" s="333"/>
    </row>
    <row r="390" customFormat="false" ht="46.95" hidden="false" customHeight="true" outlineLevel="0" collapsed="false">
      <c r="A390" s="462" t="s">
        <v>137</v>
      </c>
      <c r="B390" s="463" t="s">
        <v>792</v>
      </c>
      <c r="C390" s="463" t="s">
        <v>793</v>
      </c>
      <c r="D390" s="463" t="s">
        <v>699</v>
      </c>
      <c r="E390" s="463" t="s">
        <v>794</v>
      </c>
      <c r="F390" s="463" t="s">
        <v>795</v>
      </c>
      <c r="G390" s="463" t="s">
        <v>796</v>
      </c>
      <c r="H390" s="463" t="s">
        <v>797</v>
      </c>
      <c r="I390" s="463" t="s">
        <v>798</v>
      </c>
      <c r="J390" s="463" t="s">
        <v>799</v>
      </c>
      <c r="K390" s="476" t="s">
        <v>800</v>
      </c>
      <c r="L390" s="476" t="s">
        <v>801</v>
      </c>
      <c r="M390" s="476" t="s">
        <v>802</v>
      </c>
      <c r="N390" s="476" t="s">
        <v>803</v>
      </c>
      <c r="O390" s="463" t="s">
        <v>731</v>
      </c>
      <c r="P390" s="463" t="s">
        <v>730</v>
      </c>
      <c r="Q390" s="463" t="s">
        <v>732</v>
      </c>
      <c r="R390" s="463" t="s">
        <v>804</v>
      </c>
      <c r="S390" s="463" t="s">
        <v>805</v>
      </c>
      <c r="T390" s="463" t="s">
        <v>806</v>
      </c>
      <c r="U390" s="463" t="s">
        <v>807</v>
      </c>
      <c r="V390" s="463" t="s">
        <v>808</v>
      </c>
      <c r="W390" s="465" t="s">
        <v>809</v>
      </c>
      <c r="X390" s="333" t="s">
        <v>810</v>
      </c>
      <c r="Y390" s="25" t="s">
        <v>811</v>
      </c>
      <c r="Z390" s="25" t="s">
        <v>791</v>
      </c>
      <c r="AA390" s="25"/>
      <c r="AB390" s="333"/>
      <c r="AC390" s="333"/>
      <c r="AE390" s="333"/>
      <c r="AF390" s="333"/>
    </row>
    <row r="391" customFormat="false" ht="13.8" hidden="false" customHeight="false" outlineLevel="0" collapsed="false">
      <c r="A391" s="543" t="s">
        <v>812</v>
      </c>
      <c r="V391" s="381"/>
      <c r="W391" s="519" t="s">
        <v>813</v>
      </c>
      <c r="X391" s="519" t="s">
        <v>814</v>
      </c>
      <c r="Y391" s="519" t="s">
        <v>815</v>
      </c>
      <c r="Z391" s="519" t="s">
        <v>816</v>
      </c>
    </row>
    <row r="392" customFormat="false" ht="13.8" hidden="false" customHeight="false" outlineLevel="0" collapsed="false">
      <c r="A392" s="162" t="s">
        <v>817</v>
      </c>
      <c r="B392" s="579" t="n">
        <v>189600</v>
      </c>
      <c r="C392" s="579" t="n">
        <f aca="false">B392/(1-$B$429)</f>
        <v>197044.949320164</v>
      </c>
      <c r="D392" s="158" t="n">
        <v>38171.8</v>
      </c>
      <c r="E392" s="158" t="n">
        <v>38171.8</v>
      </c>
      <c r="F392" s="158" t="n">
        <v>320.299200389449</v>
      </c>
      <c r="G392" s="158" t="n">
        <v>12</v>
      </c>
      <c r="H392" s="158" t="n">
        <f aca="false">E392*F392</f>
        <v>12226397.017426</v>
      </c>
      <c r="I392" s="158"/>
      <c r="J392" s="160"/>
      <c r="K392" s="158" t="n">
        <v>63</v>
      </c>
      <c r="L392" s="158" t="n">
        <v>80.8</v>
      </c>
      <c r="M392" s="158" t="n">
        <v>1153.4</v>
      </c>
      <c r="N392" s="158"/>
      <c r="O392" s="103" t="n">
        <v>0.11</v>
      </c>
      <c r="P392" s="103" t="n">
        <v>0.2</v>
      </c>
      <c r="Q392" s="103" t="n">
        <v>0.17</v>
      </c>
      <c r="R392" s="103" t="n">
        <v>0.52</v>
      </c>
      <c r="S392" s="158" t="n">
        <v>1780</v>
      </c>
      <c r="T392" s="158" t="n">
        <v>1900</v>
      </c>
      <c r="U392" s="158" t="n">
        <v>150</v>
      </c>
      <c r="V392" s="576" t="n">
        <v>30</v>
      </c>
      <c r="W392" s="519" t="s">
        <v>818</v>
      </c>
      <c r="X392" s="519" t="s">
        <v>819</v>
      </c>
      <c r="Y392" s="519" t="s">
        <v>820</v>
      </c>
      <c r="Z392" s="519" t="s">
        <v>821</v>
      </c>
    </row>
    <row r="393" customFormat="false" ht="13.8" hidden="false" customHeight="false" outlineLevel="0" collapsed="false">
      <c r="A393" s="162" t="s">
        <v>822</v>
      </c>
      <c r="B393" s="160" t="n">
        <f aca="false">E392</f>
        <v>38171.8</v>
      </c>
      <c r="C393" s="579" t="n">
        <f aca="false">B393/(1-$B$429)</f>
        <v>39670.677196516</v>
      </c>
      <c r="D393" s="158"/>
      <c r="E393" s="158"/>
      <c r="F393" s="158" t="n">
        <v>320.299200389449</v>
      </c>
      <c r="G393" s="158" t="n">
        <v>24</v>
      </c>
      <c r="H393" s="160"/>
      <c r="I393" s="160"/>
      <c r="J393" s="160" t="n">
        <f aca="false">SUM(H394:I394)</f>
        <v>15958242.4645425</v>
      </c>
      <c r="K393" s="158" t="n">
        <v>47</v>
      </c>
      <c r="L393" s="158" t="n">
        <v>59.2333333333333</v>
      </c>
      <c r="M393" s="158" t="n">
        <v>949</v>
      </c>
      <c r="N393" s="158"/>
      <c r="O393" s="290" t="n">
        <v>0.26</v>
      </c>
      <c r="P393" s="290" t="n">
        <v>0.12</v>
      </c>
      <c r="Q393" s="290" t="n">
        <v>0.12</v>
      </c>
      <c r="R393" s="290" t="n">
        <v>0.5</v>
      </c>
      <c r="S393" s="158" t="n">
        <v>2570</v>
      </c>
      <c r="T393" s="158" t="n">
        <v>1270</v>
      </c>
      <c r="U393" s="158" t="n">
        <v>50</v>
      </c>
      <c r="V393" s="576" t="n">
        <v>60</v>
      </c>
      <c r="W393" s="519" t="s">
        <v>823</v>
      </c>
      <c r="X393" s="519" t="s">
        <v>824</v>
      </c>
      <c r="Y393" s="333" t="s">
        <v>825</v>
      </c>
      <c r="Z393" s="519" t="s">
        <v>826</v>
      </c>
    </row>
    <row r="394" customFormat="false" ht="13.8" hidden="false" customHeight="false" outlineLevel="0" collapsed="false">
      <c r="A394" s="162" t="s">
        <v>168</v>
      </c>
      <c r="D394" s="158" t="n">
        <v>40385.2</v>
      </c>
      <c r="E394" s="158" t="n">
        <f aca="false">D394/(1-$B$429)</f>
        <v>41970.989911839</v>
      </c>
      <c r="F394" s="158" t="n">
        <v>292.806194400718</v>
      </c>
      <c r="G394" s="158" t="n">
        <v>25.4194364135971</v>
      </c>
      <c r="H394" s="158" t="n">
        <f aca="false">E394*F394</f>
        <v>12289365.8313165</v>
      </c>
      <c r="I394" s="158" t="n">
        <f aca="false">$E$392*$F$392/$E$399*E394</f>
        <v>3668876.63322602</v>
      </c>
      <c r="J394" s="158" t="n">
        <f aca="false">SUM(H394:I394)</f>
        <v>15958242.4645425</v>
      </c>
      <c r="K394" s="158" t="n">
        <v>47</v>
      </c>
      <c r="L394" s="158" t="n">
        <v>59.2333333333333</v>
      </c>
      <c r="M394" s="158" t="n">
        <v>949</v>
      </c>
      <c r="N394" s="158"/>
      <c r="O394" s="103" t="n">
        <v>0.26</v>
      </c>
      <c r="P394" s="103" t="n">
        <v>0.12</v>
      </c>
      <c r="Q394" s="103" t="n">
        <v>0.12</v>
      </c>
      <c r="R394" s="103" t="n">
        <v>0.5</v>
      </c>
      <c r="S394" s="158" t="n">
        <v>2770</v>
      </c>
      <c r="T394" s="158" t="n">
        <v>1370</v>
      </c>
      <c r="U394" s="158" t="n">
        <v>400</v>
      </c>
      <c r="V394" s="576" t="n">
        <v>40</v>
      </c>
      <c r="AA394" s="481"/>
      <c r="AB394" s="481"/>
    </row>
    <row r="395" customFormat="false" ht="13.8" hidden="false" customHeight="false" outlineLevel="0" collapsed="false">
      <c r="A395" s="162" t="s">
        <v>827</v>
      </c>
      <c r="D395" s="158" t="n">
        <v>71763.8</v>
      </c>
      <c r="E395" s="158" t="n">
        <f aca="false">D395/(1-$B$429)</f>
        <v>74581.721171004</v>
      </c>
      <c r="F395" s="158" t="n">
        <v>338.892531749344</v>
      </c>
      <c r="G395" s="158" t="n">
        <v>17.9979093488274</v>
      </c>
      <c r="H395" s="158" t="n">
        <f aca="false">E395*F395</f>
        <v>25275188.3098652</v>
      </c>
      <c r="I395" s="158" t="n">
        <f aca="false">$E$392*$F$392/$E$399*E395</f>
        <v>6519530.14796276</v>
      </c>
      <c r="J395" s="158" t="n">
        <f aca="false">SUM(H395:I395)</f>
        <v>31794718.457828</v>
      </c>
      <c r="K395" s="158" t="n">
        <v>47</v>
      </c>
      <c r="L395" s="158" t="n">
        <v>57.2666666666667</v>
      </c>
      <c r="M395" s="158" t="n">
        <v>949</v>
      </c>
      <c r="N395" s="158"/>
      <c r="O395" s="290" t="n">
        <v>0.231069332568991</v>
      </c>
      <c r="P395" s="290" t="n">
        <v>0.151069332568991</v>
      </c>
      <c r="Q395" s="290" t="n">
        <v>0.131069332568991</v>
      </c>
      <c r="R395" s="290" t="n">
        <v>0.486792002293026</v>
      </c>
      <c r="S395" s="158" t="n">
        <v>1700</v>
      </c>
      <c r="T395" s="158" t="n">
        <v>300</v>
      </c>
      <c r="U395" s="158" t="n">
        <v>750</v>
      </c>
      <c r="V395" s="576" t="n">
        <v>560</v>
      </c>
      <c r="AA395" s="563"/>
      <c r="AB395" s="563"/>
    </row>
    <row r="396" customFormat="false" ht="13.8" hidden="false" customHeight="false" outlineLevel="0" collapsed="false">
      <c r="A396" s="162" t="s">
        <v>169</v>
      </c>
      <c r="D396" s="158" t="n">
        <v>8533.2</v>
      </c>
      <c r="E396" s="158" t="n">
        <f aca="false">D396/(1-$B$429)</f>
        <v>8868.26983933977</v>
      </c>
      <c r="F396" s="158" t="n">
        <v>351.996396308211</v>
      </c>
      <c r="G396" s="158" t="n">
        <v>29.7598448546802</v>
      </c>
      <c r="H396" s="158" t="n">
        <f aca="false">E396*F396</f>
        <v>3121599.02493639</v>
      </c>
      <c r="I396" s="158" t="n">
        <f aca="false">$E$392*$F$392/$E$399*E396</f>
        <v>775216.120921632</v>
      </c>
      <c r="J396" s="158" t="n">
        <f aca="false">SUM(H396:I396)</f>
        <v>3896815.14585803</v>
      </c>
      <c r="K396" s="158" t="n">
        <v>47</v>
      </c>
      <c r="L396" s="158" t="n">
        <v>57.2666666666667</v>
      </c>
      <c r="M396" s="158" t="n">
        <v>949</v>
      </c>
      <c r="N396" s="158"/>
      <c r="O396" s="290" t="n">
        <v>0.231069332568991</v>
      </c>
      <c r="P396" s="290" t="n">
        <v>0.151069332568991</v>
      </c>
      <c r="Q396" s="290" t="n">
        <v>0.131069332568991</v>
      </c>
      <c r="R396" s="290" t="n">
        <v>0.486792002293026</v>
      </c>
      <c r="S396" s="158" t="n">
        <v>1760</v>
      </c>
      <c r="T396" s="158" t="n">
        <v>310</v>
      </c>
      <c r="U396" s="158" t="n">
        <v>770</v>
      </c>
      <c r="V396" s="576" t="n">
        <v>580</v>
      </c>
      <c r="AA396" s="565"/>
      <c r="AB396" s="565"/>
    </row>
    <row r="397" customFormat="false" ht="13.8" hidden="false" customHeight="false" outlineLevel="0" collapsed="false">
      <c r="A397" s="162" t="s">
        <v>828</v>
      </c>
      <c r="D397" s="158" t="n">
        <v>8291.4</v>
      </c>
      <c r="E397" s="158" t="n">
        <f aca="false">D397/(1-$B$429)</f>
        <v>8616.97517295995</v>
      </c>
      <c r="F397" s="158" t="n">
        <v>317.377198150709</v>
      </c>
      <c r="G397" s="158" t="n">
        <v>26.965323069558</v>
      </c>
      <c r="H397" s="158" t="n">
        <f aca="false">E397*F397</f>
        <v>2734831.43692825</v>
      </c>
      <c r="I397" s="158" t="n">
        <f aca="false">$E$392*$F$392/$E$399*E397</f>
        <v>753249.302138661</v>
      </c>
      <c r="J397" s="158" t="n">
        <f aca="false">SUM(H397:I397)</f>
        <v>3488080.73906691</v>
      </c>
      <c r="K397" s="158" t="n">
        <v>47</v>
      </c>
      <c r="L397" s="158" t="n">
        <v>57.2666666666667</v>
      </c>
      <c r="M397" s="158" t="n">
        <v>949</v>
      </c>
      <c r="N397" s="158"/>
      <c r="O397" s="290" t="n">
        <v>0.231069332568991</v>
      </c>
      <c r="P397" s="290" t="n">
        <v>0.151069332568991</v>
      </c>
      <c r="Q397" s="290" t="n">
        <v>0.131069332568991</v>
      </c>
      <c r="R397" s="290" t="n">
        <v>0.486792002293026</v>
      </c>
      <c r="S397" s="158" t="n">
        <v>3030</v>
      </c>
      <c r="T397" s="158" t="n">
        <v>2700</v>
      </c>
      <c r="U397" s="158" t="n">
        <v>340</v>
      </c>
      <c r="V397" s="576" t="n">
        <v>60</v>
      </c>
      <c r="Z397" s="123"/>
      <c r="AA397" s="565"/>
      <c r="AB397" s="565"/>
    </row>
    <row r="398" customFormat="false" ht="13.8" hidden="false" customHeight="false" outlineLevel="0" collapsed="false">
      <c r="A398" s="162" t="s">
        <v>170</v>
      </c>
      <c r="D398" s="158" t="n">
        <v>5608.6</v>
      </c>
      <c r="E398" s="158" t="n">
        <f aca="false">D398/(1-$B$429)</f>
        <v>5828.83071074404</v>
      </c>
      <c r="F398" s="158" t="n">
        <v>151.188938390399</v>
      </c>
      <c r="G398" s="158" t="n">
        <v>9.99541219797051</v>
      </c>
      <c r="H398" s="158" t="n">
        <f aca="false">E398*F398</f>
        <v>881254.727214745</v>
      </c>
      <c r="I398" s="158" t="n">
        <f aca="false">$E$392*$F$392/$E$399*E398</f>
        <v>509524.813176893</v>
      </c>
      <c r="J398" s="158" t="n">
        <f aca="false">SUM(H398:I398)</f>
        <v>1390779.54039164</v>
      </c>
      <c r="K398" s="158" t="n">
        <v>28</v>
      </c>
      <c r="L398" s="158" t="n">
        <v>26.5</v>
      </c>
      <c r="M398" s="158" t="n">
        <v>330.325</v>
      </c>
      <c r="N398" s="158"/>
      <c r="O398" s="439" t="n">
        <v>0.143499321083175</v>
      </c>
      <c r="P398" s="439" t="n">
        <v>0.133780247008088</v>
      </c>
      <c r="Q398" s="439" t="n">
        <v>0.318442654434734</v>
      </c>
      <c r="R398" s="439" t="n">
        <v>0.404277777474003</v>
      </c>
      <c r="S398" s="158" t="n">
        <v>760</v>
      </c>
      <c r="T398" s="158" t="n">
        <v>130</v>
      </c>
      <c r="U398" s="158" t="n">
        <v>310</v>
      </c>
      <c r="V398" s="576" t="n">
        <v>280</v>
      </c>
      <c r="Z398" s="123"/>
    </row>
    <row r="399" customFormat="false" ht="13.8" hidden="false" customHeight="false" outlineLevel="0" collapsed="false">
      <c r="A399" s="162" t="s">
        <v>829</v>
      </c>
      <c r="D399" s="158" t="n">
        <f aca="false">SUM(D394:D398)</f>
        <v>134582.2</v>
      </c>
      <c r="E399" s="158" t="n">
        <f aca="false">SUM(E394:E398)</f>
        <v>139866.786805887</v>
      </c>
      <c r="G399" s="160"/>
      <c r="H399" s="160"/>
      <c r="I399" s="160"/>
      <c r="J399" s="158" t="n">
        <f aca="false">SUM(J394:J398)</f>
        <v>56528636.3476871</v>
      </c>
      <c r="K399" s="160"/>
      <c r="L399" s="160"/>
      <c r="M399" s="160"/>
      <c r="N399" s="160"/>
      <c r="O399" s="290"/>
      <c r="P399" s="290"/>
      <c r="Q399" s="290"/>
      <c r="R399" s="290"/>
      <c r="S399" s="160"/>
      <c r="T399" s="160"/>
      <c r="U399" s="160"/>
      <c r="V399" s="550"/>
      <c r="Z399" s="123"/>
      <c r="AA399" s="572"/>
      <c r="AB399" s="123"/>
    </row>
    <row r="400" customFormat="false" ht="13.8" hidden="false" customHeight="false" outlineLevel="0" collapsed="false">
      <c r="A400" s="543" t="s">
        <v>830</v>
      </c>
      <c r="D400" s="160"/>
      <c r="E400" s="160"/>
      <c r="F400" s="158"/>
      <c r="G400" s="160"/>
      <c r="H400" s="160"/>
      <c r="I400" s="160"/>
      <c r="J400" s="160"/>
      <c r="K400" s="160"/>
      <c r="L400" s="160"/>
      <c r="M400" s="160"/>
      <c r="N400" s="160"/>
      <c r="O400" s="290"/>
      <c r="P400" s="290"/>
      <c r="Q400" s="290"/>
      <c r="R400" s="290"/>
      <c r="S400" s="160"/>
      <c r="T400" s="160"/>
      <c r="U400" s="160"/>
      <c r="V400" s="550"/>
      <c r="Z400" s="123"/>
      <c r="AA400" s="572"/>
      <c r="AB400" s="123"/>
    </row>
    <row r="401" customFormat="false" ht="13.8" hidden="false" customHeight="false" outlineLevel="0" collapsed="false">
      <c r="A401" s="162" t="s">
        <v>153</v>
      </c>
      <c r="B401" s="158" t="n">
        <v>344240.6</v>
      </c>
      <c r="C401" s="579" t="n">
        <f aca="false">B401/(1-$B$429)</f>
        <v>357757.761502863</v>
      </c>
      <c r="D401" s="158" t="n">
        <v>100196.4</v>
      </c>
      <c r="E401" s="158" t="n">
        <v>100196.4</v>
      </c>
      <c r="F401" s="158" t="n">
        <v>289.325</v>
      </c>
      <c r="G401" s="158" t="n">
        <v>12</v>
      </c>
      <c r="H401" s="158" t="n">
        <f aca="false">E401*F401</f>
        <v>28989323.43</v>
      </c>
      <c r="I401" s="158"/>
      <c r="J401" s="158" t="n">
        <f aca="false">H401</f>
        <v>28989323.43</v>
      </c>
      <c r="K401" s="158" t="n">
        <v>127</v>
      </c>
      <c r="L401" s="158" t="n">
        <v>135.82</v>
      </c>
      <c r="M401" s="158" t="n">
        <v>2237.45</v>
      </c>
      <c r="N401" s="158"/>
      <c r="O401" s="103" t="n">
        <v>0.64</v>
      </c>
      <c r="P401" s="103" t="n">
        <v>0.11</v>
      </c>
      <c r="Q401" s="103" t="n">
        <v>0.01</v>
      </c>
      <c r="R401" s="103" t="n">
        <v>0.24</v>
      </c>
      <c r="S401" s="158" t="n">
        <v>3800</v>
      </c>
      <c r="T401" s="158" t="n">
        <v>1300</v>
      </c>
      <c r="U401" s="158" t="n">
        <v>2100</v>
      </c>
      <c r="V401" s="576" t="n">
        <v>1900</v>
      </c>
      <c r="W401" s="160"/>
      <c r="Z401" s="123"/>
      <c r="AA401" s="572"/>
      <c r="AB401" s="123"/>
    </row>
    <row r="402" customFormat="false" ht="13.8" hidden="false" customHeight="false" outlineLevel="0" collapsed="false">
      <c r="A402" s="162" t="s">
        <v>822</v>
      </c>
      <c r="B402" s="160" t="n">
        <f aca="false">E401*$B$433/12</f>
        <v>232539.145</v>
      </c>
      <c r="C402" s="579" t="n">
        <f aca="false">B402/(1-$B$429)</f>
        <v>241670.168995143</v>
      </c>
      <c r="F402" s="158" t="n">
        <v>279.53</v>
      </c>
      <c r="G402" s="158" t="n">
        <v>12</v>
      </c>
      <c r="H402" s="160"/>
      <c r="I402" s="160"/>
      <c r="J402" s="160"/>
      <c r="K402" s="158" t="n">
        <v>47</v>
      </c>
      <c r="L402" s="158" t="n">
        <v>59.2333333333333</v>
      </c>
      <c r="M402" s="158" t="n">
        <v>949</v>
      </c>
      <c r="N402" s="158"/>
      <c r="O402" s="290" t="n">
        <v>0.26</v>
      </c>
      <c r="P402" s="290" t="n">
        <v>0.12</v>
      </c>
      <c r="Q402" s="290" t="n">
        <v>0.12</v>
      </c>
      <c r="R402" s="290" t="n">
        <v>0.5</v>
      </c>
      <c r="S402" s="158" t="n">
        <v>2510</v>
      </c>
      <c r="T402" s="158" t="n">
        <v>2350</v>
      </c>
      <c r="U402" s="158" t="n">
        <v>420</v>
      </c>
      <c r="V402" s="576" t="n">
        <v>50</v>
      </c>
      <c r="Z402" s="123"/>
    </row>
    <row r="403" customFormat="false" ht="13.8" hidden="false" customHeight="false" outlineLevel="0" collapsed="false">
      <c r="A403" s="162" t="s">
        <v>168</v>
      </c>
      <c r="C403" s="160"/>
      <c r="D403" s="158" t="n">
        <v>14404.8</v>
      </c>
      <c r="E403" s="158" t="n">
        <f aca="false">D403/(1-$B$429)</f>
        <v>14970.4276686028</v>
      </c>
      <c r="F403" s="158" t="n">
        <v>279.53</v>
      </c>
      <c r="G403" s="158" t="n">
        <v>29.02</v>
      </c>
      <c r="H403" s="158" t="n">
        <f aca="false">E403*F403</f>
        <v>4184683.64620455</v>
      </c>
      <c r="I403" s="158"/>
      <c r="J403" s="158" t="n">
        <f aca="false">H403</f>
        <v>4184683.64620455</v>
      </c>
      <c r="K403" s="158" t="n">
        <v>47</v>
      </c>
      <c r="L403" s="158" t="n">
        <v>59.2333333333333</v>
      </c>
      <c r="M403" s="158" t="n">
        <v>949</v>
      </c>
      <c r="N403" s="158"/>
      <c r="O403" s="103" t="n">
        <v>0.26</v>
      </c>
      <c r="P403" s="103" t="n">
        <v>0.12</v>
      </c>
      <c r="Q403" s="103" t="n">
        <v>0.12</v>
      </c>
      <c r="R403" s="103" t="n">
        <v>0.5</v>
      </c>
      <c r="S403" s="158" t="n">
        <v>2510</v>
      </c>
      <c r="T403" s="158" t="n">
        <v>2350</v>
      </c>
      <c r="U403" s="158" t="n">
        <v>420</v>
      </c>
      <c r="V403" s="576" t="n">
        <v>50</v>
      </c>
      <c r="Z403" s="123"/>
      <c r="AA403" s="572"/>
      <c r="AB403" s="123"/>
    </row>
    <row r="404" customFormat="false" ht="13.8" hidden="false" customHeight="false" outlineLevel="0" collapsed="false">
      <c r="A404" s="162" t="s">
        <v>827</v>
      </c>
      <c r="D404" s="158" t="n">
        <v>74972</v>
      </c>
      <c r="E404" s="158" t="n">
        <f aca="false">D404/(1-$B$429)</f>
        <v>77915.8963102918</v>
      </c>
      <c r="F404" s="158" t="n">
        <v>309.88</v>
      </c>
      <c r="G404" s="158" t="n">
        <v>19.08</v>
      </c>
      <c r="H404" s="158" t="n">
        <f aca="false">E404*F404</f>
        <v>24144577.9486332</v>
      </c>
      <c r="I404" s="158"/>
      <c r="J404" s="158" t="n">
        <f aca="false">H404</f>
        <v>24144577.9486332</v>
      </c>
      <c r="K404" s="158" t="n">
        <v>47</v>
      </c>
      <c r="L404" s="158" t="n">
        <v>57.2666666666667</v>
      </c>
      <c r="M404" s="158" t="n">
        <v>949</v>
      </c>
      <c r="N404" s="158"/>
      <c r="O404" s="290" t="n">
        <v>0.407407407407407</v>
      </c>
      <c r="P404" s="290" t="n">
        <v>0.308641975308642</v>
      </c>
      <c r="Q404" s="290" t="n">
        <v>0.283950617283951</v>
      </c>
      <c r="R404" s="290" t="n">
        <v>0</v>
      </c>
      <c r="S404" s="158" t="n">
        <v>2300</v>
      </c>
      <c r="T404" s="158" t="n">
        <v>0</v>
      </c>
      <c r="U404" s="158" t="n">
        <v>1610</v>
      </c>
      <c r="V404" s="576" t="n">
        <v>160</v>
      </c>
      <c r="Z404" s="123"/>
      <c r="AA404" s="572"/>
      <c r="AB404" s="123"/>
    </row>
    <row r="405" customFormat="false" ht="13.8" hidden="false" customHeight="false" outlineLevel="0" collapsed="false">
      <c r="A405" s="162" t="s">
        <v>169</v>
      </c>
      <c r="D405" s="158" t="n">
        <v>11012.6</v>
      </c>
      <c r="E405" s="158" t="n">
        <f aca="false">D405/(1-$B$429)</f>
        <v>11445.0274730128</v>
      </c>
      <c r="F405" s="158" t="n">
        <v>332.84</v>
      </c>
      <c r="G405" s="158" t="n">
        <v>26.49</v>
      </c>
      <c r="H405" s="158" t="n">
        <f aca="false">E405*F405</f>
        <v>3809362.9441176</v>
      </c>
      <c r="I405" s="158"/>
      <c r="J405" s="158" t="n">
        <f aca="false">H405</f>
        <v>3809362.9441176</v>
      </c>
      <c r="K405" s="158" t="n">
        <v>47</v>
      </c>
      <c r="L405" s="158" t="n">
        <v>57.2666666666667</v>
      </c>
      <c r="M405" s="158" t="n">
        <v>949</v>
      </c>
      <c r="N405" s="158"/>
      <c r="O405" s="290" t="n">
        <v>0.407407407407407</v>
      </c>
      <c r="P405" s="290" t="n">
        <v>0.308641975308642</v>
      </c>
      <c r="Q405" s="290" t="n">
        <v>0.283950617283951</v>
      </c>
      <c r="R405" s="290" t="n">
        <v>0</v>
      </c>
      <c r="S405" s="158" t="n">
        <v>2470</v>
      </c>
      <c r="T405" s="158" t="n">
        <v>0</v>
      </c>
      <c r="U405" s="158" t="n">
        <v>1730</v>
      </c>
      <c r="V405" s="576" t="n">
        <v>180</v>
      </c>
      <c r="Z405" s="123"/>
      <c r="AA405" s="572"/>
      <c r="AB405" s="123"/>
    </row>
    <row r="406" customFormat="false" ht="13.8" hidden="false" customHeight="false" outlineLevel="0" collapsed="false">
      <c r="A406" s="162" t="s">
        <v>828</v>
      </c>
      <c r="D406" s="158" t="n">
        <v>24907.6</v>
      </c>
      <c r="E406" s="158" t="n">
        <f aca="false">D406/(1-$B$429)</f>
        <v>25885.6370236651</v>
      </c>
      <c r="F406" s="158" t="n">
        <v>310.77</v>
      </c>
      <c r="G406" s="158" t="n">
        <v>27.47</v>
      </c>
      <c r="H406" s="158" t="n">
        <f aca="false">E406*F406</f>
        <v>8044479.41784441</v>
      </c>
      <c r="I406" s="158"/>
      <c r="J406" s="158" t="n">
        <f aca="false">H406</f>
        <v>8044479.41784441</v>
      </c>
      <c r="K406" s="158" t="n">
        <v>47</v>
      </c>
      <c r="L406" s="158" t="n">
        <v>57.2666666666667</v>
      </c>
      <c r="M406" s="158" t="n">
        <v>949</v>
      </c>
      <c r="N406" s="158"/>
      <c r="O406" s="290" t="n">
        <v>0.231069332568991</v>
      </c>
      <c r="P406" s="290" t="n">
        <v>0.151069332568991</v>
      </c>
      <c r="Q406" s="290" t="n">
        <v>0.131069332568991</v>
      </c>
      <c r="R406" s="290" t="n">
        <v>0.486792002293026</v>
      </c>
      <c r="S406" s="158" t="n">
        <v>2960</v>
      </c>
      <c r="T406" s="158" t="n">
        <v>2640</v>
      </c>
      <c r="U406" s="158" t="n">
        <v>330</v>
      </c>
      <c r="V406" s="576" t="n">
        <v>60</v>
      </c>
      <c r="Z406" s="123"/>
    </row>
    <row r="407" customFormat="false" ht="13.8" hidden="false" customHeight="false" outlineLevel="0" collapsed="false">
      <c r="A407" s="162" t="s">
        <v>170</v>
      </c>
      <c r="D407" s="158" t="n">
        <v>19416</v>
      </c>
      <c r="E407" s="158" t="n">
        <f aca="false">D407/(1-$B$429)</f>
        <v>20178.4005063307</v>
      </c>
      <c r="F407" s="158" t="n">
        <v>163.21</v>
      </c>
      <c r="G407" s="158" t="n">
        <v>10.6</v>
      </c>
      <c r="H407" s="158" t="n">
        <f aca="false">E407*F407</f>
        <v>3293316.74663823</v>
      </c>
      <c r="I407" s="158"/>
      <c r="J407" s="158" t="n">
        <f aca="false">H407</f>
        <v>3293316.74663823</v>
      </c>
      <c r="K407" s="158" t="n">
        <v>28</v>
      </c>
      <c r="L407" s="158" t="n">
        <v>26.5</v>
      </c>
      <c r="M407" s="158" t="n">
        <v>330.325</v>
      </c>
      <c r="N407" s="158"/>
      <c r="O407" s="439" t="n">
        <v>0.25</v>
      </c>
      <c r="P407" s="439" t="n">
        <v>0.235294117647059</v>
      </c>
      <c r="Q407" s="439" t="n">
        <v>0.514705882352941</v>
      </c>
      <c r="R407" s="439" t="n">
        <v>0</v>
      </c>
      <c r="S407" s="158" t="n">
        <v>400</v>
      </c>
      <c r="T407" s="158" t="n">
        <v>0</v>
      </c>
      <c r="U407" s="158" t="n">
        <v>410</v>
      </c>
      <c r="V407" s="576" t="n">
        <v>450</v>
      </c>
      <c r="Z407" s="123"/>
      <c r="AA407" s="572"/>
      <c r="AB407" s="123"/>
    </row>
    <row r="408" customFormat="false" ht="13.8" hidden="false" customHeight="false" outlineLevel="0" collapsed="false">
      <c r="A408" s="543" t="s">
        <v>162</v>
      </c>
      <c r="G408" s="160"/>
      <c r="H408" s="160"/>
      <c r="I408" s="160"/>
      <c r="J408" s="160"/>
      <c r="K408" s="160"/>
      <c r="L408" s="160"/>
      <c r="M408" s="160"/>
      <c r="N408" s="160"/>
      <c r="O408" s="290"/>
      <c r="P408" s="290"/>
      <c r="Q408" s="290"/>
      <c r="R408" s="290"/>
      <c r="S408" s="160"/>
      <c r="T408" s="160"/>
      <c r="U408" s="160"/>
      <c r="V408" s="550"/>
      <c r="Z408" s="123"/>
      <c r="AA408" s="572"/>
      <c r="AB408" s="123"/>
    </row>
    <row r="409" customFormat="false" ht="13.8" hidden="false" customHeight="false" outlineLevel="0" collapsed="false">
      <c r="A409" s="543" t="s">
        <v>831</v>
      </c>
      <c r="G409" s="160"/>
      <c r="H409" s="160"/>
      <c r="I409" s="160"/>
      <c r="J409" s="158"/>
      <c r="K409" s="160"/>
      <c r="L409" s="160"/>
      <c r="M409" s="160"/>
      <c r="N409" s="160"/>
      <c r="O409" s="290"/>
      <c r="P409" s="290"/>
      <c r="Q409" s="290"/>
      <c r="R409" s="290"/>
      <c r="S409" s="160"/>
      <c r="T409" s="160"/>
      <c r="U409" s="160"/>
      <c r="V409" s="550"/>
      <c r="Z409" s="123"/>
      <c r="AA409" s="572"/>
      <c r="AB409" s="123"/>
    </row>
    <row r="410" customFormat="false" ht="13.8" hidden="false" customHeight="false" outlineLevel="0" collapsed="false">
      <c r="A410" s="162" t="s">
        <v>153</v>
      </c>
      <c r="B410" s="160" t="n">
        <v>1149000</v>
      </c>
      <c r="C410" s="158" t="n">
        <f aca="false">B410/(1-$B$429)</f>
        <v>1194117.33527884</v>
      </c>
      <c r="D410" s="160" t="n">
        <v>177259.846276879</v>
      </c>
      <c r="E410" s="160" t="n">
        <v>177259.846276879</v>
      </c>
      <c r="F410" s="160" t="n">
        <v>311.877481362569</v>
      </c>
      <c r="G410" s="160" t="n">
        <v>12</v>
      </c>
      <c r="H410" s="158" t="n">
        <f aca="false">E410*F410</f>
        <v>55283354.4035492</v>
      </c>
      <c r="I410" s="160"/>
      <c r="J410" s="160"/>
      <c r="K410" s="160" t="n">
        <v>101.18</v>
      </c>
      <c r="L410" s="160" t="n">
        <v>111.74</v>
      </c>
      <c r="N410" s="160" t="n">
        <v>10.232</v>
      </c>
      <c r="O410" s="290" t="n">
        <v>0.288</v>
      </c>
      <c r="P410" s="290" t="n">
        <v>0</v>
      </c>
      <c r="Q410" s="290" t="n">
        <v>0.02</v>
      </c>
      <c r="R410" s="290" t="n">
        <v>0.692</v>
      </c>
      <c r="S410" s="160" t="n">
        <v>1000</v>
      </c>
      <c r="T410" s="160" t="n">
        <v>3900</v>
      </c>
      <c r="U410" s="160" t="n">
        <v>750</v>
      </c>
      <c r="V410" s="550" t="n">
        <v>250</v>
      </c>
      <c r="Z410" s="123"/>
    </row>
    <row r="411" customFormat="false" ht="13.8" hidden="false" customHeight="false" outlineLevel="0" collapsed="false">
      <c r="A411" s="162" t="s">
        <v>832</v>
      </c>
      <c r="B411" s="160" t="n">
        <f aca="false">E410*$B$433/12</f>
        <v>411390.559900923</v>
      </c>
      <c r="C411" s="158" t="n">
        <f aca="false">B411/(1-$B$429)</f>
        <v>427544.472713456</v>
      </c>
      <c r="D411" s="160"/>
      <c r="E411" s="160"/>
      <c r="F411" s="160" t="n">
        <v>301.665777040042</v>
      </c>
      <c r="G411" s="160" t="n">
        <v>12</v>
      </c>
      <c r="H411" s="160"/>
      <c r="I411" s="160"/>
      <c r="J411" s="160"/>
      <c r="K411" s="160" t="n">
        <v>63.4</v>
      </c>
      <c r="L411" s="160" t="n">
        <v>50.2</v>
      </c>
      <c r="N411" s="160" t="n">
        <v>3.8</v>
      </c>
      <c r="O411" s="290" t="n">
        <v>0.35</v>
      </c>
      <c r="P411" s="290" t="n">
        <v>0</v>
      </c>
      <c r="Q411" s="290" t="n">
        <v>0</v>
      </c>
      <c r="R411" s="290" t="n">
        <v>0.65</v>
      </c>
      <c r="S411" s="160" t="n">
        <v>1660</v>
      </c>
      <c r="T411" s="160" t="n">
        <v>1630</v>
      </c>
      <c r="U411" s="160" t="n">
        <v>760</v>
      </c>
      <c r="V411" s="550" t="n">
        <v>330</v>
      </c>
      <c r="Z411" s="123"/>
    </row>
    <row r="412" customFormat="false" ht="13.8" hidden="false" customHeight="false" outlineLevel="0" collapsed="false">
      <c r="A412" s="162" t="s">
        <v>817</v>
      </c>
      <c r="B412" s="160" t="n">
        <v>1101800</v>
      </c>
      <c r="C412" s="158" t="n">
        <f aca="false">B412/(1-$B$429)</f>
        <v>1145063.95127087</v>
      </c>
      <c r="D412" s="160" t="n">
        <v>169978.153723121</v>
      </c>
      <c r="E412" s="160" t="n">
        <v>169978.153723121</v>
      </c>
      <c r="F412" s="160" t="n">
        <v>311.877481362569</v>
      </c>
      <c r="G412" s="160" t="n">
        <v>12</v>
      </c>
      <c r="H412" s="158" t="n">
        <f aca="false">E412*F412</f>
        <v>53012358.4698265</v>
      </c>
      <c r="I412" s="160"/>
      <c r="J412" s="160"/>
      <c r="K412" s="160" t="n">
        <v>76.1</v>
      </c>
      <c r="L412" s="160" t="n">
        <v>74.236</v>
      </c>
      <c r="N412" s="160" t="n">
        <v>6.564</v>
      </c>
      <c r="O412" s="290" t="n">
        <v>0.27</v>
      </c>
      <c r="P412" s="290" t="n">
        <v>0</v>
      </c>
      <c r="Q412" s="290" t="n">
        <v>0.1</v>
      </c>
      <c r="R412" s="290" t="n">
        <v>0.63</v>
      </c>
      <c r="S412" s="160" t="n">
        <v>1350</v>
      </c>
      <c r="T412" s="160" t="n">
        <v>1940</v>
      </c>
      <c r="U412" s="160" t="n">
        <v>0</v>
      </c>
      <c r="V412" s="550" t="n">
        <v>0</v>
      </c>
      <c r="Z412" s="123"/>
    </row>
    <row r="413" customFormat="false" ht="13.8" hidden="false" customHeight="false" outlineLevel="0" collapsed="false">
      <c r="A413" s="162" t="s">
        <v>833</v>
      </c>
      <c r="B413" s="160" t="n">
        <f aca="false">E412</f>
        <v>169978.153723121</v>
      </c>
      <c r="C413" s="158" t="n">
        <f aca="false">B413/(1-$B$429)</f>
        <v>176652.61965141</v>
      </c>
      <c r="D413" s="160"/>
      <c r="E413" s="160"/>
      <c r="F413" s="160" t="n">
        <v>301.665777040042</v>
      </c>
      <c r="G413" s="160" t="n">
        <v>24</v>
      </c>
      <c r="H413" s="160"/>
      <c r="I413" s="160"/>
      <c r="J413" s="160"/>
      <c r="K413" s="160" t="n">
        <v>74.4</v>
      </c>
      <c r="L413" s="160" t="n">
        <v>53.7</v>
      </c>
      <c r="N413" s="160" t="n">
        <v>4.4</v>
      </c>
      <c r="O413" s="290" t="n">
        <v>0.38</v>
      </c>
      <c r="P413" s="290" t="n">
        <v>0</v>
      </c>
      <c r="Q413" s="290" t="n">
        <v>0</v>
      </c>
      <c r="R413" s="290" t="n">
        <v>0.62</v>
      </c>
      <c r="S413" s="160" t="n">
        <v>1660</v>
      </c>
      <c r="T413" s="160" t="n">
        <v>1630</v>
      </c>
      <c r="U413" s="160" t="n">
        <v>760</v>
      </c>
      <c r="V413" s="550" t="n">
        <v>330</v>
      </c>
    </row>
    <row r="414" customFormat="false" ht="13.8" hidden="false" customHeight="false" outlineLevel="0" collapsed="false">
      <c r="A414" s="162" t="s">
        <v>168</v>
      </c>
      <c r="C414" s="160"/>
      <c r="D414" s="160" t="n">
        <v>480230</v>
      </c>
      <c r="E414" s="160" t="n">
        <f aca="false">D414/(1-$B$429)</f>
        <v>499087.004282818</v>
      </c>
      <c r="F414" s="160" t="n">
        <v>301.665777040042</v>
      </c>
      <c r="G414" s="158" t="n">
        <v>20</v>
      </c>
      <c r="H414" s="158" t="n">
        <f aca="false">E414*F414</f>
        <v>150557468.957563</v>
      </c>
      <c r="I414" s="158"/>
      <c r="J414" s="160"/>
      <c r="K414" s="158" t="n">
        <v>74.4</v>
      </c>
      <c r="L414" s="158" t="n">
        <v>53.7</v>
      </c>
      <c r="N414" s="158" t="n">
        <v>4.048</v>
      </c>
      <c r="O414" s="439" t="n">
        <v>0.38</v>
      </c>
      <c r="P414" s="439" t="n">
        <v>0</v>
      </c>
      <c r="Q414" s="439" t="n">
        <v>0</v>
      </c>
      <c r="R414" s="439" t="n">
        <v>0.62</v>
      </c>
      <c r="S414" s="158" t="n">
        <v>1660</v>
      </c>
      <c r="T414" s="158" t="n">
        <v>1630</v>
      </c>
      <c r="U414" s="158" t="n">
        <v>760</v>
      </c>
      <c r="V414" s="576" t="n">
        <v>330</v>
      </c>
      <c r="Z414" s="123"/>
    </row>
    <row r="415" customFormat="false" ht="13.8" hidden="false" customHeight="false" outlineLevel="0" collapsed="false">
      <c r="A415" s="162" t="s">
        <v>834</v>
      </c>
      <c r="C415" s="160"/>
      <c r="D415" s="158" t="n">
        <v>224568</v>
      </c>
      <c r="E415" s="158" t="n">
        <f aca="false">D415/(1-$B$429)</f>
        <v>233386.024150477</v>
      </c>
      <c r="F415" s="158" t="n">
        <v>375.487566071849</v>
      </c>
      <c r="G415" s="158" t="n">
        <v>24</v>
      </c>
      <c r="H415" s="158" t="n">
        <f aca="false">E415*F415</f>
        <v>87633550.1634485</v>
      </c>
      <c r="I415" s="158"/>
      <c r="J415" s="160"/>
      <c r="K415" s="158" t="n">
        <v>73.8</v>
      </c>
      <c r="L415" s="158" t="n">
        <v>57.508</v>
      </c>
      <c r="N415" s="158" t="n">
        <v>5.612</v>
      </c>
      <c r="O415" s="439" t="n">
        <v>0.38</v>
      </c>
      <c r="P415" s="439" t="n">
        <v>0</v>
      </c>
      <c r="Q415" s="439" t="n">
        <v>0.13</v>
      </c>
      <c r="R415" s="439" t="n">
        <v>0.49</v>
      </c>
      <c r="S415" s="158" t="n">
        <v>2360</v>
      </c>
      <c r="T415" s="158" t="n">
        <v>2330</v>
      </c>
      <c r="U415" s="158" t="n">
        <v>1010</v>
      </c>
      <c r="V415" s="576" t="n">
        <v>330</v>
      </c>
      <c r="Z415" s="123"/>
    </row>
    <row r="416" customFormat="false" ht="13.8" hidden="false" customHeight="false" outlineLevel="0" collapsed="false">
      <c r="A416" s="162" t="s">
        <v>835</v>
      </c>
      <c r="C416" s="160"/>
      <c r="D416" s="158" t="n">
        <v>567124</v>
      </c>
      <c r="E416" s="158" t="n">
        <f aca="false">D416/(1-$B$429)</f>
        <v>589393.037121564</v>
      </c>
      <c r="F416" s="158" t="n">
        <v>357.35609600562</v>
      </c>
      <c r="G416" s="158" t="n">
        <v>28</v>
      </c>
      <c r="H416" s="158" t="n">
        <f aca="false">E416*F416</f>
        <v>210623194.758658</v>
      </c>
      <c r="I416" s="158"/>
      <c r="J416" s="160"/>
      <c r="K416" s="158" t="n">
        <v>37.2</v>
      </c>
      <c r="L416" s="158" t="n">
        <v>37.152</v>
      </c>
      <c r="N416" s="158" t="n">
        <v>1.22</v>
      </c>
      <c r="O416" s="439" t="n">
        <v>0.03</v>
      </c>
      <c r="P416" s="439" t="n">
        <v>0</v>
      </c>
      <c r="Q416" s="439" t="n">
        <v>0.02</v>
      </c>
      <c r="R416" s="439" t="n">
        <v>0.95</v>
      </c>
      <c r="S416" s="158" t="n">
        <v>2860</v>
      </c>
      <c r="T416" s="158" t="n">
        <v>4130</v>
      </c>
      <c r="U416" s="158" t="n">
        <v>460</v>
      </c>
      <c r="V416" s="576" t="n">
        <v>330</v>
      </c>
      <c r="Z416" s="123"/>
    </row>
    <row r="417" customFormat="false" ht="13.8" hidden="false" customHeight="false" outlineLevel="0" collapsed="false">
      <c r="A417" s="162" t="s">
        <v>170</v>
      </c>
      <c r="C417" s="160"/>
      <c r="D417" s="160" t="n">
        <v>6612</v>
      </c>
      <c r="E417" s="160" t="n">
        <f aca="false">D417/(1-$B$429)</f>
        <v>6871.63082755761</v>
      </c>
      <c r="F417" s="160" t="n">
        <v>155.334956473</v>
      </c>
      <c r="G417" s="160" t="n">
        <v>10</v>
      </c>
      <c r="H417" s="158" t="n">
        <f aca="false">E417*F417</f>
        <v>1067404.47549719</v>
      </c>
      <c r="I417" s="160"/>
      <c r="J417" s="160"/>
      <c r="K417" s="160" t="n">
        <v>27.6</v>
      </c>
      <c r="L417" s="160" t="n">
        <v>30.066</v>
      </c>
      <c r="N417" s="160" t="n">
        <v>4.4</v>
      </c>
      <c r="O417" s="290" t="n">
        <v>0.41</v>
      </c>
      <c r="P417" s="290" t="n">
        <v>0</v>
      </c>
      <c r="Q417" s="290" t="n">
        <v>0.2</v>
      </c>
      <c r="R417" s="290" t="n">
        <v>0.39</v>
      </c>
      <c r="S417" s="160" t="n">
        <v>760</v>
      </c>
      <c r="T417" s="160" t="n">
        <v>130</v>
      </c>
      <c r="U417" s="160" t="n">
        <v>310</v>
      </c>
      <c r="V417" s="550" t="n">
        <v>280</v>
      </c>
      <c r="Z417" s="123"/>
    </row>
    <row r="418" customFormat="false" ht="13.8" hidden="false" customHeight="false" outlineLevel="0" collapsed="false">
      <c r="A418" s="162" t="s">
        <v>836</v>
      </c>
      <c r="C418" s="160"/>
      <c r="D418" s="160"/>
      <c r="E418" s="160"/>
      <c r="F418" s="160"/>
      <c r="G418" s="160"/>
      <c r="H418" s="160" t="n">
        <f aca="false">SUM(H412:H417)</f>
        <v>502893976.824993</v>
      </c>
      <c r="I418" s="160"/>
      <c r="J418" s="160"/>
      <c r="K418" s="160"/>
      <c r="L418" s="160"/>
      <c r="M418" s="160"/>
      <c r="N418" s="160"/>
      <c r="O418" s="290"/>
      <c r="P418" s="290"/>
      <c r="Q418" s="290"/>
      <c r="R418" s="290"/>
      <c r="S418" s="160"/>
      <c r="T418" s="160"/>
      <c r="U418" s="160"/>
      <c r="V418" s="550"/>
      <c r="Z418" s="123"/>
    </row>
    <row r="419" customFormat="false" ht="13.8" hidden="false" customHeight="false" outlineLevel="0" collapsed="false">
      <c r="A419" s="543" t="s">
        <v>165</v>
      </c>
      <c r="C419" s="160"/>
      <c r="D419" s="160"/>
      <c r="E419" s="160"/>
      <c r="F419" s="160"/>
      <c r="G419" s="160"/>
      <c r="H419" s="160"/>
      <c r="I419" s="160"/>
      <c r="J419" s="160"/>
      <c r="K419" s="160"/>
      <c r="L419" s="160"/>
      <c r="M419" s="160"/>
      <c r="N419" s="160"/>
      <c r="O419" s="290"/>
      <c r="P419" s="290"/>
      <c r="Q419" s="290"/>
      <c r="R419" s="290"/>
      <c r="S419" s="160"/>
      <c r="T419" s="160"/>
      <c r="U419" s="160"/>
      <c r="V419" s="550"/>
      <c r="Z419" s="123"/>
    </row>
    <row r="420" customFormat="false" ht="13.8" hidden="false" customHeight="false" outlineLevel="0" collapsed="false">
      <c r="A420" s="543" t="s">
        <v>831</v>
      </c>
      <c r="C420" s="160"/>
      <c r="D420" s="160"/>
      <c r="E420" s="160"/>
      <c r="F420" s="160"/>
      <c r="G420" s="160"/>
      <c r="H420" s="160"/>
      <c r="I420" s="160"/>
      <c r="J420" s="160"/>
      <c r="K420" s="160"/>
      <c r="L420" s="160"/>
      <c r="M420" s="160"/>
      <c r="N420" s="160"/>
      <c r="O420" s="290"/>
      <c r="P420" s="290"/>
      <c r="Q420" s="290"/>
      <c r="R420" s="290"/>
      <c r="S420" s="160"/>
      <c r="T420" s="160"/>
      <c r="U420" s="160"/>
      <c r="V420" s="550"/>
      <c r="Z420" s="123"/>
    </row>
    <row r="421" customFormat="false" ht="13.8" hidden="false" customHeight="false" outlineLevel="0" collapsed="false">
      <c r="A421" s="162" t="s">
        <v>837</v>
      </c>
      <c r="B421" s="282" t="n">
        <v>4245704</v>
      </c>
      <c r="C421" s="158" t="n">
        <f aca="false">B421/(1-$B$429)</f>
        <v>4412418.40458026</v>
      </c>
      <c r="D421" s="158" t="n">
        <v>1260600</v>
      </c>
      <c r="E421" s="158" t="n">
        <v>1260600</v>
      </c>
      <c r="F421" s="158" t="n">
        <v>301</v>
      </c>
      <c r="G421" s="158" t="n">
        <v>12</v>
      </c>
      <c r="H421" s="158" t="n">
        <f aca="false">E421*F421</f>
        <v>379440600</v>
      </c>
      <c r="I421" s="158"/>
      <c r="J421" s="158" t="n">
        <f aca="false">H421</f>
        <v>379440600</v>
      </c>
      <c r="K421" s="158" t="n">
        <v>118.4</v>
      </c>
      <c r="L421" s="158" t="n">
        <v>135.5</v>
      </c>
      <c r="M421" s="158" t="n">
        <v>1474.6</v>
      </c>
      <c r="N421" s="158"/>
      <c r="O421" s="439" t="n">
        <v>0.68006993006993</v>
      </c>
      <c r="P421" s="439" t="n">
        <v>0.190559440559441</v>
      </c>
      <c r="Q421" s="439" t="n">
        <v>0</v>
      </c>
      <c r="R421" s="439" t="n">
        <v>0.129370629370629</v>
      </c>
      <c r="S421" s="158" t="n">
        <v>4400</v>
      </c>
      <c r="T421" s="158" t="n">
        <v>700</v>
      </c>
      <c r="U421" s="158" t="n">
        <v>2140</v>
      </c>
      <c r="V421" s="576" t="n">
        <v>1890</v>
      </c>
      <c r="Z421" s="123"/>
    </row>
    <row r="422" customFormat="false" ht="13.8" hidden="false" customHeight="false" outlineLevel="0" collapsed="false">
      <c r="A422" s="162" t="s">
        <v>822</v>
      </c>
      <c r="B422" s="160" t="n">
        <f aca="false">E421*$B$433/12</f>
        <v>2925642.5</v>
      </c>
      <c r="C422" s="158" t="n">
        <f aca="false">B422/(1-$B$429)</f>
        <v>3040522.56403701</v>
      </c>
      <c r="F422" s="158" t="n">
        <v>296</v>
      </c>
      <c r="G422" s="158" t="n">
        <v>12</v>
      </c>
      <c r="H422" s="158"/>
      <c r="I422" s="158"/>
      <c r="J422" s="158"/>
      <c r="K422" s="158" t="n">
        <v>42.66</v>
      </c>
      <c r="L422" s="158" t="n">
        <v>43.3</v>
      </c>
      <c r="M422" s="158" t="n">
        <v>500.05</v>
      </c>
      <c r="N422" s="158"/>
      <c r="O422" s="439" t="n">
        <v>0.68006993006993</v>
      </c>
      <c r="P422" s="439" t="n">
        <v>0.190559440559441</v>
      </c>
      <c r="Q422" s="439" t="n">
        <v>0</v>
      </c>
      <c r="R422" s="439" t="n">
        <v>0.129370629370629</v>
      </c>
      <c r="S422" s="158" t="n">
        <v>3800</v>
      </c>
      <c r="T422" s="158" t="n">
        <v>1350</v>
      </c>
      <c r="U422" s="158" t="n">
        <v>440</v>
      </c>
      <c r="V422" s="576" t="n">
        <v>50</v>
      </c>
      <c r="AA422" s="572"/>
      <c r="AB422" s="123"/>
    </row>
    <row r="423" customFormat="false" ht="13.8" hidden="false" customHeight="false" outlineLevel="0" collapsed="false">
      <c r="A423" s="162" t="s">
        <v>168</v>
      </c>
      <c r="D423" s="158" t="n">
        <v>488800</v>
      </c>
      <c r="E423" s="158" t="n">
        <f aca="false">D423/(1-$B$429)</f>
        <v>507993.519133418</v>
      </c>
      <c r="F423" s="158" t="n">
        <v>296</v>
      </c>
      <c r="G423" s="158" t="n">
        <v>29</v>
      </c>
      <c r="H423" s="158" t="n">
        <f aca="false">E423*F423</f>
        <v>150366081.663492</v>
      </c>
      <c r="I423" s="158"/>
      <c r="J423" s="158" t="n">
        <f aca="false">H423</f>
        <v>150366081.663492</v>
      </c>
      <c r="K423" s="158" t="n">
        <v>42.66</v>
      </c>
      <c r="L423" s="158" t="n">
        <v>43.3</v>
      </c>
      <c r="M423" s="158" t="n">
        <v>500.05</v>
      </c>
      <c r="N423" s="158"/>
      <c r="O423" s="439" t="n">
        <v>0.68006993006993</v>
      </c>
      <c r="P423" s="439" t="n">
        <v>0.190559440559441</v>
      </c>
      <c r="Q423" s="439" t="n">
        <v>0</v>
      </c>
      <c r="R423" s="439" t="n">
        <v>0.129370629370629</v>
      </c>
      <c r="S423" s="158" t="n">
        <v>3800</v>
      </c>
      <c r="T423" s="158" t="n">
        <v>1350</v>
      </c>
      <c r="U423" s="158" t="n">
        <v>440</v>
      </c>
      <c r="V423" s="576" t="n">
        <v>50</v>
      </c>
      <c r="AA423" s="572"/>
      <c r="AB423" s="123"/>
    </row>
    <row r="424" customFormat="false" ht="13.8" hidden="false" customHeight="false" outlineLevel="0" collapsed="false">
      <c r="A424" s="162" t="s">
        <v>169</v>
      </c>
      <c r="D424" s="158" t="n">
        <v>1422800</v>
      </c>
      <c r="E424" s="158" t="n">
        <f aca="false">D424/(1-$B$429)</f>
        <v>1478668.5331895</v>
      </c>
      <c r="F424" s="158" t="n">
        <v>382</v>
      </c>
      <c r="G424" s="158" t="n">
        <v>20</v>
      </c>
      <c r="H424" s="158" t="n">
        <f aca="false">E424*F424</f>
        <v>564851379.678389</v>
      </c>
      <c r="I424" s="158"/>
      <c r="J424" s="158" t="n">
        <f aca="false">H424</f>
        <v>564851379.678389</v>
      </c>
      <c r="K424" s="158" t="n">
        <v>42.66</v>
      </c>
      <c r="L424" s="158" t="n">
        <v>43.3</v>
      </c>
      <c r="M424" s="158" t="n">
        <v>500.05</v>
      </c>
      <c r="N424" s="158"/>
      <c r="O424" s="439" t="n">
        <v>0.481780250347705</v>
      </c>
      <c r="P424" s="439" t="n">
        <v>0.276216968011127</v>
      </c>
      <c r="Q424" s="439" t="n">
        <v>0.242002781641168</v>
      </c>
      <c r="R424" s="439" t="n">
        <v>0</v>
      </c>
      <c r="S424" s="158" t="n">
        <v>2840</v>
      </c>
      <c r="T424" s="158" t="n">
        <v>0</v>
      </c>
      <c r="U424" s="158" t="n">
        <v>1990</v>
      </c>
      <c r="V424" s="576" t="n">
        <v>200</v>
      </c>
      <c r="Z424" s="123"/>
      <c r="AA424" s="572"/>
      <c r="AB424" s="123"/>
    </row>
    <row r="425" customFormat="false" ht="13.8" hidden="false" customHeight="false" outlineLevel="0" collapsed="false">
      <c r="A425" s="513" t="s">
        <v>170</v>
      </c>
      <c r="B425" s="469"/>
      <c r="C425" s="469"/>
      <c r="D425" s="602" t="n">
        <v>326000</v>
      </c>
      <c r="E425" s="602" t="n">
        <f aca="false">D425/(1-$B$429)</f>
        <v>338800.914970324</v>
      </c>
      <c r="F425" s="602" t="n">
        <v>143</v>
      </c>
      <c r="G425" s="602" t="n">
        <v>8</v>
      </c>
      <c r="H425" s="602" t="n">
        <f aca="false">E425*F425</f>
        <v>48448530.8407563</v>
      </c>
      <c r="I425" s="602"/>
      <c r="J425" s="602" t="n">
        <f aca="false">H425</f>
        <v>48448530.8407563</v>
      </c>
      <c r="K425" s="602" t="n">
        <v>42.66</v>
      </c>
      <c r="L425" s="602" t="n">
        <v>43.3</v>
      </c>
      <c r="M425" s="602" t="n">
        <v>500.05</v>
      </c>
      <c r="N425" s="602"/>
      <c r="O425" s="435" t="n">
        <v>0.481780250347705</v>
      </c>
      <c r="P425" s="435" t="n">
        <v>0.276216968011127</v>
      </c>
      <c r="Q425" s="435" t="n">
        <v>0.242002781641168</v>
      </c>
      <c r="R425" s="435" t="n">
        <v>0</v>
      </c>
      <c r="S425" s="602" t="n">
        <v>350</v>
      </c>
      <c r="T425" s="602" t="n">
        <v>0</v>
      </c>
      <c r="U425" s="602" t="n">
        <v>360</v>
      </c>
      <c r="V425" s="603" t="n">
        <v>390</v>
      </c>
      <c r="Z425" s="123"/>
    </row>
    <row r="426" customFormat="false" ht="13.8" hidden="false" customHeight="false" outlineLevel="0" collapsed="false">
      <c r="A426" s="395" t="s">
        <v>838</v>
      </c>
      <c r="C426" s="555"/>
      <c r="D426" s="555"/>
      <c r="E426" s="572"/>
      <c r="F426" s="158"/>
      <c r="G426" s="158"/>
      <c r="H426" s="158"/>
      <c r="I426" s="555"/>
      <c r="J426" s="555"/>
      <c r="K426" s="555"/>
      <c r="L426" s="555"/>
      <c r="M426" s="439"/>
      <c r="N426" s="439"/>
      <c r="O426" s="439"/>
      <c r="P426" s="439"/>
      <c r="Q426" s="555"/>
      <c r="R426" s="555"/>
      <c r="S426" s="555"/>
      <c r="T426" s="555"/>
      <c r="X426" s="123"/>
      <c r="Y426" s="123"/>
      <c r="Z426" s="572"/>
      <c r="AA426" s="123"/>
    </row>
    <row r="427" customFormat="false" ht="13.8" hidden="false" customHeight="false" outlineLevel="0" collapsed="false">
      <c r="A427" s="395"/>
      <c r="D427" s="555"/>
      <c r="E427" s="572"/>
      <c r="F427" s="158"/>
      <c r="G427" s="158"/>
      <c r="H427" s="158"/>
      <c r="I427" s="555"/>
      <c r="J427" s="555"/>
      <c r="K427" s="555"/>
      <c r="L427" s="555"/>
      <c r="M427" s="439"/>
      <c r="N427" s="439"/>
      <c r="O427" s="439"/>
      <c r="P427" s="439"/>
      <c r="Q427" s="555"/>
      <c r="R427" s="555"/>
      <c r="S427" s="555"/>
      <c r="T427" s="555"/>
      <c r="X427" s="123"/>
      <c r="Y427" s="123"/>
      <c r="Z427" s="572"/>
      <c r="AA427" s="123"/>
    </row>
    <row r="428" customFormat="false" ht="13.8" hidden="false" customHeight="false" outlineLevel="0" collapsed="false">
      <c r="A428" s="25"/>
      <c r="C428" s="626" t="s">
        <v>411</v>
      </c>
      <c r="E428" s="572"/>
      <c r="F428" s="158"/>
      <c r="G428" s="158"/>
      <c r="H428" s="158"/>
      <c r="I428" s="555"/>
      <c r="J428" s="555"/>
      <c r="K428" s="555"/>
      <c r="L428" s="555"/>
      <c r="M428" s="439"/>
      <c r="N428" s="439"/>
      <c r="O428" s="439"/>
      <c r="P428" s="439"/>
      <c r="Q428" s="555"/>
      <c r="R428" s="555"/>
      <c r="S428" s="555"/>
      <c r="T428" s="555"/>
      <c r="X428" s="123"/>
      <c r="Y428" s="123"/>
      <c r="Z428" s="572"/>
      <c r="AA428" s="123"/>
    </row>
    <row r="429" customFormat="false" ht="27.6" hidden="false" customHeight="false" outlineLevel="0" collapsed="false">
      <c r="A429" s="627" t="s">
        <v>839</v>
      </c>
      <c r="B429" s="628" t="n">
        <v>0.037783</v>
      </c>
      <c r="C429" s="175" t="s">
        <v>584</v>
      </c>
      <c r="D429" s="23"/>
      <c r="E429" s="572"/>
      <c r="F429" s="158"/>
      <c r="G429" s="158"/>
      <c r="H429" s="158"/>
      <c r="I429" s="555"/>
      <c r="J429" s="555"/>
      <c r="K429" s="555"/>
      <c r="L429" s="555"/>
      <c r="M429" s="439"/>
      <c r="N429" s="439"/>
      <c r="O429" s="439"/>
      <c r="P429" s="439"/>
      <c r="Q429" s="555"/>
      <c r="R429" s="555"/>
      <c r="S429" s="555"/>
      <c r="T429" s="555"/>
      <c r="X429" s="123"/>
      <c r="Y429" s="123"/>
      <c r="Z429" s="572"/>
      <c r="AA429" s="123"/>
    </row>
    <row r="430" customFormat="false" ht="13.8" hidden="false" customHeight="false" outlineLevel="0" collapsed="false">
      <c r="A430" s="499"/>
      <c r="E430" s="572"/>
      <c r="F430" s="158"/>
      <c r="G430" s="158"/>
      <c r="H430" s="158"/>
      <c r="I430" s="555"/>
      <c r="J430" s="555"/>
      <c r="K430" s="555"/>
      <c r="L430" s="555"/>
      <c r="M430" s="439"/>
      <c r="N430" s="439"/>
      <c r="O430" s="439"/>
      <c r="P430" s="439"/>
      <c r="Q430" s="555"/>
      <c r="R430" s="555"/>
      <c r="S430" s="555"/>
      <c r="T430" s="555"/>
      <c r="X430" s="123"/>
      <c r="Y430" s="123"/>
      <c r="Z430" s="572"/>
      <c r="AA430" s="123"/>
    </row>
    <row r="431" customFormat="false" ht="13.8" hidden="false" customHeight="false" outlineLevel="0" collapsed="false">
      <c r="A431" s="23"/>
      <c r="C431" s="175"/>
      <c r="E431" s="572"/>
      <c r="F431" s="158"/>
      <c r="G431" s="158"/>
      <c r="H431" s="158"/>
      <c r="I431" s="555"/>
      <c r="J431" s="555"/>
      <c r="K431" s="555"/>
      <c r="L431" s="555"/>
      <c r="M431" s="439"/>
      <c r="N431" s="439"/>
      <c r="O431" s="439"/>
      <c r="P431" s="439"/>
      <c r="Q431" s="555"/>
      <c r="R431" s="555"/>
      <c r="S431" s="555"/>
      <c r="T431" s="555"/>
      <c r="X431" s="123"/>
      <c r="Y431" s="123"/>
      <c r="Z431" s="572"/>
      <c r="AA431" s="123"/>
    </row>
    <row r="432" customFormat="false" ht="13.8" hidden="false" customHeight="false" outlineLevel="0" collapsed="false">
      <c r="A432" s="25" t="s">
        <v>840</v>
      </c>
      <c r="C432" s="333" t="s">
        <v>411</v>
      </c>
      <c r="E432" s="572"/>
      <c r="F432" s="158"/>
      <c r="G432" s="158"/>
      <c r="H432" s="158"/>
      <c r="I432" s="555"/>
      <c r="J432" s="555"/>
      <c r="K432" s="555"/>
      <c r="L432" s="555"/>
      <c r="M432" s="439"/>
      <c r="N432" s="439"/>
      <c r="O432" s="439"/>
      <c r="P432" s="439"/>
      <c r="Q432" s="555"/>
      <c r="R432" s="555"/>
      <c r="S432" s="555"/>
      <c r="T432" s="555"/>
      <c r="X432" s="123"/>
      <c r="Y432" s="123"/>
      <c r="Z432" s="572"/>
      <c r="AA432" s="123"/>
    </row>
    <row r="433" customFormat="false" ht="13.8" hidden="false" customHeight="false" outlineLevel="0" collapsed="false">
      <c r="A433" s="475" t="s">
        <v>153</v>
      </c>
      <c r="B433" s="629" t="n">
        <v>27.85</v>
      </c>
      <c r="C433" s="395" t="s">
        <v>841</v>
      </c>
      <c r="E433" s="572"/>
      <c r="F433" s="158"/>
      <c r="G433" s="158"/>
      <c r="H433" s="158"/>
      <c r="I433" s="555"/>
      <c r="J433" s="555"/>
      <c r="K433" s="555"/>
      <c r="L433" s="555"/>
      <c r="M433" s="439"/>
      <c r="N433" s="439"/>
      <c r="O433" s="439"/>
      <c r="P433" s="439"/>
      <c r="Q433" s="555"/>
      <c r="R433" s="555"/>
      <c r="S433" s="555"/>
      <c r="T433" s="555"/>
      <c r="X433" s="123"/>
      <c r="Y433" s="123"/>
      <c r="Z433" s="572"/>
      <c r="AA433" s="123"/>
    </row>
    <row r="434" customFormat="false" ht="13.8" hidden="false" customHeight="false" outlineLevel="0" collapsed="false">
      <c r="A434" s="503" t="s">
        <v>842</v>
      </c>
      <c r="B434" s="630" t="n">
        <v>24</v>
      </c>
      <c r="C434" s="395" t="s">
        <v>757</v>
      </c>
      <c r="E434" s="572"/>
      <c r="F434" s="158"/>
      <c r="G434" s="158"/>
      <c r="H434" s="158"/>
      <c r="I434" s="555"/>
      <c r="J434" s="555"/>
      <c r="K434" s="555"/>
      <c r="L434" s="555"/>
      <c r="M434" s="439"/>
      <c r="N434" s="439"/>
      <c r="O434" s="439"/>
      <c r="P434" s="439"/>
      <c r="Q434" s="555"/>
      <c r="R434" s="555"/>
      <c r="S434" s="555"/>
      <c r="T434" s="555"/>
      <c r="X434" s="123"/>
      <c r="Y434" s="123"/>
      <c r="Z434" s="572"/>
      <c r="AA434" s="123"/>
    </row>
    <row r="435" customFormat="false" ht="13.8" hidden="false" customHeight="false" outlineLevel="0" collapsed="false">
      <c r="A435" s="23"/>
      <c r="B435" s="160"/>
      <c r="E435" s="572"/>
      <c r="F435" s="158"/>
      <c r="G435" s="158"/>
      <c r="H435" s="158"/>
      <c r="I435" s="555"/>
      <c r="J435" s="555"/>
      <c r="K435" s="555"/>
      <c r="L435" s="555"/>
      <c r="M435" s="439"/>
      <c r="N435" s="439"/>
      <c r="O435" s="439"/>
      <c r="P435" s="439"/>
      <c r="Q435" s="555"/>
      <c r="R435" s="555"/>
      <c r="S435" s="555"/>
      <c r="T435" s="555"/>
      <c r="X435" s="123"/>
      <c r="Y435" s="123"/>
      <c r="Z435" s="572"/>
      <c r="AA435" s="123"/>
    </row>
    <row r="436" customFormat="false" ht="13.8" hidden="false" customHeight="false" outlineLevel="0" collapsed="false">
      <c r="A436" s="472"/>
      <c r="B436" s="464" t="s">
        <v>137</v>
      </c>
      <c r="C436" s="626" t="s">
        <v>411</v>
      </c>
      <c r="E436" s="572"/>
      <c r="F436" s="158"/>
      <c r="G436" s="158"/>
      <c r="H436" s="158"/>
      <c r="I436" s="555"/>
      <c r="J436" s="555"/>
      <c r="K436" s="555"/>
      <c r="L436" s="555"/>
      <c r="M436" s="439"/>
      <c r="N436" s="439"/>
      <c r="O436" s="439"/>
      <c r="P436" s="439"/>
      <c r="Q436" s="555"/>
      <c r="R436" s="555"/>
      <c r="S436" s="555"/>
      <c r="T436" s="555"/>
      <c r="X436" s="123"/>
      <c r="Y436" s="123"/>
      <c r="Z436" s="572"/>
      <c r="AA436" s="123"/>
    </row>
    <row r="437" customFormat="false" ht="13.8" hidden="false" customHeight="false" outlineLevel="0" collapsed="false">
      <c r="A437" s="543" t="s">
        <v>843</v>
      </c>
      <c r="B437" s="576" t="n">
        <v>2975347274.88</v>
      </c>
      <c r="C437" s="282" t="s">
        <v>844</v>
      </c>
      <c r="N437" s="123"/>
      <c r="O437" s="123"/>
      <c r="P437" s="123"/>
      <c r="Q437" s="512"/>
      <c r="X437" s="123"/>
      <c r="Y437" s="123"/>
      <c r="Z437" s="572"/>
      <c r="AA437" s="123"/>
    </row>
    <row r="438" customFormat="false" ht="13.8" hidden="false" customHeight="false" outlineLevel="0" collapsed="false">
      <c r="A438" s="631" t="s">
        <v>845</v>
      </c>
      <c r="B438" s="603" t="n">
        <v>8645</v>
      </c>
      <c r="C438" s="282" t="s">
        <v>844</v>
      </c>
      <c r="J438" s="123"/>
      <c r="K438" s="123"/>
      <c r="L438" s="123"/>
      <c r="M438" s="123"/>
      <c r="N438" s="123"/>
      <c r="O438" s="123"/>
      <c r="P438" s="123"/>
      <c r="Q438" s="512"/>
      <c r="X438" s="123"/>
      <c r="Y438" s="123"/>
    </row>
    <row r="439" customFormat="false" ht="13.8" hidden="false" customHeight="false" outlineLevel="0" collapsed="false">
      <c r="A439" s="395" t="s">
        <v>846</v>
      </c>
      <c r="C439" s="525"/>
      <c r="J439" s="123"/>
      <c r="K439" s="565"/>
      <c r="L439" s="565"/>
      <c r="M439" s="123"/>
      <c r="N439" s="123"/>
      <c r="O439" s="123"/>
      <c r="P439" s="123"/>
      <c r="Q439" s="512"/>
      <c r="X439" s="123"/>
      <c r="Y439" s="123"/>
      <c r="Z439" s="572"/>
      <c r="AA439" s="123"/>
    </row>
    <row r="440" s="282" customFormat="true" ht="13.8" hidden="false" customHeight="false" outlineLevel="0" collapsed="false">
      <c r="C440" s="160"/>
      <c r="J440" s="123"/>
      <c r="K440" s="173"/>
      <c r="L440" s="173"/>
      <c r="M440" s="123"/>
      <c r="N440" s="123"/>
      <c r="O440" s="123"/>
      <c r="P440" s="123"/>
      <c r="Q440" s="512"/>
      <c r="X440" s="123"/>
      <c r="Y440" s="123"/>
      <c r="Z440" s="572"/>
      <c r="AA440" s="123"/>
    </row>
    <row r="441" customFormat="false" ht="13.8" hidden="false" customHeight="false" outlineLevel="0" collapsed="false">
      <c r="A441" s="632" t="s">
        <v>735</v>
      </c>
      <c r="J441" s="123"/>
      <c r="K441" s="173"/>
      <c r="L441" s="173"/>
      <c r="M441" s="123"/>
      <c r="N441" s="123"/>
      <c r="O441" s="123"/>
      <c r="P441" s="123"/>
      <c r="Q441" s="512"/>
      <c r="X441" s="123"/>
      <c r="Y441" s="123"/>
    </row>
    <row r="442" customFormat="false" ht="13.8" hidden="false" customHeight="false" outlineLevel="0" collapsed="false">
      <c r="A442" s="472"/>
      <c r="B442" s="633" t="s">
        <v>754</v>
      </c>
      <c r="C442" s="633" t="s">
        <v>751</v>
      </c>
      <c r="D442" s="633" t="s">
        <v>732</v>
      </c>
      <c r="E442" s="464" t="s">
        <v>804</v>
      </c>
      <c r="F442" s="333" t="s">
        <v>411</v>
      </c>
      <c r="G442" s="333"/>
      <c r="J442" s="123"/>
      <c r="K442" s="173"/>
      <c r="L442" s="173"/>
      <c r="M442" s="123"/>
      <c r="N442" s="123"/>
      <c r="O442" s="123"/>
      <c r="P442" s="123"/>
      <c r="Q442" s="512"/>
      <c r="X442" s="123"/>
      <c r="Y442" s="123"/>
      <c r="Z442" s="572"/>
      <c r="AA442" s="123"/>
    </row>
    <row r="443" customFormat="false" ht="27.6" hidden="false" customHeight="false" outlineLevel="0" collapsed="false">
      <c r="A443" s="543" t="s">
        <v>847</v>
      </c>
      <c r="B443" s="103" t="n">
        <f aca="false">3.5*0.01</f>
        <v>0.035</v>
      </c>
      <c r="C443" s="103" t="n">
        <v>0.02</v>
      </c>
      <c r="D443" s="103" t="n">
        <v>0.17</v>
      </c>
      <c r="E443" s="574" t="n">
        <v>0.01</v>
      </c>
      <c r="F443" s="297" t="s">
        <v>848</v>
      </c>
      <c r="J443" s="123"/>
      <c r="K443" s="173"/>
      <c r="L443" s="173"/>
      <c r="M443" s="123"/>
      <c r="N443" s="123"/>
      <c r="O443" s="123"/>
      <c r="P443" s="123"/>
      <c r="Q443" s="512"/>
      <c r="X443" s="123"/>
      <c r="Y443" s="123"/>
      <c r="Z443" s="572"/>
      <c r="AA443" s="123"/>
    </row>
    <row r="444" customFormat="false" ht="27.6" hidden="false" customHeight="false" outlineLevel="0" collapsed="false">
      <c r="A444" s="543" t="s">
        <v>849</v>
      </c>
      <c r="B444" s="290" t="n">
        <v>0.1536</v>
      </c>
      <c r="C444" s="103" t="n">
        <v>0.02</v>
      </c>
      <c r="D444" s="103" t="n">
        <v>0.17</v>
      </c>
      <c r="E444" s="574" t="n">
        <v>0.01</v>
      </c>
      <c r="F444" s="297" t="s">
        <v>848</v>
      </c>
      <c r="J444" s="123"/>
      <c r="K444" s="123"/>
      <c r="L444" s="123"/>
      <c r="M444" s="123"/>
      <c r="N444" s="123"/>
      <c r="O444" s="123"/>
      <c r="P444" s="123"/>
      <c r="Q444" s="512"/>
      <c r="X444" s="123"/>
      <c r="Y444" s="123"/>
      <c r="Z444" s="572"/>
      <c r="AA444" s="123"/>
    </row>
    <row r="445" customFormat="false" ht="27.6" hidden="false" customHeight="false" outlineLevel="0" collapsed="false">
      <c r="A445" s="543" t="s">
        <v>850</v>
      </c>
      <c r="B445" s="103" t="n">
        <v>0.005</v>
      </c>
      <c r="C445" s="103" t="n">
        <f aca="false">0.5*0.01</f>
        <v>0.005</v>
      </c>
      <c r="D445" s="103" t="n">
        <v>0.01</v>
      </c>
      <c r="E445" s="574" t="n">
        <v>0.02</v>
      </c>
      <c r="F445" s="297" t="s">
        <v>848</v>
      </c>
      <c r="J445" s="634"/>
      <c r="K445" s="634"/>
      <c r="L445" s="634"/>
      <c r="M445" s="123"/>
      <c r="N445" s="123"/>
      <c r="O445" s="123"/>
      <c r="P445" s="123"/>
      <c r="Q445" s="512"/>
      <c r="X445" s="123"/>
      <c r="Y445" s="123"/>
    </row>
    <row r="446" customFormat="false" ht="27.6" hidden="false" customHeight="false" outlineLevel="0" collapsed="false">
      <c r="A446" s="635" t="s">
        <v>851</v>
      </c>
      <c r="B446" s="103" t="n">
        <f aca="false">0.01</f>
        <v>0.01</v>
      </c>
      <c r="D446" s="290"/>
      <c r="E446" s="500"/>
      <c r="F446" s="297" t="s">
        <v>848</v>
      </c>
      <c r="J446" s="123"/>
      <c r="K446" s="123"/>
      <c r="L446" s="123"/>
      <c r="M446" s="123"/>
      <c r="N446" s="123"/>
      <c r="O446" s="123"/>
      <c r="P446" s="123"/>
      <c r="Q446" s="512"/>
      <c r="X446" s="123"/>
      <c r="Y446" s="123"/>
      <c r="Z446" s="572"/>
      <c r="AA446" s="123"/>
    </row>
    <row r="447" s="282" customFormat="true" ht="13.8" hidden="false" customHeight="false" outlineLevel="0" collapsed="false">
      <c r="C447" s="103"/>
      <c r="E447" s="500"/>
      <c r="J447" s="547"/>
      <c r="K447" s="123"/>
      <c r="L447" s="123"/>
      <c r="M447" s="123"/>
      <c r="N447" s="123"/>
      <c r="O447" s="123"/>
      <c r="P447" s="123"/>
      <c r="Q447" s="512"/>
      <c r="X447" s="123"/>
      <c r="Y447" s="123"/>
      <c r="Z447" s="572"/>
      <c r="AA447" s="123"/>
    </row>
    <row r="448" customFormat="false" ht="13.8" hidden="false" customHeight="false" outlineLevel="0" collapsed="false">
      <c r="E448" s="574"/>
      <c r="J448" s="123"/>
      <c r="K448" s="123"/>
      <c r="L448" s="123"/>
      <c r="M448" s="123"/>
      <c r="N448" s="123"/>
      <c r="O448" s="123"/>
      <c r="P448" s="123"/>
      <c r="Q448" s="512"/>
      <c r="X448" s="123"/>
      <c r="Y448" s="123"/>
      <c r="Z448" s="572"/>
      <c r="AA448" s="123"/>
    </row>
    <row r="449" s="282" customFormat="true" ht="13.8" hidden="false" customHeight="false" outlineLevel="0" collapsed="false">
      <c r="B449" s="333" t="s">
        <v>137</v>
      </c>
      <c r="C449" s="333" t="s">
        <v>852</v>
      </c>
      <c r="E449" s="546"/>
      <c r="J449" s="123"/>
      <c r="K449" s="123"/>
      <c r="L449" s="123"/>
      <c r="M449" s="123"/>
      <c r="N449" s="123"/>
      <c r="O449" s="123"/>
      <c r="P449" s="636"/>
      <c r="Q449" s="512"/>
      <c r="X449" s="123"/>
      <c r="Y449" s="123"/>
    </row>
    <row r="450" customFormat="false" ht="27.6" hidden="false" customHeight="false" outlineLevel="0" collapsed="false">
      <c r="A450" s="162" t="s">
        <v>853</v>
      </c>
      <c r="B450" s="103" t="n">
        <v>0.24</v>
      </c>
      <c r="C450" s="282" t="n">
        <v>0.23</v>
      </c>
      <c r="E450" s="546"/>
      <c r="F450" s="297" t="s">
        <v>848</v>
      </c>
      <c r="J450" s="123"/>
      <c r="K450" s="123"/>
      <c r="L450" s="123"/>
      <c r="M450" s="123"/>
      <c r="N450" s="123"/>
      <c r="O450" s="123"/>
      <c r="P450" s="173"/>
      <c r="Q450" s="512"/>
      <c r="X450" s="123"/>
      <c r="Y450" s="123"/>
      <c r="Z450" s="123"/>
      <c r="AA450" s="123"/>
    </row>
    <row r="451" customFormat="false" ht="27.6" hidden="false" customHeight="false" outlineLevel="0" collapsed="false">
      <c r="A451" s="162" t="s">
        <v>854</v>
      </c>
      <c r="B451" s="103" t="n">
        <v>0.18</v>
      </c>
      <c r="C451" s="282" t="n">
        <v>0.23</v>
      </c>
      <c r="E451" s="546"/>
      <c r="F451" s="297" t="s">
        <v>848</v>
      </c>
      <c r="J451" s="507"/>
      <c r="K451" s="547"/>
      <c r="L451" s="547"/>
      <c r="M451" s="507"/>
      <c r="N451" s="507"/>
      <c r="O451" s="512"/>
      <c r="P451" s="615"/>
      <c r="Q451" s="512"/>
      <c r="X451" s="123"/>
      <c r="Y451" s="123"/>
      <c r="Z451" s="123"/>
      <c r="AA451" s="123"/>
    </row>
    <row r="452" customFormat="false" ht="27.6" hidden="false" customHeight="false" outlineLevel="0" collapsed="false">
      <c r="A452" s="162" t="s">
        <v>855</v>
      </c>
      <c r="B452" s="103" t="n">
        <v>0.87</v>
      </c>
      <c r="C452" s="103" t="n">
        <v>1</v>
      </c>
      <c r="E452" s="381"/>
      <c r="F452" s="297" t="s">
        <v>848</v>
      </c>
      <c r="J452" s="481"/>
      <c r="K452" s="637"/>
      <c r="L452" s="637"/>
      <c r="M452" s="638"/>
      <c r="N452" s="638"/>
      <c r="O452" s="512"/>
      <c r="P452" s="512"/>
      <c r="Q452" s="512"/>
      <c r="X452" s="123"/>
      <c r="Y452" s="123"/>
      <c r="Z452" s="123"/>
      <c r="AA452" s="123"/>
    </row>
    <row r="453" customFormat="false" ht="13.8" hidden="false" customHeight="false" outlineLevel="0" collapsed="false">
      <c r="A453" s="162" t="s">
        <v>746</v>
      </c>
      <c r="B453" s="103" t="n">
        <v>0.67</v>
      </c>
      <c r="C453" s="103" t="n">
        <v>0.67</v>
      </c>
      <c r="E453" s="381"/>
      <c r="F453" s="282" t="s">
        <v>747</v>
      </c>
      <c r="J453" s="564"/>
      <c r="K453" s="283"/>
      <c r="L453" s="283"/>
      <c r="M453" s="283"/>
      <c r="N453" s="283"/>
      <c r="O453" s="512"/>
      <c r="P453" s="512"/>
      <c r="Q453" s="512"/>
      <c r="X453" s="123"/>
      <c r="Y453" s="123"/>
      <c r="Z453" s="123"/>
      <c r="AA453" s="123"/>
    </row>
    <row r="454" customFormat="false" ht="13.8" hidden="false" customHeight="false" outlineLevel="0" collapsed="false">
      <c r="E454" s="381"/>
      <c r="J454" s="564"/>
      <c r="K454" s="283"/>
      <c r="L454" s="283"/>
      <c r="M454" s="563"/>
      <c r="N454" s="563"/>
      <c r="O454" s="123"/>
      <c r="P454" s="123"/>
      <c r="Q454" s="123"/>
      <c r="X454" s="123"/>
      <c r="Y454" s="123"/>
      <c r="Z454" s="123"/>
      <c r="AA454" s="123"/>
    </row>
    <row r="455" customFormat="false" ht="13.8" hidden="false" customHeight="false" outlineLevel="0" collapsed="false">
      <c r="A455" s="543" t="s">
        <v>749</v>
      </c>
      <c r="E455" s="381"/>
      <c r="J455" s="563"/>
      <c r="K455" s="639"/>
      <c r="L455" s="639"/>
      <c r="M455" s="123"/>
      <c r="N455" s="123"/>
      <c r="O455" s="123"/>
      <c r="P455" s="123"/>
      <c r="Q455" s="123"/>
      <c r="X455" s="512"/>
      <c r="Y455" s="512"/>
      <c r="Z455" s="512"/>
      <c r="AA455" s="512"/>
    </row>
    <row r="456" customFormat="false" ht="13.8" hidden="false" customHeight="false" outlineLevel="0" collapsed="false">
      <c r="A456" s="165" t="s">
        <v>750</v>
      </c>
      <c r="B456" s="526" t="s">
        <v>754</v>
      </c>
      <c r="C456" s="526" t="s">
        <v>751</v>
      </c>
      <c r="D456" s="526" t="s">
        <v>732</v>
      </c>
      <c r="E456" s="381"/>
      <c r="J456" s="481"/>
      <c r="K456" s="481"/>
      <c r="L456" s="481"/>
      <c r="M456" s="123"/>
      <c r="N456" s="123"/>
      <c r="O456" s="555"/>
      <c r="P456" s="123"/>
      <c r="Q456" s="123"/>
    </row>
    <row r="457" customFormat="false" ht="13.8" hidden="false" customHeight="false" outlineLevel="0" collapsed="false">
      <c r="A457" s="162" t="s">
        <v>137</v>
      </c>
      <c r="B457" s="290" t="n">
        <v>0.0724</v>
      </c>
      <c r="C457" s="290" t="n">
        <v>0.232</v>
      </c>
      <c r="D457" s="290" t="n">
        <v>0.44</v>
      </c>
      <c r="E457" s="546"/>
      <c r="F457" s="297" t="s">
        <v>856</v>
      </c>
      <c r="J457" s="481"/>
      <c r="K457" s="481"/>
      <c r="L457" s="481"/>
      <c r="M457" s="123"/>
      <c r="N457" s="123"/>
      <c r="O457" s="555"/>
      <c r="P457" s="123"/>
      <c r="Q457" s="123"/>
    </row>
    <row r="458" customFormat="false" ht="13.8" hidden="false" customHeight="false" outlineLevel="0" collapsed="false">
      <c r="A458" s="640" t="s">
        <v>857</v>
      </c>
      <c r="B458" s="397" t="n">
        <v>0.4</v>
      </c>
      <c r="C458" s="397" t="n">
        <v>0.5</v>
      </c>
      <c r="D458" s="397" t="n">
        <v>0.4</v>
      </c>
      <c r="E458" s="641"/>
      <c r="F458" s="297" t="s">
        <v>856</v>
      </c>
      <c r="J458" s="481"/>
      <c r="K458" s="481"/>
      <c r="L458" s="481"/>
      <c r="M458" s="123"/>
      <c r="N458" s="123"/>
      <c r="O458" s="123"/>
      <c r="P458" s="123"/>
      <c r="Q458" s="123"/>
    </row>
    <row r="459" customFormat="false" ht="13.8" hidden="false" customHeight="false" outlineLevel="0" collapsed="false">
      <c r="A459" s="395" t="s">
        <v>858</v>
      </c>
      <c r="J459" s="563"/>
      <c r="K459" s="639"/>
      <c r="L459" s="639"/>
      <c r="M459" s="123"/>
      <c r="N459" s="123"/>
      <c r="O459" s="123"/>
      <c r="P459" s="123"/>
      <c r="Q459" s="123"/>
    </row>
    <row r="460" s="282" customFormat="true" ht="13.8" hidden="false" customHeight="false" outlineLevel="0" collapsed="false">
      <c r="J460" s="555"/>
      <c r="K460" s="608"/>
      <c r="L460" s="608"/>
      <c r="M460" s="565"/>
      <c r="N460" s="565"/>
      <c r="O460" s="565"/>
      <c r="P460" s="565"/>
      <c r="Q460" s="565"/>
    </row>
    <row r="461" s="282" customFormat="true" ht="13.8" hidden="false" customHeight="false" outlineLevel="0" collapsed="false"/>
    <row r="462" s="282" customFormat="true" ht="13.8" hidden="false" customHeight="false" outlineLevel="0" collapsed="false"/>
    <row r="463" s="282" customFormat="true" ht="13.8" hidden="false" customHeight="false" outlineLevel="0" collapsed="false"/>
    <row r="464" s="282" customFormat="true" ht="13.8" hidden="false" customHeight="false" outlineLevel="0" collapsed="false"/>
    <row r="465" s="282" customFormat="true" ht="13.8" hidden="false" customHeight="false" outlineLevel="0" collapsed="false"/>
    <row r="466" s="282" customFormat="true" ht="13.8" hidden="false" customHeight="false" outlineLevel="0" collapsed="false"/>
    <row r="467" s="282" customFormat="true" ht="13.8" hidden="false" customHeight="false" outlineLevel="0" collapsed="false"/>
    <row r="468" customFormat="false" ht="13.8" hidden="false" customHeight="false" outlineLevel="0" collapsed="false">
      <c r="A468" s="593"/>
    </row>
    <row r="469" customFormat="false" ht="13.8" hidden="false" customHeight="false" outlineLevel="0" collapsed="false">
      <c r="A469" s="593"/>
    </row>
    <row r="470" s="282" customFormat="true" ht="13.8" hidden="false" customHeight="false" outlineLevel="0" collapsed="false"/>
    <row r="471" s="282" customFormat="true" ht="13.8" hidden="false" customHeight="false" outlineLevel="0" collapsed="false"/>
  </sheetData>
  <conditionalFormatting sqref="E457">
    <cfRule type="dataBar" priority="2">
      <dataBar showValue="1" minLength="10" maxLength="90">
        <cfvo type="min" val="0"/>
        <cfvo type="max" val="0"/>
        <color rgb="FF638EC6"/>
      </dataBar>
      <extLst>
        <ext xmlns:x14="http://schemas.microsoft.com/office/spreadsheetml/2009/9/main" uri="{B025F937-C7B1-47D3-B67F-A62EFF666E3E}">
          <x14:id>{A96CFE2F-3056-4A31-9D66-B8F549F2EFA0}</x14:id>
        </ext>
      </extLst>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dataBar" id="{A96CFE2F-3056-4A31-9D66-B8F549F2EFA0}">
            <x14:dataBar minLength="10" maxLength="90" axisPosition="automatic" gradient="false">
              <x14:cfvo type="autoMin"/>
              <x14:cfvo type="autoMax"/>
              <x14:negativeFillColor rgb="FFFF0000"/>
              <x14:axisColor rgb="FF000000"/>
            </x14:dataBar>
          </x14:cfRule>
          <xm:sqref>E457</xm:sqref>
        </x14:conditionalFormatting>
      </x14:conditionalFormattings>
    </ext>
  </extLst>
</worksheet>
</file>

<file path=xl/worksheets/sheet12.xml><?xml version="1.0" encoding="utf-8"?>
<worksheet xmlns="http://schemas.openxmlformats.org/spreadsheetml/2006/main" xmlns:r="http://schemas.openxmlformats.org/officeDocument/2006/relationships">
  <sheetPr filterMode="false">
    <tabColor rgb="FF9DC3E6"/>
    <pageSetUpPr fitToPage="false"/>
  </sheetPr>
  <dimension ref="A1:Q3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0234375" defaultRowHeight="14.4" zeroHeight="false" outlineLevelRow="0" outlineLevelCol="0"/>
  <cols>
    <col collapsed="false" customWidth="true" hidden="false" outlineLevel="0" max="1" min="1" style="8" width="67.33"/>
    <col collapsed="false" customWidth="true" hidden="false" outlineLevel="0" max="2" min="2" style="8" width="15.44"/>
    <col collapsed="false" customWidth="true" hidden="false" outlineLevel="0" max="3" min="3" style="8" width="19.66"/>
    <col collapsed="false" customWidth="true" hidden="false" outlineLevel="0" max="4" min="4" style="8" width="51"/>
    <col collapsed="false" customWidth="true" hidden="false" outlineLevel="0" max="5" min="5" style="8" width="16.67"/>
    <col collapsed="false" customWidth="true" hidden="false" outlineLevel="0" max="6" min="6" style="8" width="14.11"/>
    <col collapsed="false" customWidth="true" hidden="false" outlineLevel="0" max="7" min="7" style="8" width="18.56"/>
    <col collapsed="false" customWidth="true" hidden="false" outlineLevel="0" max="8" min="8" style="8" width="14.66"/>
    <col collapsed="false" customWidth="true" hidden="false" outlineLevel="0" max="9" min="9" style="8" width="18.89"/>
    <col collapsed="false" customWidth="true" hidden="false" outlineLevel="0" max="10" min="10" style="8" width="11.33"/>
    <col collapsed="false" customWidth="true" hidden="false" outlineLevel="0" max="11" min="11" style="8" width="67.89"/>
    <col collapsed="false" customWidth="false" hidden="false" outlineLevel="0" max="12" min="12" style="8" width="8.89"/>
    <col collapsed="false" customWidth="true" hidden="false" outlineLevel="0" max="13" min="13" style="8" width="12.33"/>
    <col collapsed="false" customWidth="true" hidden="false" outlineLevel="0" max="14" min="14" style="8" width="11.11"/>
    <col collapsed="false" customWidth="false" hidden="false" outlineLevel="0" max="15" min="15" style="8" width="8.89"/>
    <col collapsed="false" customWidth="true" hidden="false" outlineLevel="0" max="16" min="16" style="8" width="13.01"/>
    <col collapsed="false" customWidth="false" hidden="false" outlineLevel="0" max="1025" min="17" style="8" width="8.89"/>
  </cols>
  <sheetData>
    <row r="1" customFormat="false" ht="23.4" hidden="false" customHeight="false" outlineLevel="0" collapsed="false">
      <c r="A1" s="371" t="s">
        <v>859</v>
      </c>
    </row>
    <row r="2" customFormat="false" ht="14.4" hidden="false" customHeight="false" outlineLevel="0" collapsed="false">
      <c r="E2" s="333" t="s">
        <v>411</v>
      </c>
      <c r="F2" s="642"/>
    </row>
    <row r="3" customFormat="false" ht="75.6" hidden="false" customHeight="true" outlineLevel="0" collapsed="false">
      <c r="A3" s="643" t="s">
        <v>603</v>
      </c>
      <c r="B3" s="643" t="s">
        <v>604</v>
      </c>
      <c r="C3" s="643" t="s">
        <v>860</v>
      </c>
      <c r="D3" s="644" t="s">
        <v>861</v>
      </c>
      <c r="E3" s="25" t="s">
        <v>606</v>
      </c>
      <c r="F3" s="25" t="s">
        <v>862</v>
      </c>
      <c r="G3" s="530"/>
      <c r="H3" s="530"/>
      <c r="I3" s="530"/>
      <c r="J3" s="530"/>
      <c r="K3" s="530"/>
      <c r="L3" s="530"/>
      <c r="M3" s="530"/>
      <c r="N3" s="530"/>
      <c r="O3" s="530"/>
      <c r="P3" s="530"/>
      <c r="Q3" s="530"/>
    </row>
    <row r="4" customFormat="false" ht="14.4" hidden="false" customHeight="false" outlineLevel="0" collapsed="false">
      <c r="A4" s="645" t="s">
        <v>31</v>
      </c>
      <c r="B4" s="646" t="s">
        <v>137</v>
      </c>
      <c r="C4" s="303" t="n">
        <v>1</v>
      </c>
      <c r="D4" s="647" t="n">
        <v>1</v>
      </c>
      <c r="E4" s="642" t="s">
        <v>863</v>
      </c>
      <c r="F4" s="642" t="s">
        <v>864</v>
      </c>
      <c r="G4" s="530"/>
      <c r="H4" s="530"/>
      <c r="I4" s="530"/>
      <c r="J4" s="530"/>
      <c r="K4" s="530"/>
      <c r="L4" s="530"/>
      <c r="M4" s="530"/>
      <c r="N4" s="530"/>
      <c r="O4" s="530"/>
      <c r="P4" s="530"/>
      <c r="Q4" s="530"/>
    </row>
    <row r="5" customFormat="false" ht="14.4" hidden="false" customHeight="false" outlineLevel="0" collapsed="false">
      <c r="A5" s="499"/>
      <c r="B5" s="23"/>
      <c r="C5" s="102"/>
      <c r="D5" s="648"/>
      <c r="E5" s="530"/>
      <c r="F5" s="530"/>
      <c r="G5" s="530"/>
      <c r="H5" s="530"/>
      <c r="I5" s="530"/>
      <c r="J5" s="530"/>
      <c r="K5" s="530"/>
      <c r="L5" s="530"/>
      <c r="M5" s="530"/>
      <c r="N5" s="530"/>
      <c r="O5" s="530"/>
      <c r="P5" s="530"/>
      <c r="Q5" s="530"/>
    </row>
    <row r="6" customFormat="false" ht="15" hidden="false" customHeight="false" outlineLevel="0" collapsed="false">
      <c r="A6" s="497" t="s">
        <v>865</v>
      </c>
      <c r="B6" s="289" t="s">
        <v>137</v>
      </c>
      <c r="C6" s="649" t="n">
        <v>0.64</v>
      </c>
      <c r="D6" s="650" t="n">
        <v>20.5</v>
      </c>
      <c r="E6" s="642" t="s">
        <v>863</v>
      </c>
      <c r="F6" s="642" t="s">
        <v>864</v>
      </c>
      <c r="G6" s="530"/>
      <c r="H6" s="23"/>
      <c r="I6" s="416"/>
      <c r="J6" s="530"/>
      <c r="K6" s="530"/>
      <c r="L6" s="530"/>
      <c r="M6" s="530"/>
      <c r="N6" s="530"/>
      <c r="O6" s="530"/>
      <c r="P6" s="530"/>
      <c r="Q6" s="530"/>
    </row>
    <row r="7" customFormat="false" ht="15" hidden="false" customHeight="false" outlineLevel="0" collapsed="false">
      <c r="A7" s="499"/>
      <c r="B7" s="23" t="s">
        <v>139</v>
      </c>
      <c r="C7" s="102" t="n">
        <v>0.18</v>
      </c>
      <c r="D7" s="648" t="n">
        <v>20.5</v>
      </c>
      <c r="E7" s="23"/>
      <c r="F7" s="530"/>
      <c r="G7" s="530"/>
      <c r="H7" s="23"/>
      <c r="I7" s="416"/>
      <c r="J7" s="530"/>
      <c r="K7" s="530"/>
      <c r="L7" s="530"/>
      <c r="M7" s="530"/>
      <c r="N7" s="530"/>
      <c r="O7" s="530"/>
      <c r="P7" s="530"/>
      <c r="Q7" s="530"/>
    </row>
    <row r="8" customFormat="false" ht="14.4" hidden="false" customHeight="false" outlineLevel="0" collapsed="false">
      <c r="A8" s="499"/>
      <c r="B8" s="23" t="s">
        <v>141</v>
      </c>
      <c r="C8" s="102" t="n">
        <v>0.18</v>
      </c>
      <c r="D8" s="648" t="n">
        <v>20.5</v>
      </c>
      <c r="E8" s="23"/>
      <c r="F8" s="530"/>
      <c r="G8" s="530"/>
      <c r="H8" s="23"/>
      <c r="I8" s="530"/>
      <c r="J8" s="530"/>
      <c r="K8" s="530"/>
      <c r="L8" s="530"/>
      <c r="M8" s="530"/>
      <c r="N8" s="530"/>
      <c r="O8" s="530"/>
      <c r="P8" s="530"/>
      <c r="Q8" s="530"/>
    </row>
    <row r="9" customFormat="false" ht="14.4" hidden="false" customHeight="false" outlineLevel="0" collapsed="false">
      <c r="A9" s="497" t="s">
        <v>866</v>
      </c>
      <c r="B9" s="289" t="s">
        <v>137</v>
      </c>
      <c r="C9" s="651" t="n">
        <v>0.768</v>
      </c>
      <c r="D9" s="650" t="n">
        <v>1</v>
      </c>
      <c r="E9" s="642" t="s">
        <v>863</v>
      </c>
      <c r="F9" s="642" t="s">
        <v>864</v>
      </c>
      <c r="G9" s="530"/>
      <c r="H9" s="530"/>
      <c r="I9" s="530"/>
      <c r="J9" s="530"/>
      <c r="K9" s="530"/>
      <c r="L9" s="530"/>
      <c r="M9" s="530"/>
      <c r="N9" s="530"/>
      <c r="O9" s="530"/>
      <c r="P9" s="530"/>
      <c r="Q9" s="530"/>
    </row>
    <row r="10" customFormat="false" ht="14.4" hidden="false" customHeight="false" outlineLevel="0" collapsed="false">
      <c r="A10" s="499"/>
      <c r="B10" s="23" t="s">
        <v>141</v>
      </c>
      <c r="C10" s="283" t="n">
        <f aca="false">1-C9</f>
        <v>0.232</v>
      </c>
      <c r="D10" s="648" t="n">
        <v>1</v>
      </c>
      <c r="E10" s="23"/>
      <c r="F10" s="530"/>
      <c r="G10" s="530"/>
      <c r="H10" s="530"/>
      <c r="I10" s="530"/>
      <c r="J10" s="530"/>
      <c r="K10" s="530"/>
      <c r="L10" s="530"/>
      <c r="M10" s="530"/>
      <c r="N10" s="530"/>
      <c r="O10" s="530"/>
      <c r="P10" s="530"/>
      <c r="Q10" s="530"/>
    </row>
    <row r="11" customFormat="false" ht="14.4" hidden="false" customHeight="false" outlineLevel="0" collapsed="false">
      <c r="A11" s="497" t="s">
        <v>867</v>
      </c>
      <c r="B11" s="289" t="s">
        <v>137</v>
      </c>
      <c r="C11" s="649" t="n">
        <v>0.824</v>
      </c>
      <c r="D11" s="650" t="n">
        <v>10</v>
      </c>
      <c r="E11" s="642" t="s">
        <v>863</v>
      </c>
      <c r="F11" s="642" t="s">
        <v>864</v>
      </c>
      <c r="G11" s="530"/>
      <c r="H11" s="530"/>
      <c r="I11" s="530"/>
      <c r="J11" s="530"/>
      <c r="K11" s="530"/>
      <c r="L11" s="530"/>
      <c r="M11" s="530"/>
      <c r="N11" s="530"/>
      <c r="O11" s="530"/>
      <c r="P11" s="530"/>
      <c r="Q11" s="530"/>
    </row>
    <row r="12" customFormat="false" ht="14.4" hidden="false" customHeight="false" outlineLevel="0" collapsed="false">
      <c r="A12" s="499"/>
      <c r="B12" s="23" t="s">
        <v>141</v>
      </c>
      <c r="C12" s="102" t="n">
        <v>0.176</v>
      </c>
      <c r="D12" s="648" t="n">
        <v>10</v>
      </c>
      <c r="E12" s="23"/>
      <c r="F12" s="23"/>
      <c r="G12" s="530"/>
      <c r="H12" s="530"/>
      <c r="I12" s="530"/>
      <c r="J12" s="530"/>
      <c r="K12" s="530"/>
      <c r="L12" s="530"/>
      <c r="M12" s="530"/>
      <c r="N12" s="530"/>
      <c r="O12" s="530"/>
      <c r="P12" s="530"/>
      <c r="Q12" s="530"/>
    </row>
    <row r="13" customFormat="false" ht="14.4" hidden="false" customHeight="false" outlineLevel="0" collapsed="false">
      <c r="A13" s="497" t="s">
        <v>868</v>
      </c>
      <c r="B13" s="289" t="s">
        <v>137</v>
      </c>
      <c r="C13" s="649" t="n">
        <v>0.512</v>
      </c>
      <c r="D13" s="650" t="n">
        <v>10</v>
      </c>
      <c r="E13" s="642" t="s">
        <v>863</v>
      </c>
      <c r="F13" s="642" t="s">
        <v>864</v>
      </c>
      <c r="G13" s="530"/>
      <c r="H13" s="530"/>
      <c r="I13" s="530"/>
      <c r="J13" s="530"/>
      <c r="K13" s="530"/>
      <c r="L13" s="530"/>
      <c r="M13" s="530"/>
      <c r="N13" s="530"/>
      <c r="O13" s="530"/>
      <c r="P13" s="530"/>
      <c r="Q13" s="530"/>
    </row>
    <row r="14" customFormat="false" ht="14.4" hidden="false" customHeight="false" outlineLevel="0" collapsed="false">
      <c r="A14" s="499"/>
      <c r="B14" s="23" t="s">
        <v>139</v>
      </c>
      <c r="C14" s="102" t="n">
        <v>0.16</v>
      </c>
      <c r="D14" s="648" t="n">
        <v>10</v>
      </c>
      <c r="E14" s="23"/>
      <c r="F14" s="23"/>
      <c r="G14" s="530"/>
      <c r="H14" s="530"/>
      <c r="I14" s="530"/>
      <c r="J14" s="530"/>
      <c r="K14" s="530"/>
      <c r="L14" s="530"/>
      <c r="M14" s="530"/>
      <c r="N14" s="530"/>
      <c r="O14" s="530"/>
      <c r="P14" s="530"/>
      <c r="Q14" s="530"/>
    </row>
    <row r="15" customFormat="false" ht="14.4" hidden="false" customHeight="false" outlineLevel="0" collapsed="false">
      <c r="A15" s="499"/>
      <c r="B15" s="23" t="s">
        <v>187</v>
      </c>
      <c r="C15" s="102" t="n">
        <v>0.11</v>
      </c>
      <c r="D15" s="648" t="n">
        <v>10</v>
      </c>
      <c r="E15" s="23"/>
      <c r="F15" s="23"/>
      <c r="G15" s="530"/>
      <c r="H15" s="530"/>
      <c r="I15" s="530"/>
      <c r="J15" s="530"/>
      <c r="K15" s="530"/>
      <c r="L15" s="530"/>
      <c r="M15" s="530"/>
      <c r="N15" s="530"/>
      <c r="O15" s="530"/>
      <c r="P15" s="530"/>
      <c r="Q15" s="530"/>
    </row>
    <row r="16" customFormat="false" ht="14.4" hidden="false" customHeight="false" outlineLevel="0" collapsed="false">
      <c r="A16" s="499"/>
      <c r="B16" s="23" t="s">
        <v>141</v>
      </c>
      <c r="C16" s="102" t="n">
        <v>0.218</v>
      </c>
      <c r="D16" s="648" t="n">
        <v>10</v>
      </c>
      <c r="E16" s="23"/>
      <c r="F16" s="23"/>
      <c r="G16" s="530"/>
      <c r="H16" s="530"/>
      <c r="I16" s="530"/>
      <c r="J16" s="530"/>
      <c r="K16" s="530"/>
      <c r="L16" s="530"/>
      <c r="M16" s="530"/>
      <c r="N16" s="530"/>
      <c r="O16" s="530"/>
      <c r="P16" s="530"/>
      <c r="Q16" s="530"/>
    </row>
    <row r="17" customFormat="false" ht="14.4" hidden="false" customHeight="false" outlineLevel="0" collapsed="false">
      <c r="A17" s="497" t="s">
        <v>869</v>
      </c>
      <c r="B17" s="289" t="s">
        <v>137</v>
      </c>
      <c r="C17" s="649" t="n">
        <v>0.512</v>
      </c>
      <c r="D17" s="650" t="n">
        <v>6.5</v>
      </c>
      <c r="E17" s="642" t="s">
        <v>863</v>
      </c>
      <c r="F17" s="395" t="s">
        <v>870</v>
      </c>
      <c r="G17" s="530"/>
      <c r="H17" s="530"/>
      <c r="I17" s="530"/>
      <c r="J17" s="530"/>
      <c r="K17" s="530"/>
      <c r="L17" s="530"/>
      <c r="M17" s="530"/>
      <c r="N17" s="530"/>
      <c r="O17" s="530"/>
      <c r="P17" s="530"/>
      <c r="Q17" s="530"/>
    </row>
    <row r="18" customFormat="false" ht="14.4" hidden="false" customHeight="false" outlineLevel="0" collapsed="false">
      <c r="A18" s="499"/>
      <c r="B18" s="23" t="s">
        <v>139</v>
      </c>
      <c r="C18" s="102" t="n">
        <v>0.16</v>
      </c>
      <c r="D18" s="648" t="n">
        <v>6.5</v>
      </c>
      <c r="E18" s="23"/>
      <c r="F18" s="23"/>
      <c r="G18" s="530"/>
      <c r="H18" s="530"/>
      <c r="I18" s="530"/>
      <c r="J18" s="530"/>
      <c r="K18" s="530"/>
      <c r="L18" s="530"/>
      <c r="M18" s="530"/>
      <c r="N18" s="530"/>
      <c r="O18" s="530"/>
      <c r="P18" s="530"/>
      <c r="Q18" s="530"/>
    </row>
    <row r="19" customFormat="false" ht="14.4" hidden="false" customHeight="false" outlineLevel="0" collapsed="false">
      <c r="A19" s="499"/>
      <c r="B19" s="23" t="s">
        <v>187</v>
      </c>
      <c r="C19" s="102" t="n">
        <v>0.11</v>
      </c>
      <c r="D19" s="648" t="n">
        <v>6.5</v>
      </c>
      <c r="E19" s="23"/>
      <c r="F19" s="23"/>
      <c r="G19" s="530"/>
      <c r="H19" s="530"/>
      <c r="I19" s="530"/>
      <c r="J19" s="530"/>
      <c r="K19" s="530"/>
      <c r="L19" s="530"/>
      <c r="M19" s="530"/>
      <c r="N19" s="530"/>
      <c r="O19" s="530"/>
      <c r="P19" s="530"/>
      <c r="Q19" s="530"/>
    </row>
    <row r="20" customFormat="false" ht="14.4" hidden="false" customHeight="false" outlineLevel="0" collapsed="false">
      <c r="A20" s="499"/>
      <c r="B20" s="23" t="s">
        <v>141</v>
      </c>
      <c r="C20" s="102" t="n">
        <v>0.218</v>
      </c>
      <c r="D20" s="648" t="n">
        <v>6.5</v>
      </c>
      <c r="E20" s="23"/>
      <c r="F20" s="23"/>
      <c r="G20" s="530"/>
      <c r="H20" s="530"/>
      <c r="I20" s="530"/>
      <c r="J20" s="530"/>
      <c r="K20" s="530"/>
      <c r="L20" s="530"/>
      <c r="M20" s="530"/>
      <c r="N20" s="530"/>
      <c r="O20" s="530"/>
      <c r="P20" s="530"/>
      <c r="Q20" s="530"/>
    </row>
    <row r="21" customFormat="false" ht="14.4" hidden="false" customHeight="false" outlineLevel="0" collapsed="false">
      <c r="A21" s="497" t="s">
        <v>871</v>
      </c>
      <c r="B21" s="289" t="s">
        <v>137</v>
      </c>
      <c r="C21" s="651" t="n">
        <v>0.768</v>
      </c>
      <c r="D21" s="650" t="n">
        <v>8.5</v>
      </c>
      <c r="E21" s="642" t="s">
        <v>863</v>
      </c>
      <c r="F21" s="642" t="s">
        <v>864</v>
      </c>
      <c r="G21" s="530"/>
      <c r="H21" s="530"/>
      <c r="I21" s="530"/>
      <c r="J21" s="530"/>
      <c r="K21" s="530"/>
      <c r="L21" s="530"/>
      <c r="M21" s="530"/>
      <c r="N21" s="530"/>
      <c r="O21" s="530"/>
      <c r="P21" s="530"/>
      <c r="Q21" s="530"/>
    </row>
    <row r="22" customFormat="false" ht="14.4" hidden="false" customHeight="false" outlineLevel="0" collapsed="false">
      <c r="A22" s="499"/>
      <c r="B22" s="23" t="s">
        <v>141</v>
      </c>
      <c r="C22" s="283" t="n">
        <f aca="false">1-C21</f>
        <v>0.232</v>
      </c>
      <c r="D22" s="648" t="n">
        <v>8.5</v>
      </c>
      <c r="E22" s="530"/>
      <c r="F22" s="530"/>
      <c r="G22" s="530"/>
      <c r="H22" s="530"/>
      <c r="I22" s="530"/>
      <c r="J22" s="530"/>
      <c r="K22" s="530"/>
      <c r="L22" s="530"/>
      <c r="M22" s="530"/>
      <c r="N22" s="530"/>
      <c r="O22" s="530"/>
      <c r="P22" s="530"/>
      <c r="Q22" s="530"/>
    </row>
    <row r="23" customFormat="false" ht="14.4" hidden="false" customHeight="false" outlineLevel="0" collapsed="false">
      <c r="A23" s="289" t="s">
        <v>75</v>
      </c>
      <c r="B23" s="289" t="s">
        <v>137</v>
      </c>
      <c r="C23" s="652" t="n">
        <v>0.84</v>
      </c>
      <c r="D23" s="653" t="n">
        <v>9</v>
      </c>
      <c r="E23" s="642" t="s">
        <v>863</v>
      </c>
      <c r="F23" s="530" t="s">
        <v>872</v>
      </c>
      <c r="G23" s="530"/>
      <c r="H23" s="530"/>
      <c r="I23" s="530"/>
      <c r="J23" s="530"/>
      <c r="K23" s="530"/>
      <c r="L23" s="530"/>
      <c r="M23" s="530"/>
      <c r="N23" s="530"/>
      <c r="O23" s="530"/>
      <c r="P23" s="530"/>
      <c r="Q23" s="530"/>
    </row>
    <row r="24" customFormat="false" ht="14.4" hidden="false" customHeight="false" outlineLevel="0" collapsed="false">
      <c r="A24" s="504"/>
      <c r="B24" s="504" t="s">
        <v>141</v>
      </c>
      <c r="C24" s="397" t="n">
        <v>0.16</v>
      </c>
      <c r="D24" s="654" t="n">
        <v>9</v>
      </c>
      <c r="E24" s="530"/>
      <c r="F24" s="530"/>
      <c r="G24" s="530"/>
      <c r="H24" s="530"/>
      <c r="I24" s="530"/>
      <c r="J24" s="530"/>
      <c r="K24" s="530"/>
      <c r="L24" s="530"/>
      <c r="M24" s="530"/>
      <c r="N24" s="530"/>
      <c r="O24" s="530"/>
      <c r="P24" s="530"/>
      <c r="Q24" s="530"/>
    </row>
    <row r="25" customFormat="false" ht="14.4" hidden="false" customHeight="false" outlineLevel="0" collapsed="false">
      <c r="A25" s="481"/>
      <c r="B25" s="530"/>
      <c r="C25" s="530"/>
      <c r="D25" s="530"/>
      <c r="E25" s="530"/>
      <c r="F25" s="530"/>
      <c r="G25" s="655"/>
      <c r="H25" s="530"/>
      <c r="I25" s="530"/>
      <c r="J25" s="530"/>
      <c r="K25" s="530"/>
      <c r="L25" s="530"/>
      <c r="M25" s="530"/>
      <c r="N25" s="530"/>
      <c r="O25" s="530"/>
      <c r="P25" s="530"/>
      <c r="Q25" s="530"/>
    </row>
    <row r="26" customFormat="false" ht="14.4" hidden="false" customHeight="false" outlineLevel="0" collapsed="false">
      <c r="A26" s="23"/>
      <c r="B26" s="530"/>
      <c r="C26" s="481"/>
      <c r="D26" s="481"/>
      <c r="E26" s="481"/>
      <c r="F26" s="481"/>
      <c r="G26" s="481"/>
      <c r="H26" s="481"/>
      <c r="I26" s="481"/>
      <c r="J26" s="481"/>
      <c r="K26" s="530"/>
      <c r="L26" s="530"/>
      <c r="M26" s="530"/>
      <c r="N26" s="530"/>
      <c r="O26" s="530"/>
      <c r="P26" s="530"/>
      <c r="Q26" s="530"/>
    </row>
    <row r="27" customFormat="false" ht="14.4" hidden="false" customHeight="false" outlineLevel="0" collapsed="false">
      <c r="A27" s="372" t="s">
        <v>873</v>
      </c>
      <c r="B27" s="484"/>
      <c r="C27" s="484"/>
      <c r="D27" s="484"/>
      <c r="E27" s="484"/>
      <c r="F27" s="484"/>
      <c r="G27" s="484"/>
      <c r="H27" s="484"/>
      <c r="I27" s="484"/>
      <c r="J27" s="481"/>
      <c r="K27" s="530"/>
      <c r="L27" s="530"/>
      <c r="M27" s="530"/>
      <c r="N27" s="530"/>
      <c r="O27" s="530"/>
      <c r="P27" s="530"/>
      <c r="Q27" s="530"/>
    </row>
    <row r="28" customFormat="false" ht="46.2" hidden="false" customHeight="true" outlineLevel="0" collapsed="false">
      <c r="A28" s="656"/>
      <c r="B28" s="374" t="s">
        <v>31</v>
      </c>
      <c r="C28" s="476" t="s">
        <v>865</v>
      </c>
      <c r="D28" s="476" t="s">
        <v>866</v>
      </c>
      <c r="E28" s="476" t="s">
        <v>867</v>
      </c>
      <c r="F28" s="476" t="s">
        <v>868</v>
      </c>
      <c r="G28" s="476" t="s">
        <v>874</v>
      </c>
      <c r="H28" s="476" t="s">
        <v>875</v>
      </c>
      <c r="I28" s="374" t="s">
        <v>75</v>
      </c>
      <c r="J28" s="657"/>
      <c r="K28" s="25" t="s">
        <v>411</v>
      </c>
      <c r="L28" s="530"/>
      <c r="M28" s="530"/>
      <c r="N28" s="530"/>
      <c r="O28" s="530"/>
      <c r="P28" s="530"/>
      <c r="Q28" s="530"/>
    </row>
    <row r="29" s="30" customFormat="true" ht="41.4" hidden="false" customHeight="false" outlineLevel="0" collapsed="false">
      <c r="A29" s="658" t="s">
        <v>176</v>
      </c>
      <c r="B29" s="392" t="n">
        <v>0.03</v>
      </c>
      <c r="C29" s="392" t="n">
        <v>0.1</v>
      </c>
      <c r="D29" s="392" t="n">
        <v>0.1</v>
      </c>
      <c r="E29" s="392" t="n">
        <v>0.02</v>
      </c>
      <c r="F29" s="392" t="n">
        <v>0.3</v>
      </c>
      <c r="G29" s="392" t="n">
        <v>0.3</v>
      </c>
      <c r="H29" s="392" t="n">
        <v>0.1</v>
      </c>
      <c r="I29" s="392" t="n">
        <v>0.2</v>
      </c>
      <c r="J29" s="478" t="s">
        <v>876</v>
      </c>
      <c r="K29" s="659" t="s">
        <v>877</v>
      </c>
      <c r="L29" s="481"/>
      <c r="M29" s="481"/>
      <c r="N29" s="481"/>
      <c r="O29" s="481"/>
      <c r="P29" s="481"/>
      <c r="Q29" s="481"/>
    </row>
    <row r="30" customFormat="false" ht="41.4" hidden="false" customHeight="false" outlineLevel="0" collapsed="false">
      <c r="A30" s="660" t="s">
        <v>141</v>
      </c>
      <c r="B30" s="661" t="n">
        <v>0.06</v>
      </c>
      <c r="C30" s="661" t="n">
        <v>0.25</v>
      </c>
      <c r="D30" s="661" t="n">
        <v>0.25</v>
      </c>
      <c r="E30" s="661" t="n">
        <v>0.05</v>
      </c>
      <c r="F30" s="661" t="n">
        <v>0.7</v>
      </c>
      <c r="G30" s="661" t="n">
        <v>0.7</v>
      </c>
      <c r="H30" s="661" t="n">
        <v>0.25</v>
      </c>
      <c r="I30" s="661" t="n">
        <v>0.6</v>
      </c>
      <c r="J30" s="662" t="s">
        <v>876</v>
      </c>
      <c r="K30" s="530"/>
      <c r="L30" s="530"/>
      <c r="M30" s="530"/>
      <c r="N30" s="530"/>
      <c r="O30" s="530"/>
      <c r="P30" s="530"/>
      <c r="Q30" s="530"/>
    </row>
    <row r="31" customFormat="false" ht="14.4" hidden="false" customHeight="false" outlineLevel="0" collapsed="false">
      <c r="A31" s="530" t="s">
        <v>878</v>
      </c>
      <c r="B31" s="530"/>
      <c r="C31" s="481"/>
      <c r="D31" s="481"/>
      <c r="E31" s="481"/>
      <c r="F31" s="481"/>
      <c r="G31" s="481"/>
      <c r="H31" s="481"/>
      <c r="I31" s="481"/>
      <c r="J31" s="481"/>
      <c r="K31" s="530"/>
      <c r="L31" s="530"/>
      <c r="M31" s="530"/>
      <c r="N31" s="530"/>
      <c r="O31" s="530"/>
      <c r="P31" s="530"/>
      <c r="Q31" s="530"/>
    </row>
    <row r="32" customFormat="false" ht="14.4" hidden="false" customHeight="false" outlineLevel="0" collapsed="false">
      <c r="A32" s="530" t="s">
        <v>879</v>
      </c>
      <c r="B32" s="530"/>
      <c r="C32" s="481"/>
      <c r="D32" s="481"/>
      <c r="E32" s="481"/>
      <c r="F32" s="481"/>
      <c r="G32" s="481"/>
      <c r="H32" s="481"/>
      <c r="I32" s="481"/>
      <c r="J32" s="481"/>
      <c r="K32" s="530"/>
      <c r="L32" s="530"/>
      <c r="M32" s="530"/>
      <c r="N32" s="530"/>
      <c r="O32" s="530"/>
      <c r="P32" s="530"/>
      <c r="Q32" s="530"/>
    </row>
    <row r="33" customFormat="false" ht="14.4" hidden="false" customHeight="false" outlineLevel="0" collapsed="false">
      <c r="A33" s="530"/>
      <c r="B33" s="530"/>
      <c r="C33" s="481"/>
      <c r="D33" s="481"/>
      <c r="E33" s="481"/>
      <c r="F33" s="481"/>
      <c r="G33" s="481"/>
      <c r="H33" s="481"/>
      <c r="I33" s="481"/>
      <c r="J33" s="481"/>
      <c r="K33" s="481"/>
      <c r="L33" s="530"/>
      <c r="M33" s="530"/>
      <c r="N33" s="530"/>
      <c r="O33" s="530"/>
      <c r="P33" s="530"/>
      <c r="Q33" s="530"/>
    </row>
    <row r="34" customFormat="false" ht="14.4" hidden="false" customHeight="false" outlineLevel="0" collapsed="false">
      <c r="A34" s="481"/>
      <c r="B34" s="481"/>
      <c r="C34" s="481"/>
      <c r="D34" s="530"/>
      <c r="E34" s="530"/>
      <c r="F34" s="530"/>
      <c r="G34" s="530"/>
      <c r="H34" s="530"/>
      <c r="I34" s="530"/>
      <c r="J34" s="530"/>
      <c r="K34" s="481"/>
      <c r="L34" s="530"/>
      <c r="M34" s="530"/>
      <c r="N34" s="530"/>
      <c r="O34" s="530"/>
      <c r="P34" s="530"/>
      <c r="Q34" s="530"/>
    </row>
    <row r="35" customFormat="false" ht="14.4" hidden="false" customHeight="false" outlineLevel="0" collapsed="false">
      <c r="A35" s="282"/>
      <c r="B35" s="282"/>
      <c r="C35" s="23"/>
      <c r="D35" s="530"/>
      <c r="E35" s="530"/>
      <c r="F35" s="530"/>
      <c r="G35" s="530"/>
      <c r="H35" s="530"/>
      <c r="I35" s="530"/>
      <c r="J35" s="530"/>
      <c r="K35" s="481"/>
      <c r="L35" s="530"/>
      <c r="M35" s="530"/>
      <c r="N35" s="530"/>
      <c r="O35" s="530"/>
      <c r="P35" s="530"/>
      <c r="Q35" s="530"/>
    </row>
    <row r="36" customFormat="false" ht="14.4" hidden="false" customHeight="false" outlineLevel="0" collapsed="false">
      <c r="A36" s="23"/>
      <c r="B36" s="282"/>
      <c r="C36" s="23"/>
      <c r="D36" s="530"/>
      <c r="E36" s="530"/>
      <c r="F36" s="530"/>
      <c r="G36" s="530"/>
      <c r="H36" s="530"/>
      <c r="I36" s="530"/>
      <c r="J36" s="530"/>
      <c r="K36" s="530"/>
      <c r="L36" s="530"/>
      <c r="M36" s="530"/>
      <c r="N36" s="530"/>
      <c r="O36" s="530"/>
      <c r="P36" s="530"/>
      <c r="Q36" s="530"/>
    </row>
    <row r="37" customFormat="false" ht="14.4" hidden="false" customHeight="false" outlineLevel="0" collapsed="false">
      <c r="A37" s="282"/>
      <c r="B37" s="282"/>
      <c r="C37" s="282"/>
      <c r="D37" s="530"/>
      <c r="E37" s="530"/>
      <c r="F37" s="530"/>
      <c r="G37" s="530"/>
      <c r="H37" s="530"/>
      <c r="I37" s="530"/>
      <c r="J37" s="530"/>
      <c r="K37" s="530"/>
      <c r="L37" s="530"/>
      <c r="M37" s="530"/>
      <c r="N37" s="530"/>
      <c r="O37" s="530"/>
      <c r="P37" s="530"/>
      <c r="Q37" s="530"/>
    </row>
    <row r="38" customFormat="false" ht="14.4" hidden="false" customHeight="false" outlineLevel="0" collapsed="false">
      <c r="A38" s="282"/>
      <c r="B38" s="282"/>
      <c r="C38" s="282"/>
      <c r="D38" s="530"/>
      <c r="E38" s="530"/>
      <c r="F38" s="530"/>
      <c r="G38" s="530"/>
      <c r="H38" s="530"/>
      <c r="I38" s="530"/>
      <c r="J38" s="530"/>
      <c r="K38" s="530"/>
      <c r="L38" s="530"/>
      <c r="M38" s="530"/>
      <c r="N38" s="530"/>
      <c r="O38" s="530"/>
      <c r="P38" s="530"/>
      <c r="Q38" s="530"/>
    </row>
    <row r="39" customFormat="false" ht="14.4" hidden="false" customHeight="false" outlineLevel="0" collapsed="false">
      <c r="A39" s="282"/>
      <c r="B39" s="282"/>
      <c r="C39" s="282"/>
      <c r="D39" s="530"/>
      <c r="E39" s="530"/>
      <c r="F39" s="530"/>
      <c r="G39" s="530"/>
      <c r="H39" s="530"/>
      <c r="I39" s="530"/>
      <c r="J39" s="530"/>
      <c r="K39" s="530"/>
      <c r="L39" s="530"/>
      <c r="M39" s="530"/>
      <c r="N39" s="530"/>
      <c r="O39" s="530"/>
      <c r="P39" s="530"/>
      <c r="Q39" s="5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9DC3E6"/>
    <pageSetUpPr fitToPage="false"/>
  </sheetPr>
  <dimension ref="A1:HZ12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0234375" defaultRowHeight="13.8" zeroHeight="false" outlineLevelRow="0" outlineLevelCol="0"/>
  <cols>
    <col collapsed="false" customWidth="true" hidden="false" outlineLevel="0" max="1" min="1" style="162" width="54.99"/>
    <col collapsed="false" customWidth="true" hidden="false" outlineLevel="0" max="2" min="2" style="282" width="39.66"/>
    <col collapsed="false" customWidth="true" hidden="false" outlineLevel="0" max="3" min="3" style="282" width="22.55"/>
    <col collapsed="false" customWidth="true" hidden="false" outlineLevel="0" max="4" min="4" style="282" width="26.56"/>
    <col collapsed="false" customWidth="true" hidden="false" outlineLevel="0" max="5" min="5" style="282" width="25.89"/>
    <col collapsed="false" customWidth="true" hidden="false" outlineLevel="0" max="6" min="6" style="282" width="26.56"/>
    <col collapsed="false" customWidth="true" hidden="false" outlineLevel="0" max="7" min="7" style="282" width="31.34"/>
    <col collapsed="false" customWidth="true" hidden="false" outlineLevel="0" max="8" min="8" style="282" width="31.66"/>
    <col collapsed="false" customWidth="true" hidden="false" outlineLevel="0" max="9" min="9" style="282" width="33.67"/>
    <col collapsed="false" customWidth="false" hidden="false" outlineLevel="0" max="1025" min="10" style="282" width="8.89"/>
  </cols>
  <sheetData>
    <row r="1" customFormat="false" ht="23.4" hidden="false" customHeight="false" outlineLevel="0" collapsed="false">
      <c r="A1" s="371" t="s">
        <v>880</v>
      </c>
    </row>
    <row r="3" customFormat="false" ht="13.8" hidden="false" customHeight="false" outlineLevel="0" collapsed="false">
      <c r="A3" s="543" t="s">
        <v>881</v>
      </c>
      <c r="C3" s="469"/>
    </row>
    <row r="4" customFormat="false" ht="13.8" hidden="false" customHeight="false" outlineLevel="0" collapsed="false">
      <c r="A4" s="472"/>
      <c r="B4" s="463" t="s">
        <v>882</v>
      </c>
      <c r="C4" s="463" t="s">
        <v>112</v>
      </c>
      <c r="D4" s="463" t="s">
        <v>883</v>
      </c>
      <c r="E4" s="663" t="s">
        <v>884</v>
      </c>
      <c r="F4" s="463" t="s">
        <v>885</v>
      </c>
      <c r="G4" s="463" t="s">
        <v>886</v>
      </c>
      <c r="H4" s="463" t="s">
        <v>887</v>
      </c>
      <c r="I4" s="464" t="s">
        <v>888</v>
      </c>
      <c r="J4" s="333" t="s">
        <v>411</v>
      </c>
    </row>
    <row r="5" s="177" customFormat="true" ht="13.8" hidden="false" customHeight="false" outlineLevel="0" collapsed="false">
      <c r="A5" s="161" t="s">
        <v>32</v>
      </c>
      <c r="B5" s="177" t="n">
        <v>0.35</v>
      </c>
      <c r="C5" s="177" t="s">
        <v>889</v>
      </c>
      <c r="D5" s="177" t="s">
        <v>210</v>
      </c>
      <c r="E5" s="177" t="n">
        <v>1</v>
      </c>
      <c r="F5" s="177" t="s">
        <v>209</v>
      </c>
      <c r="G5" s="664" t="n">
        <v>0</v>
      </c>
      <c r="H5" s="177" t="n">
        <v>0.62</v>
      </c>
      <c r="I5" s="665" t="n">
        <v>1.2</v>
      </c>
      <c r="J5" s="519" t="s">
        <v>890</v>
      </c>
      <c r="K5" s="282"/>
      <c r="L5" s="282"/>
      <c r="M5" s="282"/>
      <c r="N5" s="282"/>
      <c r="O5" s="282"/>
      <c r="P5" s="282"/>
      <c r="Q5" s="282"/>
      <c r="R5" s="282"/>
      <c r="S5" s="282"/>
      <c r="T5" s="282"/>
      <c r="U5" s="282"/>
      <c r="V5" s="282"/>
      <c r="W5" s="282"/>
      <c r="X5" s="282"/>
      <c r="Y5" s="282"/>
      <c r="Z5" s="282"/>
      <c r="AA5" s="282"/>
      <c r="AB5" s="282"/>
      <c r="AC5" s="282"/>
      <c r="AD5" s="282"/>
      <c r="AE5" s="282"/>
      <c r="AF5" s="282"/>
      <c r="AG5" s="282"/>
      <c r="AH5" s="282"/>
      <c r="AI5" s="282"/>
      <c r="AJ5" s="282"/>
      <c r="AK5" s="282"/>
      <c r="AL5" s="282"/>
      <c r="AM5" s="282"/>
      <c r="AN5" s="282"/>
      <c r="AO5" s="282"/>
      <c r="AP5" s="282"/>
      <c r="AQ5" s="282"/>
      <c r="AR5" s="282"/>
      <c r="AS5" s="282"/>
      <c r="AT5" s="282"/>
      <c r="AU5" s="282"/>
      <c r="AV5" s="282"/>
      <c r="AW5" s="282"/>
      <c r="AX5" s="282"/>
      <c r="AY5" s="282"/>
      <c r="AZ5" s="282"/>
      <c r="BA5" s="282"/>
      <c r="BB5" s="282"/>
      <c r="BC5" s="282"/>
      <c r="BD5" s="282"/>
      <c r="BE5" s="282"/>
      <c r="BF5" s="282"/>
      <c r="BG5" s="282"/>
      <c r="BH5" s="282"/>
      <c r="BI5" s="282"/>
      <c r="BJ5" s="282"/>
      <c r="BK5" s="282"/>
      <c r="BL5" s="282"/>
      <c r="BM5" s="282"/>
      <c r="BN5" s="282"/>
      <c r="BO5" s="282"/>
      <c r="BP5" s="282"/>
      <c r="BQ5" s="282"/>
      <c r="BR5" s="282"/>
      <c r="BS5" s="282"/>
      <c r="BT5" s="282"/>
      <c r="BU5" s="282"/>
      <c r="BV5" s="282"/>
      <c r="BW5" s="282"/>
      <c r="BX5" s="282"/>
      <c r="BY5" s="282"/>
      <c r="BZ5" s="282"/>
      <c r="CA5" s="282"/>
      <c r="CB5" s="282"/>
      <c r="CC5" s="282"/>
      <c r="CD5" s="282"/>
      <c r="CE5" s="282"/>
      <c r="CF5" s="282"/>
      <c r="CG5" s="282"/>
      <c r="CH5" s="282"/>
      <c r="CI5" s="282"/>
      <c r="CJ5" s="282"/>
      <c r="CK5" s="282"/>
      <c r="CL5" s="282"/>
      <c r="CM5" s="282"/>
      <c r="CN5" s="282"/>
      <c r="CO5" s="282"/>
      <c r="CP5" s="282"/>
      <c r="CQ5" s="282"/>
      <c r="CR5" s="282"/>
      <c r="CS5" s="282"/>
      <c r="CT5" s="282"/>
      <c r="CU5" s="282"/>
      <c r="CV5" s="282"/>
      <c r="CW5" s="282"/>
      <c r="CX5" s="282"/>
      <c r="CY5" s="282"/>
      <c r="CZ5" s="282"/>
      <c r="DA5" s="282"/>
      <c r="DB5" s="282"/>
      <c r="DC5" s="282"/>
      <c r="DD5" s="282"/>
      <c r="DE5" s="282"/>
      <c r="DF5" s="282"/>
      <c r="DG5" s="282"/>
      <c r="DH5" s="282"/>
      <c r="DI5" s="282"/>
      <c r="DJ5" s="282"/>
      <c r="DK5" s="282"/>
      <c r="DL5" s="282"/>
      <c r="DM5" s="282"/>
      <c r="DN5" s="282"/>
      <c r="DO5" s="282"/>
      <c r="DP5" s="282"/>
      <c r="DQ5" s="282"/>
      <c r="DR5" s="282"/>
      <c r="DS5" s="282"/>
      <c r="DT5" s="282"/>
      <c r="DU5" s="282"/>
      <c r="DV5" s="282"/>
      <c r="DW5" s="282"/>
      <c r="DX5" s="282"/>
      <c r="DY5" s="282"/>
      <c r="DZ5" s="282"/>
      <c r="EA5" s="282"/>
      <c r="EB5" s="282"/>
      <c r="EC5" s="282"/>
      <c r="ED5" s="282"/>
      <c r="EE5" s="282"/>
      <c r="EF5" s="282"/>
      <c r="EG5" s="282"/>
      <c r="EH5" s="282"/>
      <c r="EI5" s="282"/>
      <c r="EJ5" s="282"/>
      <c r="EK5" s="282"/>
      <c r="EL5" s="282"/>
      <c r="EM5" s="282"/>
      <c r="EN5" s="282"/>
      <c r="EO5" s="282"/>
      <c r="EP5" s="282"/>
      <c r="EQ5" s="282"/>
      <c r="ER5" s="282"/>
      <c r="ES5" s="282"/>
      <c r="ET5" s="282"/>
      <c r="EU5" s="282"/>
      <c r="EV5" s="282"/>
      <c r="EW5" s="282"/>
      <c r="EX5" s="282"/>
      <c r="EY5" s="282"/>
      <c r="EZ5" s="282"/>
      <c r="FA5" s="282"/>
      <c r="FB5" s="282"/>
      <c r="FC5" s="282"/>
      <c r="FD5" s="282"/>
      <c r="FE5" s="282"/>
      <c r="FF5" s="282"/>
      <c r="FG5" s="282"/>
      <c r="FH5" s="282"/>
      <c r="FI5" s="282"/>
      <c r="FJ5" s="282"/>
      <c r="FK5" s="282"/>
      <c r="FL5" s="282"/>
      <c r="FM5" s="282"/>
      <c r="FN5" s="282"/>
      <c r="FO5" s="282"/>
      <c r="FP5" s="282"/>
      <c r="FQ5" s="282"/>
      <c r="FR5" s="282"/>
      <c r="FS5" s="282"/>
      <c r="FT5" s="282"/>
      <c r="FU5" s="282"/>
      <c r="FV5" s="282"/>
      <c r="FW5" s="282"/>
      <c r="FX5" s="282"/>
      <c r="FY5" s="282"/>
      <c r="FZ5" s="282"/>
      <c r="GA5" s="282"/>
      <c r="GB5" s="282"/>
      <c r="GC5" s="282"/>
      <c r="GD5" s="282"/>
      <c r="GE5" s="282"/>
      <c r="GF5" s="282"/>
      <c r="GG5" s="282"/>
      <c r="GH5" s="282"/>
      <c r="GI5" s="282"/>
      <c r="GJ5" s="282"/>
      <c r="GK5" s="282"/>
      <c r="GL5" s="282"/>
      <c r="GM5" s="282"/>
      <c r="GN5" s="282"/>
      <c r="GO5" s="282"/>
      <c r="GP5" s="282"/>
      <c r="GQ5" s="282"/>
      <c r="GR5" s="282"/>
      <c r="GS5" s="282"/>
      <c r="GT5" s="282"/>
      <c r="GU5" s="282"/>
      <c r="GV5" s="282"/>
      <c r="GW5" s="282"/>
      <c r="GX5" s="282"/>
      <c r="GY5" s="282"/>
      <c r="GZ5" s="282"/>
      <c r="HA5" s="282"/>
      <c r="HB5" s="282"/>
      <c r="HC5" s="282"/>
      <c r="HD5" s="282"/>
      <c r="HE5" s="282"/>
      <c r="HF5" s="282"/>
      <c r="HG5" s="282"/>
      <c r="HH5" s="282"/>
      <c r="HI5" s="282"/>
      <c r="HJ5" s="282"/>
      <c r="HK5" s="282"/>
      <c r="HL5" s="282"/>
      <c r="HM5" s="282"/>
      <c r="HN5" s="282"/>
      <c r="HO5" s="282"/>
      <c r="HP5" s="282"/>
      <c r="HQ5" s="282"/>
      <c r="HR5" s="282"/>
      <c r="HS5" s="282"/>
      <c r="HT5" s="282"/>
      <c r="HU5" s="282"/>
      <c r="HV5" s="282"/>
      <c r="HW5" s="282"/>
      <c r="HX5" s="282"/>
      <c r="HY5" s="282"/>
      <c r="HZ5" s="282"/>
    </row>
    <row r="6" customFormat="false" ht="13.8" hidden="false" customHeight="false" outlineLevel="0" collapsed="false">
      <c r="G6" s="571"/>
      <c r="I6" s="381"/>
      <c r="J6" s="519" t="s">
        <v>891</v>
      </c>
    </row>
    <row r="7" s="177" customFormat="true" ht="13.8" hidden="false" customHeight="false" outlineLevel="0" collapsed="false">
      <c r="A7" s="161" t="s">
        <v>39</v>
      </c>
      <c r="B7" s="177" t="n">
        <v>0.14</v>
      </c>
      <c r="C7" s="177" t="s">
        <v>892</v>
      </c>
      <c r="D7" s="289" t="s">
        <v>893</v>
      </c>
      <c r="E7" s="289" t="n">
        <v>0.5</v>
      </c>
      <c r="F7" s="177" t="s">
        <v>212</v>
      </c>
      <c r="G7" s="177" t="n">
        <v>0.81</v>
      </c>
      <c r="H7" s="177" t="n">
        <v>0.47</v>
      </c>
      <c r="I7" s="665" t="n">
        <v>0</v>
      </c>
      <c r="J7" s="519" t="s">
        <v>894</v>
      </c>
      <c r="K7" s="282"/>
      <c r="L7" s="282"/>
      <c r="M7" s="282"/>
      <c r="N7" s="282"/>
      <c r="O7" s="282"/>
      <c r="P7" s="282"/>
      <c r="Q7" s="282"/>
      <c r="R7" s="282"/>
      <c r="S7" s="282"/>
      <c r="T7" s="282"/>
      <c r="U7" s="282"/>
      <c r="V7" s="282"/>
      <c r="W7" s="282"/>
      <c r="X7" s="282"/>
      <c r="Y7" s="282"/>
      <c r="Z7" s="282"/>
      <c r="AA7" s="282"/>
      <c r="AB7" s="282"/>
      <c r="AC7" s="282"/>
      <c r="AD7" s="282"/>
      <c r="AE7" s="282"/>
      <c r="AF7" s="282"/>
      <c r="AG7" s="282"/>
      <c r="AH7" s="282"/>
      <c r="AI7" s="282"/>
      <c r="AJ7" s="282"/>
      <c r="AK7" s="282"/>
      <c r="AL7" s="282"/>
      <c r="AM7" s="282"/>
      <c r="AN7" s="282"/>
      <c r="AO7" s="282"/>
      <c r="AP7" s="282"/>
      <c r="AQ7" s="282"/>
      <c r="AR7" s="282"/>
      <c r="AS7" s="282"/>
      <c r="AT7" s="282"/>
      <c r="AU7" s="282"/>
      <c r="AV7" s="282"/>
      <c r="AW7" s="282"/>
      <c r="AX7" s="282"/>
      <c r="AY7" s="282"/>
      <c r="AZ7" s="282"/>
      <c r="BA7" s="282"/>
      <c r="BB7" s="282"/>
      <c r="BC7" s="282"/>
      <c r="BD7" s="282"/>
      <c r="BE7" s="282"/>
      <c r="BF7" s="282"/>
      <c r="BG7" s="282"/>
      <c r="BH7" s="282"/>
      <c r="BI7" s="282"/>
      <c r="BJ7" s="282"/>
      <c r="BK7" s="282"/>
      <c r="BL7" s="282"/>
      <c r="BM7" s="282"/>
      <c r="BN7" s="282"/>
      <c r="BO7" s="282"/>
      <c r="BP7" s="282"/>
      <c r="BQ7" s="282"/>
      <c r="BR7" s="282"/>
      <c r="BS7" s="282"/>
      <c r="BT7" s="282"/>
      <c r="BU7" s="282"/>
      <c r="BV7" s="282"/>
      <c r="BW7" s="282"/>
      <c r="BX7" s="282"/>
      <c r="BY7" s="282"/>
      <c r="BZ7" s="282"/>
      <c r="CA7" s="282"/>
      <c r="CB7" s="282"/>
      <c r="CC7" s="282"/>
      <c r="CD7" s="282"/>
      <c r="CE7" s="282"/>
      <c r="CF7" s="282"/>
      <c r="CG7" s="282"/>
      <c r="CH7" s="282"/>
      <c r="CI7" s="282"/>
      <c r="CJ7" s="282"/>
      <c r="CK7" s="282"/>
      <c r="CL7" s="282"/>
      <c r="CM7" s="282"/>
      <c r="CN7" s="282"/>
      <c r="CO7" s="282"/>
      <c r="CP7" s="282"/>
      <c r="CQ7" s="282"/>
      <c r="CR7" s="282"/>
      <c r="CS7" s="282"/>
      <c r="CT7" s="282"/>
      <c r="CU7" s="282"/>
      <c r="CV7" s="282"/>
      <c r="CW7" s="282"/>
      <c r="CX7" s="282"/>
      <c r="CY7" s="282"/>
      <c r="CZ7" s="282"/>
      <c r="DA7" s="282"/>
      <c r="DB7" s="282"/>
      <c r="DC7" s="282"/>
      <c r="DD7" s="282"/>
      <c r="DE7" s="282"/>
      <c r="DF7" s="282"/>
      <c r="DG7" s="282"/>
      <c r="DH7" s="282"/>
      <c r="DI7" s="282"/>
      <c r="DJ7" s="282"/>
      <c r="DK7" s="282"/>
      <c r="DL7" s="282"/>
      <c r="DM7" s="282"/>
      <c r="DN7" s="282"/>
      <c r="DO7" s="282"/>
      <c r="DP7" s="282"/>
      <c r="DQ7" s="282"/>
      <c r="DR7" s="282"/>
      <c r="DS7" s="282"/>
      <c r="DT7" s="282"/>
      <c r="DU7" s="282"/>
      <c r="DV7" s="282"/>
      <c r="DW7" s="282"/>
      <c r="DX7" s="282"/>
      <c r="DY7" s="282"/>
      <c r="DZ7" s="282"/>
      <c r="EA7" s="282"/>
      <c r="EB7" s="282"/>
      <c r="EC7" s="282"/>
      <c r="ED7" s="282"/>
      <c r="EE7" s="282"/>
      <c r="EF7" s="282"/>
      <c r="EG7" s="282"/>
      <c r="EH7" s="282"/>
      <c r="EI7" s="282"/>
      <c r="EJ7" s="282"/>
      <c r="EK7" s="282"/>
      <c r="EL7" s="282"/>
      <c r="EM7" s="282"/>
      <c r="EN7" s="282"/>
      <c r="EO7" s="282"/>
      <c r="EP7" s="282"/>
      <c r="EQ7" s="282"/>
      <c r="ER7" s="282"/>
      <c r="ES7" s="282"/>
      <c r="ET7" s="282"/>
      <c r="EU7" s="282"/>
      <c r="EV7" s="282"/>
      <c r="EW7" s="282"/>
      <c r="EX7" s="282"/>
      <c r="EY7" s="282"/>
      <c r="EZ7" s="282"/>
      <c r="FA7" s="282"/>
      <c r="FB7" s="282"/>
      <c r="FC7" s="282"/>
      <c r="FD7" s="282"/>
      <c r="FE7" s="282"/>
      <c r="FF7" s="282"/>
      <c r="FG7" s="282"/>
      <c r="FH7" s="282"/>
      <c r="FI7" s="282"/>
      <c r="FJ7" s="282"/>
      <c r="FK7" s="282"/>
      <c r="FL7" s="282"/>
      <c r="FM7" s="282"/>
      <c r="FN7" s="282"/>
      <c r="FO7" s="282"/>
      <c r="FP7" s="282"/>
      <c r="FQ7" s="282"/>
      <c r="FR7" s="282"/>
      <c r="FS7" s="282"/>
      <c r="FT7" s="282"/>
      <c r="FU7" s="282"/>
      <c r="FV7" s="282"/>
      <c r="FW7" s="282"/>
      <c r="FX7" s="282"/>
      <c r="FY7" s="282"/>
      <c r="FZ7" s="282"/>
      <c r="GA7" s="282"/>
      <c r="GB7" s="282"/>
      <c r="GC7" s="282"/>
      <c r="GD7" s="282"/>
      <c r="GE7" s="282"/>
      <c r="GF7" s="282"/>
      <c r="GG7" s="282"/>
      <c r="GH7" s="282"/>
      <c r="GI7" s="282"/>
      <c r="GJ7" s="282"/>
      <c r="GK7" s="282"/>
      <c r="GL7" s="282"/>
      <c r="GM7" s="282"/>
      <c r="GN7" s="282"/>
      <c r="GO7" s="282"/>
      <c r="GP7" s="282"/>
      <c r="GQ7" s="282"/>
      <c r="GR7" s="282"/>
      <c r="GS7" s="282"/>
      <c r="GT7" s="282"/>
      <c r="GU7" s="282"/>
      <c r="GV7" s="282"/>
      <c r="GW7" s="282"/>
      <c r="GX7" s="282"/>
      <c r="GY7" s="282"/>
      <c r="GZ7" s="282"/>
      <c r="HA7" s="282"/>
      <c r="HB7" s="282"/>
      <c r="HC7" s="282"/>
      <c r="HD7" s="282"/>
      <c r="HE7" s="282"/>
      <c r="HF7" s="282"/>
      <c r="HG7" s="282"/>
      <c r="HH7" s="282"/>
      <c r="HI7" s="282"/>
      <c r="HJ7" s="282"/>
      <c r="HK7" s="282"/>
      <c r="HL7" s="282"/>
      <c r="HM7" s="282"/>
      <c r="HN7" s="282"/>
      <c r="HO7" s="282"/>
      <c r="HP7" s="282"/>
      <c r="HQ7" s="282"/>
      <c r="HR7" s="282"/>
      <c r="HS7" s="282"/>
      <c r="HT7" s="282"/>
      <c r="HU7" s="282"/>
      <c r="HV7" s="282"/>
      <c r="HW7" s="282"/>
      <c r="HX7" s="282"/>
      <c r="HY7" s="282"/>
      <c r="HZ7" s="282"/>
    </row>
    <row r="8" customFormat="false" ht="13.8" hidden="false" customHeight="false" outlineLevel="0" collapsed="false">
      <c r="C8" s="282" t="s">
        <v>892</v>
      </c>
      <c r="D8" s="23" t="s">
        <v>895</v>
      </c>
      <c r="E8" s="23" t="n">
        <v>0.5</v>
      </c>
      <c r="F8" s="282" t="s">
        <v>212</v>
      </c>
      <c r="G8" s="282" t="n">
        <v>0.41</v>
      </c>
      <c r="H8" s="282" t="n">
        <v>0.47</v>
      </c>
      <c r="I8" s="381" t="n">
        <v>0</v>
      </c>
      <c r="J8" s="519" t="s">
        <v>896</v>
      </c>
    </row>
    <row r="9" s="177" customFormat="true" ht="13.8" hidden="false" customHeight="false" outlineLevel="0" collapsed="false">
      <c r="A9" s="161" t="s">
        <v>46</v>
      </c>
      <c r="B9" s="177" t="n">
        <v>0.13</v>
      </c>
      <c r="C9" s="177" t="s">
        <v>892</v>
      </c>
      <c r="D9" s="289" t="s">
        <v>897</v>
      </c>
      <c r="E9" s="289" t="n">
        <v>0.5</v>
      </c>
      <c r="F9" s="177" t="s">
        <v>137</v>
      </c>
      <c r="G9" s="177" t="n">
        <v>0.12</v>
      </c>
      <c r="H9" s="177" t="n">
        <v>0.61</v>
      </c>
      <c r="I9" s="665" t="n">
        <v>0</v>
      </c>
      <c r="J9" s="519" t="s">
        <v>898</v>
      </c>
      <c r="K9" s="282"/>
      <c r="L9" s="282"/>
      <c r="M9" s="282"/>
      <c r="N9" s="282"/>
      <c r="O9" s="282"/>
      <c r="P9" s="282"/>
      <c r="Q9" s="282"/>
      <c r="R9" s="282"/>
      <c r="S9" s="282"/>
      <c r="T9" s="282"/>
      <c r="U9" s="282"/>
      <c r="V9" s="282"/>
      <c r="W9" s="282"/>
      <c r="X9" s="282"/>
      <c r="Y9" s="282"/>
      <c r="Z9" s="282"/>
      <c r="AA9" s="282"/>
      <c r="AB9" s="282"/>
      <c r="AC9" s="282"/>
      <c r="AD9" s="282"/>
      <c r="AE9" s="282"/>
      <c r="AF9" s="282"/>
      <c r="AG9" s="282"/>
      <c r="AH9" s="282"/>
      <c r="AI9" s="282"/>
      <c r="AJ9" s="282"/>
      <c r="AK9" s="282"/>
      <c r="AL9" s="282"/>
      <c r="AM9" s="282"/>
      <c r="AN9" s="282"/>
      <c r="AO9" s="282"/>
      <c r="AP9" s="282"/>
      <c r="AQ9" s="282"/>
      <c r="AR9" s="282"/>
      <c r="AS9" s="282"/>
      <c r="AT9" s="282"/>
      <c r="AU9" s="282"/>
      <c r="AV9" s="282"/>
      <c r="AW9" s="282"/>
      <c r="AX9" s="282"/>
      <c r="AY9" s="282"/>
      <c r="AZ9" s="282"/>
      <c r="BA9" s="282"/>
      <c r="BB9" s="282"/>
      <c r="BC9" s="282"/>
      <c r="BD9" s="282"/>
      <c r="BE9" s="282"/>
      <c r="BF9" s="282"/>
      <c r="BG9" s="282"/>
      <c r="BH9" s="282"/>
      <c r="BI9" s="282"/>
      <c r="BJ9" s="282"/>
      <c r="BK9" s="282"/>
      <c r="BL9" s="282"/>
      <c r="BM9" s="282"/>
      <c r="BN9" s="282"/>
      <c r="BO9" s="282"/>
      <c r="BP9" s="282"/>
      <c r="BQ9" s="282"/>
      <c r="BR9" s="282"/>
      <c r="BS9" s="282"/>
      <c r="BT9" s="282"/>
      <c r="BU9" s="282"/>
      <c r="BV9" s="282"/>
      <c r="BW9" s="282"/>
      <c r="BX9" s="282"/>
      <c r="BY9" s="282"/>
      <c r="BZ9" s="282"/>
      <c r="CA9" s="282"/>
      <c r="CB9" s="282"/>
      <c r="CC9" s="282"/>
      <c r="CD9" s="282"/>
      <c r="CE9" s="282"/>
      <c r="CF9" s="282"/>
      <c r="CG9" s="282"/>
      <c r="CH9" s="282"/>
      <c r="CI9" s="282"/>
      <c r="CJ9" s="282"/>
      <c r="CK9" s="282"/>
      <c r="CL9" s="282"/>
      <c r="CM9" s="282"/>
      <c r="CN9" s="282"/>
      <c r="CO9" s="282"/>
      <c r="CP9" s="282"/>
      <c r="CQ9" s="282"/>
      <c r="CR9" s="282"/>
      <c r="CS9" s="282"/>
      <c r="CT9" s="282"/>
      <c r="CU9" s="282"/>
      <c r="CV9" s="282"/>
      <c r="CW9" s="282"/>
      <c r="CX9" s="282"/>
      <c r="CY9" s="282"/>
      <c r="CZ9" s="282"/>
      <c r="DA9" s="282"/>
      <c r="DB9" s="282"/>
      <c r="DC9" s="282"/>
      <c r="DD9" s="282"/>
      <c r="DE9" s="282"/>
      <c r="DF9" s="282"/>
      <c r="DG9" s="282"/>
      <c r="DH9" s="282"/>
      <c r="DI9" s="282"/>
      <c r="DJ9" s="282"/>
      <c r="DK9" s="282"/>
      <c r="DL9" s="282"/>
      <c r="DM9" s="282"/>
      <c r="DN9" s="282"/>
      <c r="DO9" s="282"/>
      <c r="DP9" s="282"/>
      <c r="DQ9" s="282"/>
      <c r="DR9" s="282"/>
      <c r="DS9" s="282"/>
      <c r="DT9" s="282"/>
      <c r="DU9" s="282"/>
      <c r="DV9" s="282"/>
      <c r="DW9" s="282"/>
      <c r="DX9" s="282"/>
      <c r="DY9" s="282"/>
      <c r="DZ9" s="282"/>
      <c r="EA9" s="282"/>
      <c r="EB9" s="282"/>
      <c r="EC9" s="282"/>
      <c r="ED9" s="282"/>
      <c r="EE9" s="282"/>
      <c r="EF9" s="282"/>
      <c r="EG9" s="282"/>
      <c r="EH9" s="282"/>
      <c r="EI9" s="282"/>
      <c r="EJ9" s="282"/>
      <c r="EK9" s="282"/>
      <c r="EL9" s="282"/>
      <c r="EM9" s="282"/>
      <c r="EN9" s="282"/>
      <c r="EO9" s="282"/>
      <c r="EP9" s="282"/>
      <c r="EQ9" s="282"/>
      <c r="ER9" s="282"/>
      <c r="ES9" s="282"/>
      <c r="ET9" s="282"/>
      <c r="EU9" s="282"/>
      <c r="EV9" s="282"/>
      <c r="EW9" s="282"/>
      <c r="EX9" s="282"/>
      <c r="EY9" s="282"/>
      <c r="EZ9" s="282"/>
      <c r="FA9" s="282"/>
      <c r="FB9" s="282"/>
      <c r="FC9" s="282"/>
      <c r="FD9" s="282"/>
      <c r="FE9" s="282"/>
      <c r="FF9" s="282"/>
      <c r="FG9" s="282"/>
      <c r="FH9" s="282"/>
      <c r="FI9" s="282"/>
      <c r="FJ9" s="282"/>
      <c r="FK9" s="282"/>
      <c r="FL9" s="282"/>
      <c r="FM9" s="282"/>
      <c r="FN9" s="282"/>
      <c r="FO9" s="282"/>
      <c r="FP9" s="282"/>
      <c r="FQ9" s="282"/>
      <c r="FR9" s="282"/>
      <c r="FS9" s="282"/>
      <c r="FT9" s="282"/>
      <c r="FU9" s="282"/>
      <c r="FV9" s="282"/>
      <c r="FW9" s="282"/>
      <c r="FX9" s="282"/>
      <c r="FY9" s="282"/>
      <c r="FZ9" s="282"/>
      <c r="GA9" s="282"/>
      <c r="GB9" s="282"/>
      <c r="GC9" s="282"/>
      <c r="GD9" s="282"/>
      <c r="GE9" s="282"/>
      <c r="GF9" s="282"/>
      <c r="GG9" s="282"/>
      <c r="GH9" s="282"/>
      <c r="GI9" s="282"/>
      <c r="GJ9" s="282"/>
      <c r="GK9" s="282"/>
      <c r="GL9" s="282"/>
      <c r="GM9" s="282"/>
      <c r="GN9" s="282"/>
      <c r="GO9" s="282"/>
      <c r="GP9" s="282"/>
      <c r="GQ9" s="282"/>
      <c r="GR9" s="282"/>
      <c r="GS9" s="282"/>
      <c r="GT9" s="282"/>
      <c r="GU9" s="282"/>
      <c r="GV9" s="282"/>
      <c r="GW9" s="282"/>
      <c r="GX9" s="282"/>
      <c r="GY9" s="282"/>
      <c r="GZ9" s="282"/>
      <c r="HA9" s="282"/>
      <c r="HB9" s="282"/>
      <c r="HC9" s="282"/>
      <c r="HD9" s="282"/>
      <c r="HE9" s="282"/>
      <c r="HF9" s="282"/>
      <c r="HG9" s="282"/>
      <c r="HH9" s="282"/>
      <c r="HI9" s="282"/>
      <c r="HJ9" s="282"/>
      <c r="HK9" s="282"/>
      <c r="HL9" s="282"/>
      <c r="HM9" s="282"/>
      <c r="HN9" s="282"/>
      <c r="HO9" s="282"/>
      <c r="HP9" s="282"/>
      <c r="HQ9" s="282"/>
      <c r="HR9" s="282"/>
      <c r="HS9" s="282"/>
      <c r="HT9" s="282"/>
      <c r="HU9" s="282"/>
      <c r="HV9" s="282"/>
      <c r="HW9" s="282"/>
      <c r="HX9" s="282"/>
      <c r="HY9" s="282"/>
      <c r="HZ9" s="282"/>
    </row>
    <row r="10" customFormat="false" ht="13.8" hidden="false" customHeight="false" outlineLevel="0" collapsed="false">
      <c r="C10" s="282" t="s">
        <v>892</v>
      </c>
      <c r="D10" s="23" t="s">
        <v>899</v>
      </c>
      <c r="E10" s="23" t="n">
        <v>0.5</v>
      </c>
      <c r="F10" s="282" t="s">
        <v>137</v>
      </c>
      <c r="G10" s="282" t="n">
        <v>0.05</v>
      </c>
      <c r="H10" s="282" t="n">
        <v>0.61</v>
      </c>
      <c r="I10" s="381" t="n">
        <v>0</v>
      </c>
    </row>
    <row r="11" s="177" customFormat="true" ht="13.8" hidden="false" customHeight="false" outlineLevel="0" collapsed="false">
      <c r="A11" s="161" t="s">
        <v>52</v>
      </c>
      <c r="B11" s="177" t="n">
        <v>0.06</v>
      </c>
      <c r="C11" s="177" t="s">
        <v>892</v>
      </c>
      <c r="D11" s="289" t="s">
        <v>897</v>
      </c>
      <c r="E11" s="289" t="n">
        <v>0.03</v>
      </c>
      <c r="F11" s="177" t="s">
        <v>220</v>
      </c>
      <c r="G11" s="177" t="n">
        <v>0.14</v>
      </c>
      <c r="H11" s="177" t="n">
        <v>0.61</v>
      </c>
      <c r="I11" s="665" t="n">
        <v>0</v>
      </c>
      <c r="J11" s="282"/>
      <c r="K11" s="282"/>
      <c r="L11" s="282"/>
      <c r="M11" s="282"/>
      <c r="N11" s="282"/>
      <c r="O11" s="282"/>
      <c r="P11" s="282"/>
      <c r="Q11" s="282"/>
      <c r="R11" s="282"/>
      <c r="S11" s="282"/>
      <c r="T11" s="282"/>
      <c r="U11" s="282"/>
      <c r="V11" s="282"/>
      <c r="W11" s="282"/>
      <c r="X11" s="282"/>
      <c r="Y11" s="282"/>
      <c r="Z11" s="282"/>
      <c r="AA11" s="282"/>
      <c r="AB11" s="282"/>
      <c r="AC11" s="282"/>
      <c r="AD11" s="282"/>
      <c r="AE11" s="282"/>
      <c r="AF11" s="282"/>
      <c r="AG11" s="282"/>
      <c r="AH11" s="282"/>
      <c r="AI11" s="282"/>
      <c r="AJ11" s="282"/>
      <c r="AK11" s="282"/>
      <c r="AL11" s="282"/>
      <c r="AM11" s="282"/>
      <c r="AN11" s="282"/>
      <c r="AO11" s="282"/>
      <c r="AP11" s="282"/>
      <c r="AQ11" s="282"/>
      <c r="AR11" s="282"/>
      <c r="AS11" s="282"/>
      <c r="AT11" s="282"/>
      <c r="AU11" s="282"/>
      <c r="AV11" s="282"/>
      <c r="AW11" s="282"/>
      <c r="AX11" s="282"/>
      <c r="AY11" s="282"/>
      <c r="AZ11" s="282"/>
      <c r="BA11" s="282"/>
      <c r="BB11" s="282"/>
      <c r="BC11" s="282"/>
      <c r="BD11" s="282"/>
      <c r="BE11" s="282"/>
      <c r="BF11" s="282"/>
      <c r="BG11" s="282"/>
      <c r="BH11" s="282"/>
      <c r="BI11" s="282"/>
      <c r="BJ11" s="282"/>
      <c r="BK11" s="282"/>
      <c r="BL11" s="282"/>
      <c r="BM11" s="282"/>
      <c r="BN11" s="282"/>
      <c r="BO11" s="282"/>
      <c r="BP11" s="282"/>
      <c r="BQ11" s="282"/>
      <c r="BR11" s="282"/>
      <c r="BS11" s="282"/>
      <c r="BT11" s="282"/>
      <c r="BU11" s="282"/>
      <c r="BV11" s="282"/>
      <c r="BW11" s="282"/>
      <c r="BX11" s="282"/>
      <c r="BY11" s="282"/>
      <c r="BZ11" s="282"/>
      <c r="CA11" s="282"/>
      <c r="CB11" s="282"/>
      <c r="CC11" s="282"/>
      <c r="CD11" s="282"/>
      <c r="CE11" s="282"/>
      <c r="CF11" s="282"/>
      <c r="CG11" s="282"/>
      <c r="CH11" s="282"/>
      <c r="CI11" s="282"/>
      <c r="CJ11" s="282"/>
      <c r="CK11" s="282"/>
      <c r="CL11" s="282"/>
      <c r="CM11" s="282"/>
      <c r="CN11" s="282"/>
      <c r="CO11" s="282"/>
      <c r="CP11" s="282"/>
      <c r="CQ11" s="282"/>
      <c r="CR11" s="282"/>
      <c r="CS11" s="282"/>
      <c r="CT11" s="282"/>
      <c r="CU11" s="282"/>
      <c r="CV11" s="282"/>
      <c r="CW11" s="282"/>
      <c r="CX11" s="282"/>
      <c r="CY11" s="282"/>
      <c r="CZ11" s="282"/>
      <c r="DA11" s="282"/>
      <c r="DB11" s="282"/>
      <c r="DC11" s="282"/>
      <c r="DD11" s="282"/>
      <c r="DE11" s="282"/>
      <c r="DF11" s="282"/>
      <c r="DG11" s="282"/>
      <c r="DH11" s="282"/>
      <c r="DI11" s="282"/>
      <c r="DJ11" s="282"/>
      <c r="DK11" s="282"/>
      <c r="DL11" s="282"/>
      <c r="DM11" s="282"/>
      <c r="DN11" s="282"/>
      <c r="DO11" s="282"/>
      <c r="DP11" s="282"/>
      <c r="DQ11" s="282"/>
      <c r="DR11" s="282"/>
      <c r="DS11" s="282"/>
      <c r="DT11" s="282"/>
      <c r="DU11" s="282"/>
      <c r="DV11" s="282"/>
      <c r="DW11" s="282"/>
      <c r="DX11" s="282"/>
      <c r="DY11" s="282"/>
      <c r="DZ11" s="282"/>
      <c r="EA11" s="282"/>
      <c r="EB11" s="282"/>
      <c r="EC11" s="282"/>
      <c r="ED11" s="282"/>
      <c r="EE11" s="282"/>
      <c r="EF11" s="282"/>
      <c r="EG11" s="282"/>
      <c r="EH11" s="282"/>
      <c r="EI11" s="282"/>
      <c r="EJ11" s="282"/>
      <c r="EK11" s="282"/>
      <c r="EL11" s="282"/>
      <c r="EM11" s="282"/>
      <c r="EN11" s="282"/>
      <c r="EO11" s="282"/>
      <c r="EP11" s="282"/>
      <c r="EQ11" s="282"/>
      <c r="ER11" s="282"/>
      <c r="ES11" s="282"/>
      <c r="ET11" s="282"/>
      <c r="EU11" s="282"/>
      <c r="EV11" s="282"/>
      <c r="EW11" s="282"/>
      <c r="EX11" s="282"/>
      <c r="EY11" s="282"/>
      <c r="EZ11" s="282"/>
      <c r="FA11" s="282"/>
      <c r="FB11" s="282"/>
      <c r="FC11" s="282"/>
      <c r="FD11" s="282"/>
      <c r="FE11" s="282"/>
      <c r="FF11" s="282"/>
      <c r="FG11" s="282"/>
      <c r="FH11" s="282"/>
      <c r="FI11" s="282"/>
      <c r="FJ11" s="282"/>
      <c r="FK11" s="282"/>
      <c r="FL11" s="282"/>
      <c r="FM11" s="282"/>
      <c r="FN11" s="282"/>
      <c r="FO11" s="282"/>
      <c r="FP11" s="282"/>
      <c r="FQ11" s="282"/>
      <c r="FR11" s="282"/>
      <c r="FS11" s="282"/>
      <c r="FT11" s="282"/>
      <c r="FU11" s="282"/>
      <c r="FV11" s="282"/>
      <c r="FW11" s="282"/>
      <c r="FX11" s="282"/>
      <c r="FY11" s="282"/>
      <c r="FZ11" s="282"/>
      <c r="GA11" s="282"/>
      <c r="GB11" s="282"/>
      <c r="GC11" s="282"/>
      <c r="GD11" s="282"/>
      <c r="GE11" s="282"/>
      <c r="GF11" s="282"/>
      <c r="GG11" s="282"/>
      <c r="GH11" s="282"/>
      <c r="GI11" s="282"/>
      <c r="GJ11" s="282"/>
      <c r="GK11" s="282"/>
      <c r="GL11" s="282"/>
      <c r="GM11" s="282"/>
      <c r="GN11" s="282"/>
      <c r="GO11" s="282"/>
      <c r="GP11" s="282"/>
      <c r="GQ11" s="282"/>
      <c r="GR11" s="282"/>
      <c r="GS11" s="282"/>
      <c r="GT11" s="282"/>
      <c r="GU11" s="282"/>
      <c r="GV11" s="282"/>
      <c r="GW11" s="282"/>
      <c r="GX11" s="282"/>
      <c r="GY11" s="282"/>
      <c r="GZ11" s="282"/>
      <c r="HA11" s="282"/>
      <c r="HB11" s="282"/>
      <c r="HC11" s="282"/>
      <c r="HD11" s="282"/>
      <c r="HE11" s="282"/>
      <c r="HF11" s="282"/>
      <c r="HG11" s="282"/>
      <c r="HH11" s="282"/>
      <c r="HI11" s="282"/>
      <c r="HJ11" s="282"/>
      <c r="HK11" s="282"/>
      <c r="HL11" s="282"/>
      <c r="HM11" s="282"/>
      <c r="HN11" s="282"/>
      <c r="HO11" s="282"/>
      <c r="HP11" s="282"/>
      <c r="HQ11" s="282"/>
      <c r="HR11" s="282"/>
      <c r="HS11" s="282"/>
      <c r="HT11" s="282"/>
      <c r="HU11" s="282"/>
      <c r="HV11" s="282"/>
      <c r="HW11" s="282"/>
      <c r="HX11" s="282"/>
      <c r="HY11" s="282"/>
      <c r="HZ11" s="282"/>
    </row>
    <row r="12" customFormat="false" ht="13.8" hidden="false" customHeight="false" outlineLevel="0" collapsed="false">
      <c r="C12" s="282" t="s">
        <v>892</v>
      </c>
      <c r="D12" s="23" t="s">
        <v>899</v>
      </c>
      <c r="E12" s="23" t="n">
        <v>0.88</v>
      </c>
      <c r="F12" s="282" t="s">
        <v>220</v>
      </c>
      <c r="G12" s="282" t="n">
        <v>0.04</v>
      </c>
      <c r="H12" s="282" t="n">
        <v>0.61</v>
      </c>
      <c r="I12" s="381" t="n">
        <v>0</v>
      </c>
    </row>
    <row r="13" customFormat="false" ht="13.8" hidden="false" customHeight="false" outlineLevel="0" collapsed="false">
      <c r="C13" s="282" t="s">
        <v>892</v>
      </c>
      <c r="D13" s="23" t="s">
        <v>900</v>
      </c>
      <c r="E13" s="23" t="n">
        <v>0.09</v>
      </c>
      <c r="F13" s="282" t="s">
        <v>220</v>
      </c>
      <c r="G13" s="282" t="n">
        <v>0.06</v>
      </c>
      <c r="H13" s="282" t="n">
        <v>0.61</v>
      </c>
      <c r="I13" s="381" t="n">
        <v>0</v>
      </c>
    </row>
    <row r="14" s="177" customFormat="true" ht="13.8" hidden="false" customHeight="false" outlineLevel="0" collapsed="false">
      <c r="A14" s="161" t="s">
        <v>58</v>
      </c>
      <c r="B14" s="177" t="n">
        <v>0.05</v>
      </c>
      <c r="C14" s="177" t="s">
        <v>892</v>
      </c>
      <c r="D14" s="289" t="s">
        <v>893</v>
      </c>
      <c r="E14" s="289" t="n">
        <v>0.4</v>
      </c>
      <c r="F14" s="177" t="s">
        <v>225</v>
      </c>
      <c r="G14" s="177" t="n">
        <v>0.45</v>
      </c>
      <c r="H14" s="177" t="n">
        <v>0.47</v>
      </c>
      <c r="I14" s="665" t="n">
        <v>0</v>
      </c>
      <c r="J14" s="282"/>
      <c r="K14" s="282"/>
      <c r="L14" s="282"/>
      <c r="M14" s="282"/>
      <c r="N14" s="282"/>
      <c r="O14" s="282"/>
      <c r="P14" s="282"/>
      <c r="Q14" s="282"/>
      <c r="R14" s="282"/>
      <c r="S14" s="282"/>
      <c r="T14" s="282"/>
      <c r="U14" s="282"/>
      <c r="V14" s="282"/>
      <c r="W14" s="282"/>
      <c r="X14" s="282"/>
      <c r="Y14" s="282"/>
      <c r="Z14" s="282"/>
      <c r="AA14" s="282"/>
      <c r="AB14" s="282"/>
      <c r="AC14" s="282"/>
      <c r="AD14" s="282"/>
      <c r="AE14" s="282"/>
      <c r="AF14" s="282"/>
      <c r="AG14" s="282"/>
      <c r="AH14" s="282"/>
      <c r="AI14" s="282"/>
      <c r="AJ14" s="282"/>
      <c r="AK14" s="282"/>
      <c r="AL14" s="282"/>
      <c r="AM14" s="282"/>
      <c r="AN14" s="282"/>
      <c r="AO14" s="282"/>
      <c r="AP14" s="282"/>
      <c r="AQ14" s="282"/>
      <c r="AR14" s="282"/>
      <c r="AS14" s="282"/>
      <c r="AT14" s="282"/>
      <c r="AU14" s="282"/>
      <c r="AV14" s="282"/>
      <c r="AW14" s="282"/>
      <c r="AX14" s="282"/>
      <c r="AY14" s="282"/>
      <c r="AZ14" s="282"/>
      <c r="BA14" s="282"/>
      <c r="BB14" s="282"/>
      <c r="BC14" s="282"/>
      <c r="BD14" s="282"/>
      <c r="BE14" s="282"/>
      <c r="BF14" s="282"/>
      <c r="BG14" s="282"/>
      <c r="BH14" s="282"/>
      <c r="BI14" s="282"/>
      <c r="BJ14" s="282"/>
      <c r="BK14" s="282"/>
      <c r="BL14" s="282"/>
      <c r="BM14" s="282"/>
      <c r="BN14" s="282"/>
      <c r="BO14" s="282"/>
      <c r="BP14" s="282"/>
      <c r="BQ14" s="282"/>
      <c r="BR14" s="282"/>
      <c r="BS14" s="282"/>
      <c r="BT14" s="282"/>
      <c r="BU14" s="282"/>
      <c r="BV14" s="282"/>
      <c r="BW14" s="282"/>
      <c r="BX14" s="282"/>
      <c r="BY14" s="282"/>
      <c r="BZ14" s="282"/>
      <c r="CA14" s="282"/>
      <c r="CB14" s="282"/>
      <c r="CC14" s="282"/>
      <c r="CD14" s="282"/>
      <c r="CE14" s="282"/>
      <c r="CF14" s="282"/>
      <c r="CG14" s="282"/>
      <c r="CH14" s="282"/>
      <c r="CI14" s="282"/>
      <c r="CJ14" s="282"/>
      <c r="CK14" s="282"/>
      <c r="CL14" s="282"/>
      <c r="CM14" s="282"/>
      <c r="CN14" s="282"/>
      <c r="CO14" s="282"/>
      <c r="CP14" s="282"/>
      <c r="CQ14" s="282"/>
      <c r="CR14" s="282"/>
      <c r="CS14" s="282"/>
      <c r="CT14" s="282"/>
      <c r="CU14" s="282"/>
      <c r="CV14" s="282"/>
      <c r="CW14" s="282"/>
      <c r="CX14" s="282"/>
      <c r="CY14" s="282"/>
      <c r="CZ14" s="282"/>
      <c r="DA14" s="282"/>
      <c r="DB14" s="282"/>
      <c r="DC14" s="282"/>
      <c r="DD14" s="282"/>
      <c r="DE14" s="282"/>
      <c r="DF14" s="282"/>
      <c r="DG14" s="282"/>
      <c r="DH14" s="282"/>
      <c r="DI14" s="282"/>
      <c r="DJ14" s="282"/>
      <c r="DK14" s="282"/>
      <c r="DL14" s="282"/>
      <c r="DM14" s="282"/>
      <c r="DN14" s="282"/>
      <c r="DO14" s="282"/>
      <c r="DP14" s="282"/>
      <c r="DQ14" s="282"/>
      <c r="DR14" s="282"/>
      <c r="DS14" s="282"/>
      <c r="DT14" s="282"/>
      <c r="DU14" s="282"/>
      <c r="DV14" s="282"/>
      <c r="DW14" s="282"/>
      <c r="DX14" s="282"/>
      <c r="DY14" s="282"/>
      <c r="DZ14" s="282"/>
      <c r="EA14" s="282"/>
      <c r="EB14" s="282"/>
      <c r="EC14" s="282"/>
      <c r="ED14" s="282"/>
      <c r="EE14" s="282"/>
      <c r="EF14" s="282"/>
      <c r="EG14" s="282"/>
      <c r="EH14" s="282"/>
      <c r="EI14" s="282"/>
      <c r="EJ14" s="282"/>
      <c r="EK14" s="282"/>
      <c r="EL14" s="282"/>
      <c r="EM14" s="282"/>
      <c r="EN14" s="282"/>
      <c r="EO14" s="282"/>
      <c r="EP14" s="282"/>
      <c r="EQ14" s="282"/>
      <c r="ER14" s="282"/>
      <c r="ES14" s="282"/>
      <c r="ET14" s="282"/>
      <c r="EU14" s="282"/>
      <c r="EV14" s="282"/>
      <c r="EW14" s="282"/>
      <c r="EX14" s="282"/>
      <c r="EY14" s="282"/>
      <c r="EZ14" s="282"/>
      <c r="FA14" s="282"/>
      <c r="FB14" s="282"/>
      <c r="FC14" s="282"/>
      <c r="FD14" s="282"/>
      <c r="FE14" s="282"/>
      <c r="FF14" s="282"/>
      <c r="FG14" s="282"/>
      <c r="FH14" s="282"/>
      <c r="FI14" s="282"/>
      <c r="FJ14" s="282"/>
      <c r="FK14" s="282"/>
      <c r="FL14" s="282"/>
      <c r="FM14" s="282"/>
      <c r="FN14" s="282"/>
      <c r="FO14" s="282"/>
      <c r="FP14" s="282"/>
      <c r="FQ14" s="282"/>
      <c r="FR14" s="282"/>
      <c r="FS14" s="282"/>
      <c r="FT14" s="282"/>
      <c r="FU14" s="282"/>
      <c r="FV14" s="282"/>
      <c r="FW14" s="282"/>
      <c r="FX14" s="282"/>
      <c r="FY14" s="282"/>
      <c r="FZ14" s="282"/>
      <c r="GA14" s="282"/>
      <c r="GB14" s="282"/>
      <c r="GC14" s="282"/>
      <c r="GD14" s="282"/>
      <c r="GE14" s="282"/>
      <c r="GF14" s="282"/>
      <c r="GG14" s="282"/>
      <c r="GH14" s="282"/>
      <c r="GI14" s="282"/>
      <c r="GJ14" s="282"/>
      <c r="GK14" s="282"/>
      <c r="GL14" s="282"/>
      <c r="GM14" s="282"/>
      <c r="GN14" s="282"/>
      <c r="GO14" s="282"/>
      <c r="GP14" s="282"/>
      <c r="GQ14" s="282"/>
      <c r="GR14" s="282"/>
      <c r="GS14" s="282"/>
      <c r="GT14" s="282"/>
      <c r="GU14" s="282"/>
      <c r="GV14" s="282"/>
      <c r="GW14" s="282"/>
      <c r="GX14" s="282"/>
      <c r="GY14" s="282"/>
      <c r="GZ14" s="282"/>
      <c r="HA14" s="282"/>
      <c r="HB14" s="282"/>
      <c r="HC14" s="282"/>
      <c r="HD14" s="282"/>
      <c r="HE14" s="282"/>
      <c r="HF14" s="282"/>
      <c r="HG14" s="282"/>
      <c r="HH14" s="282"/>
      <c r="HI14" s="282"/>
      <c r="HJ14" s="282"/>
      <c r="HK14" s="282"/>
      <c r="HL14" s="282"/>
      <c r="HM14" s="282"/>
      <c r="HN14" s="282"/>
      <c r="HO14" s="282"/>
      <c r="HP14" s="282"/>
      <c r="HQ14" s="282"/>
      <c r="HR14" s="282"/>
      <c r="HS14" s="282"/>
      <c r="HT14" s="282"/>
      <c r="HU14" s="282"/>
      <c r="HV14" s="282"/>
      <c r="HW14" s="282"/>
      <c r="HX14" s="282"/>
      <c r="HY14" s="282"/>
      <c r="HZ14" s="282"/>
    </row>
    <row r="15" customFormat="false" ht="13.8" hidden="false" customHeight="false" outlineLevel="0" collapsed="false">
      <c r="C15" s="282" t="s">
        <v>892</v>
      </c>
      <c r="D15" s="23" t="s">
        <v>897</v>
      </c>
      <c r="E15" s="23" t="n">
        <v>0.4</v>
      </c>
      <c r="F15" s="282" t="s">
        <v>225</v>
      </c>
      <c r="G15" s="282" t="n">
        <v>0.37</v>
      </c>
      <c r="H15" s="282" t="n">
        <v>0.47</v>
      </c>
      <c r="I15" s="381" t="n">
        <v>0</v>
      </c>
    </row>
    <row r="16" customFormat="false" ht="13.8" hidden="false" customHeight="false" outlineLevel="0" collapsed="false">
      <c r="C16" s="282" t="s">
        <v>892</v>
      </c>
      <c r="D16" s="23" t="s">
        <v>899</v>
      </c>
      <c r="E16" s="23" t="n">
        <v>0.1</v>
      </c>
      <c r="F16" s="282" t="s">
        <v>225</v>
      </c>
      <c r="G16" s="282" t="n">
        <v>0.29</v>
      </c>
      <c r="H16" s="282" t="n">
        <v>0.47</v>
      </c>
      <c r="I16" s="381" t="n">
        <v>0</v>
      </c>
    </row>
    <row r="17" customFormat="false" ht="13.8" hidden="false" customHeight="false" outlineLevel="0" collapsed="false">
      <c r="C17" s="282" t="s">
        <v>892</v>
      </c>
      <c r="D17" s="23" t="s">
        <v>895</v>
      </c>
      <c r="E17" s="23" t="n">
        <v>0.1</v>
      </c>
      <c r="F17" s="282" t="s">
        <v>225</v>
      </c>
      <c r="G17" s="282" t="n">
        <v>0.4</v>
      </c>
      <c r="H17" s="282" t="n">
        <v>0.47</v>
      </c>
      <c r="I17" s="381" t="n">
        <v>0</v>
      </c>
    </row>
    <row r="18" s="177" customFormat="true" ht="13.8" hidden="false" customHeight="false" outlineLevel="0" collapsed="false">
      <c r="A18" s="161" t="s">
        <v>64</v>
      </c>
      <c r="B18" s="177" t="n">
        <v>0.05</v>
      </c>
      <c r="C18" s="177" t="s">
        <v>892</v>
      </c>
      <c r="D18" s="289" t="s">
        <v>893</v>
      </c>
      <c r="E18" s="289" t="n">
        <v>1</v>
      </c>
      <c r="F18" s="177" t="s">
        <v>225</v>
      </c>
      <c r="G18" s="177" t="n">
        <v>1.15</v>
      </c>
      <c r="H18" s="177" t="n">
        <v>0.36</v>
      </c>
      <c r="I18" s="665" t="n">
        <v>0</v>
      </c>
      <c r="J18" s="282"/>
      <c r="K18" s="282"/>
      <c r="L18" s="282"/>
      <c r="M18" s="282"/>
      <c r="N18" s="282"/>
      <c r="O18" s="282"/>
      <c r="P18" s="282"/>
      <c r="Q18" s="282"/>
      <c r="R18" s="282"/>
      <c r="S18" s="282"/>
      <c r="T18" s="282"/>
      <c r="U18" s="282"/>
      <c r="V18" s="282"/>
      <c r="W18" s="282"/>
      <c r="X18" s="282"/>
      <c r="Y18" s="282"/>
      <c r="Z18" s="282"/>
      <c r="AA18" s="282"/>
      <c r="AB18" s="282"/>
      <c r="AC18" s="282"/>
      <c r="AD18" s="282"/>
      <c r="AE18" s="282"/>
      <c r="AF18" s="282"/>
      <c r="AG18" s="282"/>
      <c r="AH18" s="282"/>
      <c r="AI18" s="282"/>
      <c r="AJ18" s="282"/>
      <c r="AK18" s="282"/>
      <c r="AL18" s="282"/>
      <c r="AM18" s="282"/>
      <c r="AN18" s="282"/>
      <c r="AO18" s="282"/>
      <c r="AP18" s="282"/>
      <c r="AQ18" s="282"/>
      <c r="AR18" s="282"/>
      <c r="AS18" s="282"/>
      <c r="AT18" s="282"/>
      <c r="AU18" s="282"/>
      <c r="AV18" s="282"/>
      <c r="AW18" s="282"/>
      <c r="AX18" s="282"/>
      <c r="AY18" s="282"/>
      <c r="AZ18" s="282"/>
      <c r="BA18" s="282"/>
      <c r="BB18" s="282"/>
      <c r="BC18" s="282"/>
      <c r="BD18" s="282"/>
      <c r="BE18" s="282"/>
      <c r="BF18" s="282"/>
      <c r="BG18" s="282"/>
      <c r="BH18" s="282"/>
      <c r="BI18" s="282"/>
      <c r="BJ18" s="282"/>
      <c r="BK18" s="282"/>
      <c r="BL18" s="282"/>
      <c r="BM18" s="282"/>
      <c r="BN18" s="282"/>
      <c r="BO18" s="282"/>
      <c r="BP18" s="282"/>
      <c r="BQ18" s="282"/>
      <c r="BR18" s="282"/>
      <c r="BS18" s="282"/>
      <c r="BT18" s="282"/>
      <c r="BU18" s="282"/>
      <c r="BV18" s="282"/>
      <c r="BW18" s="282"/>
      <c r="BX18" s="282"/>
      <c r="BY18" s="282"/>
      <c r="BZ18" s="282"/>
      <c r="CA18" s="282"/>
      <c r="CB18" s="282"/>
      <c r="CC18" s="282"/>
      <c r="CD18" s="282"/>
      <c r="CE18" s="282"/>
      <c r="CF18" s="282"/>
      <c r="CG18" s="282"/>
      <c r="CH18" s="282"/>
      <c r="CI18" s="282"/>
      <c r="CJ18" s="282"/>
      <c r="CK18" s="282"/>
      <c r="CL18" s="282"/>
      <c r="CM18" s="282"/>
      <c r="CN18" s="282"/>
      <c r="CO18" s="282"/>
      <c r="CP18" s="282"/>
      <c r="CQ18" s="282"/>
      <c r="CR18" s="282"/>
      <c r="CS18" s="282"/>
      <c r="CT18" s="282"/>
      <c r="CU18" s="282"/>
      <c r="CV18" s="282"/>
      <c r="CW18" s="282"/>
      <c r="CX18" s="282"/>
      <c r="CY18" s="282"/>
      <c r="CZ18" s="282"/>
      <c r="DA18" s="282"/>
      <c r="DB18" s="282"/>
      <c r="DC18" s="282"/>
      <c r="DD18" s="282"/>
      <c r="DE18" s="282"/>
      <c r="DF18" s="282"/>
      <c r="DG18" s="282"/>
      <c r="DH18" s="282"/>
      <c r="DI18" s="282"/>
      <c r="DJ18" s="282"/>
      <c r="DK18" s="282"/>
      <c r="DL18" s="282"/>
      <c r="DM18" s="282"/>
      <c r="DN18" s="282"/>
      <c r="DO18" s="282"/>
      <c r="DP18" s="282"/>
      <c r="DQ18" s="282"/>
      <c r="DR18" s="282"/>
      <c r="DS18" s="282"/>
      <c r="DT18" s="282"/>
      <c r="DU18" s="282"/>
      <c r="DV18" s="282"/>
      <c r="DW18" s="282"/>
      <c r="DX18" s="282"/>
      <c r="DY18" s="282"/>
      <c r="DZ18" s="282"/>
      <c r="EA18" s="282"/>
      <c r="EB18" s="282"/>
      <c r="EC18" s="282"/>
      <c r="ED18" s="282"/>
      <c r="EE18" s="282"/>
      <c r="EF18" s="282"/>
      <c r="EG18" s="282"/>
      <c r="EH18" s="282"/>
      <c r="EI18" s="282"/>
      <c r="EJ18" s="282"/>
      <c r="EK18" s="282"/>
      <c r="EL18" s="282"/>
      <c r="EM18" s="282"/>
      <c r="EN18" s="282"/>
      <c r="EO18" s="282"/>
      <c r="EP18" s="282"/>
      <c r="EQ18" s="282"/>
      <c r="ER18" s="282"/>
      <c r="ES18" s="282"/>
      <c r="ET18" s="282"/>
      <c r="EU18" s="282"/>
      <c r="EV18" s="282"/>
      <c r="EW18" s="282"/>
      <c r="EX18" s="282"/>
      <c r="EY18" s="282"/>
      <c r="EZ18" s="282"/>
      <c r="FA18" s="282"/>
      <c r="FB18" s="282"/>
      <c r="FC18" s="282"/>
      <c r="FD18" s="282"/>
      <c r="FE18" s="282"/>
      <c r="FF18" s="282"/>
      <c r="FG18" s="282"/>
      <c r="FH18" s="282"/>
      <c r="FI18" s="282"/>
      <c r="FJ18" s="282"/>
      <c r="FK18" s="282"/>
      <c r="FL18" s="282"/>
      <c r="FM18" s="282"/>
      <c r="FN18" s="282"/>
      <c r="FO18" s="282"/>
      <c r="FP18" s="282"/>
      <c r="FQ18" s="282"/>
      <c r="FR18" s="282"/>
      <c r="FS18" s="282"/>
      <c r="FT18" s="282"/>
      <c r="FU18" s="282"/>
      <c r="FV18" s="282"/>
      <c r="FW18" s="282"/>
      <c r="FX18" s="282"/>
      <c r="FY18" s="282"/>
      <c r="FZ18" s="282"/>
      <c r="GA18" s="282"/>
      <c r="GB18" s="282"/>
      <c r="GC18" s="282"/>
      <c r="GD18" s="282"/>
      <c r="GE18" s="282"/>
      <c r="GF18" s="282"/>
      <c r="GG18" s="282"/>
      <c r="GH18" s="282"/>
      <c r="GI18" s="282"/>
      <c r="GJ18" s="282"/>
      <c r="GK18" s="282"/>
      <c r="GL18" s="282"/>
      <c r="GM18" s="282"/>
      <c r="GN18" s="282"/>
      <c r="GO18" s="282"/>
      <c r="GP18" s="282"/>
      <c r="GQ18" s="282"/>
      <c r="GR18" s="282"/>
      <c r="GS18" s="282"/>
      <c r="GT18" s="282"/>
      <c r="GU18" s="282"/>
      <c r="GV18" s="282"/>
      <c r="GW18" s="282"/>
      <c r="GX18" s="282"/>
      <c r="GY18" s="282"/>
      <c r="GZ18" s="282"/>
      <c r="HA18" s="282"/>
      <c r="HB18" s="282"/>
      <c r="HC18" s="282"/>
      <c r="HD18" s="282"/>
      <c r="HE18" s="282"/>
      <c r="HF18" s="282"/>
      <c r="HG18" s="282"/>
      <c r="HH18" s="282"/>
      <c r="HI18" s="282"/>
      <c r="HJ18" s="282"/>
      <c r="HK18" s="282"/>
      <c r="HL18" s="282"/>
      <c r="HM18" s="282"/>
      <c r="HN18" s="282"/>
      <c r="HO18" s="282"/>
      <c r="HP18" s="282"/>
      <c r="HQ18" s="282"/>
      <c r="HR18" s="282"/>
      <c r="HS18" s="282"/>
      <c r="HT18" s="282"/>
      <c r="HU18" s="282"/>
      <c r="HV18" s="282"/>
      <c r="HW18" s="282"/>
      <c r="HX18" s="282"/>
      <c r="HY18" s="282"/>
      <c r="HZ18" s="282"/>
    </row>
    <row r="19" customFormat="false" ht="13.8" hidden="false" customHeight="false" outlineLevel="0" collapsed="false">
      <c r="D19" s="23"/>
      <c r="E19" s="23"/>
      <c r="I19" s="381"/>
    </row>
    <row r="20" s="177" customFormat="true" ht="13.8" hidden="false" customHeight="false" outlineLevel="0" collapsed="false">
      <c r="A20" s="161" t="s">
        <v>70</v>
      </c>
      <c r="B20" s="177" t="n">
        <v>0.04</v>
      </c>
      <c r="C20" s="177" t="s">
        <v>892</v>
      </c>
      <c r="D20" s="289" t="s">
        <v>897</v>
      </c>
      <c r="E20" s="289" t="n">
        <v>1</v>
      </c>
      <c r="F20" s="177" t="s">
        <v>901</v>
      </c>
      <c r="G20" s="177" t="n">
        <v>0.09</v>
      </c>
      <c r="H20" s="177" t="n">
        <v>0.41</v>
      </c>
      <c r="I20" s="665" t="n">
        <v>0</v>
      </c>
      <c r="J20" s="282"/>
      <c r="K20" s="282"/>
      <c r="L20" s="282"/>
      <c r="M20" s="282"/>
      <c r="N20" s="282"/>
      <c r="O20" s="282"/>
      <c r="P20" s="282"/>
      <c r="Q20" s="282"/>
      <c r="R20" s="282"/>
      <c r="S20" s="282"/>
      <c r="T20" s="282"/>
      <c r="U20" s="282"/>
      <c r="V20" s="282"/>
      <c r="W20" s="282"/>
      <c r="X20" s="282"/>
      <c r="Y20" s="282"/>
      <c r="Z20" s="282"/>
      <c r="AA20" s="282"/>
      <c r="AB20" s="282"/>
      <c r="AC20" s="282"/>
      <c r="AD20" s="282"/>
      <c r="AE20" s="282"/>
      <c r="AF20" s="282"/>
      <c r="AG20" s="282"/>
      <c r="AH20" s="282"/>
      <c r="AI20" s="282"/>
      <c r="AJ20" s="282"/>
      <c r="AK20" s="282"/>
      <c r="AL20" s="282"/>
      <c r="AM20" s="282"/>
      <c r="AN20" s="282"/>
      <c r="AO20" s="282"/>
      <c r="AP20" s="282"/>
      <c r="AQ20" s="282"/>
      <c r="AR20" s="282"/>
      <c r="AS20" s="282"/>
      <c r="AT20" s="282"/>
      <c r="AU20" s="282"/>
      <c r="AV20" s="282"/>
      <c r="AW20" s="282"/>
      <c r="AX20" s="282"/>
      <c r="AY20" s="282"/>
      <c r="AZ20" s="282"/>
      <c r="BA20" s="282"/>
      <c r="BB20" s="282"/>
      <c r="BC20" s="282"/>
      <c r="BD20" s="282"/>
      <c r="BE20" s="282"/>
      <c r="BF20" s="282"/>
      <c r="BG20" s="282"/>
      <c r="BH20" s="282"/>
      <c r="BI20" s="282"/>
      <c r="BJ20" s="282"/>
      <c r="BK20" s="282"/>
      <c r="BL20" s="282"/>
      <c r="BM20" s="282"/>
      <c r="BN20" s="282"/>
      <c r="BO20" s="282"/>
      <c r="BP20" s="282"/>
      <c r="BQ20" s="282"/>
      <c r="BR20" s="282"/>
      <c r="BS20" s="282"/>
      <c r="BT20" s="282"/>
      <c r="BU20" s="282"/>
      <c r="BV20" s="282"/>
      <c r="BW20" s="282"/>
      <c r="BX20" s="282"/>
      <c r="BY20" s="282"/>
      <c r="BZ20" s="282"/>
      <c r="CA20" s="282"/>
      <c r="CB20" s="282"/>
      <c r="CC20" s="282"/>
      <c r="CD20" s="282"/>
      <c r="CE20" s="282"/>
      <c r="CF20" s="282"/>
      <c r="CG20" s="282"/>
      <c r="CH20" s="282"/>
      <c r="CI20" s="282"/>
      <c r="CJ20" s="282"/>
      <c r="CK20" s="282"/>
      <c r="CL20" s="282"/>
      <c r="CM20" s="282"/>
      <c r="CN20" s="282"/>
      <c r="CO20" s="282"/>
      <c r="CP20" s="282"/>
      <c r="CQ20" s="282"/>
      <c r="CR20" s="282"/>
      <c r="CS20" s="282"/>
      <c r="CT20" s="282"/>
      <c r="CU20" s="282"/>
      <c r="CV20" s="282"/>
      <c r="CW20" s="282"/>
      <c r="CX20" s="282"/>
      <c r="CY20" s="282"/>
      <c r="CZ20" s="282"/>
      <c r="DA20" s="282"/>
      <c r="DB20" s="282"/>
      <c r="DC20" s="282"/>
      <c r="DD20" s="282"/>
      <c r="DE20" s="282"/>
      <c r="DF20" s="282"/>
      <c r="DG20" s="282"/>
      <c r="DH20" s="282"/>
      <c r="DI20" s="282"/>
      <c r="DJ20" s="282"/>
      <c r="DK20" s="282"/>
      <c r="DL20" s="282"/>
      <c r="DM20" s="282"/>
      <c r="DN20" s="282"/>
      <c r="DO20" s="282"/>
      <c r="DP20" s="282"/>
      <c r="DQ20" s="282"/>
      <c r="DR20" s="282"/>
      <c r="DS20" s="282"/>
      <c r="DT20" s="282"/>
      <c r="DU20" s="282"/>
      <c r="DV20" s="282"/>
      <c r="DW20" s="282"/>
      <c r="DX20" s="282"/>
      <c r="DY20" s="282"/>
      <c r="DZ20" s="282"/>
      <c r="EA20" s="282"/>
      <c r="EB20" s="282"/>
      <c r="EC20" s="282"/>
      <c r="ED20" s="282"/>
      <c r="EE20" s="282"/>
      <c r="EF20" s="282"/>
      <c r="EG20" s="282"/>
      <c r="EH20" s="282"/>
      <c r="EI20" s="282"/>
      <c r="EJ20" s="282"/>
      <c r="EK20" s="282"/>
      <c r="EL20" s="282"/>
      <c r="EM20" s="282"/>
      <c r="EN20" s="282"/>
      <c r="EO20" s="282"/>
      <c r="EP20" s="282"/>
      <c r="EQ20" s="282"/>
      <c r="ER20" s="282"/>
      <c r="ES20" s="282"/>
      <c r="ET20" s="282"/>
      <c r="EU20" s="282"/>
      <c r="EV20" s="282"/>
      <c r="EW20" s="282"/>
      <c r="EX20" s="282"/>
      <c r="EY20" s="282"/>
      <c r="EZ20" s="282"/>
      <c r="FA20" s="282"/>
      <c r="FB20" s="282"/>
      <c r="FC20" s="282"/>
      <c r="FD20" s="282"/>
      <c r="FE20" s="282"/>
      <c r="FF20" s="282"/>
      <c r="FG20" s="282"/>
      <c r="FH20" s="282"/>
      <c r="FI20" s="282"/>
      <c r="FJ20" s="282"/>
      <c r="FK20" s="282"/>
      <c r="FL20" s="282"/>
      <c r="FM20" s="282"/>
      <c r="FN20" s="282"/>
      <c r="FO20" s="282"/>
      <c r="FP20" s="282"/>
      <c r="FQ20" s="282"/>
      <c r="FR20" s="282"/>
      <c r="FS20" s="282"/>
      <c r="FT20" s="282"/>
      <c r="FU20" s="282"/>
      <c r="FV20" s="282"/>
      <c r="FW20" s="282"/>
      <c r="FX20" s="282"/>
      <c r="FY20" s="282"/>
      <c r="FZ20" s="282"/>
      <c r="GA20" s="282"/>
      <c r="GB20" s="282"/>
      <c r="GC20" s="282"/>
      <c r="GD20" s="282"/>
      <c r="GE20" s="282"/>
      <c r="GF20" s="282"/>
      <c r="GG20" s="282"/>
      <c r="GH20" s="282"/>
      <c r="GI20" s="282"/>
      <c r="GJ20" s="282"/>
      <c r="GK20" s="282"/>
      <c r="GL20" s="282"/>
      <c r="GM20" s="282"/>
      <c r="GN20" s="282"/>
      <c r="GO20" s="282"/>
      <c r="GP20" s="282"/>
      <c r="GQ20" s="282"/>
      <c r="GR20" s="282"/>
      <c r="GS20" s="282"/>
      <c r="GT20" s="282"/>
      <c r="GU20" s="282"/>
      <c r="GV20" s="282"/>
      <c r="GW20" s="282"/>
      <c r="GX20" s="282"/>
      <c r="GY20" s="282"/>
      <c r="GZ20" s="282"/>
      <c r="HA20" s="282"/>
      <c r="HB20" s="282"/>
      <c r="HC20" s="282"/>
      <c r="HD20" s="282"/>
      <c r="HE20" s="282"/>
      <c r="HF20" s="282"/>
      <c r="HG20" s="282"/>
      <c r="HH20" s="282"/>
      <c r="HI20" s="282"/>
      <c r="HJ20" s="282"/>
      <c r="HK20" s="282"/>
      <c r="HL20" s="282"/>
      <c r="HM20" s="282"/>
      <c r="HN20" s="282"/>
      <c r="HO20" s="282"/>
      <c r="HP20" s="282"/>
      <c r="HQ20" s="282"/>
      <c r="HR20" s="282"/>
      <c r="HS20" s="282"/>
      <c r="HT20" s="282"/>
      <c r="HU20" s="282"/>
      <c r="HV20" s="282"/>
      <c r="HW20" s="282"/>
      <c r="HX20" s="282"/>
      <c r="HY20" s="282"/>
      <c r="HZ20" s="282"/>
    </row>
    <row r="21" customFormat="false" ht="13.8" hidden="false" customHeight="false" outlineLevel="0" collapsed="false">
      <c r="D21" s="23"/>
      <c r="E21" s="23"/>
      <c r="I21" s="381"/>
    </row>
    <row r="22" s="177" customFormat="true" ht="13.8" hidden="false" customHeight="false" outlineLevel="0" collapsed="false">
      <c r="A22" s="161" t="s">
        <v>76</v>
      </c>
      <c r="B22" s="177" t="n">
        <v>0.03</v>
      </c>
      <c r="C22" s="177" t="s">
        <v>889</v>
      </c>
      <c r="D22" s="177" t="s">
        <v>210</v>
      </c>
      <c r="E22" s="666" t="n">
        <v>1</v>
      </c>
      <c r="F22" s="177" t="s">
        <v>137</v>
      </c>
      <c r="G22" s="177" t="n">
        <v>0</v>
      </c>
      <c r="H22" s="177" t="n">
        <v>0.61</v>
      </c>
      <c r="I22" s="665" t="n">
        <v>1.2</v>
      </c>
      <c r="J22" s="282"/>
      <c r="K22" s="282"/>
      <c r="L22" s="282"/>
      <c r="M22" s="282"/>
      <c r="N22" s="282"/>
      <c r="O22" s="282"/>
      <c r="P22" s="282"/>
      <c r="Q22" s="282"/>
      <c r="R22" s="282"/>
      <c r="S22" s="282"/>
      <c r="T22" s="282"/>
      <c r="U22" s="282"/>
      <c r="V22" s="282"/>
      <c r="W22" s="282"/>
      <c r="X22" s="282"/>
      <c r="Y22" s="282"/>
      <c r="Z22" s="282"/>
      <c r="AA22" s="282"/>
      <c r="AB22" s="282"/>
      <c r="AC22" s="282"/>
      <c r="AD22" s="282"/>
      <c r="AE22" s="282"/>
      <c r="AF22" s="282"/>
      <c r="AG22" s="282"/>
      <c r="AH22" s="282"/>
      <c r="AI22" s="282"/>
      <c r="AJ22" s="282"/>
      <c r="AK22" s="282"/>
      <c r="AL22" s="282"/>
      <c r="AM22" s="282"/>
      <c r="AN22" s="282"/>
      <c r="AO22" s="282"/>
      <c r="AP22" s="282"/>
      <c r="AQ22" s="282"/>
      <c r="AR22" s="282"/>
      <c r="AS22" s="282"/>
      <c r="AT22" s="282"/>
      <c r="AU22" s="282"/>
      <c r="AV22" s="282"/>
      <c r="AW22" s="282"/>
      <c r="AX22" s="282"/>
      <c r="AY22" s="282"/>
      <c r="AZ22" s="282"/>
      <c r="BA22" s="282"/>
      <c r="BB22" s="282"/>
      <c r="BC22" s="282"/>
      <c r="BD22" s="282"/>
      <c r="BE22" s="282"/>
      <c r="BF22" s="282"/>
      <c r="BG22" s="282"/>
      <c r="BH22" s="282"/>
      <c r="BI22" s="282"/>
      <c r="BJ22" s="282"/>
      <c r="BK22" s="282"/>
      <c r="BL22" s="282"/>
      <c r="BM22" s="282"/>
      <c r="BN22" s="282"/>
      <c r="BO22" s="282"/>
      <c r="BP22" s="282"/>
      <c r="BQ22" s="282"/>
      <c r="BR22" s="282"/>
      <c r="BS22" s="282"/>
      <c r="BT22" s="282"/>
      <c r="BU22" s="282"/>
      <c r="BV22" s="282"/>
      <c r="BW22" s="282"/>
      <c r="BX22" s="282"/>
      <c r="BY22" s="282"/>
      <c r="BZ22" s="282"/>
      <c r="CA22" s="282"/>
      <c r="CB22" s="282"/>
      <c r="CC22" s="282"/>
      <c r="CD22" s="282"/>
      <c r="CE22" s="282"/>
      <c r="CF22" s="282"/>
      <c r="CG22" s="282"/>
      <c r="CH22" s="282"/>
      <c r="CI22" s="282"/>
      <c r="CJ22" s="282"/>
      <c r="CK22" s="282"/>
      <c r="CL22" s="282"/>
      <c r="CM22" s="282"/>
      <c r="CN22" s="282"/>
      <c r="CO22" s="282"/>
      <c r="CP22" s="282"/>
      <c r="CQ22" s="282"/>
      <c r="CR22" s="282"/>
      <c r="CS22" s="282"/>
      <c r="CT22" s="282"/>
      <c r="CU22" s="282"/>
      <c r="CV22" s="282"/>
      <c r="CW22" s="282"/>
      <c r="CX22" s="282"/>
      <c r="CY22" s="282"/>
      <c r="CZ22" s="282"/>
      <c r="DA22" s="282"/>
      <c r="DB22" s="282"/>
      <c r="DC22" s="282"/>
      <c r="DD22" s="282"/>
      <c r="DE22" s="282"/>
      <c r="DF22" s="282"/>
      <c r="DG22" s="282"/>
      <c r="DH22" s="282"/>
      <c r="DI22" s="282"/>
      <c r="DJ22" s="282"/>
      <c r="DK22" s="282"/>
      <c r="DL22" s="282"/>
      <c r="DM22" s="282"/>
      <c r="DN22" s="282"/>
      <c r="DO22" s="282"/>
      <c r="DP22" s="282"/>
      <c r="DQ22" s="282"/>
      <c r="DR22" s="282"/>
      <c r="DS22" s="282"/>
      <c r="DT22" s="282"/>
      <c r="DU22" s="282"/>
      <c r="DV22" s="282"/>
      <c r="DW22" s="282"/>
      <c r="DX22" s="282"/>
      <c r="DY22" s="282"/>
      <c r="DZ22" s="282"/>
      <c r="EA22" s="282"/>
      <c r="EB22" s="282"/>
      <c r="EC22" s="282"/>
      <c r="ED22" s="282"/>
      <c r="EE22" s="282"/>
      <c r="EF22" s="282"/>
      <c r="EG22" s="282"/>
      <c r="EH22" s="282"/>
      <c r="EI22" s="282"/>
      <c r="EJ22" s="282"/>
      <c r="EK22" s="282"/>
      <c r="EL22" s="282"/>
      <c r="EM22" s="282"/>
      <c r="EN22" s="282"/>
      <c r="EO22" s="282"/>
      <c r="EP22" s="282"/>
      <c r="EQ22" s="282"/>
      <c r="ER22" s="282"/>
      <c r="ES22" s="282"/>
      <c r="ET22" s="282"/>
      <c r="EU22" s="282"/>
      <c r="EV22" s="282"/>
      <c r="EW22" s="282"/>
      <c r="EX22" s="282"/>
      <c r="EY22" s="282"/>
      <c r="EZ22" s="282"/>
      <c r="FA22" s="282"/>
      <c r="FB22" s="282"/>
      <c r="FC22" s="282"/>
      <c r="FD22" s="282"/>
      <c r="FE22" s="282"/>
      <c r="FF22" s="282"/>
      <c r="FG22" s="282"/>
      <c r="FH22" s="282"/>
      <c r="FI22" s="282"/>
      <c r="FJ22" s="282"/>
      <c r="FK22" s="282"/>
      <c r="FL22" s="282"/>
      <c r="FM22" s="282"/>
      <c r="FN22" s="282"/>
      <c r="FO22" s="282"/>
      <c r="FP22" s="282"/>
      <c r="FQ22" s="282"/>
      <c r="FR22" s="282"/>
      <c r="FS22" s="282"/>
      <c r="FT22" s="282"/>
      <c r="FU22" s="282"/>
      <c r="FV22" s="282"/>
      <c r="FW22" s="282"/>
      <c r="FX22" s="282"/>
      <c r="FY22" s="282"/>
      <c r="FZ22" s="282"/>
      <c r="GA22" s="282"/>
      <c r="GB22" s="282"/>
      <c r="GC22" s="282"/>
      <c r="GD22" s="282"/>
      <c r="GE22" s="282"/>
      <c r="GF22" s="282"/>
      <c r="GG22" s="282"/>
      <c r="GH22" s="282"/>
      <c r="GI22" s="282"/>
      <c r="GJ22" s="282"/>
      <c r="GK22" s="282"/>
      <c r="GL22" s="282"/>
      <c r="GM22" s="282"/>
      <c r="GN22" s="282"/>
      <c r="GO22" s="282"/>
      <c r="GP22" s="282"/>
      <c r="GQ22" s="282"/>
      <c r="GR22" s="282"/>
      <c r="GS22" s="282"/>
      <c r="GT22" s="282"/>
      <c r="GU22" s="282"/>
      <c r="GV22" s="282"/>
      <c r="GW22" s="282"/>
      <c r="GX22" s="282"/>
      <c r="GY22" s="282"/>
      <c r="GZ22" s="282"/>
      <c r="HA22" s="282"/>
      <c r="HB22" s="282"/>
      <c r="HC22" s="282"/>
      <c r="HD22" s="282"/>
      <c r="HE22" s="282"/>
      <c r="HF22" s="282"/>
      <c r="HG22" s="282"/>
      <c r="HH22" s="282"/>
      <c r="HI22" s="282"/>
      <c r="HJ22" s="282"/>
      <c r="HK22" s="282"/>
      <c r="HL22" s="282"/>
      <c r="HM22" s="282"/>
      <c r="HN22" s="282"/>
      <c r="HO22" s="282"/>
      <c r="HP22" s="282"/>
      <c r="HQ22" s="282"/>
      <c r="HR22" s="282"/>
      <c r="HS22" s="282"/>
      <c r="HT22" s="282"/>
      <c r="HU22" s="282"/>
      <c r="HV22" s="282"/>
      <c r="HW22" s="282"/>
      <c r="HX22" s="282"/>
      <c r="HY22" s="282"/>
      <c r="HZ22" s="282"/>
    </row>
    <row r="23" customFormat="false" ht="13.8" hidden="false" customHeight="false" outlineLevel="0" collapsed="false">
      <c r="E23" s="563"/>
      <c r="I23" s="381"/>
    </row>
    <row r="24" s="177" customFormat="true" ht="13.8" hidden="false" customHeight="false" outlineLevel="0" collapsed="false">
      <c r="A24" s="161" t="s">
        <v>81</v>
      </c>
      <c r="B24" s="177" t="n">
        <v>0.02</v>
      </c>
      <c r="C24" s="177" t="s">
        <v>892</v>
      </c>
      <c r="D24" s="289" t="s">
        <v>893</v>
      </c>
      <c r="E24" s="289" t="n">
        <v>0.5</v>
      </c>
      <c r="F24" s="177" t="s">
        <v>902</v>
      </c>
      <c r="G24" s="177" t="n">
        <v>0.81</v>
      </c>
      <c r="H24" s="177" t="n">
        <v>0.1</v>
      </c>
      <c r="I24" s="665" t="n">
        <v>0</v>
      </c>
      <c r="J24" s="282"/>
      <c r="K24" s="282"/>
      <c r="L24" s="282"/>
      <c r="M24" s="282"/>
      <c r="N24" s="282"/>
      <c r="O24" s="282"/>
      <c r="P24" s="282"/>
      <c r="Q24" s="282"/>
      <c r="R24" s="282"/>
      <c r="S24" s="282"/>
      <c r="T24" s="282"/>
      <c r="U24" s="282"/>
      <c r="V24" s="282"/>
      <c r="W24" s="282"/>
      <c r="X24" s="282"/>
      <c r="Y24" s="282"/>
      <c r="Z24" s="282"/>
      <c r="AA24" s="282"/>
      <c r="AB24" s="282"/>
      <c r="AC24" s="282"/>
      <c r="AD24" s="282"/>
      <c r="AE24" s="282"/>
      <c r="AF24" s="282"/>
      <c r="AG24" s="282"/>
      <c r="AH24" s="282"/>
      <c r="AI24" s="282"/>
      <c r="AJ24" s="282"/>
      <c r="AK24" s="282"/>
      <c r="AL24" s="282"/>
      <c r="AM24" s="282"/>
      <c r="AN24" s="282"/>
      <c r="AO24" s="282"/>
      <c r="AP24" s="282"/>
      <c r="AQ24" s="282"/>
      <c r="AR24" s="282"/>
      <c r="AS24" s="282"/>
      <c r="AT24" s="282"/>
      <c r="AU24" s="282"/>
      <c r="AV24" s="282"/>
      <c r="AW24" s="282"/>
      <c r="AX24" s="282"/>
      <c r="AY24" s="282"/>
      <c r="AZ24" s="282"/>
      <c r="BA24" s="282"/>
      <c r="BB24" s="282"/>
      <c r="BC24" s="282"/>
      <c r="BD24" s="282"/>
      <c r="BE24" s="282"/>
      <c r="BF24" s="282"/>
      <c r="BG24" s="282"/>
      <c r="BH24" s="282"/>
      <c r="BI24" s="282"/>
      <c r="BJ24" s="282"/>
      <c r="BK24" s="282"/>
      <c r="BL24" s="282"/>
      <c r="BM24" s="282"/>
      <c r="BN24" s="282"/>
      <c r="BO24" s="282"/>
      <c r="BP24" s="282"/>
      <c r="BQ24" s="282"/>
      <c r="BR24" s="282"/>
      <c r="BS24" s="282"/>
      <c r="BT24" s="282"/>
      <c r="BU24" s="282"/>
      <c r="BV24" s="282"/>
      <c r="BW24" s="282"/>
      <c r="BX24" s="282"/>
      <c r="BY24" s="282"/>
      <c r="BZ24" s="282"/>
      <c r="CA24" s="282"/>
      <c r="CB24" s="282"/>
      <c r="CC24" s="282"/>
      <c r="CD24" s="282"/>
      <c r="CE24" s="282"/>
      <c r="CF24" s="282"/>
      <c r="CG24" s="282"/>
      <c r="CH24" s="282"/>
      <c r="CI24" s="282"/>
      <c r="CJ24" s="282"/>
      <c r="CK24" s="282"/>
      <c r="CL24" s="282"/>
      <c r="CM24" s="282"/>
      <c r="CN24" s="282"/>
      <c r="CO24" s="282"/>
      <c r="CP24" s="282"/>
      <c r="CQ24" s="282"/>
      <c r="CR24" s="282"/>
      <c r="CS24" s="282"/>
      <c r="CT24" s="282"/>
      <c r="CU24" s="282"/>
      <c r="CV24" s="282"/>
      <c r="CW24" s="282"/>
      <c r="CX24" s="282"/>
      <c r="CY24" s="282"/>
      <c r="CZ24" s="282"/>
      <c r="DA24" s="282"/>
      <c r="DB24" s="282"/>
      <c r="DC24" s="282"/>
      <c r="DD24" s="282"/>
      <c r="DE24" s="282"/>
      <c r="DF24" s="282"/>
      <c r="DG24" s="282"/>
      <c r="DH24" s="282"/>
      <c r="DI24" s="282"/>
      <c r="DJ24" s="282"/>
      <c r="DK24" s="282"/>
      <c r="DL24" s="282"/>
      <c r="DM24" s="282"/>
      <c r="DN24" s="282"/>
      <c r="DO24" s="282"/>
      <c r="DP24" s="282"/>
      <c r="DQ24" s="282"/>
      <c r="DR24" s="282"/>
      <c r="DS24" s="282"/>
      <c r="DT24" s="282"/>
      <c r="DU24" s="282"/>
      <c r="DV24" s="282"/>
      <c r="DW24" s="282"/>
      <c r="DX24" s="282"/>
      <c r="DY24" s="282"/>
      <c r="DZ24" s="282"/>
      <c r="EA24" s="282"/>
      <c r="EB24" s="282"/>
      <c r="EC24" s="282"/>
      <c r="ED24" s="282"/>
      <c r="EE24" s="282"/>
      <c r="EF24" s="282"/>
      <c r="EG24" s="282"/>
      <c r="EH24" s="282"/>
      <c r="EI24" s="282"/>
      <c r="EJ24" s="282"/>
      <c r="EK24" s="282"/>
      <c r="EL24" s="282"/>
      <c r="EM24" s="282"/>
      <c r="EN24" s="282"/>
      <c r="EO24" s="282"/>
      <c r="EP24" s="282"/>
      <c r="EQ24" s="282"/>
      <c r="ER24" s="282"/>
      <c r="ES24" s="282"/>
      <c r="ET24" s="282"/>
      <c r="EU24" s="282"/>
      <c r="EV24" s="282"/>
      <c r="EW24" s="282"/>
      <c r="EX24" s="282"/>
      <c r="EY24" s="282"/>
      <c r="EZ24" s="282"/>
      <c r="FA24" s="282"/>
      <c r="FB24" s="282"/>
      <c r="FC24" s="282"/>
      <c r="FD24" s="282"/>
      <c r="FE24" s="282"/>
      <c r="FF24" s="282"/>
      <c r="FG24" s="282"/>
      <c r="FH24" s="282"/>
      <c r="FI24" s="282"/>
      <c r="FJ24" s="282"/>
      <c r="FK24" s="282"/>
      <c r="FL24" s="282"/>
      <c r="FM24" s="282"/>
      <c r="FN24" s="282"/>
      <c r="FO24" s="282"/>
      <c r="FP24" s="282"/>
      <c r="FQ24" s="282"/>
      <c r="FR24" s="282"/>
      <c r="FS24" s="282"/>
      <c r="FT24" s="282"/>
      <c r="FU24" s="282"/>
      <c r="FV24" s="282"/>
      <c r="FW24" s="282"/>
      <c r="FX24" s="282"/>
      <c r="FY24" s="282"/>
      <c r="FZ24" s="282"/>
      <c r="GA24" s="282"/>
      <c r="GB24" s="282"/>
      <c r="GC24" s="282"/>
      <c r="GD24" s="282"/>
      <c r="GE24" s="282"/>
      <c r="GF24" s="282"/>
      <c r="GG24" s="282"/>
      <c r="GH24" s="282"/>
      <c r="GI24" s="282"/>
      <c r="GJ24" s="282"/>
      <c r="GK24" s="282"/>
      <c r="GL24" s="282"/>
      <c r="GM24" s="282"/>
      <c r="GN24" s="282"/>
      <c r="GO24" s="282"/>
      <c r="GP24" s="282"/>
      <c r="GQ24" s="282"/>
      <c r="GR24" s="282"/>
      <c r="GS24" s="282"/>
      <c r="GT24" s="282"/>
      <c r="GU24" s="282"/>
      <c r="GV24" s="282"/>
      <c r="GW24" s="282"/>
      <c r="GX24" s="282"/>
      <c r="GY24" s="282"/>
      <c r="GZ24" s="282"/>
      <c r="HA24" s="282"/>
      <c r="HB24" s="282"/>
      <c r="HC24" s="282"/>
      <c r="HD24" s="282"/>
      <c r="HE24" s="282"/>
      <c r="HF24" s="282"/>
      <c r="HG24" s="282"/>
      <c r="HH24" s="282"/>
      <c r="HI24" s="282"/>
      <c r="HJ24" s="282"/>
      <c r="HK24" s="282"/>
      <c r="HL24" s="282"/>
      <c r="HM24" s="282"/>
      <c r="HN24" s="282"/>
      <c r="HO24" s="282"/>
      <c r="HP24" s="282"/>
      <c r="HQ24" s="282"/>
      <c r="HR24" s="282"/>
      <c r="HS24" s="282"/>
      <c r="HT24" s="282"/>
      <c r="HU24" s="282"/>
      <c r="HV24" s="282"/>
      <c r="HW24" s="282"/>
      <c r="HX24" s="282"/>
      <c r="HY24" s="282"/>
      <c r="HZ24" s="282"/>
    </row>
    <row r="25" customFormat="false" ht="13.8" hidden="false" customHeight="false" outlineLevel="0" collapsed="false">
      <c r="C25" s="282" t="s">
        <v>892</v>
      </c>
      <c r="D25" s="23" t="s">
        <v>895</v>
      </c>
      <c r="E25" s="23" t="n">
        <v>0.5</v>
      </c>
      <c r="F25" s="282" t="s">
        <v>902</v>
      </c>
      <c r="G25" s="282" t="n">
        <v>0.41</v>
      </c>
      <c r="H25" s="282" t="n">
        <v>0.1</v>
      </c>
      <c r="I25" s="381" t="n">
        <v>0</v>
      </c>
    </row>
    <row r="26" s="177" customFormat="true" ht="13.8" hidden="false" customHeight="false" outlineLevel="0" collapsed="false">
      <c r="A26" s="161" t="s">
        <v>903</v>
      </c>
      <c r="B26" s="177" t="n">
        <v>0.02</v>
      </c>
      <c r="C26" s="177" t="s">
        <v>889</v>
      </c>
      <c r="D26" s="177" t="s">
        <v>210</v>
      </c>
      <c r="E26" s="666" t="n">
        <v>1</v>
      </c>
      <c r="F26" s="177" t="s">
        <v>232</v>
      </c>
      <c r="G26" s="177" t="n">
        <v>0</v>
      </c>
      <c r="H26" s="177" t="n">
        <v>0.34</v>
      </c>
      <c r="I26" s="665" t="n">
        <v>1.8</v>
      </c>
      <c r="J26" s="282"/>
      <c r="K26" s="282"/>
      <c r="L26" s="282"/>
      <c r="M26" s="282"/>
      <c r="N26" s="282"/>
      <c r="O26" s="282"/>
      <c r="P26" s="282"/>
      <c r="Q26" s="282"/>
      <c r="R26" s="282"/>
      <c r="S26" s="282"/>
      <c r="T26" s="282"/>
      <c r="U26" s="282"/>
      <c r="V26" s="282"/>
      <c r="W26" s="282"/>
      <c r="X26" s="282"/>
      <c r="Y26" s="282"/>
      <c r="Z26" s="282"/>
      <c r="AA26" s="282"/>
      <c r="AB26" s="282"/>
      <c r="AC26" s="282"/>
      <c r="AD26" s="282"/>
      <c r="AE26" s="282"/>
      <c r="AF26" s="282"/>
      <c r="AG26" s="282"/>
      <c r="AH26" s="282"/>
      <c r="AI26" s="282"/>
      <c r="AJ26" s="282"/>
      <c r="AK26" s="282"/>
      <c r="AL26" s="282"/>
      <c r="AM26" s="282"/>
      <c r="AN26" s="282"/>
      <c r="AO26" s="282"/>
      <c r="AP26" s="282"/>
      <c r="AQ26" s="282"/>
      <c r="AR26" s="282"/>
      <c r="AS26" s="282"/>
      <c r="AT26" s="282"/>
      <c r="AU26" s="282"/>
      <c r="AV26" s="282"/>
      <c r="AW26" s="282"/>
      <c r="AX26" s="282"/>
      <c r="AY26" s="282"/>
      <c r="AZ26" s="282"/>
      <c r="BA26" s="282"/>
      <c r="BB26" s="282"/>
      <c r="BC26" s="282"/>
      <c r="BD26" s="282"/>
      <c r="BE26" s="282"/>
      <c r="BF26" s="282"/>
      <c r="BG26" s="282"/>
      <c r="BH26" s="282"/>
      <c r="BI26" s="282"/>
      <c r="BJ26" s="282"/>
      <c r="BK26" s="282"/>
      <c r="BL26" s="282"/>
      <c r="BM26" s="282"/>
      <c r="BN26" s="282"/>
      <c r="BO26" s="282"/>
      <c r="BP26" s="282"/>
      <c r="BQ26" s="282"/>
      <c r="BR26" s="282"/>
      <c r="BS26" s="282"/>
      <c r="BT26" s="282"/>
      <c r="BU26" s="282"/>
      <c r="BV26" s="282"/>
      <c r="BW26" s="282"/>
      <c r="BX26" s="282"/>
      <c r="BY26" s="282"/>
      <c r="BZ26" s="282"/>
      <c r="CA26" s="282"/>
      <c r="CB26" s="282"/>
      <c r="CC26" s="282"/>
      <c r="CD26" s="282"/>
      <c r="CE26" s="282"/>
      <c r="CF26" s="282"/>
      <c r="CG26" s="282"/>
      <c r="CH26" s="282"/>
      <c r="CI26" s="282"/>
      <c r="CJ26" s="282"/>
      <c r="CK26" s="282"/>
      <c r="CL26" s="282"/>
      <c r="CM26" s="282"/>
      <c r="CN26" s="282"/>
      <c r="CO26" s="282"/>
      <c r="CP26" s="282"/>
      <c r="CQ26" s="282"/>
      <c r="CR26" s="282"/>
      <c r="CS26" s="282"/>
      <c r="CT26" s="282"/>
      <c r="CU26" s="282"/>
      <c r="CV26" s="282"/>
      <c r="CW26" s="282"/>
      <c r="CX26" s="282"/>
      <c r="CY26" s="282"/>
      <c r="CZ26" s="282"/>
      <c r="DA26" s="282"/>
      <c r="DB26" s="282"/>
      <c r="DC26" s="282"/>
      <c r="DD26" s="282"/>
      <c r="DE26" s="282"/>
      <c r="DF26" s="282"/>
      <c r="DG26" s="282"/>
      <c r="DH26" s="282"/>
      <c r="DI26" s="282"/>
      <c r="DJ26" s="282"/>
      <c r="DK26" s="282"/>
      <c r="DL26" s="282"/>
      <c r="DM26" s="282"/>
      <c r="DN26" s="282"/>
      <c r="DO26" s="282"/>
      <c r="DP26" s="282"/>
      <c r="DQ26" s="282"/>
      <c r="DR26" s="282"/>
      <c r="DS26" s="282"/>
      <c r="DT26" s="282"/>
      <c r="DU26" s="282"/>
      <c r="DV26" s="282"/>
      <c r="DW26" s="282"/>
      <c r="DX26" s="282"/>
      <c r="DY26" s="282"/>
      <c r="DZ26" s="282"/>
      <c r="EA26" s="282"/>
      <c r="EB26" s="282"/>
      <c r="EC26" s="282"/>
      <c r="ED26" s="282"/>
      <c r="EE26" s="282"/>
      <c r="EF26" s="282"/>
      <c r="EG26" s="282"/>
      <c r="EH26" s="282"/>
      <c r="EI26" s="282"/>
      <c r="EJ26" s="282"/>
      <c r="EK26" s="282"/>
      <c r="EL26" s="282"/>
      <c r="EM26" s="282"/>
      <c r="EN26" s="282"/>
      <c r="EO26" s="282"/>
      <c r="EP26" s="282"/>
      <c r="EQ26" s="282"/>
      <c r="ER26" s="282"/>
      <c r="ES26" s="282"/>
      <c r="ET26" s="282"/>
      <c r="EU26" s="282"/>
      <c r="EV26" s="282"/>
      <c r="EW26" s="282"/>
      <c r="EX26" s="282"/>
      <c r="EY26" s="282"/>
      <c r="EZ26" s="282"/>
      <c r="FA26" s="282"/>
      <c r="FB26" s="282"/>
      <c r="FC26" s="282"/>
      <c r="FD26" s="282"/>
      <c r="FE26" s="282"/>
      <c r="FF26" s="282"/>
      <c r="FG26" s="282"/>
      <c r="FH26" s="282"/>
      <c r="FI26" s="282"/>
      <c r="FJ26" s="282"/>
      <c r="FK26" s="282"/>
      <c r="FL26" s="282"/>
      <c r="FM26" s="282"/>
      <c r="FN26" s="282"/>
      <c r="FO26" s="282"/>
      <c r="FP26" s="282"/>
      <c r="FQ26" s="282"/>
      <c r="FR26" s="282"/>
      <c r="FS26" s="282"/>
      <c r="FT26" s="282"/>
      <c r="FU26" s="282"/>
      <c r="FV26" s="282"/>
      <c r="FW26" s="282"/>
      <c r="FX26" s="282"/>
      <c r="FY26" s="282"/>
      <c r="FZ26" s="282"/>
      <c r="GA26" s="282"/>
      <c r="GB26" s="282"/>
      <c r="GC26" s="282"/>
      <c r="GD26" s="282"/>
      <c r="GE26" s="282"/>
      <c r="GF26" s="282"/>
      <c r="GG26" s="282"/>
      <c r="GH26" s="282"/>
      <c r="GI26" s="282"/>
      <c r="GJ26" s="282"/>
      <c r="GK26" s="282"/>
      <c r="GL26" s="282"/>
      <c r="GM26" s="282"/>
      <c r="GN26" s="282"/>
      <c r="GO26" s="282"/>
      <c r="GP26" s="282"/>
      <c r="GQ26" s="282"/>
      <c r="GR26" s="282"/>
      <c r="GS26" s="282"/>
      <c r="GT26" s="282"/>
      <c r="GU26" s="282"/>
      <c r="GV26" s="282"/>
      <c r="GW26" s="282"/>
      <c r="GX26" s="282"/>
      <c r="GY26" s="282"/>
      <c r="GZ26" s="282"/>
      <c r="HA26" s="282"/>
      <c r="HB26" s="282"/>
      <c r="HC26" s="282"/>
      <c r="HD26" s="282"/>
      <c r="HE26" s="282"/>
      <c r="HF26" s="282"/>
      <c r="HG26" s="282"/>
      <c r="HH26" s="282"/>
      <c r="HI26" s="282"/>
      <c r="HJ26" s="282"/>
      <c r="HK26" s="282"/>
      <c r="HL26" s="282"/>
      <c r="HM26" s="282"/>
      <c r="HN26" s="282"/>
      <c r="HO26" s="282"/>
      <c r="HP26" s="282"/>
      <c r="HQ26" s="282"/>
      <c r="HR26" s="282"/>
      <c r="HS26" s="282"/>
      <c r="HT26" s="282"/>
      <c r="HU26" s="282"/>
      <c r="HV26" s="282"/>
      <c r="HW26" s="282"/>
      <c r="HX26" s="282"/>
      <c r="HY26" s="282"/>
      <c r="HZ26" s="282"/>
    </row>
    <row r="27" customFormat="false" ht="13.8" hidden="false" customHeight="false" outlineLevel="0" collapsed="false">
      <c r="E27" s="563"/>
      <c r="I27" s="381"/>
    </row>
    <row r="28" s="177" customFormat="true" ht="13.8" hidden="false" customHeight="false" outlineLevel="0" collapsed="false">
      <c r="A28" s="161" t="s">
        <v>89</v>
      </c>
      <c r="B28" s="177" t="n">
        <v>0.02</v>
      </c>
      <c r="C28" s="177" t="s">
        <v>892</v>
      </c>
      <c r="D28" s="289" t="s">
        <v>893</v>
      </c>
      <c r="E28" s="666" t="n">
        <v>0.5</v>
      </c>
      <c r="F28" s="177" t="s">
        <v>234</v>
      </c>
      <c r="G28" s="177" t="n">
        <v>2.71</v>
      </c>
      <c r="H28" s="177" t="n">
        <v>0.49</v>
      </c>
      <c r="I28" s="665" t="n">
        <v>0</v>
      </c>
      <c r="J28" s="282"/>
      <c r="K28" s="282"/>
      <c r="L28" s="282"/>
      <c r="M28" s="282"/>
      <c r="N28" s="282"/>
      <c r="O28" s="282"/>
      <c r="P28" s="282"/>
      <c r="Q28" s="282"/>
      <c r="R28" s="282"/>
      <c r="S28" s="282"/>
      <c r="T28" s="282"/>
      <c r="U28" s="282"/>
      <c r="V28" s="282"/>
      <c r="W28" s="282"/>
      <c r="X28" s="282"/>
      <c r="Y28" s="282"/>
      <c r="Z28" s="282"/>
      <c r="AA28" s="282"/>
      <c r="AB28" s="282"/>
      <c r="AC28" s="282"/>
      <c r="AD28" s="282"/>
      <c r="AE28" s="282"/>
      <c r="AF28" s="282"/>
      <c r="AG28" s="282"/>
      <c r="AH28" s="282"/>
      <c r="AI28" s="282"/>
      <c r="AJ28" s="282"/>
      <c r="AK28" s="282"/>
      <c r="AL28" s="282"/>
      <c r="AM28" s="282"/>
      <c r="AN28" s="282"/>
      <c r="AO28" s="282"/>
      <c r="AP28" s="282"/>
      <c r="AQ28" s="282"/>
      <c r="AR28" s="282"/>
      <c r="AS28" s="282"/>
      <c r="AT28" s="282"/>
      <c r="AU28" s="282"/>
      <c r="AV28" s="282"/>
      <c r="AW28" s="282"/>
      <c r="AX28" s="282"/>
      <c r="AY28" s="282"/>
      <c r="AZ28" s="282"/>
      <c r="BA28" s="282"/>
      <c r="BB28" s="282"/>
      <c r="BC28" s="282"/>
      <c r="BD28" s="282"/>
      <c r="BE28" s="282"/>
      <c r="BF28" s="282"/>
      <c r="BG28" s="282"/>
      <c r="BH28" s="282"/>
      <c r="BI28" s="282"/>
      <c r="BJ28" s="282"/>
      <c r="BK28" s="282"/>
      <c r="BL28" s="282"/>
      <c r="BM28" s="282"/>
      <c r="BN28" s="282"/>
      <c r="BO28" s="282"/>
      <c r="BP28" s="282"/>
      <c r="BQ28" s="282"/>
      <c r="BR28" s="282"/>
      <c r="BS28" s="282"/>
      <c r="BT28" s="282"/>
      <c r="BU28" s="282"/>
      <c r="BV28" s="282"/>
      <c r="BW28" s="282"/>
      <c r="BX28" s="282"/>
      <c r="BY28" s="282"/>
      <c r="BZ28" s="282"/>
      <c r="CA28" s="282"/>
      <c r="CB28" s="282"/>
      <c r="CC28" s="282"/>
      <c r="CD28" s="282"/>
      <c r="CE28" s="282"/>
      <c r="CF28" s="282"/>
      <c r="CG28" s="282"/>
      <c r="CH28" s="282"/>
      <c r="CI28" s="282"/>
      <c r="CJ28" s="282"/>
      <c r="CK28" s="282"/>
      <c r="CL28" s="282"/>
      <c r="CM28" s="282"/>
      <c r="CN28" s="282"/>
      <c r="CO28" s="282"/>
      <c r="CP28" s="282"/>
      <c r="CQ28" s="282"/>
      <c r="CR28" s="282"/>
      <c r="CS28" s="282"/>
      <c r="CT28" s="282"/>
      <c r="CU28" s="282"/>
      <c r="CV28" s="282"/>
      <c r="CW28" s="282"/>
      <c r="CX28" s="282"/>
      <c r="CY28" s="282"/>
      <c r="CZ28" s="282"/>
      <c r="DA28" s="282"/>
      <c r="DB28" s="282"/>
      <c r="DC28" s="282"/>
      <c r="DD28" s="282"/>
      <c r="DE28" s="282"/>
      <c r="DF28" s="282"/>
      <c r="DG28" s="282"/>
      <c r="DH28" s="282"/>
      <c r="DI28" s="282"/>
      <c r="DJ28" s="282"/>
      <c r="DK28" s="282"/>
      <c r="DL28" s="282"/>
      <c r="DM28" s="282"/>
      <c r="DN28" s="282"/>
      <c r="DO28" s="282"/>
      <c r="DP28" s="282"/>
      <c r="DQ28" s="282"/>
      <c r="DR28" s="282"/>
      <c r="DS28" s="282"/>
      <c r="DT28" s="282"/>
      <c r="DU28" s="282"/>
      <c r="DV28" s="282"/>
      <c r="DW28" s="282"/>
      <c r="DX28" s="282"/>
      <c r="DY28" s="282"/>
      <c r="DZ28" s="282"/>
      <c r="EA28" s="282"/>
      <c r="EB28" s="282"/>
      <c r="EC28" s="282"/>
      <c r="ED28" s="282"/>
      <c r="EE28" s="282"/>
      <c r="EF28" s="282"/>
      <c r="EG28" s="282"/>
      <c r="EH28" s="282"/>
      <c r="EI28" s="282"/>
      <c r="EJ28" s="282"/>
      <c r="EK28" s="282"/>
      <c r="EL28" s="282"/>
      <c r="EM28" s="282"/>
      <c r="EN28" s="282"/>
      <c r="EO28" s="282"/>
      <c r="EP28" s="282"/>
      <c r="EQ28" s="282"/>
      <c r="ER28" s="282"/>
      <c r="ES28" s="282"/>
      <c r="ET28" s="282"/>
      <c r="EU28" s="282"/>
      <c r="EV28" s="282"/>
      <c r="EW28" s="282"/>
      <c r="EX28" s="282"/>
      <c r="EY28" s="282"/>
      <c r="EZ28" s="282"/>
      <c r="FA28" s="282"/>
      <c r="FB28" s="282"/>
      <c r="FC28" s="282"/>
      <c r="FD28" s="282"/>
      <c r="FE28" s="282"/>
      <c r="FF28" s="282"/>
      <c r="FG28" s="282"/>
      <c r="FH28" s="282"/>
      <c r="FI28" s="282"/>
      <c r="FJ28" s="282"/>
      <c r="FK28" s="282"/>
      <c r="FL28" s="282"/>
      <c r="FM28" s="282"/>
      <c r="FN28" s="282"/>
      <c r="FO28" s="282"/>
      <c r="FP28" s="282"/>
      <c r="FQ28" s="282"/>
      <c r="FR28" s="282"/>
      <c r="FS28" s="282"/>
      <c r="FT28" s="282"/>
      <c r="FU28" s="282"/>
      <c r="FV28" s="282"/>
      <c r="FW28" s="282"/>
      <c r="FX28" s="282"/>
      <c r="FY28" s="282"/>
      <c r="FZ28" s="282"/>
      <c r="GA28" s="282"/>
      <c r="GB28" s="282"/>
      <c r="GC28" s="282"/>
      <c r="GD28" s="282"/>
      <c r="GE28" s="282"/>
      <c r="GF28" s="282"/>
      <c r="GG28" s="282"/>
      <c r="GH28" s="282"/>
      <c r="GI28" s="282"/>
      <c r="GJ28" s="282"/>
      <c r="GK28" s="282"/>
      <c r="GL28" s="282"/>
      <c r="GM28" s="282"/>
      <c r="GN28" s="282"/>
      <c r="GO28" s="282"/>
      <c r="GP28" s="282"/>
      <c r="GQ28" s="282"/>
      <c r="GR28" s="282"/>
      <c r="GS28" s="282"/>
      <c r="GT28" s="282"/>
      <c r="GU28" s="282"/>
      <c r="GV28" s="282"/>
      <c r="GW28" s="282"/>
      <c r="GX28" s="282"/>
      <c r="GY28" s="282"/>
      <c r="GZ28" s="282"/>
      <c r="HA28" s="282"/>
      <c r="HB28" s="282"/>
      <c r="HC28" s="282"/>
      <c r="HD28" s="282"/>
      <c r="HE28" s="282"/>
      <c r="HF28" s="282"/>
      <c r="HG28" s="282"/>
      <c r="HH28" s="282"/>
      <c r="HI28" s="282"/>
      <c r="HJ28" s="282"/>
      <c r="HK28" s="282"/>
      <c r="HL28" s="282"/>
      <c r="HM28" s="282"/>
      <c r="HN28" s="282"/>
      <c r="HO28" s="282"/>
      <c r="HP28" s="282"/>
      <c r="HQ28" s="282"/>
      <c r="HR28" s="282"/>
      <c r="HS28" s="282"/>
      <c r="HT28" s="282"/>
      <c r="HU28" s="282"/>
      <c r="HV28" s="282"/>
      <c r="HW28" s="282"/>
      <c r="HX28" s="282"/>
      <c r="HY28" s="282"/>
      <c r="HZ28" s="282"/>
    </row>
    <row r="29" customFormat="false" ht="13.8" hidden="false" customHeight="false" outlineLevel="0" collapsed="false">
      <c r="C29" s="282" t="s">
        <v>892</v>
      </c>
      <c r="D29" s="23" t="s">
        <v>904</v>
      </c>
      <c r="E29" s="23" t="n">
        <v>0.5</v>
      </c>
      <c r="F29" s="282" t="s">
        <v>234</v>
      </c>
      <c r="G29" s="282" t="n">
        <v>2.71</v>
      </c>
      <c r="H29" s="282" t="n">
        <v>0.49</v>
      </c>
      <c r="I29" s="381" t="n">
        <v>0</v>
      </c>
    </row>
    <row r="30" s="177" customFormat="true" ht="13.8" hidden="false" customHeight="false" outlineLevel="0" collapsed="false">
      <c r="A30" s="161" t="s">
        <v>905</v>
      </c>
      <c r="B30" s="177" t="n">
        <v>0.01</v>
      </c>
      <c r="C30" s="177" t="s">
        <v>892</v>
      </c>
      <c r="D30" s="289" t="s">
        <v>893</v>
      </c>
      <c r="E30" s="289" t="n">
        <v>0.5</v>
      </c>
      <c r="F30" s="177" t="s">
        <v>237</v>
      </c>
      <c r="G30" s="177" t="n">
        <v>0.67</v>
      </c>
      <c r="H30" s="177" t="n">
        <v>0.53</v>
      </c>
      <c r="I30" s="665" t="n">
        <v>0</v>
      </c>
      <c r="J30" s="282"/>
      <c r="K30" s="282"/>
      <c r="L30" s="282"/>
      <c r="M30" s="282"/>
      <c r="N30" s="282"/>
      <c r="O30" s="282"/>
      <c r="P30" s="282"/>
      <c r="Q30" s="282"/>
      <c r="R30" s="282"/>
      <c r="S30" s="282"/>
      <c r="T30" s="282"/>
      <c r="U30" s="282"/>
      <c r="V30" s="282"/>
      <c r="W30" s="282"/>
      <c r="X30" s="282"/>
      <c r="Y30" s="282"/>
      <c r="Z30" s="282"/>
      <c r="AA30" s="282"/>
      <c r="AB30" s="282"/>
      <c r="AC30" s="282"/>
      <c r="AD30" s="282"/>
      <c r="AE30" s="282"/>
      <c r="AF30" s="282"/>
      <c r="AG30" s="282"/>
      <c r="AH30" s="282"/>
      <c r="AI30" s="282"/>
      <c r="AJ30" s="282"/>
      <c r="AK30" s="282"/>
      <c r="AL30" s="282"/>
      <c r="AM30" s="282"/>
      <c r="AN30" s="282"/>
      <c r="AO30" s="282"/>
      <c r="AP30" s="282"/>
      <c r="AQ30" s="282"/>
      <c r="AR30" s="282"/>
      <c r="AS30" s="282"/>
      <c r="AT30" s="282"/>
      <c r="AU30" s="282"/>
      <c r="AV30" s="282"/>
      <c r="AW30" s="282"/>
      <c r="AX30" s="282"/>
      <c r="AY30" s="282"/>
      <c r="AZ30" s="282"/>
      <c r="BA30" s="282"/>
      <c r="BB30" s="282"/>
      <c r="BC30" s="282"/>
      <c r="BD30" s="282"/>
      <c r="BE30" s="282"/>
      <c r="BF30" s="282"/>
      <c r="BG30" s="282"/>
      <c r="BH30" s="282"/>
      <c r="BI30" s="282"/>
      <c r="BJ30" s="282"/>
      <c r="BK30" s="282"/>
      <c r="BL30" s="282"/>
      <c r="BM30" s="282"/>
      <c r="BN30" s="282"/>
      <c r="BO30" s="282"/>
      <c r="BP30" s="282"/>
      <c r="BQ30" s="282"/>
      <c r="BR30" s="282"/>
      <c r="BS30" s="282"/>
      <c r="BT30" s="282"/>
      <c r="BU30" s="282"/>
      <c r="BV30" s="282"/>
      <c r="BW30" s="282"/>
      <c r="BX30" s="282"/>
      <c r="BY30" s="282"/>
      <c r="BZ30" s="282"/>
      <c r="CA30" s="282"/>
      <c r="CB30" s="282"/>
      <c r="CC30" s="282"/>
      <c r="CD30" s="282"/>
      <c r="CE30" s="282"/>
      <c r="CF30" s="282"/>
      <c r="CG30" s="282"/>
      <c r="CH30" s="282"/>
      <c r="CI30" s="282"/>
      <c r="CJ30" s="282"/>
      <c r="CK30" s="282"/>
      <c r="CL30" s="282"/>
      <c r="CM30" s="282"/>
      <c r="CN30" s="282"/>
      <c r="CO30" s="282"/>
      <c r="CP30" s="282"/>
      <c r="CQ30" s="282"/>
      <c r="CR30" s="282"/>
      <c r="CS30" s="282"/>
      <c r="CT30" s="282"/>
      <c r="CU30" s="282"/>
      <c r="CV30" s="282"/>
      <c r="CW30" s="282"/>
      <c r="CX30" s="282"/>
      <c r="CY30" s="282"/>
      <c r="CZ30" s="282"/>
      <c r="DA30" s="282"/>
      <c r="DB30" s="282"/>
      <c r="DC30" s="282"/>
      <c r="DD30" s="282"/>
      <c r="DE30" s="282"/>
      <c r="DF30" s="282"/>
      <c r="DG30" s="282"/>
      <c r="DH30" s="282"/>
      <c r="DI30" s="282"/>
      <c r="DJ30" s="282"/>
      <c r="DK30" s="282"/>
      <c r="DL30" s="282"/>
      <c r="DM30" s="282"/>
      <c r="DN30" s="282"/>
      <c r="DO30" s="282"/>
      <c r="DP30" s="282"/>
      <c r="DQ30" s="282"/>
      <c r="DR30" s="282"/>
      <c r="DS30" s="282"/>
      <c r="DT30" s="282"/>
      <c r="DU30" s="282"/>
      <c r="DV30" s="282"/>
      <c r="DW30" s="282"/>
      <c r="DX30" s="282"/>
      <c r="DY30" s="282"/>
      <c r="DZ30" s="282"/>
      <c r="EA30" s="282"/>
      <c r="EB30" s="282"/>
      <c r="EC30" s="282"/>
      <c r="ED30" s="282"/>
      <c r="EE30" s="282"/>
      <c r="EF30" s="282"/>
      <c r="EG30" s="282"/>
      <c r="EH30" s="282"/>
      <c r="EI30" s="282"/>
      <c r="EJ30" s="282"/>
      <c r="EK30" s="282"/>
      <c r="EL30" s="282"/>
      <c r="EM30" s="282"/>
      <c r="EN30" s="282"/>
      <c r="EO30" s="282"/>
      <c r="EP30" s="282"/>
      <c r="EQ30" s="282"/>
      <c r="ER30" s="282"/>
      <c r="ES30" s="282"/>
      <c r="ET30" s="282"/>
      <c r="EU30" s="282"/>
      <c r="EV30" s="282"/>
      <c r="EW30" s="282"/>
      <c r="EX30" s="282"/>
      <c r="EY30" s="282"/>
      <c r="EZ30" s="282"/>
      <c r="FA30" s="282"/>
      <c r="FB30" s="282"/>
      <c r="FC30" s="282"/>
      <c r="FD30" s="282"/>
      <c r="FE30" s="282"/>
      <c r="FF30" s="282"/>
      <c r="FG30" s="282"/>
      <c r="FH30" s="282"/>
      <c r="FI30" s="282"/>
      <c r="FJ30" s="282"/>
      <c r="FK30" s="282"/>
      <c r="FL30" s="282"/>
      <c r="FM30" s="282"/>
      <c r="FN30" s="282"/>
      <c r="FO30" s="282"/>
      <c r="FP30" s="282"/>
      <c r="FQ30" s="282"/>
      <c r="FR30" s="282"/>
      <c r="FS30" s="282"/>
      <c r="FT30" s="282"/>
      <c r="FU30" s="282"/>
      <c r="FV30" s="282"/>
      <c r="FW30" s="282"/>
      <c r="FX30" s="282"/>
      <c r="FY30" s="282"/>
      <c r="FZ30" s="282"/>
      <c r="GA30" s="282"/>
      <c r="GB30" s="282"/>
      <c r="GC30" s="282"/>
      <c r="GD30" s="282"/>
      <c r="GE30" s="282"/>
      <c r="GF30" s="282"/>
      <c r="GG30" s="282"/>
      <c r="GH30" s="282"/>
      <c r="GI30" s="282"/>
      <c r="GJ30" s="282"/>
      <c r="GK30" s="282"/>
      <c r="GL30" s="282"/>
      <c r="GM30" s="282"/>
      <c r="GN30" s="282"/>
      <c r="GO30" s="282"/>
      <c r="GP30" s="282"/>
      <c r="GQ30" s="282"/>
      <c r="GR30" s="282"/>
      <c r="GS30" s="282"/>
      <c r="GT30" s="282"/>
      <c r="GU30" s="282"/>
      <c r="GV30" s="282"/>
      <c r="GW30" s="282"/>
      <c r="GX30" s="282"/>
      <c r="GY30" s="282"/>
      <c r="GZ30" s="282"/>
      <c r="HA30" s="282"/>
      <c r="HB30" s="282"/>
      <c r="HC30" s="282"/>
      <c r="HD30" s="282"/>
      <c r="HE30" s="282"/>
      <c r="HF30" s="282"/>
      <c r="HG30" s="282"/>
      <c r="HH30" s="282"/>
      <c r="HI30" s="282"/>
      <c r="HJ30" s="282"/>
      <c r="HK30" s="282"/>
      <c r="HL30" s="282"/>
      <c r="HM30" s="282"/>
      <c r="HN30" s="282"/>
      <c r="HO30" s="282"/>
      <c r="HP30" s="282"/>
      <c r="HQ30" s="282"/>
      <c r="HR30" s="282"/>
      <c r="HS30" s="282"/>
      <c r="HT30" s="282"/>
      <c r="HU30" s="282"/>
      <c r="HV30" s="282"/>
      <c r="HW30" s="282"/>
      <c r="HX30" s="282"/>
      <c r="HY30" s="282"/>
      <c r="HZ30" s="282"/>
    </row>
    <row r="31" customFormat="false" ht="13.8" hidden="false" customHeight="false" outlineLevel="0" collapsed="false">
      <c r="C31" s="282" t="s">
        <v>892</v>
      </c>
      <c r="D31" s="23" t="s">
        <v>897</v>
      </c>
      <c r="E31" s="23" t="n">
        <v>0.5</v>
      </c>
      <c r="F31" s="282" t="s">
        <v>237</v>
      </c>
      <c r="G31" s="282" t="n">
        <v>0.68</v>
      </c>
      <c r="H31" s="282" t="n">
        <v>0.53</v>
      </c>
      <c r="I31" s="381" t="n">
        <v>0</v>
      </c>
    </row>
    <row r="32" s="177" customFormat="true" ht="13.8" hidden="false" customHeight="false" outlineLevel="0" collapsed="false">
      <c r="A32" s="177" t="s">
        <v>906</v>
      </c>
      <c r="B32" s="177" t="n">
        <v>0.06</v>
      </c>
      <c r="C32" s="177" t="s">
        <v>892</v>
      </c>
      <c r="D32" s="289" t="s">
        <v>907</v>
      </c>
      <c r="E32" s="177" t="n">
        <v>1</v>
      </c>
      <c r="F32" s="177" t="s">
        <v>171</v>
      </c>
      <c r="G32" s="289" t="s">
        <v>907</v>
      </c>
      <c r="H32" s="289" t="s">
        <v>907</v>
      </c>
      <c r="I32" s="667" t="n">
        <v>0</v>
      </c>
      <c r="J32" s="282"/>
      <c r="K32" s="282"/>
      <c r="L32" s="282"/>
      <c r="M32" s="282"/>
      <c r="N32" s="282"/>
      <c r="O32" s="282"/>
      <c r="P32" s="282"/>
      <c r="Q32" s="282"/>
      <c r="R32" s="282"/>
      <c r="S32" s="282"/>
      <c r="T32" s="282"/>
      <c r="U32" s="282"/>
      <c r="V32" s="282"/>
      <c r="W32" s="282"/>
      <c r="X32" s="282"/>
      <c r="Y32" s="282"/>
      <c r="Z32" s="282"/>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row>
    <row r="33" s="282" customFormat="true" ht="13.8" hidden="false" customHeight="false" outlineLevel="0" collapsed="false">
      <c r="D33" s="23"/>
      <c r="G33" s="23"/>
      <c r="H33" s="23"/>
      <c r="I33" s="668"/>
    </row>
    <row r="34" s="177" customFormat="true" ht="13.8" hidden="false" customHeight="false" outlineLevel="0" collapsed="false">
      <c r="A34" s="669" t="s">
        <v>906</v>
      </c>
      <c r="B34" s="669" t="n">
        <v>0.02</v>
      </c>
      <c r="C34" s="670" t="s">
        <v>889</v>
      </c>
      <c r="D34" s="671" t="s">
        <v>908</v>
      </c>
      <c r="E34" s="669" t="n">
        <v>1</v>
      </c>
      <c r="F34" s="669" t="s">
        <v>171</v>
      </c>
      <c r="G34" s="671" t="s">
        <v>908</v>
      </c>
      <c r="H34" s="671" t="s">
        <v>908</v>
      </c>
      <c r="I34" s="672" t="s">
        <v>908</v>
      </c>
      <c r="J34" s="282"/>
      <c r="K34" s="282"/>
      <c r="L34" s="282"/>
      <c r="M34" s="282"/>
      <c r="N34" s="282"/>
      <c r="O34" s="282"/>
      <c r="P34" s="282"/>
      <c r="Q34" s="282"/>
      <c r="R34" s="282"/>
      <c r="S34" s="282"/>
      <c r="T34" s="282"/>
      <c r="U34" s="282"/>
      <c r="V34" s="282"/>
      <c r="W34" s="282"/>
      <c r="X34" s="282"/>
      <c r="Y34" s="282"/>
      <c r="Z34" s="282"/>
      <c r="AA34" s="282"/>
      <c r="AB34" s="282"/>
      <c r="AC34" s="282"/>
      <c r="AD34" s="282"/>
      <c r="AE34" s="282"/>
      <c r="AF34" s="282"/>
      <c r="AG34" s="282"/>
      <c r="AH34" s="282"/>
      <c r="AI34" s="282"/>
      <c r="AJ34" s="282"/>
      <c r="AK34" s="282"/>
      <c r="AL34" s="282"/>
      <c r="AM34" s="282"/>
      <c r="AN34" s="282"/>
      <c r="AO34" s="282"/>
      <c r="AP34" s="282"/>
      <c r="AQ34" s="282"/>
      <c r="AR34" s="282"/>
      <c r="AS34" s="282"/>
      <c r="AT34" s="282"/>
      <c r="AU34" s="282"/>
      <c r="AV34" s="282"/>
      <c r="AW34" s="282"/>
      <c r="AX34" s="282"/>
      <c r="AY34" s="282"/>
      <c r="AZ34" s="282"/>
      <c r="BA34" s="282"/>
      <c r="BB34" s="282"/>
      <c r="BC34" s="282"/>
      <c r="BD34" s="282"/>
      <c r="BE34" s="282"/>
      <c r="BF34" s="282"/>
      <c r="BG34" s="282"/>
      <c r="BH34" s="282"/>
      <c r="BI34" s="282"/>
      <c r="BJ34" s="282"/>
      <c r="BK34" s="282"/>
      <c r="BL34" s="282"/>
      <c r="BM34" s="282"/>
      <c r="BN34" s="282"/>
      <c r="BO34" s="282"/>
      <c r="BP34" s="282"/>
      <c r="BQ34" s="282"/>
      <c r="BR34" s="282"/>
      <c r="BS34" s="282"/>
      <c r="BT34" s="282"/>
      <c r="BU34" s="282"/>
      <c r="BV34" s="282"/>
      <c r="BW34" s="282"/>
      <c r="BX34" s="282"/>
      <c r="BY34" s="282"/>
      <c r="BZ34" s="282"/>
      <c r="CA34" s="282"/>
      <c r="CB34" s="282"/>
      <c r="CC34" s="282"/>
      <c r="CD34" s="282"/>
      <c r="CE34" s="282"/>
      <c r="CF34" s="282"/>
      <c r="CG34" s="282"/>
      <c r="CH34" s="282"/>
      <c r="CI34" s="282"/>
      <c r="CJ34" s="282"/>
      <c r="CK34" s="282"/>
      <c r="CL34" s="282"/>
      <c r="CM34" s="282"/>
      <c r="CN34" s="282"/>
      <c r="CO34" s="282"/>
      <c r="CP34" s="282"/>
      <c r="CQ34" s="282"/>
      <c r="CR34" s="282"/>
      <c r="CS34" s="282"/>
      <c r="CT34" s="282"/>
      <c r="CU34" s="282"/>
      <c r="CV34" s="282"/>
      <c r="CW34" s="282"/>
      <c r="CX34" s="282"/>
      <c r="CY34" s="282"/>
      <c r="CZ34" s="282"/>
      <c r="DA34" s="282"/>
      <c r="DB34" s="282"/>
      <c r="DC34" s="282"/>
      <c r="DD34" s="282"/>
      <c r="DE34" s="282"/>
      <c r="DF34" s="282"/>
      <c r="DG34" s="282"/>
      <c r="DH34" s="282"/>
      <c r="DI34" s="282"/>
      <c r="DJ34" s="282"/>
      <c r="DK34" s="282"/>
      <c r="DL34" s="282"/>
      <c r="DM34" s="282"/>
      <c r="DN34" s="282"/>
      <c r="DO34" s="282"/>
      <c r="DP34" s="282"/>
      <c r="DQ34" s="282"/>
      <c r="DR34" s="282"/>
      <c r="DS34" s="282"/>
      <c r="DT34" s="282"/>
      <c r="DU34" s="282"/>
      <c r="DV34" s="282"/>
      <c r="DW34" s="282"/>
      <c r="DX34" s="282"/>
      <c r="DY34" s="282"/>
      <c r="DZ34" s="282"/>
      <c r="EA34" s="282"/>
      <c r="EB34" s="282"/>
      <c r="EC34" s="282"/>
      <c r="ED34" s="282"/>
      <c r="EE34" s="282"/>
      <c r="EF34" s="282"/>
      <c r="EG34" s="282"/>
      <c r="EH34" s="282"/>
      <c r="EI34" s="282"/>
      <c r="EJ34" s="282"/>
      <c r="EK34" s="282"/>
      <c r="EL34" s="282"/>
      <c r="EM34" s="282"/>
      <c r="EN34" s="282"/>
      <c r="EO34" s="282"/>
      <c r="EP34" s="282"/>
      <c r="EQ34" s="282"/>
      <c r="ER34" s="282"/>
      <c r="ES34" s="282"/>
      <c r="ET34" s="282"/>
      <c r="EU34" s="282"/>
      <c r="EV34" s="282"/>
      <c r="EW34" s="282"/>
      <c r="EX34" s="282"/>
      <c r="EY34" s="282"/>
      <c r="EZ34" s="282"/>
      <c r="FA34" s="282"/>
      <c r="FB34" s="282"/>
      <c r="FC34" s="282"/>
      <c r="FD34" s="282"/>
      <c r="FE34" s="282"/>
      <c r="FF34" s="282"/>
      <c r="FG34" s="282"/>
      <c r="FH34" s="282"/>
      <c r="FI34" s="282"/>
      <c r="FJ34" s="282"/>
      <c r="FK34" s="282"/>
      <c r="FL34" s="282"/>
      <c r="FM34" s="282"/>
      <c r="FN34" s="282"/>
      <c r="FO34" s="282"/>
      <c r="FP34" s="282"/>
      <c r="FQ34" s="282"/>
      <c r="FR34" s="282"/>
      <c r="FS34" s="282"/>
      <c r="FT34" s="282"/>
      <c r="FU34" s="282"/>
      <c r="FV34" s="282"/>
      <c r="FW34" s="282"/>
      <c r="FX34" s="282"/>
      <c r="FY34" s="282"/>
      <c r="FZ34" s="282"/>
      <c r="GA34" s="282"/>
      <c r="GB34" s="282"/>
      <c r="GC34" s="282"/>
      <c r="GD34" s="282"/>
      <c r="GE34" s="282"/>
      <c r="GF34" s="282"/>
      <c r="GG34" s="282"/>
      <c r="GH34" s="282"/>
      <c r="GI34" s="282"/>
      <c r="GJ34" s="282"/>
      <c r="GK34" s="282"/>
      <c r="GL34" s="282"/>
      <c r="GM34" s="282"/>
      <c r="GN34" s="282"/>
      <c r="GO34" s="282"/>
      <c r="GP34" s="282"/>
      <c r="GQ34" s="282"/>
      <c r="GR34" s="282"/>
      <c r="GS34" s="282"/>
      <c r="GT34" s="282"/>
      <c r="GU34" s="282"/>
      <c r="GV34" s="282"/>
      <c r="GW34" s="282"/>
      <c r="GX34" s="282"/>
      <c r="GY34" s="282"/>
      <c r="GZ34" s="282"/>
      <c r="HA34" s="282"/>
      <c r="HB34" s="282"/>
      <c r="HC34" s="282"/>
      <c r="HD34" s="282"/>
      <c r="HE34" s="282"/>
      <c r="HF34" s="282"/>
      <c r="HG34" s="282"/>
      <c r="HH34" s="282"/>
      <c r="HI34" s="282"/>
      <c r="HJ34" s="282"/>
      <c r="HK34" s="282"/>
      <c r="HL34" s="282"/>
      <c r="HM34" s="282"/>
      <c r="HN34" s="282"/>
      <c r="HO34" s="282"/>
      <c r="HP34" s="282"/>
      <c r="HQ34" s="282"/>
      <c r="HR34" s="282"/>
      <c r="HS34" s="282"/>
      <c r="HT34" s="282"/>
      <c r="HU34" s="282"/>
      <c r="HV34" s="282"/>
      <c r="HW34" s="282"/>
      <c r="HX34" s="282"/>
      <c r="HY34" s="282"/>
      <c r="HZ34" s="282"/>
    </row>
    <row r="35" customFormat="false" ht="13.8" hidden="false" customHeight="false" outlineLevel="0" collapsed="false">
      <c r="A35" s="673" t="s">
        <v>909</v>
      </c>
    </row>
    <row r="36" customFormat="false" ht="13.8" hidden="false" customHeight="false" outlineLevel="0" collapsed="false">
      <c r="A36" s="673" t="s">
        <v>910</v>
      </c>
    </row>
    <row r="37" customFormat="false" ht="13.8" hidden="false" customHeight="false" outlineLevel="0" collapsed="false">
      <c r="A37" s="395" t="s">
        <v>911</v>
      </c>
    </row>
    <row r="38" customFormat="false" ht="13.8" hidden="false" customHeight="false" outlineLevel="0" collapsed="false">
      <c r="A38" s="395" t="s">
        <v>912</v>
      </c>
    </row>
    <row r="39" customFormat="false" ht="13.8" hidden="false" customHeight="false" outlineLevel="0" collapsed="false">
      <c r="A39" s="401" t="s">
        <v>913</v>
      </c>
    </row>
    <row r="40" s="282" customFormat="true" ht="13.8" hidden="false" customHeight="false" outlineLevel="0" collapsed="false"/>
    <row r="41" customFormat="false" ht="13.8" hidden="false" customHeight="false" outlineLevel="0" collapsed="false">
      <c r="A41" s="333" t="s">
        <v>914</v>
      </c>
    </row>
    <row r="42" customFormat="false" ht="13.8" hidden="false" customHeight="false" outlineLevel="0" collapsed="false">
      <c r="A42" s="472" t="s">
        <v>915</v>
      </c>
      <c r="B42" s="674" t="n">
        <v>3.22559131849663</v>
      </c>
      <c r="C42" s="333" t="s">
        <v>411</v>
      </c>
    </row>
    <row r="43" customFormat="false" ht="13.8" hidden="false" customHeight="false" outlineLevel="0" collapsed="false">
      <c r="A43" s="162" t="s">
        <v>916</v>
      </c>
      <c r="B43" s="500" t="n">
        <v>0.00142882818810645</v>
      </c>
      <c r="C43" s="484" t="s">
        <v>917</v>
      </c>
    </row>
    <row r="44" customFormat="false" ht="13.8" hidden="false" customHeight="false" outlineLevel="0" collapsed="false">
      <c r="A44" s="513" t="s">
        <v>918</v>
      </c>
      <c r="B44" s="521" t="n">
        <v>8.66728963347356E-005</v>
      </c>
    </row>
    <row r="45" customFormat="false" ht="13.8" hidden="false" customHeight="false" outlineLevel="0" collapsed="false">
      <c r="A45" s="401" t="s">
        <v>919</v>
      </c>
      <c r="D45" s="392"/>
    </row>
    <row r="46" customFormat="false" ht="13.8" hidden="false" customHeight="false" outlineLevel="0" collapsed="false">
      <c r="A46" s="401"/>
      <c r="D46" s="392"/>
    </row>
    <row r="47" customFormat="false" ht="13.8" hidden="false" customHeight="false" outlineLevel="0" collapsed="false">
      <c r="A47" s="543" t="s">
        <v>920</v>
      </c>
    </row>
    <row r="48" customFormat="false" ht="13.8" hidden="false" customHeight="false" outlineLevel="0" collapsed="false">
      <c r="A48" s="472"/>
      <c r="B48" s="476" t="s">
        <v>921</v>
      </c>
      <c r="C48" s="477" t="s">
        <v>922</v>
      </c>
      <c r="D48" s="333" t="s">
        <v>411</v>
      </c>
    </row>
    <row r="49" customFormat="false" ht="13.8" hidden="false" customHeight="false" outlineLevel="0" collapsed="false">
      <c r="A49" s="513" t="s">
        <v>923</v>
      </c>
      <c r="B49" s="469" t="n">
        <f aca="false">0.023*10^-3</f>
        <v>2.3E-005</v>
      </c>
      <c r="C49" s="474" t="n">
        <f aca="false">0.24*10^-3</f>
        <v>0.00024</v>
      </c>
      <c r="D49" s="401" t="s">
        <v>924</v>
      </c>
    </row>
    <row r="50" customFormat="false" ht="13.8" hidden="false" customHeight="false" outlineLevel="0" collapsed="false">
      <c r="A50" s="416" t="s">
        <v>925</v>
      </c>
    </row>
    <row r="51" customFormat="false" ht="13.8" hidden="false" customHeight="false" outlineLevel="0" collapsed="false">
      <c r="A51" s="416" t="s">
        <v>926</v>
      </c>
    </row>
    <row r="52" customFormat="false" ht="13.8" hidden="false" customHeight="false" outlineLevel="0" collapsed="false">
      <c r="A52" s="416" t="s">
        <v>927</v>
      </c>
    </row>
    <row r="53" s="282" customFormat="true" ht="13.8" hidden="false" customHeight="false" outlineLevel="0" collapsed="false"/>
    <row r="54" customFormat="false" ht="13.8" hidden="false" customHeight="false" outlineLevel="0" collapsed="false">
      <c r="A54" s="491" t="s">
        <v>928</v>
      </c>
    </row>
    <row r="55" customFormat="false" ht="13.8" hidden="false" customHeight="false" outlineLevel="0" collapsed="false">
      <c r="A55" s="472"/>
      <c r="B55" s="476" t="s">
        <v>32</v>
      </c>
      <c r="C55" s="476" t="s">
        <v>929</v>
      </c>
      <c r="D55" s="476" t="s">
        <v>903</v>
      </c>
      <c r="E55" s="473"/>
      <c r="F55" s="333" t="s">
        <v>411</v>
      </c>
    </row>
    <row r="56" customFormat="false" ht="13.8" hidden="false" customHeight="false" outlineLevel="0" collapsed="false">
      <c r="A56" s="543" t="s">
        <v>930</v>
      </c>
      <c r="B56" s="23" t="n">
        <v>0.09</v>
      </c>
      <c r="C56" s="23" t="n">
        <v>0.09</v>
      </c>
      <c r="D56" s="23" t="n">
        <v>0.05</v>
      </c>
      <c r="E56" s="381" t="s">
        <v>931</v>
      </c>
      <c r="F56" s="519" t="s">
        <v>932</v>
      </c>
    </row>
    <row r="57" customFormat="false" ht="13.8" hidden="false" customHeight="false" outlineLevel="0" collapsed="false">
      <c r="A57" s="468" t="s">
        <v>933</v>
      </c>
      <c r="B57" s="504" t="n">
        <v>0.11</v>
      </c>
      <c r="C57" s="504" t="n">
        <v>0.11</v>
      </c>
      <c r="D57" s="504" t="n">
        <v>0.05</v>
      </c>
      <c r="E57" s="662" t="s">
        <v>931</v>
      </c>
    </row>
    <row r="58" customFormat="false" ht="13.8" hidden="false" customHeight="false" outlineLevel="0" collapsed="false">
      <c r="A58" s="395" t="s">
        <v>934</v>
      </c>
      <c r="B58" s="505"/>
      <c r="C58" s="505"/>
    </row>
    <row r="59" customFormat="false" ht="13.8" hidden="false" customHeight="false" outlineLevel="0" collapsed="false">
      <c r="A59" s="395"/>
      <c r="B59" s="505"/>
      <c r="C59" s="505"/>
    </row>
    <row r="60" customFormat="false" ht="13.8" hidden="false" customHeight="false" outlineLevel="0" collapsed="false">
      <c r="A60" s="491" t="s">
        <v>935</v>
      </c>
      <c r="B60" s="505"/>
      <c r="C60" s="505"/>
    </row>
    <row r="61" customFormat="false" ht="13.8" hidden="false" customHeight="false" outlineLevel="0" collapsed="false">
      <c r="A61" s="472"/>
      <c r="B61" s="476" t="s">
        <v>32</v>
      </c>
      <c r="C61" s="476" t="s">
        <v>929</v>
      </c>
      <c r="D61" s="476" t="s">
        <v>903</v>
      </c>
      <c r="E61" s="473"/>
      <c r="F61" s="333" t="s">
        <v>411</v>
      </c>
    </row>
    <row r="62" customFormat="false" ht="13.8" hidden="false" customHeight="false" outlineLevel="0" collapsed="false">
      <c r="A62" s="543" t="s">
        <v>936</v>
      </c>
      <c r="B62" s="505"/>
      <c r="C62" s="505"/>
      <c r="E62" s="381"/>
      <c r="F62" s="519" t="s">
        <v>937</v>
      </c>
    </row>
    <row r="63" customFormat="false" ht="13.8" hidden="false" customHeight="false" outlineLevel="0" collapsed="false">
      <c r="B63" s="290" t="n">
        <v>0.988891265330498</v>
      </c>
      <c r="C63" s="290" t="n">
        <v>0.988891265330498</v>
      </c>
      <c r="D63" s="290" t="n">
        <v>0.642779322464824</v>
      </c>
      <c r="E63" s="381" t="s">
        <v>938</v>
      </c>
      <c r="F63" s="395" t="s">
        <v>939</v>
      </c>
    </row>
    <row r="64" customFormat="false" ht="13.8" hidden="false" customHeight="false" outlineLevel="0" collapsed="false">
      <c r="B64" s="290" t="n">
        <v>0.000226322696318566</v>
      </c>
      <c r="C64" s="290" t="n">
        <v>0.000226322696318566</v>
      </c>
      <c r="D64" s="290" t="n">
        <v>0.000147109752607068</v>
      </c>
      <c r="E64" s="381" t="s">
        <v>940</v>
      </c>
    </row>
    <row r="65" customFormat="false" ht="13.8" hidden="false" customHeight="false" outlineLevel="0" collapsed="false">
      <c r="B65" s="290" t="n">
        <v>0.00095451956118274</v>
      </c>
      <c r="C65" s="290" t="n">
        <v>0.00095451956118274</v>
      </c>
      <c r="D65" s="290" t="n">
        <v>0.000620437714768781</v>
      </c>
      <c r="E65" s="381" t="s">
        <v>941</v>
      </c>
    </row>
    <row r="66" customFormat="false" ht="13.8" hidden="false" customHeight="false" outlineLevel="0" collapsed="false">
      <c r="A66" s="543" t="s">
        <v>119</v>
      </c>
      <c r="B66" s="290"/>
      <c r="D66" s="290"/>
      <c r="E66" s="381"/>
    </row>
    <row r="67" customFormat="false" ht="13.8" hidden="false" customHeight="false" outlineLevel="0" collapsed="false">
      <c r="B67" s="290" t="n">
        <v>0</v>
      </c>
      <c r="C67" s="290" t="n">
        <v>0</v>
      </c>
      <c r="D67" s="290" t="n">
        <v>0</v>
      </c>
      <c r="E67" s="381" t="s">
        <v>938</v>
      </c>
    </row>
    <row r="68" customFormat="false" ht="13.8" hidden="false" customHeight="false" outlineLevel="0" collapsed="false">
      <c r="B68" s="290" t="n">
        <v>0</v>
      </c>
      <c r="C68" s="290" t="n">
        <v>0</v>
      </c>
      <c r="D68" s="290" t="n">
        <v>0</v>
      </c>
      <c r="E68" s="381" t="s">
        <v>940</v>
      </c>
    </row>
    <row r="69" customFormat="false" ht="13.8" hidden="false" customHeight="false" outlineLevel="0" collapsed="false">
      <c r="A69" s="513"/>
      <c r="B69" s="397" t="n">
        <v>0.00241264071732287</v>
      </c>
      <c r="C69" s="397" t="n">
        <v>0.00241264071732287</v>
      </c>
      <c r="D69" s="397" t="n">
        <v>0.00156821646625986</v>
      </c>
      <c r="E69" s="474" t="s">
        <v>941</v>
      </c>
    </row>
    <row r="70" s="282" customFormat="true" ht="13.8" hidden="false" customHeight="false" outlineLevel="0" collapsed="false"/>
    <row r="71" customFormat="false" ht="13.8" hidden="false" customHeight="false" outlineLevel="0" collapsed="false">
      <c r="A71" s="333" t="s">
        <v>942</v>
      </c>
    </row>
    <row r="72" customFormat="false" ht="13.8" hidden="false" customHeight="false" outlineLevel="0" collapsed="false">
      <c r="A72" s="472"/>
      <c r="B72" s="476" t="s">
        <v>32</v>
      </c>
      <c r="C72" s="476" t="s">
        <v>929</v>
      </c>
      <c r="D72" s="477" t="s">
        <v>903</v>
      </c>
      <c r="E72" s="333" t="s">
        <v>411</v>
      </c>
    </row>
    <row r="73" customFormat="false" ht="13.8" hidden="false" customHeight="false" outlineLevel="0" collapsed="false">
      <c r="A73" s="162" t="s">
        <v>943</v>
      </c>
      <c r="B73" s="290" t="n">
        <v>0.12</v>
      </c>
      <c r="C73" s="290" t="n">
        <v>0.12</v>
      </c>
      <c r="D73" s="500" t="n">
        <v>0.0022</v>
      </c>
      <c r="E73" s="519" t="s">
        <v>944</v>
      </c>
    </row>
    <row r="74" customFormat="false" ht="13.8" hidden="false" customHeight="false" outlineLevel="0" collapsed="false">
      <c r="A74" s="162" t="s">
        <v>945</v>
      </c>
      <c r="B74" s="290" t="n">
        <v>0.19</v>
      </c>
      <c r="C74" s="290" t="n">
        <v>0.19</v>
      </c>
      <c r="D74" s="500" t="n">
        <v>0.073</v>
      </c>
    </row>
    <row r="75" customFormat="false" ht="13.8" hidden="false" customHeight="false" outlineLevel="0" collapsed="false">
      <c r="A75" s="162" t="s">
        <v>946</v>
      </c>
      <c r="B75" s="290" t="n">
        <v>0.247</v>
      </c>
      <c r="C75" s="290" t="n">
        <v>0.247</v>
      </c>
      <c r="D75" s="500" t="n">
        <v>0.379</v>
      </c>
    </row>
    <row r="76" customFormat="false" ht="13.8" hidden="false" customHeight="false" outlineLevel="0" collapsed="false">
      <c r="A76" s="162" t="s">
        <v>947</v>
      </c>
      <c r="B76" s="290" t="n">
        <v>0.127</v>
      </c>
      <c r="C76" s="290" t="n">
        <v>0.127</v>
      </c>
      <c r="D76" s="500" t="n">
        <v>0</v>
      </c>
    </row>
    <row r="77" customFormat="false" ht="13.8" hidden="false" customHeight="false" outlineLevel="0" collapsed="false">
      <c r="A77" s="162" t="s">
        <v>948</v>
      </c>
      <c r="B77" s="290" t="n">
        <v>0.062</v>
      </c>
      <c r="C77" s="290" t="n">
        <v>0.062</v>
      </c>
      <c r="D77" s="500" t="n">
        <v>0</v>
      </c>
    </row>
    <row r="78" customFormat="false" ht="13.8" hidden="false" customHeight="false" outlineLevel="0" collapsed="false">
      <c r="A78" s="162" t="s">
        <v>949</v>
      </c>
      <c r="B78" s="290" t="n">
        <v>0.021</v>
      </c>
      <c r="C78" s="290" t="n">
        <v>0.021</v>
      </c>
      <c r="D78" s="500" t="n">
        <v>0</v>
      </c>
    </row>
    <row r="79" customFormat="false" ht="13.8" hidden="false" customHeight="false" outlineLevel="0" collapsed="false">
      <c r="A79" s="162" t="s">
        <v>443</v>
      </c>
      <c r="B79" s="290" t="n">
        <v>0.19</v>
      </c>
      <c r="C79" s="290" t="n">
        <v>0.19</v>
      </c>
      <c r="D79" s="500" t="n">
        <v>0</v>
      </c>
    </row>
    <row r="80" customFormat="false" ht="13.8" hidden="false" customHeight="false" outlineLevel="0" collapsed="false">
      <c r="A80" s="162" t="s">
        <v>950</v>
      </c>
      <c r="B80" s="290" t="n">
        <v>0.027</v>
      </c>
      <c r="C80" s="290" t="n">
        <v>0.027</v>
      </c>
      <c r="D80" s="500" t="n">
        <v>0</v>
      </c>
    </row>
    <row r="81" customFormat="false" ht="13.8" hidden="false" customHeight="false" outlineLevel="0" collapsed="false">
      <c r="A81" s="162" t="s">
        <v>951</v>
      </c>
      <c r="B81" s="290" t="n">
        <v>0</v>
      </c>
      <c r="C81" s="290" t="n">
        <v>0</v>
      </c>
      <c r="D81" s="500" t="n">
        <v>0.32</v>
      </c>
    </row>
    <row r="82" customFormat="false" ht="13.8" hidden="false" customHeight="false" outlineLevel="0" collapsed="false">
      <c r="A82" s="162" t="s">
        <v>952</v>
      </c>
      <c r="B82" s="290" t="n">
        <v>0</v>
      </c>
      <c r="C82" s="290" t="n">
        <v>0</v>
      </c>
      <c r="D82" s="500" t="n">
        <v>0.135</v>
      </c>
    </row>
    <row r="83" customFormat="false" ht="13.8" hidden="false" customHeight="false" outlineLevel="0" collapsed="false">
      <c r="A83" s="162" t="s">
        <v>953</v>
      </c>
      <c r="B83" s="290" t="n">
        <v>0</v>
      </c>
      <c r="C83" s="290" t="n">
        <v>0</v>
      </c>
      <c r="D83" s="500" t="n">
        <v>0.058</v>
      </c>
    </row>
    <row r="84" customFormat="false" ht="13.8" hidden="false" customHeight="false" outlineLevel="0" collapsed="false">
      <c r="A84" s="513" t="s">
        <v>954</v>
      </c>
      <c r="B84" s="397" t="n">
        <v>0.0159999999999999</v>
      </c>
      <c r="C84" s="397" t="n">
        <v>0.0159999999999999</v>
      </c>
      <c r="D84" s="521" t="n">
        <v>0.0328</v>
      </c>
    </row>
    <row r="85" customFormat="false" ht="13.8" hidden="false" customHeight="false" outlineLevel="0" collapsed="false">
      <c r="A85" s="395" t="s">
        <v>934</v>
      </c>
    </row>
    <row r="86" customFormat="false" ht="13.8" hidden="false" customHeight="false" outlineLevel="0" collapsed="false">
      <c r="A86" s="395" t="s">
        <v>955</v>
      </c>
    </row>
    <row r="87" customFormat="false" ht="13.8" hidden="false" customHeight="false" outlineLevel="0" collapsed="false">
      <c r="A87" s="395"/>
    </row>
    <row r="88" customFormat="false" ht="13.8" hidden="false" customHeight="false" outlineLevel="0" collapsed="false">
      <c r="A88" s="543" t="s">
        <v>956</v>
      </c>
    </row>
    <row r="89" customFormat="false" ht="13.8" hidden="false" customHeight="false" outlineLevel="0" collapsed="false">
      <c r="A89" s="675" t="s">
        <v>957</v>
      </c>
      <c r="B89" s="676" t="n">
        <v>0.62</v>
      </c>
      <c r="C89" s="333" t="s">
        <v>411</v>
      </c>
    </row>
    <row r="90" customFormat="false" ht="13.8" hidden="false" customHeight="false" outlineLevel="0" collapsed="false">
      <c r="C90" s="282" t="s">
        <v>924</v>
      </c>
    </row>
    <row r="91" customFormat="false" ht="13.8" hidden="false" customHeight="false" outlineLevel="0" collapsed="false">
      <c r="A91" s="519" t="s">
        <v>958</v>
      </c>
    </row>
    <row r="92" customFormat="false" ht="13.8" hidden="false" customHeight="false" outlineLevel="0" collapsed="false">
      <c r="A92" s="472"/>
      <c r="B92" s="463" t="s">
        <v>514</v>
      </c>
      <c r="C92" s="463" t="s">
        <v>959</v>
      </c>
      <c r="D92" s="463" t="s">
        <v>516</v>
      </c>
      <c r="E92" s="463" t="s">
        <v>237</v>
      </c>
      <c r="F92" s="463" t="s">
        <v>229</v>
      </c>
      <c r="G92" s="463" t="s">
        <v>232</v>
      </c>
      <c r="H92" s="464" t="s">
        <v>336</v>
      </c>
      <c r="I92" s="333" t="s">
        <v>411</v>
      </c>
    </row>
    <row r="93" customFormat="false" ht="13.8" hidden="false" customHeight="false" outlineLevel="0" collapsed="false">
      <c r="A93" s="162" t="s">
        <v>32</v>
      </c>
      <c r="B93" s="282" t="n">
        <v>1</v>
      </c>
      <c r="H93" s="381"/>
      <c r="I93" s="395" t="s">
        <v>960</v>
      </c>
    </row>
    <row r="94" customFormat="false" ht="13.8" hidden="false" customHeight="false" outlineLevel="0" collapsed="false">
      <c r="A94" s="162" t="s">
        <v>39</v>
      </c>
      <c r="B94" s="282" t="n">
        <v>0.86</v>
      </c>
      <c r="C94" s="282" t="n">
        <v>0.01</v>
      </c>
      <c r="D94" s="282" t="n">
        <v>0.13</v>
      </c>
      <c r="H94" s="381"/>
    </row>
    <row r="95" customFormat="false" ht="13.8" hidden="false" customHeight="false" outlineLevel="0" collapsed="false">
      <c r="A95" s="162" t="s">
        <v>46</v>
      </c>
      <c r="B95" s="282" t="n">
        <v>1</v>
      </c>
      <c r="H95" s="381"/>
    </row>
    <row r="96" customFormat="false" ht="13.8" hidden="false" customHeight="false" outlineLevel="0" collapsed="false">
      <c r="A96" s="162" t="s">
        <v>52</v>
      </c>
      <c r="B96" s="282" t="n">
        <v>0.77</v>
      </c>
      <c r="C96" s="282" t="n">
        <v>0.23</v>
      </c>
      <c r="H96" s="381"/>
    </row>
    <row r="97" customFormat="false" ht="13.8" hidden="false" customHeight="false" outlineLevel="0" collapsed="false">
      <c r="A97" s="162" t="s">
        <v>58</v>
      </c>
      <c r="B97" s="282" t="n">
        <v>1</v>
      </c>
      <c r="H97" s="381"/>
    </row>
    <row r="98" customFormat="false" ht="13.8" hidden="false" customHeight="false" outlineLevel="0" collapsed="false">
      <c r="A98" s="162" t="s">
        <v>64</v>
      </c>
      <c r="B98" s="282" t="n">
        <v>1</v>
      </c>
      <c r="H98" s="381"/>
    </row>
    <row r="99" customFormat="false" ht="13.8" hidden="false" customHeight="false" outlineLevel="0" collapsed="false">
      <c r="A99" s="162" t="s">
        <v>70</v>
      </c>
      <c r="B99" s="282" t="n">
        <v>0.19</v>
      </c>
      <c r="C99" s="282" t="n">
        <v>0.2</v>
      </c>
      <c r="D99" s="282" t="n">
        <v>0.42</v>
      </c>
      <c r="F99" s="282" t="n">
        <v>0.18</v>
      </c>
      <c r="H99" s="381" t="n">
        <v>0.01</v>
      </c>
    </row>
    <row r="100" customFormat="false" ht="13.8" hidden="false" customHeight="false" outlineLevel="0" collapsed="false">
      <c r="A100" s="162" t="s">
        <v>76</v>
      </c>
      <c r="B100" s="282" t="n">
        <v>1</v>
      </c>
      <c r="H100" s="381"/>
    </row>
    <row r="101" customFormat="false" ht="13.8" hidden="false" customHeight="false" outlineLevel="0" collapsed="false">
      <c r="A101" s="162" t="s">
        <v>81</v>
      </c>
      <c r="B101" s="282" t="n">
        <v>1</v>
      </c>
      <c r="H101" s="381"/>
    </row>
    <row r="102" customFormat="false" ht="13.8" hidden="false" customHeight="false" outlineLevel="0" collapsed="false">
      <c r="A102" s="162" t="s">
        <v>903</v>
      </c>
      <c r="B102" s="282" t="n">
        <v>0.04</v>
      </c>
      <c r="C102" s="282" t="n">
        <v>0.09</v>
      </c>
      <c r="G102" s="282" t="n">
        <v>0.87</v>
      </c>
      <c r="H102" s="381"/>
    </row>
    <row r="103" customFormat="false" ht="13.8" hidden="false" customHeight="false" outlineLevel="0" collapsed="false">
      <c r="A103" s="162" t="s">
        <v>89</v>
      </c>
      <c r="B103" s="282" t="n">
        <v>0.48</v>
      </c>
      <c r="C103" s="282" t="n">
        <v>0.52</v>
      </c>
      <c r="H103" s="381"/>
    </row>
    <row r="104" customFormat="false" ht="13.8" hidden="false" customHeight="false" outlineLevel="0" collapsed="false">
      <c r="A104" s="513" t="s">
        <v>905</v>
      </c>
      <c r="B104" s="397" t="n">
        <v>0.1</v>
      </c>
      <c r="C104" s="397" t="n">
        <v>0.024</v>
      </c>
      <c r="D104" s="397" t="n">
        <v>0.524</v>
      </c>
      <c r="E104" s="397" t="n">
        <v>0.314</v>
      </c>
      <c r="F104" s="397"/>
      <c r="G104" s="397"/>
      <c r="H104" s="521" t="n">
        <v>0.038</v>
      </c>
    </row>
    <row r="105" s="282" customFormat="true" ht="13.8" hidden="false" customHeight="false" outlineLevel="0" collapsed="false"/>
    <row r="106" customFormat="false" ht="13.8" hidden="false" customHeight="false" outlineLevel="0" collapsed="false">
      <c r="A106" s="677" t="s">
        <v>961</v>
      </c>
      <c r="B106" s="463" t="s">
        <v>962</v>
      </c>
      <c r="C106" s="463" t="s">
        <v>141</v>
      </c>
      <c r="D106" s="463" t="s">
        <v>516</v>
      </c>
      <c r="E106" s="463" t="s">
        <v>237</v>
      </c>
      <c r="F106" s="463" t="s">
        <v>229</v>
      </c>
      <c r="G106" s="463" t="s">
        <v>232</v>
      </c>
      <c r="H106" s="464" t="s">
        <v>171</v>
      </c>
      <c r="I106" s="333" t="s">
        <v>411</v>
      </c>
      <c r="J106" s="23"/>
    </row>
    <row r="107" customFormat="false" ht="13.8" hidden="false" customHeight="false" outlineLevel="0" collapsed="false">
      <c r="A107" s="162" t="s">
        <v>32</v>
      </c>
      <c r="B107" s="282" t="n">
        <v>1</v>
      </c>
      <c r="H107" s="381"/>
      <c r="I107" s="395" t="s">
        <v>960</v>
      </c>
    </row>
    <row r="108" customFormat="false" ht="13.8" hidden="false" customHeight="false" outlineLevel="0" collapsed="false">
      <c r="A108" s="162" t="s">
        <v>39</v>
      </c>
      <c r="B108" s="282" t="n">
        <v>0.82</v>
      </c>
      <c r="C108" s="282" t="n">
        <v>0.05</v>
      </c>
      <c r="D108" s="282" t="n">
        <v>0.13</v>
      </c>
      <c r="H108" s="381"/>
    </row>
    <row r="109" customFormat="false" ht="13.8" hidden="false" customHeight="false" outlineLevel="0" collapsed="false">
      <c r="A109" s="162" t="s">
        <v>46</v>
      </c>
      <c r="B109" s="282" t="n">
        <v>1</v>
      </c>
      <c r="H109" s="381"/>
    </row>
    <row r="110" customFormat="false" ht="13.8" hidden="false" customHeight="false" outlineLevel="0" collapsed="false">
      <c r="A110" s="162" t="s">
        <v>52</v>
      </c>
      <c r="B110" s="282" t="n">
        <v>0.77</v>
      </c>
      <c r="C110" s="282" t="n">
        <v>0.23</v>
      </c>
      <c r="F110" s="678"/>
      <c r="H110" s="381"/>
      <c r="J110" s="23"/>
    </row>
    <row r="111" customFormat="false" ht="13.8" hidden="false" customHeight="false" outlineLevel="0" collapsed="false">
      <c r="A111" s="162" t="s">
        <v>58</v>
      </c>
      <c r="B111" s="282" t="n">
        <v>1</v>
      </c>
      <c r="H111" s="381"/>
      <c r="J111" s="563"/>
    </row>
    <row r="112" customFormat="false" ht="13.8" hidden="false" customHeight="false" outlineLevel="0" collapsed="false">
      <c r="A112" s="162" t="s">
        <v>64</v>
      </c>
      <c r="B112" s="282" t="n">
        <v>1</v>
      </c>
      <c r="H112" s="381"/>
      <c r="I112" s="505"/>
      <c r="J112" s="23"/>
    </row>
    <row r="113" customFormat="false" ht="13.8" hidden="false" customHeight="false" outlineLevel="0" collapsed="false">
      <c r="A113" s="162" t="s">
        <v>70</v>
      </c>
      <c r="D113" s="282" t="n">
        <v>0.42</v>
      </c>
      <c r="F113" s="282" t="n">
        <v>0.58</v>
      </c>
      <c r="H113" s="381"/>
      <c r="J113" s="563"/>
    </row>
    <row r="114" customFormat="false" ht="13.8" hidden="false" customHeight="false" outlineLevel="0" collapsed="false">
      <c r="A114" s="162" t="s">
        <v>76</v>
      </c>
      <c r="B114" s="282" t="n">
        <v>1</v>
      </c>
      <c r="H114" s="381"/>
      <c r="I114" s="505"/>
      <c r="J114" s="23"/>
    </row>
    <row r="115" customFormat="false" ht="13.8" hidden="false" customHeight="false" outlineLevel="0" collapsed="false">
      <c r="A115" s="162" t="s">
        <v>81</v>
      </c>
      <c r="B115" s="282" t="n">
        <v>1</v>
      </c>
      <c r="H115" s="381"/>
      <c r="J115" s="563"/>
    </row>
    <row r="116" customFormat="false" ht="13.8" hidden="false" customHeight="false" outlineLevel="0" collapsed="false">
      <c r="A116" s="162" t="s">
        <v>903</v>
      </c>
      <c r="G116" s="282" t="n">
        <v>1</v>
      </c>
      <c r="H116" s="381"/>
      <c r="J116" s="563"/>
    </row>
    <row r="117" customFormat="false" ht="13.8" hidden="false" customHeight="false" outlineLevel="0" collapsed="false">
      <c r="A117" s="162" t="s">
        <v>89</v>
      </c>
      <c r="B117" s="282" t="n">
        <v>0.34</v>
      </c>
      <c r="C117" s="282" t="n">
        <v>0.66</v>
      </c>
      <c r="H117" s="381"/>
      <c r="J117" s="563"/>
    </row>
    <row r="118" customFormat="false" ht="13.8" hidden="false" customHeight="false" outlineLevel="0" collapsed="false">
      <c r="A118" s="513" t="s">
        <v>905</v>
      </c>
      <c r="B118" s="469"/>
      <c r="C118" s="469"/>
      <c r="D118" s="469"/>
      <c r="E118" s="469" t="n">
        <v>1</v>
      </c>
      <c r="F118" s="469"/>
      <c r="G118" s="469"/>
      <c r="H118" s="474"/>
      <c r="J118" s="23"/>
    </row>
    <row r="119" customFormat="false" ht="13.8" hidden="false" customHeight="false" outlineLevel="0" collapsed="false">
      <c r="A119" s="416" t="s">
        <v>963</v>
      </c>
      <c r="J119" s="23"/>
    </row>
    <row r="120" s="282" customFormat="true" ht="13.8" hidden="false" customHeight="false" outlineLevel="0" collapsed="false">
      <c r="J120" s="23"/>
    </row>
    <row r="121" s="282" customFormat="true" ht="13.8" hidden="false" customHeight="false" outlineLevel="0" collapsed="false">
      <c r="I121" s="505"/>
      <c r="J121" s="23"/>
    </row>
    <row r="122" s="282" customFormat="true" ht="13.8" hidden="false" customHeight="false" outlineLevel="0" collapsed="false"/>
    <row r="123" customFormat="false" ht="13.8" hidden="false" customHeight="false" outlineLevel="0" collapsed="false">
      <c r="A123" s="481"/>
      <c r="C123" s="23"/>
      <c r="D123" s="23"/>
      <c r="F123" s="481"/>
    </row>
    <row r="124" customFormat="false" ht="13.8" hidden="false" customHeight="false" outlineLevel="0" collapsed="false">
      <c r="I124" s="1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9DC3E6"/>
    <pageSetUpPr fitToPage="false"/>
  </sheetPr>
  <dimension ref="A1:EJ16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4609375" defaultRowHeight="14.4" zeroHeight="false" outlineLevelRow="0" outlineLevelCol="0"/>
  <cols>
    <col collapsed="false" customWidth="true" hidden="false" outlineLevel="0" max="1" min="1" style="282" width="25.21"/>
    <col collapsed="false" customWidth="true" hidden="false" outlineLevel="0" max="2" min="2" style="282" width="28.56"/>
    <col collapsed="false" customWidth="true" hidden="false" outlineLevel="0" max="3" min="3" style="282" width="19.66"/>
    <col collapsed="false" customWidth="true" hidden="false" outlineLevel="0" max="4" min="4" style="282" width="13.66"/>
    <col collapsed="false" customWidth="true" hidden="false" outlineLevel="0" max="5" min="5" style="282" width="11.33"/>
    <col collapsed="false" customWidth="true" hidden="false" outlineLevel="0" max="6" min="6" style="282" width="23.66"/>
    <col collapsed="false" customWidth="true" hidden="false" outlineLevel="0" max="7" min="7" style="282" width="21.66"/>
    <col collapsed="false" customWidth="true" hidden="false" outlineLevel="0" max="8" min="8" style="282" width="24.11"/>
    <col collapsed="false" customWidth="true" hidden="false" outlineLevel="0" max="10" min="9" style="0" width="12.66"/>
    <col collapsed="false" customWidth="true" hidden="false" outlineLevel="0" max="11" min="11" style="679" width="38.33"/>
    <col collapsed="false" customWidth="true" hidden="false" outlineLevel="0" max="12" min="12" style="0" width="17.89"/>
    <col collapsed="false" customWidth="true" hidden="false" outlineLevel="0" max="14" min="13" style="0" width="12.66"/>
    <col collapsed="false" customWidth="true" hidden="false" outlineLevel="0" max="15" min="15" style="0" width="11.66"/>
    <col collapsed="false" customWidth="true" hidden="false" outlineLevel="0" max="16" min="16" style="0" width="16"/>
    <col collapsed="false" customWidth="true" hidden="false" outlineLevel="0" max="17" min="17" style="0" width="10.77"/>
    <col collapsed="false" customWidth="true" hidden="false" outlineLevel="0" max="23" min="22" style="0" width="10.45"/>
    <col collapsed="false" customWidth="true" hidden="false" outlineLevel="0" max="24" min="24" style="0" width="12.33"/>
    <col collapsed="false" customWidth="true" hidden="false" outlineLevel="0" max="25" min="25" style="0" width="10.89"/>
    <col collapsed="false" customWidth="true" hidden="false" outlineLevel="0" max="26" min="26" style="0" width="11.33"/>
    <col collapsed="false" customWidth="true" hidden="false" outlineLevel="0" max="27" min="27" style="0" width="12.33"/>
    <col collapsed="false" customWidth="true" hidden="false" outlineLevel="0" max="30" min="28" style="0" width="12.66"/>
    <col collapsed="false" customWidth="true" hidden="false" outlineLevel="0" max="32" min="31" style="0" width="10.45"/>
  </cols>
  <sheetData>
    <row r="1" customFormat="false" ht="23.4" hidden="false" customHeight="false" outlineLevel="0" collapsed="false">
      <c r="A1" s="371" t="s">
        <v>964</v>
      </c>
    </row>
    <row r="2" customFormat="false" ht="14.4" hidden="false" customHeight="false" outlineLevel="0" collapsed="false">
      <c r="J2" s="25" t="s">
        <v>411</v>
      </c>
    </row>
    <row r="3" customFormat="false" ht="82.8" hidden="false" customHeight="false" outlineLevel="0" collapsed="false">
      <c r="A3" s="627" t="s">
        <v>603</v>
      </c>
      <c r="B3" s="680" t="s">
        <v>965</v>
      </c>
      <c r="C3" s="680" t="s">
        <v>112</v>
      </c>
      <c r="D3" s="680" t="s">
        <v>860</v>
      </c>
      <c r="E3" s="680" t="s">
        <v>966</v>
      </c>
      <c r="F3" s="680" t="s">
        <v>967</v>
      </c>
      <c r="G3" s="680" t="s">
        <v>968</v>
      </c>
      <c r="H3" s="680" t="s">
        <v>969</v>
      </c>
      <c r="I3" s="681" t="s">
        <v>970</v>
      </c>
      <c r="J3" s="25" t="s">
        <v>971</v>
      </c>
      <c r="K3" s="25" t="s">
        <v>972</v>
      </c>
      <c r="L3" s="25" t="s">
        <v>973</v>
      </c>
      <c r="M3" s="25" t="s">
        <v>974</v>
      </c>
      <c r="N3" s="25" t="s">
        <v>241</v>
      </c>
      <c r="O3" s="401"/>
      <c r="P3" s="401"/>
      <c r="Q3" s="401"/>
      <c r="R3" s="481"/>
      <c r="S3" s="481"/>
      <c r="T3" s="481"/>
      <c r="U3" s="481"/>
      <c r="V3" s="481"/>
      <c r="W3" s="481"/>
      <c r="X3" s="481"/>
      <c r="Y3" s="481"/>
      <c r="Z3" s="481"/>
      <c r="AA3" s="481"/>
      <c r="AB3" s="481"/>
      <c r="AC3" s="481"/>
      <c r="AD3" s="481"/>
      <c r="AE3" s="481"/>
      <c r="AF3" s="481"/>
      <c r="AG3" s="482"/>
      <c r="AH3" s="482"/>
      <c r="AI3" s="482"/>
      <c r="AJ3" s="482"/>
      <c r="AK3" s="482"/>
      <c r="AL3" s="482"/>
      <c r="AM3" s="482"/>
      <c r="AN3" s="481"/>
      <c r="AO3" s="481"/>
      <c r="AP3" s="481"/>
      <c r="AQ3" s="530"/>
      <c r="AR3" s="530"/>
      <c r="AS3" s="530"/>
      <c r="AT3" s="530"/>
      <c r="AU3" s="530"/>
      <c r="AV3" s="530"/>
      <c r="AW3" s="530"/>
      <c r="AX3" s="530"/>
      <c r="AY3" s="530"/>
      <c r="AZ3" s="530"/>
      <c r="BA3" s="530"/>
      <c r="BB3" s="530"/>
      <c r="BC3" s="530"/>
      <c r="BD3" s="530"/>
      <c r="BE3" s="530"/>
      <c r="BF3" s="530"/>
      <c r="BG3" s="530"/>
      <c r="BH3" s="530"/>
      <c r="BI3" s="530"/>
      <c r="BJ3" s="530"/>
      <c r="BK3" s="530"/>
      <c r="BL3" s="530"/>
      <c r="BM3" s="530"/>
      <c r="BN3" s="530"/>
      <c r="BO3" s="530"/>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row>
    <row r="4" s="684" customFormat="true" ht="14.4" hidden="false" customHeight="false" outlineLevel="0" collapsed="false">
      <c r="A4" s="497" t="s">
        <v>419</v>
      </c>
      <c r="B4" s="289"/>
      <c r="C4" s="289"/>
      <c r="D4" s="649" t="n">
        <f aca="false">SUM(D5:D10)</f>
        <v>1</v>
      </c>
      <c r="E4" s="289"/>
      <c r="F4" s="289"/>
      <c r="G4" s="289"/>
      <c r="H4" s="289"/>
      <c r="I4" s="682"/>
      <c r="J4" s="481"/>
      <c r="K4" s="563"/>
      <c r="L4" s="530"/>
      <c r="M4" s="481"/>
      <c r="N4" s="481"/>
      <c r="O4" s="481"/>
      <c r="P4" s="481"/>
      <c r="Q4" s="481"/>
      <c r="R4" s="481"/>
      <c r="S4" s="481"/>
      <c r="T4" s="481"/>
      <c r="U4" s="481"/>
      <c r="V4" s="481"/>
      <c r="W4" s="481"/>
      <c r="X4" s="481"/>
      <c r="Y4" s="481"/>
      <c r="Z4" s="481"/>
      <c r="AA4" s="481"/>
      <c r="AB4" s="481"/>
      <c r="AC4" s="481"/>
      <c r="AD4" s="481"/>
      <c r="AE4" s="481"/>
      <c r="AF4" s="481"/>
      <c r="AG4" s="389"/>
      <c r="AH4" s="361"/>
      <c r="AI4" s="361"/>
      <c r="AJ4" s="361"/>
      <c r="AK4" s="361"/>
      <c r="AL4" s="361"/>
      <c r="AM4" s="361"/>
      <c r="AN4" s="481"/>
      <c r="AO4" s="481"/>
      <c r="AP4" s="481"/>
      <c r="AQ4" s="530"/>
      <c r="AR4" s="530"/>
      <c r="AS4" s="530"/>
      <c r="AT4" s="530"/>
      <c r="AU4" s="530"/>
      <c r="AV4" s="530"/>
      <c r="AW4" s="530"/>
      <c r="AX4" s="530"/>
      <c r="AY4" s="530"/>
      <c r="AZ4" s="530"/>
      <c r="BA4" s="530"/>
      <c r="BB4" s="530"/>
      <c r="BC4" s="530"/>
      <c r="BD4" s="530"/>
      <c r="BE4" s="530"/>
      <c r="BF4" s="530"/>
      <c r="BG4" s="530"/>
      <c r="BH4" s="530"/>
      <c r="BI4" s="530"/>
      <c r="BJ4" s="530"/>
      <c r="BK4" s="530"/>
      <c r="BL4" s="530"/>
      <c r="BM4" s="530"/>
      <c r="BN4" s="530"/>
      <c r="BO4" s="530"/>
      <c r="BP4" s="683"/>
      <c r="BQ4" s="683"/>
      <c r="BR4" s="683"/>
      <c r="BS4" s="683"/>
      <c r="BT4" s="683"/>
      <c r="BU4" s="683"/>
      <c r="BV4" s="683"/>
      <c r="BW4" s="683"/>
      <c r="BX4" s="683"/>
      <c r="BY4" s="683"/>
      <c r="BZ4" s="683"/>
      <c r="CA4" s="683"/>
      <c r="CB4" s="683"/>
      <c r="CC4" s="683"/>
      <c r="CD4" s="683"/>
      <c r="CE4" s="683"/>
      <c r="CF4" s="683"/>
      <c r="CG4" s="683"/>
      <c r="CH4" s="683"/>
      <c r="CI4" s="683"/>
      <c r="CJ4" s="683"/>
      <c r="CK4" s="683"/>
      <c r="CL4" s="683"/>
      <c r="CM4" s="683"/>
      <c r="CN4" s="683"/>
      <c r="CO4" s="683"/>
      <c r="CP4" s="683"/>
      <c r="CQ4" s="683"/>
      <c r="CR4" s="683"/>
      <c r="CS4" s="683"/>
      <c r="CT4" s="683"/>
      <c r="CU4" s="683"/>
      <c r="CV4" s="683"/>
      <c r="CW4" s="683"/>
      <c r="CX4" s="683"/>
      <c r="CY4" s="683"/>
      <c r="CZ4" s="683"/>
      <c r="DA4" s="683"/>
      <c r="DB4" s="683"/>
      <c r="DC4" s="683"/>
      <c r="DD4" s="683"/>
      <c r="DE4" s="683"/>
      <c r="DF4" s="683"/>
      <c r="DG4" s="683"/>
      <c r="DH4" s="683"/>
      <c r="DI4" s="683"/>
      <c r="DJ4" s="683"/>
      <c r="DK4" s="683"/>
      <c r="DL4" s="683"/>
      <c r="DM4" s="683"/>
      <c r="DN4" s="683"/>
      <c r="DO4" s="683"/>
      <c r="DP4" s="683"/>
      <c r="DQ4" s="683"/>
      <c r="DR4" s="683"/>
    </row>
    <row r="5" s="8" customFormat="true" ht="14.4" hidden="false" customHeight="false" outlineLevel="0" collapsed="false">
      <c r="A5" s="499" t="s">
        <v>255</v>
      </c>
      <c r="B5" s="23" t="s">
        <v>137</v>
      </c>
      <c r="C5" s="23" t="s">
        <v>254</v>
      </c>
      <c r="D5" s="102" t="n">
        <v>0.64998250344785</v>
      </c>
      <c r="E5" s="297" t="n">
        <v>7219.7</v>
      </c>
      <c r="F5" s="23" t="n">
        <v>153</v>
      </c>
      <c r="G5" s="23" t="n">
        <v>105</v>
      </c>
      <c r="H5" s="160" t="n">
        <v>80.888486148</v>
      </c>
      <c r="I5" s="478" t="n">
        <v>70</v>
      </c>
      <c r="J5" s="481" t="s">
        <v>975</v>
      </c>
      <c r="K5" s="563" t="s">
        <v>844</v>
      </c>
      <c r="L5" s="481" t="s">
        <v>607</v>
      </c>
      <c r="M5" s="481" t="s">
        <v>747</v>
      </c>
      <c r="N5" s="481" t="s">
        <v>976</v>
      </c>
      <c r="O5" s="481"/>
      <c r="P5" s="481"/>
      <c r="Q5" s="481"/>
      <c r="R5" s="481"/>
      <c r="S5" s="481"/>
      <c r="T5" s="481"/>
      <c r="U5" s="481"/>
      <c r="V5" s="481"/>
      <c r="W5" s="481"/>
      <c r="X5" s="481"/>
      <c r="Y5" s="481"/>
      <c r="Z5" s="481"/>
      <c r="AA5" s="481"/>
      <c r="AB5" s="481"/>
      <c r="AC5" s="481"/>
      <c r="AD5" s="481"/>
      <c r="AE5" s="481"/>
      <c r="AF5" s="481"/>
      <c r="AG5" s="481"/>
      <c r="AH5" s="481"/>
      <c r="AI5" s="481"/>
      <c r="AJ5" s="481"/>
      <c r="AK5" s="481"/>
      <c r="AL5" s="481"/>
      <c r="AM5" s="481"/>
      <c r="AN5" s="481"/>
      <c r="AO5" s="481"/>
      <c r="AP5" s="481"/>
      <c r="AQ5" s="530"/>
      <c r="AR5" s="530"/>
      <c r="AS5" s="530"/>
      <c r="AT5" s="530"/>
      <c r="AU5" s="530"/>
      <c r="AV5" s="530"/>
      <c r="AW5" s="530"/>
      <c r="AX5" s="530"/>
      <c r="AY5" s="530"/>
      <c r="AZ5" s="530"/>
      <c r="BA5" s="530"/>
      <c r="BB5" s="530"/>
      <c r="BC5" s="530"/>
      <c r="BD5" s="530"/>
      <c r="BE5" s="530"/>
      <c r="BF5" s="530"/>
      <c r="BG5" s="530"/>
      <c r="BH5" s="530"/>
      <c r="BI5" s="530"/>
      <c r="BJ5" s="530"/>
      <c r="BK5" s="530"/>
      <c r="BL5" s="530"/>
      <c r="BM5" s="530"/>
      <c r="BN5" s="530"/>
      <c r="BO5" s="530"/>
    </row>
    <row r="6" s="8" customFormat="true" ht="14.4" hidden="false" customHeight="false" outlineLevel="0" collapsed="false">
      <c r="A6" s="499" t="s">
        <v>256</v>
      </c>
      <c r="B6" s="23" t="s">
        <v>137</v>
      </c>
      <c r="C6" s="23" t="s">
        <v>254</v>
      </c>
      <c r="D6" s="102" t="n">
        <v>0.132025558113161</v>
      </c>
      <c r="E6" s="297" t="n">
        <v>4859</v>
      </c>
      <c r="F6" s="23" t="n">
        <v>116</v>
      </c>
      <c r="G6" s="23" t="n">
        <v>98</v>
      </c>
      <c r="H6" s="160" t="n">
        <v>50.60379024</v>
      </c>
      <c r="I6" s="478" t="n">
        <v>70</v>
      </c>
      <c r="J6" s="481" t="s">
        <v>975</v>
      </c>
      <c r="K6" s="563" t="s">
        <v>844</v>
      </c>
      <c r="L6" s="481" t="s">
        <v>607</v>
      </c>
      <c r="M6" s="481" t="s">
        <v>747</v>
      </c>
      <c r="N6" s="481" t="s">
        <v>976</v>
      </c>
      <c r="O6" s="481"/>
      <c r="P6" s="481"/>
      <c r="Q6" s="481"/>
      <c r="R6" s="481"/>
      <c r="S6" s="481"/>
      <c r="T6" s="481"/>
      <c r="U6" s="481"/>
      <c r="V6" s="481"/>
      <c r="W6" s="481"/>
      <c r="X6" s="481"/>
      <c r="Y6" s="481"/>
      <c r="Z6" s="481"/>
      <c r="AA6" s="481"/>
      <c r="AB6" s="481"/>
      <c r="AC6" s="481"/>
      <c r="AD6" s="481"/>
      <c r="AE6" s="481"/>
      <c r="AF6" s="481"/>
      <c r="AG6" s="481"/>
      <c r="AH6" s="481"/>
      <c r="AI6" s="481"/>
      <c r="AJ6" s="481"/>
      <c r="AK6" s="481"/>
      <c r="AL6" s="481"/>
      <c r="AM6" s="481"/>
      <c r="AN6" s="481"/>
      <c r="AO6" s="481"/>
      <c r="AP6" s="481"/>
      <c r="AQ6" s="530"/>
      <c r="AR6" s="530"/>
      <c r="AS6" s="530"/>
      <c r="AT6" s="530"/>
      <c r="AU6" s="530"/>
      <c r="AV6" s="530"/>
      <c r="AW6" s="530"/>
      <c r="AX6" s="530"/>
      <c r="AY6" s="530"/>
      <c r="AZ6" s="530"/>
      <c r="BA6" s="530"/>
      <c r="BB6" s="530"/>
      <c r="BC6" s="530"/>
      <c r="BD6" s="530"/>
      <c r="BE6" s="530"/>
      <c r="BF6" s="530"/>
      <c r="BG6" s="530"/>
      <c r="BH6" s="530"/>
      <c r="BI6" s="530"/>
      <c r="BJ6" s="530"/>
      <c r="BK6" s="530"/>
      <c r="BL6" s="530"/>
      <c r="BM6" s="530"/>
      <c r="BN6" s="530"/>
      <c r="BO6" s="530"/>
    </row>
    <row r="7" s="8" customFormat="true" ht="14.4" hidden="false" customHeight="false" outlineLevel="0" collapsed="false">
      <c r="A7" s="499" t="s">
        <v>40</v>
      </c>
      <c r="B7" s="23" t="s">
        <v>137</v>
      </c>
      <c r="C7" s="23" t="s">
        <v>254</v>
      </c>
      <c r="D7" s="102" t="n">
        <v>0.114913887871015</v>
      </c>
      <c r="E7" s="297" t="n">
        <v>6475.8</v>
      </c>
      <c r="F7" s="23" t="n">
        <v>104</v>
      </c>
      <c r="G7" s="23" t="n">
        <v>101</v>
      </c>
      <c r="H7" s="160" t="n">
        <v>49.403998336</v>
      </c>
      <c r="I7" s="478" t="n">
        <v>70</v>
      </c>
      <c r="J7" s="481" t="s">
        <v>975</v>
      </c>
      <c r="K7" s="563" t="s">
        <v>844</v>
      </c>
      <c r="L7" s="481" t="s">
        <v>607</v>
      </c>
      <c r="M7" s="481" t="s">
        <v>747</v>
      </c>
      <c r="N7" s="481" t="s">
        <v>976</v>
      </c>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481"/>
      <c r="AQ7" s="530"/>
      <c r="AR7" s="530"/>
      <c r="AS7" s="530"/>
      <c r="AT7" s="530"/>
      <c r="AU7" s="530"/>
      <c r="AV7" s="530"/>
      <c r="AW7" s="530"/>
      <c r="AX7" s="530"/>
      <c r="AY7" s="530"/>
      <c r="AZ7" s="530"/>
      <c r="BA7" s="530"/>
      <c r="BB7" s="530"/>
      <c r="BC7" s="530"/>
      <c r="BD7" s="530"/>
      <c r="BE7" s="530"/>
      <c r="BF7" s="530"/>
      <c r="BG7" s="530"/>
      <c r="BH7" s="530"/>
      <c r="BI7" s="530"/>
      <c r="BJ7" s="530"/>
      <c r="BK7" s="530"/>
      <c r="BL7" s="530"/>
      <c r="BM7" s="530"/>
      <c r="BN7" s="530"/>
      <c r="BO7" s="530"/>
    </row>
    <row r="8" s="8" customFormat="true" ht="14.4" hidden="false" customHeight="false" outlineLevel="0" collapsed="false">
      <c r="A8" s="499" t="s">
        <v>264</v>
      </c>
      <c r="B8" s="23" t="s">
        <v>137</v>
      </c>
      <c r="C8" s="23" t="s">
        <v>254</v>
      </c>
      <c r="D8" s="102" t="n">
        <v>0.00227371308812927</v>
      </c>
      <c r="E8" s="297" t="n">
        <v>6355.4</v>
      </c>
      <c r="F8" s="23" t="n">
        <v>113</v>
      </c>
      <c r="G8" s="23" t="n">
        <v>101</v>
      </c>
      <c r="H8" s="160" t="n">
        <v>57.924179712</v>
      </c>
      <c r="I8" s="478" t="n">
        <v>70</v>
      </c>
      <c r="J8" s="481" t="s">
        <v>975</v>
      </c>
      <c r="K8" s="563" t="s">
        <v>844</v>
      </c>
      <c r="L8" s="481" t="s">
        <v>607</v>
      </c>
      <c r="M8" s="481" t="s">
        <v>747</v>
      </c>
      <c r="N8" s="481" t="s">
        <v>976</v>
      </c>
      <c r="O8" s="481"/>
      <c r="P8" s="481"/>
      <c r="Q8" s="481"/>
      <c r="R8" s="481"/>
      <c r="S8" s="481"/>
      <c r="T8" s="481"/>
      <c r="U8" s="481"/>
      <c r="V8" s="481"/>
      <c r="W8" s="481"/>
      <c r="X8" s="481"/>
      <c r="Y8" s="481"/>
      <c r="Z8" s="481"/>
      <c r="AA8" s="481"/>
      <c r="AB8" s="481"/>
      <c r="AC8" s="481"/>
      <c r="AD8" s="481"/>
      <c r="AE8" s="481"/>
      <c r="AF8" s="481"/>
      <c r="AG8" s="481"/>
      <c r="AH8" s="481"/>
      <c r="AI8" s="481"/>
      <c r="AJ8" s="481"/>
      <c r="AK8" s="481"/>
      <c r="AL8" s="481"/>
      <c r="AM8" s="481"/>
      <c r="AN8" s="481"/>
      <c r="AO8" s="481"/>
      <c r="AP8" s="481"/>
      <c r="AQ8" s="530"/>
      <c r="AR8" s="530"/>
      <c r="AS8" s="530"/>
      <c r="AT8" s="530"/>
      <c r="AU8" s="530"/>
      <c r="AV8" s="530"/>
      <c r="AW8" s="530"/>
      <c r="AX8" s="530"/>
      <c r="AY8" s="530"/>
      <c r="AZ8" s="530"/>
      <c r="BA8" s="530"/>
      <c r="BB8" s="530"/>
      <c r="BC8" s="530"/>
      <c r="BD8" s="530"/>
      <c r="BE8" s="530"/>
      <c r="BF8" s="530"/>
      <c r="BG8" s="530"/>
      <c r="BH8" s="530"/>
      <c r="BI8" s="530"/>
      <c r="BJ8" s="530"/>
      <c r="BK8" s="530"/>
      <c r="BL8" s="530"/>
      <c r="BM8" s="530"/>
      <c r="BN8" s="530"/>
      <c r="BO8" s="530"/>
    </row>
    <row r="9" s="8" customFormat="true" ht="14.4" hidden="false" customHeight="false" outlineLevel="0" collapsed="false">
      <c r="A9" s="499" t="s">
        <v>265</v>
      </c>
      <c r="B9" s="23" t="s">
        <v>137</v>
      </c>
      <c r="C9" s="23" t="s">
        <v>254</v>
      </c>
      <c r="D9" s="102" t="n">
        <v>0.0492653121958575</v>
      </c>
      <c r="E9" s="297" t="n">
        <v>5117</v>
      </c>
      <c r="F9" s="23" t="n">
        <v>93</v>
      </c>
      <c r="G9" s="23" t="n">
        <v>100</v>
      </c>
      <c r="H9" s="160" t="n">
        <v>47.79605376</v>
      </c>
      <c r="I9" s="478" t="n">
        <v>70</v>
      </c>
      <c r="J9" s="481" t="s">
        <v>975</v>
      </c>
      <c r="K9" s="563" t="s">
        <v>844</v>
      </c>
      <c r="L9" s="481" t="s">
        <v>607</v>
      </c>
      <c r="M9" s="481" t="s">
        <v>747</v>
      </c>
      <c r="N9" s="481" t="s">
        <v>976</v>
      </c>
      <c r="O9" s="481"/>
      <c r="P9" s="481"/>
      <c r="Q9" s="481"/>
      <c r="R9" s="481"/>
      <c r="S9" s="481"/>
      <c r="T9" s="481"/>
      <c r="U9" s="481"/>
      <c r="V9" s="481"/>
      <c r="W9" s="481"/>
      <c r="X9" s="481"/>
      <c r="Y9" s="481"/>
      <c r="Z9" s="481"/>
      <c r="AA9" s="481"/>
      <c r="AB9" s="481"/>
      <c r="AC9" s="481"/>
      <c r="AD9" s="481"/>
      <c r="AE9" s="481"/>
      <c r="AF9" s="481"/>
      <c r="AG9" s="481"/>
      <c r="AH9" s="481"/>
      <c r="AI9" s="481"/>
      <c r="AJ9" s="481"/>
      <c r="AK9" s="481"/>
      <c r="AL9" s="481"/>
      <c r="AM9" s="481"/>
      <c r="AN9" s="481"/>
      <c r="AO9" s="481"/>
      <c r="AP9" s="481"/>
      <c r="AQ9" s="530"/>
      <c r="AR9" s="530"/>
      <c r="AS9" s="530"/>
      <c r="AT9" s="530"/>
      <c r="AU9" s="530"/>
      <c r="AV9" s="530"/>
      <c r="AW9" s="530"/>
      <c r="AX9" s="530"/>
      <c r="AY9" s="530"/>
      <c r="AZ9" s="530"/>
      <c r="BA9" s="530"/>
      <c r="BB9" s="530"/>
      <c r="BC9" s="530"/>
      <c r="BD9" s="530"/>
      <c r="BE9" s="530"/>
      <c r="BF9" s="530"/>
      <c r="BG9" s="530"/>
      <c r="BH9" s="530"/>
      <c r="BI9" s="530"/>
      <c r="BJ9" s="530"/>
      <c r="BK9" s="530"/>
      <c r="BL9" s="530"/>
      <c r="BM9" s="530"/>
      <c r="BN9" s="530"/>
      <c r="BO9" s="530"/>
    </row>
    <row r="10" s="8" customFormat="true" ht="14.4" hidden="false" customHeight="false" outlineLevel="0" collapsed="false">
      <c r="A10" s="499" t="s">
        <v>53</v>
      </c>
      <c r="B10" s="23" t="s">
        <v>137</v>
      </c>
      <c r="C10" s="23" t="s">
        <v>254</v>
      </c>
      <c r="D10" s="102" t="n">
        <v>0.0515390252839868</v>
      </c>
      <c r="E10" s="297" t="n">
        <v>4495.65</v>
      </c>
      <c r="F10" s="23" t="n">
        <v>85</v>
      </c>
      <c r="G10" s="23" t="n">
        <v>99</v>
      </c>
      <c r="H10" s="160" t="n">
        <v>38.4930162</v>
      </c>
      <c r="I10" s="478" t="n">
        <v>70</v>
      </c>
      <c r="J10" s="481" t="s">
        <v>975</v>
      </c>
      <c r="K10" s="563" t="s">
        <v>844</v>
      </c>
      <c r="L10" s="481" t="s">
        <v>607</v>
      </c>
      <c r="M10" s="481" t="s">
        <v>747</v>
      </c>
      <c r="N10" s="481" t="s">
        <v>976</v>
      </c>
      <c r="O10" s="481"/>
      <c r="P10" s="481"/>
      <c r="Q10" s="481"/>
      <c r="R10" s="481"/>
      <c r="S10" s="481"/>
      <c r="T10" s="481"/>
      <c r="U10" s="481"/>
      <c r="V10" s="481"/>
      <c r="W10" s="481"/>
      <c r="X10" s="481"/>
      <c r="Y10" s="481"/>
      <c r="Z10" s="481"/>
      <c r="AA10" s="481"/>
      <c r="AB10" s="481"/>
      <c r="AC10" s="481"/>
      <c r="AD10" s="481"/>
      <c r="AE10" s="481"/>
      <c r="AF10" s="481"/>
      <c r="AG10" s="481"/>
      <c r="AH10" s="481"/>
      <c r="AI10" s="481"/>
      <c r="AJ10" s="481"/>
      <c r="AK10" s="481"/>
      <c r="AL10" s="481"/>
      <c r="AM10" s="481"/>
      <c r="AN10" s="481"/>
      <c r="AO10" s="481"/>
      <c r="AP10" s="481"/>
      <c r="AQ10" s="530"/>
      <c r="AR10" s="530"/>
      <c r="AS10" s="530"/>
      <c r="AT10" s="530"/>
      <c r="AU10" s="530"/>
      <c r="AV10" s="530"/>
      <c r="AW10" s="530"/>
      <c r="AX10" s="530"/>
      <c r="AY10" s="530"/>
      <c r="AZ10" s="530"/>
      <c r="BA10" s="530"/>
      <c r="BB10" s="530"/>
      <c r="BC10" s="530"/>
      <c r="BD10" s="530"/>
      <c r="BE10" s="530"/>
      <c r="BF10" s="530"/>
      <c r="BG10" s="530"/>
      <c r="BH10" s="530"/>
      <c r="BI10" s="530"/>
      <c r="BJ10" s="530"/>
      <c r="BK10" s="530"/>
      <c r="BL10" s="530"/>
      <c r="BM10" s="530"/>
      <c r="BN10" s="530"/>
      <c r="BO10" s="530"/>
    </row>
    <row r="11" s="686" customFormat="true" ht="14.4" hidden="false" customHeight="false" outlineLevel="0" collapsed="false">
      <c r="A11" s="497" t="s">
        <v>59</v>
      </c>
      <c r="B11" s="289" t="s">
        <v>273</v>
      </c>
      <c r="C11" s="289" t="s">
        <v>254</v>
      </c>
      <c r="D11" s="649" t="n">
        <v>0.19</v>
      </c>
      <c r="E11" s="289" t="n">
        <v>3121</v>
      </c>
      <c r="F11" s="289" t="n">
        <v>69</v>
      </c>
      <c r="G11" s="289" t="n">
        <v>0</v>
      </c>
      <c r="H11" s="685" t="n">
        <v>41.40230066</v>
      </c>
      <c r="I11" s="682" t="n">
        <v>200</v>
      </c>
      <c r="J11" s="481" t="s">
        <v>607</v>
      </c>
      <c r="K11" s="563" t="s">
        <v>977</v>
      </c>
      <c r="L11" s="481" t="s">
        <v>978</v>
      </c>
      <c r="M11" s="481" t="s">
        <v>747</v>
      </c>
      <c r="N11" s="481" t="s">
        <v>979</v>
      </c>
      <c r="O11" s="481"/>
      <c r="P11" s="481"/>
      <c r="Q11" s="481"/>
      <c r="R11" s="481"/>
      <c r="S11" s="481"/>
      <c r="T11" s="481"/>
      <c r="U11" s="481"/>
      <c r="V11" s="481"/>
      <c r="W11" s="481"/>
      <c r="X11" s="481"/>
      <c r="Y11" s="481"/>
      <c r="Z11" s="481"/>
      <c r="AA11" s="481"/>
      <c r="AB11" s="481"/>
      <c r="AC11" s="481"/>
      <c r="AD11" s="481"/>
      <c r="AE11" s="481"/>
      <c r="AF11" s="481"/>
      <c r="AG11" s="481"/>
      <c r="AH11" s="481"/>
      <c r="AI11" s="481"/>
      <c r="AJ11" s="481"/>
      <c r="AK11" s="481"/>
      <c r="AL11" s="481"/>
      <c r="AM11" s="481"/>
      <c r="AN11" s="481"/>
      <c r="AO11" s="481"/>
      <c r="AP11" s="481"/>
      <c r="AQ11" s="530"/>
      <c r="AR11" s="530"/>
      <c r="AS11" s="530"/>
      <c r="AT11" s="530"/>
      <c r="AU11" s="530"/>
      <c r="AV11" s="530"/>
      <c r="AW11" s="530"/>
      <c r="AX11" s="530"/>
      <c r="AY11" s="530"/>
      <c r="AZ11" s="530"/>
      <c r="BA11" s="530"/>
      <c r="BB11" s="530"/>
      <c r="BC11" s="530"/>
      <c r="BD11" s="530"/>
      <c r="BE11" s="530"/>
      <c r="BF11" s="530"/>
      <c r="BG11" s="530"/>
      <c r="BH11" s="530"/>
      <c r="BI11" s="530"/>
      <c r="BJ11" s="530"/>
      <c r="BK11" s="530"/>
      <c r="BL11" s="530"/>
      <c r="BM11" s="530"/>
      <c r="BN11" s="530"/>
      <c r="BO11" s="530"/>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row>
    <row r="12" customFormat="false" ht="14.4" hidden="false" customHeight="false" outlineLevel="0" collapsed="false">
      <c r="A12" s="499"/>
      <c r="B12" s="23" t="s">
        <v>274</v>
      </c>
      <c r="C12" s="23" t="s">
        <v>254</v>
      </c>
      <c r="D12" s="102" t="n">
        <v>0.14</v>
      </c>
      <c r="E12" s="23" t="n">
        <v>6452</v>
      </c>
      <c r="F12" s="687" t="n">
        <v>91.2230317045455</v>
      </c>
      <c r="G12" s="297" t="n">
        <v>18.8940954545454</v>
      </c>
      <c r="H12" s="688" t="n">
        <v>64.27114792</v>
      </c>
      <c r="I12" s="478" t="n">
        <v>200</v>
      </c>
      <c r="J12" s="481" t="s">
        <v>607</v>
      </c>
      <c r="K12" s="563" t="s">
        <v>977</v>
      </c>
      <c r="L12" s="481" t="s">
        <v>980</v>
      </c>
      <c r="M12" s="481" t="s">
        <v>747</v>
      </c>
      <c r="N12" s="481" t="s">
        <v>979</v>
      </c>
      <c r="O12" s="481"/>
      <c r="P12" s="481"/>
      <c r="Q12" s="481"/>
      <c r="R12" s="481"/>
      <c r="S12" s="481"/>
      <c r="T12" s="481"/>
      <c r="U12" s="481"/>
      <c r="V12" s="481"/>
      <c r="W12" s="481"/>
      <c r="X12" s="481"/>
      <c r="Y12" s="481"/>
      <c r="Z12" s="481"/>
      <c r="AA12" s="481"/>
      <c r="AB12" s="481"/>
      <c r="AC12" s="481"/>
      <c r="AD12" s="481"/>
      <c r="AE12" s="481"/>
      <c r="AF12" s="481"/>
      <c r="AG12" s="481"/>
      <c r="AH12" s="481"/>
      <c r="AI12" s="481"/>
      <c r="AJ12" s="481"/>
      <c r="AK12" s="481"/>
      <c r="AL12" s="481"/>
      <c r="AM12" s="481"/>
      <c r="AN12" s="481"/>
      <c r="AO12" s="481"/>
      <c r="AP12" s="481"/>
      <c r="AQ12" s="530"/>
      <c r="AR12" s="530"/>
      <c r="AS12" s="530"/>
      <c r="AT12" s="530"/>
      <c r="AU12" s="530"/>
      <c r="AV12" s="530"/>
      <c r="AW12" s="530"/>
      <c r="AX12" s="530"/>
      <c r="AY12" s="530"/>
      <c r="AZ12" s="530"/>
      <c r="BA12" s="530"/>
      <c r="BB12" s="530"/>
      <c r="BC12" s="530"/>
      <c r="BD12" s="530"/>
      <c r="BE12" s="530"/>
      <c r="BF12" s="530"/>
      <c r="BG12" s="530"/>
      <c r="BH12" s="530"/>
      <c r="BI12" s="530"/>
      <c r="BJ12" s="530"/>
      <c r="BK12" s="530"/>
      <c r="BL12" s="530"/>
      <c r="BM12" s="530"/>
      <c r="BN12" s="530"/>
      <c r="BO12" s="530"/>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row>
    <row r="13" customFormat="false" ht="14.4" hidden="false" customHeight="false" outlineLevel="0" collapsed="false">
      <c r="A13" s="499"/>
      <c r="B13" s="23" t="s">
        <v>171</v>
      </c>
      <c r="C13" s="23" t="s">
        <v>254</v>
      </c>
      <c r="D13" s="102" t="n">
        <v>0.67</v>
      </c>
      <c r="E13" s="23" t="n">
        <v>4535</v>
      </c>
      <c r="F13" s="297" t="n">
        <v>100.8</v>
      </c>
      <c r="G13" s="23" t="n">
        <v>0</v>
      </c>
      <c r="H13" s="688" t="n">
        <v>51.1100611</v>
      </c>
      <c r="I13" s="478" t="n">
        <v>200</v>
      </c>
      <c r="J13" s="481" t="s">
        <v>607</v>
      </c>
      <c r="K13" s="563" t="s">
        <v>977</v>
      </c>
      <c r="L13" s="481" t="s">
        <v>978</v>
      </c>
      <c r="M13" s="481" t="s">
        <v>747</v>
      </c>
      <c r="N13" s="481" t="s">
        <v>979</v>
      </c>
      <c r="O13" s="481"/>
      <c r="P13" s="481"/>
      <c r="Q13" s="481"/>
      <c r="R13" s="481"/>
      <c r="S13" s="481"/>
      <c r="T13" s="481"/>
      <c r="U13" s="481"/>
      <c r="V13" s="481"/>
      <c r="W13" s="481"/>
      <c r="X13" s="481"/>
      <c r="Y13" s="481"/>
      <c r="Z13" s="481"/>
      <c r="AA13" s="481"/>
      <c r="AB13" s="481"/>
      <c r="AC13" s="481"/>
      <c r="AD13" s="481"/>
      <c r="AE13" s="481"/>
      <c r="AF13" s="481"/>
      <c r="AG13" s="481"/>
      <c r="AH13" s="481"/>
      <c r="AI13" s="481"/>
      <c r="AJ13" s="481"/>
      <c r="AK13" s="481"/>
      <c r="AL13" s="481"/>
      <c r="AM13" s="481"/>
      <c r="AN13" s="481"/>
      <c r="AO13" s="481"/>
      <c r="AP13" s="481"/>
      <c r="AQ13" s="530"/>
      <c r="AR13" s="530"/>
      <c r="AS13" s="530"/>
      <c r="AT13" s="530"/>
      <c r="AU13" s="530"/>
      <c r="AV13" s="530"/>
      <c r="AW13" s="530"/>
      <c r="AX13" s="530"/>
      <c r="AY13" s="530"/>
      <c r="AZ13" s="530"/>
      <c r="BA13" s="530"/>
      <c r="BB13" s="530"/>
      <c r="BC13" s="530"/>
      <c r="BD13" s="530"/>
      <c r="BE13" s="530"/>
      <c r="BF13" s="530"/>
      <c r="BG13" s="530"/>
      <c r="BH13" s="530"/>
      <c r="BI13" s="530"/>
      <c r="BJ13" s="530"/>
      <c r="BK13" s="530"/>
      <c r="BL13" s="530"/>
      <c r="BM13" s="530"/>
      <c r="BN13" s="530"/>
      <c r="BO13" s="530"/>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row>
    <row r="14" s="686" customFormat="true" ht="14.4" hidden="false" customHeight="false" outlineLevel="0" collapsed="false">
      <c r="A14" s="497" t="s">
        <v>54</v>
      </c>
      <c r="B14" s="289" t="s">
        <v>137</v>
      </c>
      <c r="C14" s="289" t="s">
        <v>254</v>
      </c>
      <c r="D14" s="649" t="n">
        <v>0.76</v>
      </c>
      <c r="E14" s="289" t="n">
        <v>30456</v>
      </c>
      <c r="F14" s="289" t="n">
        <v>109</v>
      </c>
      <c r="G14" s="289" t="n">
        <v>108</v>
      </c>
      <c r="H14" s="685" t="n">
        <v>37.7146976</v>
      </c>
      <c r="I14" s="682" t="n">
        <v>140</v>
      </c>
      <c r="J14" s="481" t="s">
        <v>981</v>
      </c>
      <c r="K14" s="563" t="s">
        <v>844</v>
      </c>
      <c r="L14" s="481" t="s">
        <v>607</v>
      </c>
      <c r="M14" s="481" t="s">
        <v>747</v>
      </c>
      <c r="N14" s="481" t="s">
        <v>976</v>
      </c>
      <c r="O14" s="481"/>
      <c r="P14" s="481"/>
      <c r="Q14" s="481"/>
      <c r="R14" s="481"/>
      <c r="S14" s="481"/>
      <c r="T14" s="481"/>
      <c r="U14" s="481"/>
      <c r="V14" s="481"/>
      <c r="W14" s="481"/>
      <c r="X14" s="481"/>
      <c r="Y14" s="481"/>
      <c r="Z14" s="481"/>
      <c r="AA14" s="481"/>
      <c r="AB14" s="481"/>
      <c r="AC14" s="481"/>
      <c r="AD14" s="481"/>
      <c r="AE14" s="481"/>
      <c r="AF14" s="481"/>
      <c r="AG14" s="481"/>
      <c r="AH14" s="481"/>
      <c r="AI14" s="481"/>
      <c r="AJ14" s="481"/>
      <c r="AK14" s="481"/>
      <c r="AL14" s="481"/>
      <c r="AM14" s="481"/>
      <c r="AN14" s="481"/>
      <c r="AO14" s="481"/>
      <c r="AP14" s="481"/>
      <c r="AQ14" s="530"/>
      <c r="AR14" s="530"/>
      <c r="AS14" s="530"/>
      <c r="AT14" s="530"/>
      <c r="AU14" s="530"/>
      <c r="AV14" s="530"/>
      <c r="AW14" s="530"/>
      <c r="AX14" s="530"/>
      <c r="AY14" s="530"/>
      <c r="AZ14" s="530"/>
      <c r="BA14" s="530"/>
      <c r="BB14" s="530"/>
      <c r="BC14" s="530"/>
      <c r="BD14" s="530"/>
      <c r="BE14" s="530"/>
      <c r="BF14" s="530"/>
      <c r="BG14" s="530"/>
      <c r="BH14" s="530"/>
      <c r="BI14" s="530"/>
      <c r="BJ14" s="530"/>
      <c r="BK14" s="530"/>
      <c r="BL14" s="530"/>
      <c r="BM14" s="530"/>
      <c r="BN14" s="530"/>
      <c r="BO14" s="530"/>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row>
    <row r="15" customFormat="false" ht="14.4" hidden="false" customHeight="false" outlineLevel="0" collapsed="false">
      <c r="A15" s="499"/>
      <c r="B15" s="23" t="s">
        <v>139</v>
      </c>
      <c r="C15" s="23" t="s">
        <v>254</v>
      </c>
      <c r="D15" s="102" t="n">
        <v>0.15</v>
      </c>
      <c r="E15" s="23" t="n">
        <v>41442</v>
      </c>
      <c r="F15" s="297" t="n">
        <v>159.247170572967</v>
      </c>
      <c r="G15" s="23" t="n">
        <v>0</v>
      </c>
      <c r="H15" s="688" t="n">
        <v>42.9835832</v>
      </c>
      <c r="I15" s="478" t="n">
        <v>140</v>
      </c>
      <c r="J15" s="481" t="s">
        <v>607</v>
      </c>
      <c r="K15" s="563" t="s">
        <v>977</v>
      </c>
      <c r="L15" s="481" t="s">
        <v>982</v>
      </c>
      <c r="M15" s="481" t="s">
        <v>747</v>
      </c>
      <c r="N15" s="481" t="s">
        <v>976</v>
      </c>
      <c r="O15" s="481"/>
      <c r="P15" s="481"/>
      <c r="Q15" s="481"/>
      <c r="R15" s="481"/>
      <c r="S15" s="481"/>
      <c r="T15" s="481"/>
      <c r="U15" s="481"/>
      <c r="V15" s="481"/>
      <c r="W15" s="481"/>
      <c r="X15" s="481"/>
      <c r="Y15" s="481"/>
      <c r="Z15" s="481"/>
      <c r="AA15" s="481"/>
      <c r="AB15" s="481"/>
      <c r="AC15" s="481"/>
      <c r="AD15" s="481"/>
      <c r="AE15" s="481"/>
      <c r="AF15" s="481"/>
      <c r="AG15" s="481"/>
      <c r="AH15" s="481"/>
      <c r="AI15" s="481"/>
      <c r="AJ15" s="481"/>
      <c r="AK15" s="481"/>
      <c r="AL15" s="481"/>
      <c r="AM15" s="481"/>
      <c r="AN15" s="481"/>
      <c r="AO15" s="481"/>
      <c r="AP15" s="481"/>
      <c r="AQ15" s="530"/>
      <c r="AR15" s="530"/>
      <c r="AS15" s="530"/>
      <c r="AT15" s="530"/>
      <c r="AU15" s="530"/>
      <c r="AV15" s="530"/>
      <c r="AW15" s="530"/>
      <c r="AX15" s="530"/>
      <c r="AY15" s="530"/>
      <c r="AZ15" s="530"/>
      <c r="BA15" s="530"/>
      <c r="BB15" s="530"/>
      <c r="BC15" s="530"/>
      <c r="BD15" s="530"/>
      <c r="BE15" s="530"/>
      <c r="BF15" s="530"/>
      <c r="BG15" s="530"/>
      <c r="BH15" s="530"/>
      <c r="BI15" s="530"/>
      <c r="BJ15" s="530"/>
      <c r="BK15" s="530"/>
      <c r="BL15" s="530"/>
      <c r="BM15" s="530"/>
      <c r="BN15" s="530"/>
      <c r="BO15" s="530"/>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row>
    <row r="16" customFormat="false" ht="14.4" hidden="false" customHeight="false" outlineLevel="0" collapsed="false">
      <c r="A16" s="499"/>
      <c r="B16" s="23" t="s">
        <v>141</v>
      </c>
      <c r="C16" s="23" t="s">
        <v>254</v>
      </c>
      <c r="D16" s="102" t="n">
        <v>0.09</v>
      </c>
      <c r="E16" s="23" t="n">
        <v>20741</v>
      </c>
      <c r="F16" s="23" t="n">
        <v>125</v>
      </c>
      <c r="G16" s="23" t="n">
        <v>0</v>
      </c>
      <c r="H16" s="688" t="n">
        <v>33.0553836</v>
      </c>
      <c r="I16" s="478" t="n">
        <v>140</v>
      </c>
      <c r="J16" s="481" t="s">
        <v>607</v>
      </c>
      <c r="K16" s="563" t="s">
        <v>977</v>
      </c>
      <c r="L16" s="481" t="s">
        <v>983</v>
      </c>
      <c r="M16" s="481" t="s">
        <v>747</v>
      </c>
      <c r="N16" s="481" t="s">
        <v>976</v>
      </c>
      <c r="O16" s="481"/>
      <c r="P16" s="481"/>
      <c r="Q16" s="481"/>
      <c r="R16" s="481"/>
      <c r="S16" s="481"/>
      <c r="T16" s="481"/>
      <c r="U16" s="481"/>
      <c r="V16" s="481"/>
      <c r="W16" s="481"/>
      <c r="X16" s="481"/>
      <c r="Y16" s="481"/>
      <c r="Z16" s="481"/>
      <c r="AA16" s="481"/>
      <c r="AB16" s="481"/>
      <c r="AC16" s="481"/>
      <c r="AD16" s="481"/>
      <c r="AE16" s="481"/>
      <c r="AF16" s="481"/>
      <c r="AG16" s="481"/>
      <c r="AH16" s="481"/>
      <c r="AI16" s="481"/>
      <c r="AJ16" s="481"/>
      <c r="AK16" s="481"/>
      <c r="AL16" s="481"/>
      <c r="AM16" s="481"/>
      <c r="AN16" s="481"/>
      <c r="AO16" s="481"/>
      <c r="AP16" s="481"/>
      <c r="AQ16" s="530"/>
      <c r="AR16" s="530"/>
      <c r="AS16" s="530"/>
      <c r="AT16" s="530"/>
      <c r="AU16" s="530"/>
      <c r="AV16" s="530"/>
      <c r="AW16" s="530"/>
      <c r="AX16" s="530"/>
      <c r="AY16" s="530"/>
      <c r="AZ16" s="530"/>
      <c r="BA16" s="530"/>
      <c r="BB16" s="530"/>
      <c r="BC16" s="530"/>
      <c r="BD16" s="530"/>
      <c r="BE16" s="530"/>
      <c r="BF16" s="530"/>
      <c r="BG16" s="530"/>
      <c r="BH16" s="530"/>
      <c r="BI16" s="530"/>
      <c r="BJ16" s="530"/>
      <c r="BK16" s="530"/>
      <c r="BL16" s="530"/>
      <c r="BM16" s="530"/>
      <c r="BN16" s="530"/>
      <c r="BO16" s="530"/>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row>
    <row r="17" customFormat="false" ht="14.4" hidden="false" customHeight="false" outlineLevel="0" collapsed="false">
      <c r="A17" s="497" t="s">
        <v>984</v>
      </c>
      <c r="B17" s="289"/>
      <c r="C17" s="289"/>
      <c r="D17" s="649"/>
      <c r="E17" s="289"/>
      <c r="F17" s="289"/>
      <c r="G17" s="289"/>
      <c r="H17" s="685"/>
      <c r="I17" s="682"/>
      <c r="J17" s="481"/>
      <c r="K17" s="563"/>
      <c r="L17" s="481"/>
      <c r="M17" s="481" t="s">
        <v>747</v>
      </c>
      <c r="N17" s="481"/>
      <c r="O17" s="481"/>
      <c r="P17" s="481"/>
      <c r="Q17" s="481"/>
      <c r="R17" s="481"/>
      <c r="S17" s="481"/>
      <c r="T17" s="481"/>
      <c r="U17" s="481"/>
      <c r="V17" s="481"/>
      <c r="W17" s="481"/>
      <c r="X17" s="481"/>
      <c r="Y17" s="481"/>
      <c r="Z17" s="481"/>
      <c r="AA17" s="481"/>
      <c r="AB17" s="481"/>
      <c r="AC17" s="481"/>
      <c r="AD17" s="481"/>
      <c r="AE17" s="481"/>
      <c r="AF17" s="481"/>
      <c r="AG17" s="481"/>
      <c r="AH17" s="481"/>
      <c r="AI17" s="481"/>
      <c r="AJ17" s="481"/>
      <c r="AK17" s="481"/>
      <c r="AL17" s="481"/>
      <c r="AM17" s="481"/>
      <c r="AN17" s="481"/>
      <c r="AO17" s="481"/>
      <c r="AP17" s="481"/>
      <c r="AQ17" s="530"/>
      <c r="AR17" s="530"/>
      <c r="AS17" s="530"/>
      <c r="AT17" s="530"/>
      <c r="AU17" s="530"/>
      <c r="AV17" s="530"/>
      <c r="AW17" s="530"/>
      <c r="AX17" s="530"/>
      <c r="AY17" s="530"/>
      <c r="AZ17" s="530"/>
      <c r="BA17" s="530"/>
      <c r="BB17" s="530"/>
      <c r="BC17" s="530"/>
      <c r="BD17" s="530"/>
      <c r="BE17" s="530"/>
      <c r="BF17" s="530"/>
      <c r="BG17" s="530"/>
      <c r="BH17" s="530"/>
      <c r="BI17" s="530"/>
      <c r="BJ17" s="530"/>
      <c r="BK17" s="530"/>
      <c r="BL17" s="530"/>
      <c r="BM17" s="530"/>
      <c r="BN17" s="530"/>
      <c r="BO17" s="530"/>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row>
    <row r="18" s="686" customFormat="true" ht="14.4" hidden="false" customHeight="false" outlineLevel="0" collapsed="false">
      <c r="A18" s="499" t="s">
        <v>278</v>
      </c>
      <c r="B18" s="23" t="s">
        <v>137</v>
      </c>
      <c r="C18" s="23" t="s">
        <v>254</v>
      </c>
      <c r="D18" s="102" t="n">
        <v>0.739216861934941</v>
      </c>
      <c r="E18" s="23" t="n">
        <v>3783</v>
      </c>
      <c r="F18" s="23" t="n">
        <v>169</v>
      </c>
      <c r="G18" s="23" t="n">
        <v>107</v>
      </c>
      <c r="H18" s="160" t="n">
        <v>34.073106144</v>
      </c>
      <c r="I18" s="478" t="n">
        <v>70</v>
      </c>
      <c r="J18" s="481" t="s">
        <v>607</v>
      </c>
      <c r="K18" s="563" t="s">
        <v>844</v>
      </c>
      <c r="L18" s="481" t="s">
        <v>607</v>
      </c>
      <c r="M18" s="481" t="s">
        <v>747</v>
      </c>
      <c r="N18" s="481" t="s">
        <v>976</v>
      </c>
      <c r="O18" s="481"/>
      <c r="P18" s="481"/>
      <c r="Q18" s="481"/>
      <c r="R18" s="481"/>
      <c r="S18" s="481"/>
      <c r="T18" s="481"/>
      <c r="U18" s="481"/>
      <c r="V18" s="481"/>
      <c r="W18" s="481"/>
      <c r="X18" s="481"/>
      <c r="Y18" s="481"/>
      <c r="Z18" s="481"/>
      <c r="AA18" s="481"/>
      <c r="AB18" s="481"/>
      <c r="AC18" s="481"/>
      <c r="AD18" s="481"/>
      <c r="AE18" s="481"/>
      <c r="AF18" s="481"/>
      <c r="AG18" s="481"/>
      <c r="AH18" s="481"/>
      <c r="AI18" s="481"/>
      <c r="AJ18" s="481"/>
      <c r="AK18" s="481"/>
      <c r="AL18" s="481"/>
      <c r="AM18" s="481"/>
      <c r="AN18" s="481"/>
      <c r="AO18" s="481"/>
      <c r="AP18" s="481"/>
      <c r="AQ18" s="530"/>
      <c r="AR18" s="530"/>
      <c r="AS18" s="530"/>
      <c r="AT18" s="530"/>
      <c r="AU18" s="530"/>
      <c r="AV18" s="530"/>
      <c r="AW18" s="530"/>
      <c r="AX18" s="530"/>
      <c r="AY18" s="530"/>
      <c r="AZ18" s="530"/>
      <c r="BA18" s="530"/>
      <c r="BB18" s="530"/>
      <c r="BC18" s="530"/>
      <c r="BD18" s="530"/>
      <c r="BE18" s="530"/>
      <c r="BF18" s="530"/>
      <c r="BG18" s="530"/>
      <c r="BH18" s="530"/>
      <c r="BI18" s="530"/>
      <c r="BJ18" s="530"/>
      <c r="BK18" s="530"/>
      <c r="BL18" s="530"/>
      <c r="BM18" s="530"/>
      <c r="BN18" s="530"/>
      <c r="BO18" s="530"/>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row>
    <row r="19" s="686" customFormat="true" ht="14.4" hidden="false" customHeight="false" outlineLevel="0" collapsed="false">
      <c r="A19" s="499" t="s">
        <v>279</v>
      </c>
      <c r="B19" s="23" t="s">
        <v>137</v>
      </c>
      <c r="C19" s="23" t="s">
        <v>254</v>
      </c>
      <c r="D19" s="102" t="n">
        <v>0.231315598836437</v>
      </c>
      <c r="E19" s="23" t="n">
        <v>2090</v>
      </c>
      <c r="F19" s="23" t="n">
        <v>111</v>
      </c>
      <c r="G19" s="23" t="n">
        <v>107</v>
      </c>
      <c r="H19" s="160" t="n">
        <v>21.963820032</v>
      </c>
      <c r="I19" s="478" t="n">
        <v>70</v>
      </c>
      <c r="J19" s="481" t="s">
        <v>607</v>
      </c>
      <c r="K19" s="563" t="s">
        <v>844</v>
      </c>
      <c r="L19" s="481" t="s">
        <v>607</v>
      </c>
      <c r="M19" s="481" t="s">
        <v>747</v>
      </c>
      <c r="N19" s="481" t="s">
        <v>976</v>
      </c>
      <c r="O19" s="481"/>
      <c r="P19" s="481"/>
      <c r="Q19" s="481"/>
      <c r="R19" s="481"/>
      <c r="S19" s="481"/>
      <c r="T19" s="481"/>
      <c r="U19" s="481"/>
      <c r="V19" s="481"/>
      <c r="W19" s="481"/>
      <c r="X19" s="481"/>
      <c r="Y19" s="481"/>
      <c r="Z19" s="481"/>
      <c r="AA19" s="481"/>
      <c r="AB19" s="481"/>
      <c r="AC19" s="481"/>
      <c r="AD19" s="481"/>
      <c r="AE19" s="481"/>
      <c r="AF19" s="481"/>
      <c r="AG19" s="481"/>
      <c r="AH19" s="481"/>
      <c r="AI19" s="481"/>
      <c r="AJ19" s="481"/>
      <c r="AK19" s="481"/>
      <c r="AL19" s="481"/>
      <c r="AM19" s="481"/>
      <c r="AN19" s="481"/>
      <c r="AO19" s="481"/>
      <c r="AP19" s="481"/>
      <c r="AQ19" s="530"/>
      <c r="AR19" s="530"/>
      <c r="AS19" s="530"/>
      <c r="AT19" s="530"/>
      <c r="AU19" s="530"/>
      <c r="AV19" s="530"/>
      <c r="AW19" s="530"/>
      <c r="AX19" s="530"/>
      <c r="AY19" s="530"/>
      <c r="AZ19" s="530"/>
      <c r="BA19" s="530"/>
      <c r="BB19" s="530"/>
      <c r="BC19" s="530"/>
      <c r="BD19" s="530"/>
      <c r="BE19" s="530"/>
      <c r="BF19" s="530"/>
      <c r="BG19" s="530"/>
      <c r="BH19" s="530"/>
      <c r="BI19" s="530"/>
      <c r="BJ19" s="530"/>
      <c r="BK19" s="530"/>
      <c r="BL19" s="530"/>
      <c r="BM19" s="530"/>
      <c r="BN19" s="530"/>
      <c r="BO19" s="530"/>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row>
    <row r="20" s="686" customFormat="true" ht="14.4" hidden="false" customHeight="false" outlineLevel="0" collapsed="false">
      <c r="A20" s="499" t="s">
        <v>280</v>
      </c>
      <c r="B20" s="23" t="s">
        <v>141</v>
      </c>
      <c r="C20" s="23" t="s">
        <v>254</v>
      </c>
      <c r="D20" s="102" t="n">
        <v>0.0294675392286227</v>
      </c>
      <c r="E20" s="297" t="n">
        <v>2826.56</v>
      </c>
      <c r="F20" s="297" t="n">
        <v>134.243552279485</v>
      </c>
      <c r="G20" s="23" t="n">
        <v>0</v>
      </c>
      <c r="H20" s="160" t="n">
        <v>28.65806608896</v>
      </c>
      <c r="I20" s="478" t="n">
        <v>70</v>
      </c>
      <c r="J20" s="481" t="s">
        <v>607</v>
      </c>
      <c r="K20" s="563" t="s">
        <v>977</v>
      </c>
      <c r="L20" s="481" t="s">
        <v>985</v>
      </c>
      <c r="M20" s="481" t="s">
        <v>747</v>
      </c>
      <c r="N20" s="481" t="s">
        <v>976</v>
      </c>
      <c r="O20" s="481"/>
      <c r="P20" s="481"/>
      <c r="Q20" s="481"/>
      <c r="R20" s="481"/>
      <c r="S20" s="481"/>
      <c r="T20" s="481"/>
      <c r="U20" s="481"/>
      <c r="V20" s="481"/>
      <c r="W20" s="481"/>
      <c r="X20" s="481"/>
      <c r="Y20" s="481"/>
      <c r="Z20" s="481"/>
      <c r="AA20" s="481"/>
      <c r="AB20" s="481"/>
      <c r="AC20" s="481"/>
      <c r="AD20" s="481"/>
      <c r="AE20" s="481"/>
      <c r="AF20" s="481"/>
      <c r="AG20" s="481"/>
      <c r="AH20" s="481"/>
      <c r="AI20" s="481"/>
      <c r="AJ20" s="481"/>
      <c r="AK20" s="481"/>
      <c r="AL20" s="481"/>
      <c r="AM20" s="481"/>
      <c r="AN20" s="481"/>
      <c r="AO20" s="481"/>
      <c r="AP20" s="481"/>
      <c r="AQ20" s="530"/>
      <c r="AR20" s="530"/>
      <c r="AS20" s="530"/>
      <c r="AT20" s="530"/>
      <c r="AU20" s="530"/>
      <c r="AV20" s="530"/>
      <c r="AW20" s="530"/>
      <c r="AX20" s="530"/>
      <c r="AY20" s="530"/>
      <c r="AZ20" s="530"/>
      <c r="BA20" s="530"/>
      <c r="BB20" s="530"/>
      <c r="BC20" s="530"/>
      <c r="BD20" s="530"/>
      <c r="BE20" s="530"/>
      <c r="BF20" s="530"/>
      <c r="BG20" s="530"/>
      <c r="BH20" s="530"/>
      <c r="BI20" s="530"/>
      <c r="BJ20" s="530"/>
      <c r="BK20" s="530"/>
      <c r="BL20" s="530"/>
      <c r="BM20" s="530"/>
      <c r="BN20" s="530"/>
      <c r="BO20" s="530"/>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row>
    <row r="21" s="686" customFormat="true" ht="14.4" hidden="false" customHeight="false" outlineLevel="0" collapsed="false">
      <c r="A21" s="497" t="s">
        <v>986</v>
      </c>
      <c r="B21" s="289" t="s">
        <v>137</v>
      </c>
      <c r="C21" s="289" t="s">
        <v>254</v>
      </c>
      <c r="D21" s="649" t="n">
        <v>1</v>
      </c>
      <c r="E21" s="289" t="n">
        <v>64140</v>
      </c>
      <c r="F21" s="289" t="n">
        <v>108</v>
      </c>
      <c r="G21" s="289" t="n">
        <v>107</v>
      </c>
      <c r="H21" s="685" t="n">
        <v>53.869544</v>
      </c>
      <c r="I21" s="682" t="n">
        <v>140</v>
      </c>
      <c r="J21" s="481" t="s">
        <v>981</v>
      </c>
      <c r="K21" s="563" t="s">
        <v>844</v>
      </c>
      <c r="L21" s="481" t="s">
        <v>607</v>
      </c>
      <c r="M21" s="481" t="s">
        <v>747</v>
      </c>
      <c r="N21" s="481" t="s">
        <v>976</v>
      </c>
      <c r="O21" s="481"/>
      <c r="P21" s="481"/>
      <c r="Q21" s="481"/>
      <c r="R21" s="481"/>
      <c r="S21" s="481"/>
      <c r="T21" s="481"/>
      <c r="U21" s="481"/>
      <c r="V21" s="481"/>
      <c r="W21" s="481"/>
      <c r="X21" s="481"/>
      <c r="Y21" s="481"/>
      <c r="Z21" s="481"/>
      <c r="AA21" s="481"/>
      <c r="AB21" s="481"/>
      <c r="AC21" s="481"/>
      <c r="AD21" s="481"/>
      <c r="AE21" s="481"/>
      <c r="AF21" s="481"/>
      <c r="AG21" s="481"/>
      <c r="AH21" s="481"/>
      <c r="AI21" s="481"/>
      <c r="AJ21" s="481"/>
      <c r="AK21" s="481"/>
      <c r="AL21" s="481"/>
      <c r="AM21" s="481"/>
      <c r="AN21" s="481"/>
      <c r="AO21" s="481"/>
      <c r="AP21" s="481"/>
      <c r="AQ21" s="530"/>
      <c r="AR21" s="530"/>
      <c r="AS21" s="530"/>
      <c r="AT21" s="530"/>
      <c r="AU21" s="530"/>
      <c r="AV21" s="530"/>
      <c r="AW21" s="530"/>
      <c r="AX21" s="530"/>
      <c r="AY21" s="530"/>
      <c r="AZ21" s="530"/>
      <c r="BA21" s="530"/>
      <c r="BB21" s="530"/>
      <c r="BC21" s="530"/>
      <c r="BD21" s="530"/>
      <c r="BE21" s="530"/>
      <c r="BF21" s="530"/>
      <c r="BG21" s="530"/>
      <c r="BH21" s="530"/>
      <c r="BI21" s="530"/>
      <c r="BJ21" s="530"/>
      <c r="BK21" s="530"/>
      <c r="BL21" s="530"/>
      <c r="BM21" s="530"/>
      <c r="BN21" s="530"/>
      <c r="BO21" s="530"/>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row>
    <row r="22" s="8" customFormat="true" ht="14.4" hidden="false" customHeight="false" outlineLevel="0" collapsed="false">
      <c r="A22" s="499"/>
      <c r="B22" s="23"/>
      <c r="C22" s="23"/>
      <c r="D22" s="102"/>
      <c r="E22" s="23"/>
      <c r="F22" s="23"/>
      <c r="G22" s="23"/>
      <c r="H22" s="160"/>
      <c r="I22" s="478"/>
      <c r="J22" s="481"/>
      <c r="K22" s="563"/>
      <c r="L22" s="481"/>
      <c r="M22" s="481"/>
      <c r="N22" s="481"/>
      <c r="O22" s="481"/>
      <c r="P22" s="481"/>
      <c r="Q22" s="481"/>
      <c r="R22" s="481"/>
      <c r="S22" s="481"/>
      <c r="T22" s="481"/>
      <c r="U22" s="481"/>
      <c r="V22" s="481"/>
      <c r="W22" s="481"/>
      <c r="X22" s="481"/>
      <c r="Y22" s="481"/>
      <c r="Z22" s="481"/>
      <c r="AA22" s="481"/>
      <c r="AB22" s="481"/>
      <c r="AC22" s="481"/>
      <c r="AD22" s="481"/>
      <c r="AE22" s="481"/>
      <c r="AF22" s="481"/>
      <c r="AG22" s="481"/>
      <c r="AH22" s="481"/>
      <c r="AI22" s="481"/>
      <c r="AJ22" s="481"/>
      <c r="AK22" s="481"/>
      <c r="AL22" s="481"/>
      <c r="AM22" s="481"/>
      <c r="AN22" s="481"/>
      <c r="AO22" s="481"/>
      <c r="AP22" s="481"/>
      <c r="AQ22" s="530"/>
      <c r="AR22" s="530"/>
      <c r="AS22" s="530"/>
      <c r="AT22" s="530"/>
      <c r="AU22" s="530"/>
      <c r="AV22" s="530"/>
      <c r="AW22" s="530"/>
      <c r="AX22" s="530"/>
      <c r="AY22" s="530"/>
      <c r="AZ22" s="530"/>
      <c r="BA22" s="530"/>
      <c r="BB22" s="530"/>
      <c r="BC22" s="530"/>
      <c r="BD22" s="530"/>
      <c r="BE22" s="530"/>
      <c r="BF22" s="530"/>
      <c r="BG22" s="530"/>
      <c r="BH22" s="530"/>
      <c r="BI22" s="530"/>
      <c r="BJ22" s="530"/>
      <c r="BK22" s="530"/>
      <c r="BL22" s="530"/>
      <c r="BM22" s="530"/>
      <c r="BN22" s="530"/>
      <c r="BO22" s="530"/>
    </row>
    <row r="23" s="686" customFormat="true" ht="14.4" hidden="false" customHeight="false" outlineLevel="0" collapsed="false">
      <c r="A23" s="497" t="s">
        <v>27</v>
      </c>
      <c r="B23" s="289" t="s">
        <v>137</v>
      </c>
      <c r="C23" s="289" t="s">
        <v>291</v>
      </c>
      <c r="D23" s="649" t="n">
        <v>0.14</v>
      </c>
      <c r="E23" s="289" t="n">
        <v>386377</v>
      </c>
      <c r="F23" s="689" t="n">
        <v>1152.35245614035</v>
      </c>
      <c r="G23" s="289" t="n">
        <v>0</v>
      </c>
      <c r="H23" s="289" t="n">
        <v>0</v>
      </c>
      <c r="I23" s="665" t="n">
        <v>0</v>
      </c>
      <c r="J23" s="481" t="s">
        <v>987</v>
      </c>
      <c r="K23" s="563" t="s">
        <v>844</v>
      </c>
      <c r="L23" s="618" t="s">
        <v>988</v>
      </c>
      <c r="M23" s="618"/>
      <c r="N23" s="618"/>
      <c r="O23" s="618"/>
      <c r="P23" s="618"/>
      <c r="Q23" s="618"/>
      <c r="R23" s="618"/>
      <c r="S23" s="481"/>
      <c r="T23" s="618"/>
      <c r="U23" s="481"/>
      <c r="V23" s="481"/>
      <c r="W23" s="481"/>
      <c r="X23" s="481"/>
      <c r="Y23" s="481"/>
      <c r="Z23" s="481"/>
      <c r="AA23" s="481"/>
      <c r="AB23" s="481"/>
      <c r="AC23" s="481"/>
      <c r="AD23" s="481"/>
      <c r="AE23" s="481"/>
      <c r="AF23" s="481"/>
      <c r="AG23" s="481"/>
      <c r="AH23" s="481"/>
      <c r="AI23" s="481"/>
      <c r="AJ23" s="481"/>
      <c r="AK23" s="481"/>
      <c r="AL23" s="481"/>
      <c r="AM23" s="481"/>
      <c r="AN23" s="481"/>
      <c r="AO23" s="481"/>
      <c r="AP23" s="481"/>
      <c r="AQ23" s="530"/>
      <c r="AR23" s="530"/>
      <c r="AS23" s="530"/>
      <c r="AT23" s="530"/>
      <c r="AU23" s="530"/>
      <c r="AV23" s="530"/>
      <c r="AW23" s="530"/>
      <c r="AX23" s="530"/>
      <c r="AY23" s="530"/>
      <c r="AZ23" s="530"/>
      <c r="BA23" s="530"/>
      <c r="BB23" s="530"/>
      <c r="BC23" s="530"/>
      <c r="BD23" s="530"/>
      <c r="BE23" s="530"/>
      <c r="BF23" s="530"/>
      <c r="BG23" s="530"/>
      <c r="BH23" s="530"/>
      <c r="BI23" s="530"/>
      <c r="BJ23" s="530"/>
      <c r="BK23" s="530"/>
      <c r="BL23" s="530"/>
      <c r="BM23" s="530"/>
      <c r="BN23" s="530"/>
      <c r="BO23" s="530"/>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row>
    <row r="24" customFormat="false" ht="14.4" hidden="false" customHeight="false" outlineLevel="0" collapsed="false">
      <c r="A24" s="499"/>
      <c r="B24" s="23" t="s">
        <v>187</v>
      </c>
      <c r="C24" s="23" t="s">
        <v>291</v>
      </c>
      <c r="D24" s="102" t="n">
        <v>0.56</v>
      </c>
      <c r="E24" s="23" t="n">
        <v>486028</v>
      </c>
      <c r="F24" s="23" t="n">
        <v>1031</v>
      </c>
      <c r="G24" s="23" t="n">
        <v>0</v>
      </c>
      <c r="H24" s="23" t="n">
        <v>0</v>
      </c>
      <c r="I24" s="382" t="n">
        <v>0</v>
      </c>
      <c r="J24" s="481" t="s">
        <v>989</v>
      </c>
      <c r="K24" s="563" t="s">
        <v>977</v>
      </c>
      <c r="L24" s="618" t="s">
        <v>990</v>
      </c>
      <c r="M24" s="481"/>
      <c r="N24" s="481"/>
      <c r="O24" s="401"/>
      <c r="P24" s="481"/>
      <c r="Q24" s="481"/>
      <c r="R24" s="481"/>
      <c r="S24" s="481"/>
      <c r="T24" s="481"/>
      <c r="U24" s="481"/>
      <c r="V24" s="481"/>
      <c r="W24" s="481"/>
      <c r="X24" s="481"/>
      <c r="Y24" s="481"/>
      <c r="Z24" s="481"/>
      <c r="AA24" s="481"/>
      <c r="AB24" s="481"/>
      <c r="AC24" s="481"/>
      <c r="AD24" s="481"/>
      <c r="AE24" s="481"/>
      <c r="AF24" s="481"/>
      <c r="AG24" s="481"/>
      <c r="AH24" s="481"/>
      <c r="AI24" s="481"/>
      <c r="AJ24" s="481"/>
      <c r="AK24" s="481"/>
      <c r="AL24" s="481"/>
      <c r="AM24" s="481"/>
      <c r="AN24" s="481"/>
      <c r="AO24" s="481"/>
      <c r="AP24" s="481"/>
      <c r="AQ24" s="530"/>
      <c r="AR24" s="530"/>
      <c r="AS24" s="530"/>
      <c r="AT24" s="530"/>
      <c r="AU24" s="530"/>
      <c r="AV24" s="530"/>
      <c r="AW24" s="530"/>
      <c r="AX24" s="530"/>
      <c r="AY24" s="530"/>
      <c r="AZ24" s="530"/>
      <c r="BA24" s="530"/>
      <c r="BB24" s="530"/>
      <c r="BC24" s="530"/>
      <c r="BD24" s="530"/>
      <c r="BE24" s="530"/>
      <c r="BF24" s="530"/>
      <c r="BG24" s="530"/>
      <c r="BH24" s="530"/>
      <c r="BI24" s="530"/>
      <c r="BJ24" s="530"/>
      <c r="BK24" s="530"/>
      <c r="BL24" s="530"/>
      <c r="BM24" s="530"/>
      <c r="BN24" s="530"/>
      <c r="BO24" s="530"/>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row>
    <row r="25" customFormat="false" ht="14.4" hidden="false" customHeight="false" outlineLevel="0" collapsed="false">
      <c r="A25" s="499"/>
      <c r="B25" s="23" t="s">
        <v>285</v>
      </c>
      <c r="C25" s="23" t="s">
        <v>991</v>
      </c>
      <c r="D25" s="102" t="n">
        <v>0.11</v>
      </c>
      <c r="E25" s="23" t="n">
        <v>98025</v>
      </c>
      <c r="F25" s="23" t="n">
        <v>352</v>
      </c>
      <c r="G25" s="23" t="n">
        <v>0</v>
      </c>
      <c r="H25" s="23" t="n">
        <v>0</v>
      </c>
      <c r="I25" s="382" t="n">
        <v>0</v>
      </c>
      <c r="J25" s="481" t="s">
        <v>992</v>
      </c>
      <c r="K25" s="563" t="s">
        <v>993</v>
      </c>
      <c r="L25" s="481" t="s">
        <v>994</v>
      </c>
      <c r="M25" s="481"/>
      <c r="N25" s="481"/>
      <c r="O25" s="481"/>
      <c r="P25" s="481"/>
      <c r="Q25" s="481"/>
      <c r="R25" s="481"/>
      <c r="S25" s="481"/>
      <c r="T25" s="481"/>
      <c r="U25" s="481"/>
      <c r="V25" s="481"/>
      <c r="W25" s="481"/>
      <c r="X25" s="481"/>
      <c r="Y25" s="481"/>
      <c r="Z25" s="481"/>
      <c r="AA25" s="481"/>
      <c r="AB25" s="481"/>
      <c r="AC25" s="481"/>
      <c r="AD25" s="481"/>
      <c r="AE25" s="481"/>
      <c r="AF25" s="481"/>
      <c r="AG25" s="481"/>
      <c r="AH25" s="481"/>
      <c r="AI25" s="481"/>
      <c r="AJ25" s="481"/>
      <c r="AK25" s="481"/>
      <c r="AL25" s="481"/>
      <c r="AM25" s="481"/>
      <c r="AN25" s="481"/>
      <c r="AO25" s="481"/>
      <c r="AP25" s="481"/>
      <c r="AQ25" s="530"/>
      <c r="AR25" s="530"/>
      <c r="AS25" s="530"/>
      <c r="AT25" s="530"/>
      <c r="AU25" s="530"/>
      <c r="AV25" s="530"/>
      <c r="AW25" s="530"/>
      <c r="AX25" s="530"/>
      <c r="AY25" s="530"/>
      <c r="AZ25" s="530"/>
      <c r="BA25" s="530"/>
      <c r="BB25" s="530"/>
      <c r="BC25" s="530"/>
      <c r="BD25" s="530"/>
      <c r="BE25" s="530"/>
      <c r="BF25" s="530"/>
      <c r="BG25" s="530"/>
      <c r="BH25" s="530"/>
      <c r="BI25" s="530"/>
      <c r="BJ25" s="530"/>
      <c r="BK25" s="530"/>
      <c r="BL25" s="530"/>
      <c r="BM25" s="530"/>
      <c r="BN25" s="530"/>
      <c r="BO25" s="530"/>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row>
    <row r="26" customFormat="false" ht="14.4" hidden="false" customHeight="false" outlineLevel="0" collapsed="false">
      <c r="A26" s="499"/>
      <c r="B26" s="23"/>
      <c r="C26" s="23" t="s">
        <v>254</v>
      </c>
      <c r="D26" s="102" t="n">
        <v>0.07</v>
      </c>
      <c r="E26" s="23" t="n">
        <v>82235</v>
      </c>
      <c r="F26" s="23" t="n">
        <v>302</v>
      </c>
      <c r="G26" s="23" t="n">
        <v>0</v>
      </c>
      <c r="H26" s="297" t="n">
        <v>71.955625</v>
      </c>
      <c r="I26" s="382" t="n">
        <v>140</v>
      </c>
      <c r="J26" s="481" t="s">
        <v>607</v>
      </c>
      <c r="K26" s="563" t="s">
        <v>993</v>
      </c>
      <c r="L26" s="481" t="s">
        <v>994</v>
      </c>
      <c r="M26" s="481" t="s">
        <v>994</v>
      </c>
      <c r="N26" s="481" t="s">
        <v>976</v>
      </c>
      <c r="O26" s="481"/>
      <c r="P26" s="481"/>
      <c r="Q26" s="481"/>
      <c r="R26" s="481"/>
      <c r="S26" s="481"/>
      <c r="T26" s="481"/>
      <c r="U26" s="481"/>
      <c r="V26" s="481"/>
      <c r="W26" s="481"/>
      <c r="X26" s="481"/>
      <c r="Y26" s="481"/>
      <c r="Z26" s="481"/>
      <c r="AA26" s="481"/>
      <c r="AB26" s="481"/>
      <c r="AC26" s="481"/>
      <c r="AD26" s="481"/>
      <c r="AE26" s="481"/>
      <c r="AF26" s="481"/>
      <c r="AG26" s="481"/>
      <c r="AH26" s="481"/>
      <c r="AI26" s="481"/>
      <c r="AJ26" s="481"/>
      <c r="AK26" s="481"/>
      <c r="AL26" s="481"/>
      <c r="AM26" s="481"/>
      <c r="AN26" s="481"/>
      <c r="AO26" s="481"/>
      <c r="AP26" s="481"/>
      <c r="AQ26" s="530"/>
      <c r="AR26" s="530"/>
      <c r="AS26" s="530"/>
      <c r="AT26" s="530"/>
      <c r="AU26" s="530"/>
      <c r="AV26" s="530"/>
      <c r="AW26" s="530"/>
      <c r="AX26" s="530"/>
      <c r="AY26" s="530"/>
      <c r="AZ26" s="530"/>
      <c r="BA26" s="530"/>
      <c r="BB26" s="530"/>
      <c r="BC26" s="530"/>
      <c r="BD26" s="530"/>
      <c r="BE26" s="530"/>
      <c r="BF26" s="530"/>
      <c r="BG26" s="530"/>
      <c r="BH26" s="530"/>
      <c r="BI26" s="530"/>
      <c r="BJ26" s="530"/>
      <c r="BK26" s="530"/>
      <c r="BL26" s="530"/>
      <c r="BM26" s="530"/>
      <c r="BN26" s="530"/>
      <c r="BO26" s="530"/>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row>
    <row r="27" customFormat="false" ht="14.4" hidden="false" customHeight="false" outlineLevel="0" collapsed="false">
      <c r="A27" s="499"/>
      <c r="B27" s="23" t="s">
        <v>141</v>
      </c>
      <c r="C27" s="23" t="s">
        <v>291</v>
      </c>
      <c r="D27" s="102" t="n">
        <v>0.06</v>
      </c>
      <c r="E27" s="23" t="n">
        <v>42797</v>
      </c>
      <c r="F27" s="23" t="n">
        <v>207</v>
      </c>
      <c r="G27" s="23" t="n">
        <v>0</v>
      </c>
      <c r="H27" s="23" t="n">
        <v>0</v>
      </c>
      <c r="I27" s="382" t="n">
        <v>0</v>
      </c>
      <c r="J27" s="481" t="s">
        <v>607</v>
      </c>
      <c r="K27" s="563" t="s">
        <v>977</v>
      </c>
      <c r="L27" s="618" t="s">
        <v>995</v>
      </c>
      <c r="M27" s="481"/>
      <c r="N27" s="481"/>
      <c r="O27" s="481"/>
      <c r="P27" s="481"/>
      <c r="Q27" s="481"/>
      <c r="R27" s="481"/>
      <c r="S27" s="481"/>
      <c r="T27" s="481"/>
      <c r="U27" s="481"/>
      <c r="V27" s="481"/>
      <c r="W27" s="481"/>
      <c r="X27" s="481"/>
      <c r="Y27" s="481"/>
      <c r="Z27" s="481"/>
      <c r="AA27" s="481"/>
      <c r="AB27" s="481"/>
      <c r="AC27" s="481"/>
      <c r="AD27" s="481"/>
      <c r="AE27" s="481"/>
      <c r="AF27" s="481"/>
      <c r="AG27" s="481"/>
      <c r="AH27" s="481"/>
      <c r="AI27" s="481"/>
      <c r="AJ27" s="481"/>
      <c r="AK27" s="481"/>
      <c r="AL27" s="481"/>
      <c r="AM27" s="481"/>
      <c r="AN27" s="481"/>
      <c r="AO27" s="481"/>
      <c r="AP27" s="481"/>
      <c r="AQ27" s="530"/>
      <c r="AR27" s="530"/>
      <c r="AS27" s="530"/>
      <c r="AT27" s="530"/>
      <c r="AU27" s="530"/>
      <c r="AV27" s="530"/>
      <c r="AW27" s="530"/>
      <c r="AX27" s="530"/>
      <c r="AY27" s="530"/>
      <c r="AZ27" s="530"/>
      <c r="BA27" s="530"/>
      <c r="BB27" s="530"/>
      <c r="BC27" s="530"/>
      <c r="BD27" s="530"/>
      <c r="BE27" s="530"/>
      <c r="BF27" s="530"/>
      <c r="BG27" s="530"/>
      <c r="BH27" s="530"/>
      <c r="BI27" s="530"/>
      <c r="BJ27" s="530"/>
      <c r="BK27" s="530"/>
      <c r="BL27" s="530"/>
      <c r="BM27" s="530"/>
      <c r="BN27" s="530"/>
      <c r="BO27" s="530"/>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row>
    <row r="28" customFormat="false" ht="14.4" hidden="false" customHeight="false" outlineLevel="0" collapsed="false">
      <c r="A28" s="499"/>
      <c r="B28" s="23"/>
      <c r="C28" s="23" t="s">
        <v>254</v>
      </c>
      <c r="D28" s="102" t="n">
        <v>0.06</v>
      </c>
      <c r="E28" s="23" t="n">
        <v>42797</v>
      </c>
      <c r="F28" s="23" t="n">
        <v>73</v>
      </c>
      <c r="G28" s="23" t="n">
        <v>0</v>
      </c>
      <c r="H28" s="297" t="n">
        <v>37.447725</v>
      </c>
      <c r="I28" s="382" t="n">
        <v>140</v>
      </c>
      <c r="J28" s="481" t="s">
        <v>607</v>
      </c>
      <c r="K28" s="563" t="s">
        <v>977</v>
      </c>
      <c r="L28" s="618" t="s">
        <v>996</v>
      </c>
      <c r="M28" s="481" t="s">
        <v>997</v>
      </c>
      <c r="N28" s="481" t="s">
        <v>976</v>
      </c>
      <c r="O28" s="481"/>
      <c r="P28" s="481"/>
      <c r="Q28" s="481"/>
      <c r="R28" s="481"/>
      <c r="S28" s="481"/>
      <c r="T28" s="481"/>
      <c r="U28" s="481"/>
      <c r="V28" s="481"/>
      <c r="W28" s="481"/>
      <c r="X28" s="481"/>
      <c r="Y28" s="481"/>
      <c r="Z28" s="481"/>
      <c r="AA28" s="481"/>
      <c r="AB28" s="481"/>
      <c r="AC28" s="481"/>
      <c r="AD28" s="481"/>
      <c r="AE28" s="481"/>
      <c r="AF28" s="481"/>
      <c r="AG28" s="481"/>
      <c r="AH28" s="481"/>
      <c r="AI28" s="481"/>
      <c r="AJ28" s="481"/>
      <c r="AK28" s="481"/>
      <c r="AL28" s="481"/>
      <c r="AM28" s="481"/>
      <c r="AN28" s="481"/>
      <c r="AO28" s="481"/>
      <c r="AP28" s="481"/>
      <c r="AQ28" s="530"/>
      <c r="AR28" s="530"/>
      <c r="AS28" s="530"/>
      <c r="AT28" s="530"/>
      <c r="AU28" s="530"/>
      <c r="AV28" s="530"/>
      <c r="AW28" s="530"/>
      <c r="AX28" s="530"/>
      <c r="AY28" s="530"/>
      <c r="AZ28" s="530"/>
      <c r="BA28" s="530"/>
      <c r="BB28" s="530"/>
      <c r="BC28" s="530"/>
      <c r="BD28" s="530"/>
      <c r="BE28" s="530"/>
      <c r="BF28" s="530"/>
      <c r="BG28" s="530"/>
      <c r="BH28" s="530"/>
      <c r="BI28" s="530"/>
      <c r="BJ28" s="530"/>
      <c r="BK28" s="530"/>
      <c r="BL28" s="530"/>
      <c r="BM28" s="530"/>
      <c r="BN28" s="530"/>
      <c r="BO28" s="530"/>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row>
    <row r="29" s="686" customFormat="true" ht="14.4" hidden="false" customHeight="false" outlineLevel="0" collapsed="false">
      <c r="A29" s="497" t="s">
        <v>34</v>
      </c>
      <c r="B29" s="289" t="s">
        <v>137</v>
      </c>
      <c r="C29" s="289" t="s">
        <v>291</v>
      </c>
      <c r="D29" s="649" t="n">
        <v>0.35</v>
      </c>
      <c r="E29" s="289" t="n">
        <v>439826</v>
      </c>
      <c r="F29" s="689" t="n">
        <v>1451.4258</v>
      </c>
      <c r="G29" s="289" t="n">
        <v>0</v>
      </c>
      <c r="H29" s="289" t="n">
        <v>0</v>
      </c>
      <c r="I29" s="665" t="n">
        <v>0</v>
      </c>
      <c r="J29" s="481" t="s">
        <v>998</v>
      </c>
      <c r="K29" s="563" t="s">
        <v>844</v>
      </c>
      <c r="L29" s="618" t="s">
        <v>999</v>
      </c>
      <c r="M29" s="618"/>
      <c r="N29" s="618"/>
      <c r="O29" s="618"/>
      <c r="P29" s="618"/>
      <c r="Q29" s="618"/>
      <c r="R29" s="618"/>
      <c r="S29" s="481"/>
      <c r="T29" s="618"/>
      <c r="U29" s="481"/>
      <c r="V29" s="481"/>
      <c r="W29" s="481"/>
      <c r="X29" s="481"/>
      <c r="Y29" s="481"/>
      <c r="Z29" s="481"/>
      <c r="AA29" s="481"/>
      <c r="AB29" s="481"/>
      <c r="AC29" s="481"/>
      <c r="AD29" s="481"/>
      <c r="AE29" s="481"/>
      <c r="AF29" s="481"/>
      <c r="AG29" s="481"/>
      <c r="AH29" s="481"/>
      <c r="AI29" s="481"/>
      <c r="AJ29" s="481"/>
      <c r="AK29" s="481"/>
      <c r="AL29" s="481"/>
      <c r="AM29" s="481"/>
      <c r="AN29" s="481"/>
      <c r="AO29" s="481"/>
      <c r="AP29" s="481"/>
      <c r="AQ29" s="530"/>
      <c r="AR29" s="530"/>
      <c r="AS29" s="530"/>
      <c r="AT29" s="530"/>
      <c r="AU29" s="530"/>
      <c r="AV29" s="530"/>
      <c r="AW29" s="530"/>
      <c r="AX29" s="530"/>
      <c r="AY29" s="530"/>
      <c r="AZ29" s="530"/>
      <c r="BA29" s="530"/>
      <c r="BB29" s="530"/>
      <c r="BC29" s="530"/>
      <c r="BD29" s="530"/>
      <c r="BE29" s="530"/>
      <c r="BF29" s="530"/>
      <c r="BG29" s="530"/>
      <c r="BH29" s="530"/>
      <c r="BI29" s="530"/>
      <c r="BJ29" s="530"/>
      <c r="BK29" s="530"/>
      <c r="BL29" s="530"/>
      <c r="BM29" s="530"/>
      <c r="BN29" s="530"/>
      <c r="BO29" s="530"/>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row>
    <row r="30" customFormat="false" ht="14.4" hidden="false" customHeight="false" outlineLevel="0" collapsed="false">
      <c r="A30" s="499"/>
      <c r="B30" s="23"/>
      <c r="C30" s="23" t="s">
        <v>254</v>
      </c>
      <c r="D30" s="102" t="n">
        <v>0.12</v>
      </c>
      <c r="E30" s="690" t="n">
        <v>58800</v>
      </c>
      <c r="F30" s="23" t="n">
        <v>140</v>
      </c>
      <c r="G30" s="23" t="n">
        <v>0</v>
      </c>
      <c r="H30" s="297" t="n">
        <v>129.36</v>
      </c>
      <c r="I30" s="382" t="n">
        <v>140</v>
      </c>
      <c r="J30" s="481" t="s">
        <v>998</v>
      </c>
      <c r="K30" s="563" t="s">
        <v>844</v>
      </c>
      <c r="L30" s="481" t="s">
        <v>1000</v>
      </c>
      <c r="M30" s="481" t="s">
        <v>1001</v>
      </c>
      <c r="N30" s="481" t="s">
        <v>976</v>
      </c>
      <c r="O30" s="481"/>
      <c r="P30" s="481"/>
      <c r="Q30" s="481"/>
      <c r="R30" s="481"/>
      <c r="S30" s="481"/>
      <c r="T30" s="481"/>
      <c r="U30" s="481"/>
      <c r="V30" s="481"/>
      <c r="W30" s="481"/>
      <c r="X30" s="481"/>
      <c r="Y30" s="481"/>
      <c r="Z30" s="481"/>
      <c r="AA30" s="481"/>
      <c r="AB30" s="481"/>
      <c r="AC30" s="481"/>
      <c r="AD30" s="481"/>
      <c r="AE30" s="481"/>
      <c r="AF30" s="481"/>
      <c r="AG30" s="481"/>
      <c r="AH30" s="481"/>
      <c r="AI30" s="481"/>
      <c r="AJ30" s="481"/>
      <c r="AK30" s="481"/>
      <c r="AL30" s="481"/>
      <c r="AM30" s="481"/>
      <c r="AN30" s="481"/>
      <c r="AO30" s="481"/>
      <c r="AP30" s="481"/>
      <c r="AQ30" s="530"/>
      <c r="AR30" s="530"/>
      <c r="AS30" s="530"/>
      <c r="AT30" s="530"/>
      <c r="AU30" s="530"/>
      <c r="AV30" s="530"/>
      <c r="AW30" s="530"/>
      <c r="AX30" s="530"/>
      <c r="AY30" s="530"/>
      <c r="AZ30" s="530"/>
      <c r="BA30" s="530"/>
      <c r="BB30" s="530"/>
      <c r="BC30" s="530"/>
      <c r="BD30" s="530"/>
      <c r="BE30" s="530"/>
      <c r="BF30" s="530"/>
      <c r="BG30" s="530"/>
      <c r="BH30" s="530"/>
      <c r="BI30" s="530"/>
      <c r="BJ30" s="530"/>
      <c r="BK30" s="530"/>
      <c r="BL30" s="530"/>
      <c r="BM30" s="530"/>
      <c r="BN30" s="530"/>
      <c r="BO30" s="530"/>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row>
    <row r="31" customFormat="false" ht="14.4" hidden="false" customHeight="false" outlineLevel="0" collapsed="false">
      <c r="A31" s="499"/>
      <c r="B31" s="23" t="s">
        <v>187</v>
      </c>
      <c r="C31" s="23" t="s">
        <v>291</v>
      </c>
      <c r="D31" s="102" t="n">
        <v>0.17</v>
      </c>
      <c r="E31" s="690" t="n">
        <v>679276</v>
      </c>
      <c r="F31" s="23" t="n">
        <v>815</v>
      </c>
      <c r="G31" s="23" t="n">
        <v>0</v>
      </c>
      <c r="H31" s="23" t="n">
        <v>0</v>
      </c>
      <c r="I31" s="382" t="n">
        <v>0</v>
      </c>
      <c r="J31" s="481" t="s">
        <v>989</v>
      </c>
      <c r="K31" s="563" t="s">
        <v>977</v>
      </c>
      <c r="L31" s="618" t="s">
        <v>1002</v>
      </c>
      <c r="M31" s="481"/>
      <c r="N31" s="481"/>
      <c r="O31" s="481"/>
      <c r="P31" s="481"/>
      <c r="Q31" s="481"/>
      <c r="R31" s="481"/>
      <c r="S31" s="481"/>
      <c r="T31" s="481"/>
      <c r="U31" s="481"/>
      <c r="V31" s="481"/>
      <c r="W31" s="481"/>
      <c r="X31" s="481"/>
      <c r="Y31" s="481"/>
      <c r="Z31" s="481"/>
      <c r="AA31" s="481"/>
      <c r="AB31" s="481"/>
      <c r="AC31" s="481"/>
      <c r="AD31" s="481"/>
      <c r="AE31" s="481"/>
      <c r="AF31" s="481"/>
      <c r="AG31" s="481"/>
      <c r="AH31" s="481"/>
      <c r="AI31" s="481"/>
      <c r="AJ31" s="481"/>
      <c r="AK31" s="481"/>
      <c r="AL31" s="481"/>
      <c r="AM31" s="481"/>
      <c r="AN31" s="481"/>
      <c r="AO31" s="481"/>
      <c r="AP31" s="481"/>
      <c r="AQ31" s="530"/>
      <c r="AR31" s="530"/>
      <c r="AS31" s="530"/>
      <c r="AT31" s="530"/>
      <c r="AU31" s="530"/>
      <c r="AV31" s="530"/>
      <c r="AW31" s="530"/>
      <c r="AX31" s="530"/>
      <c r="AY31" s="530"/>
      <c r="AZ31" s="530"/>
      <c r="BA31" s="530"/>
      <c r="BB31" s="530"/>
      <c r="BC31" s="530"/>
      <c r="BD31" s="530"/>
      <c r="BE31" s="530"/>
      <c r="BF31" s="530"/>
      <c r="BG31" s="530"/>
      <c r="BH31" s="530"/>
      <c r="BI31" s="530"/>
      <c r="BJ31" s="530"/>
      <c r="BK31" s="530"/>
      <c r="BL31" s="530"/>
      <c r="BM31" s="530"/>
      <c r="BN31" s="530"/>
      <c r="BO31" s="530"/>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row>
    <row r="32" customFormat="false" ht="14.4" hidden="false" customHeight="false" outlineLevel="0" collapsed="false">
      <c r="A32" s="499"/>
      <c r="B32" s="23" t="s">
        <v>285</v>
      </c>
      <c r="C32" s="23" t="s">
        <v>991</v>
      </c>
      <c r="D32" s="102" t="n">
        <v>0.26</v>
      </c>
      <c r="E32" s="23" t="n">
        <v>91618</v>
      </c>
      <c r="F32" s="23" t="n">
        <v>286</v>
      </c>
      <c r="G32" s="23" t="n">
        <v>0</v>
      </c>
      <c r="H32" s="282" t="n">
        <v>0</v>
      </c>
      <c r="I32" s="382" t="n">
        <v>0</v>
      </c>
      <c r="J32" s="481" t="s">
        <v>992</v>
      </c>
      <c r="K32" s="563" t="s">
        <v>993</v>
      </c>
      <c r="L32" s="481" t="s">
        <v>994</v>
      </c>
      <c r="M32" s="481"/>
      <c r="N32" s="481"/>
      <c r="O32" s="481"/>
      <c r="P32" s="481"/>
      <c r="Q32" s="481"/>
      <c r="R32" s="481"/>
      <c r="S32" s="481"/>
      <c r="T32" s="481"/>
      <c r="U32" s="481"/>
      <c r="V32" s="481"/>
      <c r="W32" s="481"/>
      <c r="X32" s="481"/>
      <c r="Y32" s="481"/>
      <c r="Z32" s="481"/>
      <c r="AA32" s="481"/>
      <c r="AB32" s="481"/>
      <c r="AC32" s="481"/>
      <c r="AD32" s="481"/>
      <c r="AE32" s="481"/>
      <c r="AF32" s="481"/>
      <c r="AG32" s="481"/>
      <c r="AH32" s="481"/>
      <c r="AI32" s="481"/>
      <c r="AJ32" s="481"/>
      <c r="AK32" s="481"/>
      <c r="AL32" s="481"/>
      <c r="AM32" s="481"/>
      <c r="AN32" s="481"/>
      <c r="AO32" s="481"/>
      <c r="AP32" s="481"/>
      <c r="AQ32" s="530"/>
      <c r="AR32" s="530"/>
      <c r="AS32" s="530"/>
      <c r="AT32" s="530"/>
      <c r="AU32" s="530"/>
      <c r="AV32" s="530"/>
      <c r="AW32" s="530"/>
      <c r="AX32" s="530"/>
      <c r="AY32" s="530"/>
      <c r="AZ32" s="530"/>
      <c r="BA32" s="530"/>
      <c r="BB32" s="530"/>
      <c r="BC32" s="530"/>
      <c r="BD32" s="530"/>
      <c r="BE32" s="530"/>
      <c r="BF32" s="530"/>
      <c r="BG32" s="530"/>
      <c r="BH32" s="530"/>
      <c r="BI32" s="530"/>
      <c r="BJ32" s="530"/>
      <c r="BK32" s="530"/>
      <c r="BL32" s="530"/>
      <c r="BM32" s="530"/>
      <c r="BN32" s="530"/>
      <c r="BO32" s="530"/>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row>
    <row r="33" customFormat="false" ht="14.4" hidden="false" customHeight="false" outlineLevel="0" collapsed="false">
      <c r="A33" s="499"/>
      <c r="B33" s="23"/>
      <c r="C33" s="23" t="s">
        <v>254</v>
      </c>
      <c r="D33" s="102" t="n">
        <v>0.05</v>
      </c>
      <c r="E33" s="690" t="n">
        <v>85703</v>
      </c>
      <c r="F33" s="23" t="n">
        <v>314</v>
      </c>
      <c r="G33" s="23" t="n">
        <v>0</v>
      </c>
      <c r="H33" s="297" t="n">
        <v>71.390599</v>
      </c>
      <c r="I33" s="382" t="n">
        <v>140</v>
      </c>
      <c r="J33" s="481" t="s">
        <v>992</v>
      </c>
      <c r="K33" s="563" t="s">
        <v>993</v>
      </c>
      <c r="L33" s="481" t="s">
        <v>994</v>
      </c>
      <c r="M33" s="481" t="s">
        <v>994</v>
      </c>
      <c r="N33" s="481" t="s">
        <v>976</v>
      </c>
      <c r="O33" s="481"/>
      <c r="P33" s="481"/>
      <c r="Q33" s="481"/>
      <c r="R33" s="481"/>
      <c r="S33" s="481"/>
      <c r="T33" s="481"/>
      <c r="U33" s="481"/>
      <c r="V33" s="481"/>
      <c r="W33" s="481"/>
      <c r="X33" s="481"/>
      <c r="Y33" s="481"/>
      <c r="Z33" s="481"/>
      <c r="AA33" s="481"/>
      <c r="AB33" s="481"/>
      <c r="AC33" s="481"/>
      <c r="AD33" s="481"/>
      <c r="AE33" s="481"/>
      <c r="AF33" s="481"/>
      <c r="AG33" s="481"/>
      <c r="AH33" s="481"/>
      <c r="AI33" s="481"/>
      <c r="AJ33" s="481"/>
      <c r="AK33" s="481"/>
      <c r="AL33" s="481"/>
      <c r="AM33" s="481"/>
      <c r="AN33" s="481"/>
      <c r="AO33" s="481"/>
      <c r="AP33" s="481"/>
      <c r="AQ33" s="530"/>
      <c r="AR33" s="530"/>
      <c r="AS33" s="530"/>
      <c r="AT33" s="530"/>
      <c r="AU33" s="530"/>
      <c r="AV33" s="530"/>
      <c r="AW33" s="530"/>
      <c r="AX33" s="530"/>
      <c r="AY33" s="530"/>
      <c r="AZ33" s="530"/>
      <c r="BA33" s="530"/>
      <c r="BB33" s="530"/>
      <c r="BC33" s="530"/>
      <c r="BD33" s="530"/>
      <c r="BE33" s="530"/>
      <c r="BF33" s="530"/>
      <c r="BG33" s="530"/>
      <c r="BH33" s="530"/>
      <c r="BI33" s="530"/>
      <c r="BJ33" s="530"/>
      <c r="BK33" s="530"/>
      <c r="BL33" s="530"/>
      <c r="BM33" s="530"/>
      <c r="BN33" s="530"/>
      <c r="BO33" s="530"/>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row>
    <row r="34" customFormat="false" ht="14.4" hidden="false" customHeight="false" outlineLevel="0" collapsed="false">
      <c r="A34" s="499"/>
      <c r="B34" s="23" t="s">
        <v>141</v>
      </c>
      <c r="C34" s="23" t="s">
        <v>254</v>
      </c>
      <c r="D34" s="102" t="n">
        <v>0.05</v>
      </c>
      <c r="E34" s="23" t="n">
        <v>30104</v>
      </c>
      <c r="F34" s="297" t="n">
        <v>90.9858496924317</v>
      </c>
      <c r="G34" s="23" t="n">
        <v>0</v>
      </c>
      <c r="H34" s="297" t="n">
        <v>45.65743</v>
      </c>
      <c r="I34" s="382" t="n">
        <v>140</v>
      </c>
      <c r="J34" s="481" t="s">
        <v>607</v>
      </c>
      <c r="K34" s="563" t="s">
        <v>977</v>
      </c>
      <c r="L34" s="481" t="s">
        <v>997</v>
      </c>
      <c r="M34" s="481" t="s">
        <v>997</v>
      </c>
      <c r="N34" s="481" t="s">
        <v>976</v>
      </c>
      <c r="O34" s="481"/>
      <c r="P34" s="481"/>
      <c r="Q34" s="481"/>
      <c r="R34" s="481"/>
      <c r="S34" s="481"/>
      <c r="T34" s="481"/>
      <c r="U34" s="481"/>
      <c r="V34" s="481"/>
      <c r="W34" s="481"/>
      <c r="X34" s="481"/>
      <c r="Y34" s="481"/>
      <c r="Z34" s="481"/>
      <c r="AA34" s="481"/>
      <c r="AB34" s="481"/>
      <c r="AC34" s="481"/>
      <c r="AD34" s="481"/>
      <c r="AE34" s="481"/>
      <c r="AF34" s="481"/>
      <c r="AG34" s="481"/>
      <c r="AH34" s="481"/>
      <c r="AI34" s="481"/>
      <c r="AJ34" s="481"/>
      <c r="AK34" s="481"/>
      <c r="AL34" s="481"/>
      <c r="AM34" s="481"/>
      <c r="AN34" s="481"/>
      <c r="AO34" s="481"/>
      <c r="AP34" s="481"/>
      <c r="AQ34" s="530"/>
      <c r="AR34" s="530"/>
      <c r="AS34" s="530"/>
      <c r="AT34" s="530"/>
      <c r="AU34" s="530"/>
      <c r="AV34" s="530"/>
      <c r="AW34" s="530"/>
      <c r="AX34" s="530"/>
      <c r="AY34" s="530"/>
      <c r="AZ34" s="530"/>
      <c r="BA34" s="530"/>
      <c r="BB34" s="530"/>
      <c r="BC34" s="530"/>
      <c r="BD34" s="530"/>
      <c r="BE34" s="530"/>
      <c r="BF34" s="530"/>
      <c r="BG34" s="530"/>
      <c r="BH34" s="530"/>
      <c r="BI34" s="530"/>
      <c r="BJ34" s="530"/>
      <c r="BK34" s="530"/>
      <c r="BL34" s="530"/>
      <c r="BM34" s="530"/>
      <c r="BN34" s="530"/>
      <c r="BO34" s="530"/>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row>
    <row r="35" s="686" customFormat="true" ht="14.4" hidden="false" customHeight="false" outlineLevel="0" collapsed="false">
      <c r="A35" s="497" t="s">
        <v>48</v>
      </c>
      <c r="B35" s="289" t="s">
        <v>137</v>
      </c>
      <c r="C35" s="289" t="s">
        <v>254</v>
      </c>
      <c r="D35" s="649" t="n">
        <v>0.82</v>
      </c>
      <c r="E35" s="289" t="n">
        <v>24916</v>
      </c>
      <c r="F35" s="289" t="n">
        <v>104</v>
      </c>
      <c r="G35" s="289" t="n">
        <v>0</v>
      </c>
      <c r="H35" s="689" t="n">
        <v>22.4244</v>
      </c>
      <c r="I35" s="665" t="n">
        <v>140</v>
      </c>
      <c r="J35" s="481" t="s">
        <v>844</v>
      </c>
      <c r="K35" s="563" t="s">
        <v>844</v>
      </c>
      <c r="L35" s="481" t="s">
        <v>1003</v>
      </c>
      <c r="M35" s="481" t="s">
        <v>1001</v>
      </c>
      <c r="N35" s="481" t="s">
        <v>976</v>
      </c>
      <c r="O35" s="481"/>
      <c r="P35" s="481"/>
      <c r="Q35" s="481"/>
      <c r="R35" s="481"/>
      <c r="S35" s="481"/>
      <c r="T35" s="481"/>
      <c r="U35" s="481"/>
      <c r="V35" s="481"/>
      <c r="W35" s="481"/>
      <c r="X35" s="481"/>
      <c r="Y35" s="481"/>
      <c r="Z35" s="481"/>
      <c r="AA35" s="481"/>
      <c r="AB35" s="481"/>
      <c r="AC35" s="481"/>
      <c r="AD35" s="481"/>
      <c r="AE35" s="481"/>
      <c r="AF35" s="481"/>
      <c r="AG35" s="481"/>
      <c r="AH35" s="481"/>
      <c r="AI35" s="481"/>
      <c r="AJ35" s="481"/>
      <c r="AK35" s="481"/>
      <c r="AL35" s="481"/>
      <c r="AM35" s="481"/>
      <c r="AN35" s="481"/>
      <c r="AO35" s="481"/>
      <c r="AP35" s="481"/>
      <c r="AQ35" s="530"/>
      <c r="AR35" s="530"/>
      <c r="AS35" s="530"/>
      <c r="AT35" s="530"/>
      <c r="AU35" s="530"/>
      <c r="AV35" s="530"/>
      <c r="AW35" s="530"/>
      <c r="AX35" s="530"/>
      <c r="AY35" s="530"/>
      <c r="AZ35" s="530"/>
      <c r="BA35" s="530"/>
      <c r="BB35" s="530"/>
      <c r="BC35" s="530"/>
      <c r="BD35" s="530"/>
      <c r="BE35" s="530"/>
      <c r="BF35" s="530"/>
      <c r="BG35" s="530"/>
      <c r="BH35" s="530"/>
      <c r="BI35" s="530"/>
      <c r="BJ35" s="530"/>
      <c r="BK35" s="530"/>
      <c r="BL35" s="530"/>
      <c r="BM35" s="530"/>
      <c r="BN35" s="530"/>
      <c r="BO35" s="530"/>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row>
    <row r="36" customFormat="false" ht="14.4" hidden="false" customHeight="false" outlineLevel="0" collapsed="false">
      <c r="A36" s="499"/>
      <c r="B36" s="23" t="s">
        <v>285</v>
      </c>
      <c r="C36" s="23" t="s">
        <v>254</v>
      </c>
      <c r="D36" s="102" t="n">
        <v>0.12</v>
      </c>
      <c r="E36" s="23" t="n">
        <v>26640</v>
      </c>
      <c r="F36" s="23" t="n">
        <v>99</v>
      </c>
      <c r="G36" s="23" t="n">
        <v>0</v>
      </c>
      <c r="H36" s="160" t="n">
        <v>17.12952</v>
      </c>
      <c r="I36" s="382" t="n">
        <v>140</v>
      </c>
      <c r="J36" s="481" t="s">
        <v>607</v>
      </c>
      <c r="K36" s="563" t="s">
        <v>977</v>
      </c>
      <c r="L36" s="481" t="s">
        <v>994</v>
      </c>
      <c r="M36" s="481" t="s">
        <v>994</v>
      </c>
      <c r="N36" s="481" t="s">
        <v>976</v>
      </c>
      <c r="O36" s="481"/>
      <c r="P36" s="481"/>
      <c r="Q36" s="481"/>
      <c r="R36" s="481"/>
      <c r="S36" s="481"/>
      <c r="T36" s="481"/>
      <c r="U36" s="481"/>
      <c r="V36" s="481"/>
      <c r="W36" s="481"/>
      <c r="X36" s="481"/>
      <c r="Y36" s="481"/>
      <c r="Z36" s="481"/>
      <c r="AA36" s="481"/>
      <c r="AB36" s="481"/>
      <c r="AC36" s="481"/>
      <c r="AD36" s="481"/>
      <c r="AE36" s="481"/>
      <c r="AF36" s="481"/>
      <c r="AG36" s="481"/>
      <c r="AH36" s="481"/>
      <c r="AI36" s="481"/>
      <c r="AJ36" s="481"/>
      <c r="AK36" s="481"/>
      <c r="AL36" s="481"/>
      <c r="AM36" s="481"/>
      <c r="AN36" s="481"/>
      <c r="AO36" s="481"/>
      <c r="AP36" s="481"/>
      <c r="AQ36" s="530"/>
      <c r="AR36" s="530"/>
      <c r="AS36" s="530"/>
      <c r="AT36" s="530"/>
      <c r="AU36" s="530"/>
      <c r="AV36" s="530"/>
      <c r="AW36" s="530"/>
      <c r="AX36" s="530"/>
      <c r="AY36" s="530"/>
      <c r="AZ36" s="530"/>
      <c r="BA36" s="530"/>
      <c r="BB36" s="530"/>
      <c r="BC36" s="530"/>
      <c r="BD36" s="530"/>
      <c r="BE36" s="530"/>
      <c r="BF36" s="530"/>
      <c r="BG36" s="530"/>
      <c r="BH36" s="530"/>
      <c r="BI36" s="530"/>
      <c r="BJ36" s="530"/>
      <c r="BK36" s="530"/>
      <c r="BL36" s="530"/>
      <c r="BM36" s="530"/>
      <c r="BN36" s="530"/>
      <c r="BO36" s="530"/>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row>
    <row r="37" customFormat="false" ht="14.4" hidden="false" customHeight="false" outlineLevel="0" collapsed="false">
      <c r="A37" s="499"/>
      <c r="B37" s="23" t="s">
        <v>141</v>
      </c>
      <c r="C37" s="23" t="s">
        <v>254</v>
      </c>
      <c r="D37" s="102" t="n">
        <v>0.06</v>
      </c>
      <c r="E37" s="23" t="n">
        <v>23483</v>
      </c>
      <c r="F37" s="297" t="n">
        <v>83.130882</v>
      </c>
      <c r="G37" s="23" t="n">
        <v>0</v>
      </c>
      <c r="H37" s="297" t="n">
        <v>18.1171345</v>
      </c>
      <c r="I37" s="382" t="n">
        <v>140</v>
      </c>
      <c r="J37" s="481" t="s">
        <v>607</v>
      </c>
      <c r="K37" s="563" t="s">
        <v>977</v>
      </c>
      <c r="L37" s="618" t="s">
        <v>1004</v>
      </c>
      <c r="M37" s="481" t="s">
        <v>997</v>
      </c>
      <c r="N37" s="481" t="s">
        <v>976</v>
      </c>
      <c r="O37" s="481"/>
      <c r="P37" s="481"/>
      <c r="Q37" s="481"/>
      <c r="R37" s="481"/>
      <c r="S37" s="481"/>
      <c r="T37" s="481"/>
      <c r="U37" s="481"/>
      <c r="V37" s="481"/>
      <c r="W37" s="481"/>
      <c r="X37" s="481"/>
      <c r="Y37" s="481"/>
      <c r="Z37" s="481"/>
      <c r="AA37" s="481"/>
      <c r="AB37" s="481"/>
      <c r="AC37" s="481"/>
      <c r="AD37" s="481"/>
      <c r="AE37" s="481"/>
      <c r="AF37" s="481"/>
      <c r="AG37" s="481"/>
      <c r="AH37" s="481"/>
      <c r="AI37" s="481"/>
      <c r="AJ37" s="481"/>
      <c r="AK37" s="481"/>
      <c r="AL37" s="481"/>
      <c r="AM37" s="481"/>
      <c r="AN37" s="481"/>
      <c r="AO37" s="481"/>
      <c r="AP37" s="481"/>
      <c r="AQ37" s="530"/>
      <c r="AR37" s="530"/>
      <c r="AS37" s="530"/>
      <c r="AT37" s="530"/>
      <c r="AU37" s="530"/>
      <c r="AV37" s="530"/>
      <c r="AW37" s="530"/>
      <c r="AX37" s="530"/>
      <c r="AY37" s="530"/>
      <c r="AZ37" s="530"/>
      <c r="BA37" s="530"/>
      <c r="BB37" s="530"/>
      <c r="BC37" s="530"/>
      <c r="BD37" s="530"/>
      <c r="BE37" s="530"/>
      <c r="BF37" s="530"/>
      <c r="BG37" s="530"/>
      <c r="BH37" s="530"/>
      <c r="BI37" s="530"/>
      <c r="BJ37" s="530"/>
      <c r="BK37" s="530"/>
      <c r="BL37" s="530"/>
      <c r="BM37" s="530"/>
      <c r="BN37" s="530"/>
      <c r="BO37" s="530"/>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row>
    <row r="38" s="686" customFormat="true" ht="14.4" hidden="false" customHeight="false" outlineLevel="0" collapsed="false">
      <c r="A38" s="497" t="s">
        <v>90</v>
      </c>
      <c r="B38" s="289" t="s">
        <v>137</v>
      </c>
      <c r="C38" s="289" t="s">
        <v>254</v>
      </c>
      <c r="D38" s="649" t="n">
        <v>1</v>
      </c>
      <c r="E38" s="691" t="n">
        <v>4753</v>
      </c>
      <c r="F38" s="289" t="n">
        <v>0</v>
      </c>
      <c r="G38" s="289" t="n">
        <v>0</v>
      </c>
      <c r="H38" s="692" t="n">
        <v>116.4429875</v>
      </c>
      <c r="I38" s="665" t="n">
        <v>140</v>
      </c>
      <c r="J38" s="481" t="s">
        <v>1005</v>
      </c>
      <c r="K38" s="563" t="s">
        <v>977</v>
      </c>
      <c r="L38" s="639" t="s">
        <v>1006</v>
      </c>
      <c r="M38" s="481" t="s">
        <v>1001</v>
      </c>
      <c r="N38" s="481" t="s">
        <v>976</v>
      </c>
      <c r="O38" s="481"/>
      <c r="P38" s="481"/>
      <c r="Q38" s="481"/>
      <c r="R38" s="481"/>
      <c r="S38" s="481"/>
      <c r="T38" s="481"/>
      <c r="U38" s="481"/>
      <c r="V38" s="481"/>
      <c r="W38" s="481"/>
      <c r="X38" s="481"/>
      <c r="Y38" s="481"/>
      <c r="Z38" s="481"/>
      <c r="AA38" s="481"/>
      <c r="AB38" s="481"/>
      <c r="AC38" s="481"/>
      <c r="AD38" s="481"/>
      <c r="AE38" s="481"/>
      <c r="AF38" s="481"/>
      <c r="AG38" s="481"/>
      <c r="AH38" s="481"/>
      <c r="AI38" s="481"/>
      <c r="AJ38" s="481"/>
      <c r="AK38" s="481"/>
      <c r="AL38" s="481"/>
      <c r="AM38" s="481"/>
      <c r="AN38" s="481"/>
      <c r="AO38" s="481"/>
      <c r="AP38" s="481"/>
      <c r="AQ38" s="530"/>
      <c r="AR38" s="530"/>
      <c r="AS38" s="530"/>
      <c r="AT38" s="530"/>
      <c r="AU38" s="530"/>
      <c r="AV38" s="530"/>
      <c r="AW38" s="530"/>
      <c r="AX38" s="530"/>
      <c r="AY38" s="530"/>
      <c r="AZ38" s="530"/>
      <c r="BA38" s="530"/>
      <c r="BB38" s="530"/>
      <c r="BC38" s="530"/>
      <c r="BD38" s="530"/>
      <c r="BE38" s="530"/>
      <c r="BF38" s="530"/>
      <c r="BG38" s="530"/>
      <c r="BH38" s="530"/>
      <c r="BI38" s="530"/>
      <c r="BJ38" s="530"/>
      <c r="BK38" s="530"/>
      <c r="BL38" s="530"/>
      <c r="BM38" s="530"/>
      <c r="BN38" s="530"/>
      <c r="BO38" s="530"/>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row>
    <row r="39" customFormat="false" ht="14.4" hidden="false" customHeight="false" outlineLevel="0" collapsed="false">
      <c r="A39" s="499"/>
      <c r="B39" s="23"/>
      <c r="C39" s="23"/>
      <c r="D39" s="102"/>
      <c r="E39" s="23"/>
      <c r="F39" s="693"/>
      <c r="G39" s="23"/>
      <c r="H39" s="23"/>
      <c r="I39" s="382"/>
      <c r="J39" s="481"/>
      <c r="K39" s="694"/>
      <c r="L39" s="481"/>
      <c r="M39" s="481"/>
      <c r="N39" s="481"/>
      <c r="O39" s="481"/>
      <c r="P39" s="481"/>
      <c r="Q39" s="481"/>
      <c r="R39" s="481"/>
      <c r="S39" s="481"/>
      <c r="T39" s="481"/>
      <c r="U39" s="481"/>
      <c r="V39" s="481"/>
      <c r="W39" s="481"/>
      <c r="X39" s="481"/>
      <c r="Y39" s="481"/>
      <c r="Z39" s="481"/>
      <c r="AA39" s="481"/>
      <c r="AB39" s="481"/>
      <c r="AC39" s="481"/>
      <c r="AD39" s="481"/>
      <c r="AE39" s="481"/>
      <c r="AF39" s="481"/>
      <c r="AG39" s="481"/>
      <c r="AH39" s="481"/>
      <c r="AI39" s="481"/>
      <c r="AJ39" s="481"/>
      <c r="AK39" s="481"/>
      <c r="AL39" s="481"/>
      <c r="AM39" s="481"/>
      <c r="AN39" s="481"/>
      <c r="AO39" s="481"/>
      <c r="AP39" s="481"/>
      <c r="AQ39" s="530"/>
      <c r="AR39" s="530"/>
      <c r="AS39" s="530"/>
      <c r="AT39" s="530"/>
      <c r="AU39" s="530"/>
      <c r="AV39" s="530"/>
      <c r="AW39" s="530"/>
      <c r="AX39" s="530"/>
      <c r="AY39" s="530"/>
      <c r="AZ39" s="530"/>
      <c r="BA39" s="530"/>
      <c r="BB39" s="530"/>
      <c r="BC39" s="530"/>
      <c r="BD39" s="530"/>
      <c r="BE39" s="530"/>
      <c r="BF39" s="530"/>
      <c r="BG39" s="530"/>
      <c r="BH39" s="530"/>
      <c r="BI39" s="530"/>
      <c r="BJ39" s="530"/>
      <c r="BK39" s="530"/>
      <c r="BL39" s="530"/>
      <c r="BM39" s="530"/>
      <c r="BN39" s="530"/>
      <c r="BO39" s="530"/>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row>
    <row r="40" s="686" customFormat="true" ht="14.4" hidden="false" customHeight="false" outlineLevel="0" collapsed="false">
      <c r="A40" s="497" t="s">
        <v>94</v>
      </c>
      <c r="B40" s="289" t="s">
        <v>137</v>
      </c>
      <c r="C40" s="289" t="s">
        <v>254</v>
      </c>
      <c r="D40" s="649" t="n">
        <v>0.6</v>
      </c>
      <c r="E40" s="692" t="n">
        <v>2059.50573248408</v>
      </c>
      <c r="F40" s="689" t="n">
        <v>30</v>
      </c>
      <c r="G40" s="289" t="n">
        <v>0</v>
      </c>
      <c r="H40" s="692" t="n">
        <v>28.2533583696713</v>
      </c>
      <c r="I40" s="682" t="n">
        <v>70</v>
      </c>
      <c r="J40" s="481" t="s">
        <v>1005</v>
      </c>
      <c r="K40" s="563" t="s">
        <v>1006</v>
      </c>
      <c r="L40" s="481" t="s">
        <v>1007</v>
      </c>
      <c r="M40" s="481" t="s">
        <v>747</v>
      </c>
      <c r="N40" s="481" t="s">
        <v>976</v>
      </c>
      <c r="O40" s="481"/>
      <c r="P40" s="481"/>
      <c r="Q40" s="481"/>
      <c r="R40" s="481"/>
      <c r="S40" s="481"/>
      <c r="T40" s="481"/>
      <c r="U40" s="481"/>
      <c r="V40" s="481"/>
      <c r="W40" s="481"/>
      <c r="X40" s="481"/>
      <c r="Y40" s="481"/>
      <c r="Z40" s="481"/>
      <c r="AA40" s="481"/>
      <c r="AB40" s="481"/>
      <c r="AC40" s="481"/>
      <c r="AD40" s="481"/>
      <c r="AE40" s="481"/>
      <c r="AF40" s="481"/>
      <c r="AG40" s="481"/>
      <c r="AH40" s="481"/>
      <c r="AI40" s="481"/>
      <c r="AJ40" s="481"/>
      <c r="AK40" s="481"/>
      <c r="AL40" s="481"/>
      <c r="AM40" s="481"/>
      <c r="AN40" s="481"/>
      <c r="AO40" s="481"/>
      <c r="AP40" s="481"/>
      <c r="AQ40" s="530"/>
      <c r="AR40" s="530"/>
      <c r="AS40" s="530"/>
      <c r="AT40" s="530"/>
      <c r="AU40" s="530"/>
      <c r="AV40" s="530"/>
      <c r="AW40" s="530"/>
      <c r="AX40" s="530"/>
      <c r="AY40" s="530"/>
      <c r="AZ40" s="530"/>
      <c r="BA40" s="530"/>
      <c r="BB40" s="530"/>
      <c r="BC40" s="530"/>
      <c r="BD40" s="530"/>
      <c r="BE40" s="530"/>
      <c r="BF40" s="530"/>
      <c r="BG40" s="530"/>
      <c r="BH40" s="530"/>
      <c r="BI40" s="530"/>
      <c r="BJ40" s="530"/>
      <c r="BK40" s="530"/>
      <c r="BL40" s="530"/>
      <c r="BM40" s="530"/>
      <c r="BN40" s="530"/>
      <c r="BO40" s="530"/>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row>
    <row r="41" customFormat="false" ht="14.4" hidden="false" customHeight="false" outlineLevel="0" collapsed="false">
      <c r="A41" s="499"/>
      <c r="B41" s="23" t="s">
        <v>317</v>
      </c>
      <c r="C41" s="23" t="s">
        <v>254</v>
      </c>
      <c r="D41" s="102" t="n">
        <v>0.13</v>
      </c>
      <c r="E41" s="695" t="n">
        <v>2336.39936305733</v>
      </c>
      <c r="F41" s="23" t="n">
        <v>58</v>
      </c>
      <c r="G41" s="23" t="n">
        <v>96</v>
      </c>
      <c r="H41" s="695" t="n">
        <v>30.9639853071032</v>
      </c>
      <c r="I41" s="478" t="n">
        <v>70</v>
      </c>
      <c r="J41" s="481" t="s">
        <v>607</v>
      </c>
      <c r="K41" s="563" t="s">
        <v>977</v>
      </c>
      <c r="L41" s="481" t="s">
        <v>1008</v>
      </c>
      <c r="M41" s="481" t="s">
        <v>747</v>
      </c>
      <c r="N41" s="481" t="s">
        <v>976</v>
      </c>
      <c r="O41" s="481"/>
      <c r="P41" s="481"/>
      <c r="Q41" s="481"/>
      <c r="R41" s="481"/>
      <c r="S41" s="481"/>
      <c r="T41" s="481"/>
      <c r="U41" s="481"/>
      <c r="V41" s="481"/>
      <c r="W41" s="481"/>
      <c r="X41" s="481"/>
      <c r="Y41" s="481"/>
      <c r="Z41" s="481"/>
      <c r="AA41" s="481"/>
      <c r="AB41" s="481"/>
      <c r="AC41" s="481"/>
      <c r="AD41" s="481"/>
      <c r="AE41" s="481"/>
      <c r="AF41" s="481"/>
      <c r="AG41" s="481"/>
      <c r="AH41" s="481"/>
      <c r="AI41" s="481"/>
      <c r="AJ41" s="481"/>
      <c r="AK41" s="481"/>
      <c r="AL41" s="481"/>
      <c r="AM41" s="481"/>
      <c r="AN41" s="481"/>
      <c r="AO41" s="481"/>
      <c r="AP41" s="481"/>
      <c r="AQ41" s="530"/>
      <c r="AR41" s="530"/>
      <c r="AS41" s="530"/>
      <c r="AT41" s="530"/>
      <c r="AU41" s="530"/>
      <c r="AV41" s="530"/>
      <c r="AW41" s="530"/>
      <c r="AX41" s="530"/>
      <c r="AY41" s="530"/>
      <c r="AZ41" s="530"/>
      <c r="BA41" s="530"/>
      <c r="BB41" s="530"/>
      <c r="BC41" s="530"/>
      <c r="BD41" s="530"/>
      <c r="BE41" s="530"/>
      <c r="BF41" s="530"/>
      <c r="BG41" s="530"/>
      <c r="BH41" s="530"/>
      <c r="BI41" s="530"/>
      <c r="BJ41" s="530"/>
      <c r="BK41" s="530"/>
      <c r="BL41" s="530"/>
      <c r="BM41" s="530"/>
      <c r="BN41" s="530"/>
      <c r="BO41" s="530"/>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row>
    <row r="42" customFormat="false" ht="14.4" hidden="false" customHeight="false" outlineLevel="0" collapsed="false">
      <c r="A42" s="499"/>
      <c r="B42" s="23" t="s">
        <v>171</v>
      </c>
      <c r="C42" s="23" t="s">
        <v>254</v>
      </c>
      <c r="D42" s="102" t="n">
        <v>0.27</v>
      </c>
      <c r="E42" s="695" t="n">
        <v>857.23949044586</v>
      </c>
      <c r="F42" s="297" t="n">
        <v>16.8838139449453</v>
      </c>
      <c r="G42" s="297" t="n">
        <v>17.611499212</v>
      </c>
      <c r="H42" s="695" t="n">
        <v>16.4838739836026</v>
      </c>
      <c r="I42" s="478" t="n">
        <v>70</v>
      </c>
      <c r="J42" s="481" t="s">
        <v>607</v>
      </c>
      <c r="K42" s="563" t="s">
        <v>977</v>
      </c>
      <c r="L42" s="481" t="s">
        <v>1009</v>
      </c>
      <c r="M42" s="481" t="s">
        <v>747</v>
      </c>
      <c r="N42" s="481" t="s">
        <v>976</v>
      </c>
      <c r="O42" s="481"/>
      <c r="P42" s="481"/>
      <c r="Q42" s="481"/>
      <c r="R42" s="481"/>
      <c r="S42" s="481"/>
      <c r="T42" s="481"/>
      <c r="U42" s="481"/>
      <c r="V42" s="481"/>
      <c r="W42" s="481"/>
      <c r="X42" s="481"/>
      <c r="Y42" s="481"/>
      <c r="Z42" s="481"/>
      <c r="AA42" s="481"/>
      <c r="AB42" s="481"/>
      <c r="AC42" s="481"/>
      <c r="AD42" s="481"/>
      <c r="AE42" s="481"/>
      <c r="AF42" s="481"/>
      <c r="AG42" s="481"/>
      <c r="AH42" s="481"/>
      <c r="AI42" s="481"/>
      <c r="AJ42" s="481"/>
      <c r="AK42" s="481"/>
      <c r="AL42" s="481"/>
      <c r="AM42" s="481"/>
      <c r="AN42" s="481"/>
      <c r="AO42" s="481"/>
      <c r="AP42" s="481"/>
      <c r="AQ42" s="530"/>
      <c r="AR42" s="530"/>
      <c r="AS42" s="530"/>
      <c r="AT42" s="530"/>
      <c r="AU42" s="530"/>
      <c r="AV42" s="530"/>
      <c r="AW42" s="530"/>
      <c r="AX42" s="530"/>
      <c r="AY42" s="530"/>
      <c r="AZ42" s="530"/>
      <c r="BA42" s="530"/>
      <c r="BB42" s="530"/>
      <c r="BC42" s="530"/>
      <c r="BD42" s="530"/>
      <c r="BE42" s="530"/>
      <c r="BF42" s="530"/>
      <c r="BG42" s="530"/>
      <c r="BH42" s="530"/>
      <c r="BI42" s="530"/>
      <c r="BJ42" s="530"/>
      <c r="BK42" s="530"/>
      <c r="BL42" s="530"/>
      <c r="BM42" s="530"/>
      <c r="BN42" s="530"/>
      <c r="BO42" s="530"/>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row>
    <row r="43" s="686" customFormat="true" ht="14.4" hidden="false" customHeight="false" outlineLevel="0" collapsed="false">
      <c r="A43" s="497" t="s">
        <v>60</v>
      </c>
      <c r="B43" s="289" t="s">
        <v>137</v>
      </c>
      <c r="C43" s="289" t="s">
        <v>254</v>
      </c>
      <c r="D43" s="649" t="n">
        <v>0.93</v>
      </c>
      <c r="E43" s="289" t="n">
        <v>59492</v>
      </c>
      <c r="F43" s="289" t="n">
        <v>83</v>
      </c>
      <c r="G43" s="289" t="n">
        <v>0</v>
      </c>
      <c r="H43" s="689" t="n">
        <v>71.3904</v>
      </c>
      <c r="I43" s="682" t="n">
        <v>140</v>
      </c>
      <c r="J43" s="481" t="s">
        <v>987</v>
      </c>
      <c r="K43" s="563" t="s">
        <v>844</v>
      </c>
      <c r="L43" s="481" t="s">
        <v>1003</v>
      </c>
      <c r="M43" s="481" t="s">
        <v>1001</v>
      </c>
      <c r="N43" s="481" t="s">
        <v>976</v>
      </c>
      <c r="O43" s="481"/>
      <c r="P43" s="481"/>
      <c r="Q43" s="481"/>
      <c r="R43" s="481"/>
      <c r="S43" s="481"/>
      <c r="T43" s="481"/>
      <c r="U43" s="481"/>
      <c r="V43" s="481"/>
      <c r="W43" s="481"/>
      <c r="X43" s="481"/>
      <c r="Y43" s="481"/>
      <c r="Z43" s="481"/>
      <c r="AA43" s="481"/>
      <c r="AB43" s="481"/>
      <c r="AC43" s="481"/>
      <c r="AD43" s="481"/>
      <c r="AE43" s="481"/>
      <c r="AF43" s="481"/>
      <c r="AG43" s="481"/>
      <c r="AH43" s="481"/>
      <c r="AI43" s="481"/>
      <c r="AJ43" s="481"/>
      <c r="AK43" s="481"/>
      <c r="AL43" s="481"/>
      <c r="AM43" s="481"/>
      <c r="AN43" s="481"/>
      <c r="AO43" s="481"/>
      <c r="AP43" s="481"/>
      <c r="AQ43" s="530"/>
      <c r="AR43" s="530"/>
      <c r="AS43" s="530"/>
      <c r="AT43" s="530"/>
      <c r="AU43" s="530"/>
      <c r="AV43" s="530"/>
      <c r="AW43" s="530"/>
      <c r="AX43" s="530"/>
      <c r="AY43" s="530"/>
      <c r="AZ43" s="530"/>
      <c r="BA43" s="530"/>
      <c r="BB43" s="530"/>
      <c r="BC43" s="530"/>
      <c r="BD43" s="530"/>
      <c r="BE43" s="530"/>
      <c r="BF43" s="530"/>
      <c r="BG43" s="530"/>
      <c r="BH43" s="530"/>
      <c r="BI43" s="530"/>
      <c r="BJ43" s="530"/>
      <c r="BK43" s="530"/>
      <c r="BL43" s="530"/>
      <c r="BM43" s="530"/>
      <c r="BN43" s="530"/>
      <c r="BO43" s="530"/>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row>
    <row r="44" customFormat="false" ht="14.4" hidden="false" customHeight="false" outlineLevel="0" collapsed="false">
      <c r="A44" s="499"/>
      <c r="B44" s="23" t="s">
        <v>141</v>
      </c>
      <c r="C44" s="23" t="s">
        <v>254</v>
      </c>
      <c r="D44" s="102" t="n">
        <v>0.07</v>
      </c>
      <c r="E44" s="23" t="n">
        <v>32525</v>
      </c>
      <c r="F44" s="23" t="n">
        <v>121</v>
      </c>
      <c r="G44" s="23" t="n">
        <v>55</v>
      </c>
      <c r="H44" s="297" t="n">
        <v>39.03</v>
      </c>
      <c r="I44" s="478" t="n">
        <v>140</v>
      </c>
      <c r="J44" s="481" t="s">
        <v>607</v>
      </c>
      <c r="K44" s="563" t="s">
        <v>977</v>
      </c>
      <c r="L44" s="481" t="s">
        <v>1010</v>
      </c>
      <c r="M44" s="481" t="s">
        <v>1001</v>
      </c>
      <c r="N44" s="481" t="s">
        <v>976</v>
      </c>
      <c r="O44" s="481"/>
      <c r="P44" s="481"/>
      <c r="Q44" s="481"/>
      <c r="R44" s="481"/>
      <c r="S44" s="481"/>
      <c r="T44" s="481"/>
      <c r="U44" s="481"/>
      <c r="V44" s="481"/>
      <c r="W44" s="481"/>
      <c r="X44" s="481"/>
      <c r="Y44" s="481"/>
      <c r="Z44" s="481"/>
      <c r="AA44" s="481"/>
      <c r="AB44" s="481"/>
      <c r="AC44" s="481"/>
      <c r="AD44" s="481"/>
      <c r="AE44" s="481"/>
      <c r="AF44" s="481"/>
      <c r="AG44" s="481"/>
      <c r="AH44" s="481"/>
      <c r="AI44" s="481"/>
      <c r="AJ44" s="481"/>
      <c r="AK44" s="481"/>
      <c r="AL44" s="481"/>
      <c r="AM44" s="481"/>
      <c r="AN44" s="481"/>
      <c r="AO44" s="481"/>
      <c r="AP44" s="481"/>
      <c r="AQ44" s="530"/>
      <c r="AR44" s="530"/>
      <c r="AS44" s="530"/>
      <c r="AT44" s="530"/>
      <c r="AU44" s="530"/>
      <c r="AV44" s="530"/>
      <c r="AW44" s="530"/>
      <c r="AX44" s="530"/>
      <c r="AY44" s="530"/>
      <c r="AZ44" s="530"/>
      <c r="BA44" s="530"/>
      <c r="BB44" s="530"/>
      <c r="BC44" s="530"/>
      <c r="BD44" s="530"/>
      <c r="BE44" s="530"/>
      <c r="BF44" s="530"/>
      <c r="BG44" s="530"/>
      <c r="BH44" s="530"/>
      <c r="BI44" s="530"/>
      <c r="BJ44" s="530"/>
      <c r="BK44" s="530"/>
      <c r="BL44" s="530"/>
      <c r="BM44" s="530"/>
      <c r="BN44" s="530"/>
      <c r="BO44" s="530"/>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row>
    <row r="45" s="686" customFormat="true" ht="14.4" hidden="false" customHeight="false" outlineLevel="0" collapsed="false">
      <c r="A45" s="497" t="s">
        <v>66</v>
      </c>
      <c r="B45" s="289" t="s">
        <v>137</v>
      </c>
      <c r="C45" s="289" t="s">
        <v>254</v>
      </c>
      <c r="D45" s="649" t="n">
        <v>0.65</v>
      </c>
      <c r="E45" s="289" t="n">
        <v>47000</v>
      </c>
      <c r="F45" s="289" t="n">
        <v>144</v>
      </c>
      <c r="G45" s="289" t="n">
        <v>0</v>
      </c>
      <c r="H45" s="689" t="n">
        <v>89.3</v>
      </c>
      <c r="I45" s="682" t="n">
        <v>140</v>
      </c>
      <c r="J45" s="481" t="s">
        <v>987</v>
      </c>
      <c r="K45" s="563" t="s">
        <v>844</v>
      </c>
      <c r="L45" s="481" t="s">
        <v>1003</v>
      </c>
      <c r="M45" s="481" t="s">
        <v>1001</v>
      </c>
      <c r="N45" s="481" t="s">
        <v>976</v>
      </c>
      <c r="O45" s="481"/>
      <c r="P45" s="481"/>
      <c r="Q45" s="481"/>
      <c r="R45" s="481"/>
      <c r="S45" s="481"/>
      <c r="T45" s="481"/>
      <c r="U45" s="481"/>
      <c r="V45" s="481"/>
      <c r="W45" s="481"/>
      <c r="X45" s="481"/>
      <c r="Y45" s="481"/>
      <c r="Z45" s="481"/>
      <c r="AA45" s="481"/>
      <c r="AB45" s="481"/>
      <c r="AC45" s="481"/>
      <c r="AD45" s="481"/>
      <c r="AE45" s="481"/>
      <c r="AF45" s="481"/>
      <c r="AG45" s="481"/>
      <c r="AH45" s="481"/>
      <c r="AI45" s="481"/>
      <c r="AJ45" s="481"/>
      <c r="AK45" s="481"/>
      <c r="AL45" s="481"/>
      <c r="AM45" s="481"/>
      <c r="AN45" s="481"/>
      <c r="AO45" s="481"/>
      <c r="AP45" s="481"/>
      <c r="AQ45" s="530"/>
      <c r="AR45" s="530"/>
      <c r="AS45" s="530"/>
      <c r="AT45" s="530"/>
      <c r="AU45" s="530"/>
      <c r="AV45" s="530"/>
      <c r="AW45" s="530"/>
      <c r="AX45" s="530"/>
      <c r="AY45" s="530"/>
      <c r="AZ45" s="530"/>
      <c r="BA45" s="530"/>
      <c r="BB45" s="530"/>
      <c r="BC45" s="530"/>
      <c r="BD45" s="530"/>
      <c r="BE45" s="530"/>
      <c r="BF45" s="530"/>
      <c r="BG45" s="530"/>
      <c r="BH45" s="530"/>
      <c r="BI45" s="530"/>
      <c r="BJ45" s="530"/>
      <c r="BK45" s="530"/>
      <c r="BL45" s="530"/>
      <c r="BM45" s="530"/>
      <c r="BN45" s="530"/>
      <c r="BO45" s="530"/>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row>
    <row r="46" customFormat="false" ht="14.4" hidden="false" customHeight="false" outlineLevel="0" collapsed="false">
      <c r="A46" s="499"/>
      <c r="B46" s="23" t="s">
        <v>187</v>
      </c>
      <c r="C46" s="23" t="s">
        <v>254</v>
      </c>
      <c r="D46" s="102" t="n">
        <v>0.21</v>
      </c>
      <c r="E46" s="690" t="n">
        <v>48196</v>
      </c>
      <c r="F46" s="23" t="n">
        <v>165</v>
      </c>
      <c r="G46" s="23" t="n">
        <v>0</v>
      </c>
      <c r="H46" s="297" t="n">
        <v>91.5724</v>
      </c>
      <c r="I46" s="478" t="n">
        <v>140</v>
      </c>
      <c r="J46" s="481" t="s">
        <v>607</v>
      </c>
      <c r="K46" s="563" t="s">
        <v>977</v>
      </c>
      <c r="L46" s="481" t="s">
        <v>1011</v>
      </c>
      <c r="M46" s="481" t="s">
        <v>1001</v>
      </c>
      <c r="N46" s="481" t="s">
        <v>976</v>
      </c>
      <c r="O46" s="481"/>
      <c r="P46" s="481"/>
      <c r="Q46" s="481"/>
      <c r="R46" s="481"/>
      <c r="S46" s="481"/>
      <c r="T46" s="481"/>
      <c r="U46" s="481"/>
      <c r="V46" s="481"/>
      <c r="W46" s="481"/>
      <c r="X46" s="481"/>
      <c r="Y46" s="481"/>
      <c r="Z46" s="481"/>
      <c r="AA46" s="481"/>
      <c r="AB46" s="481"/>
      <c r="AC46" s="481"/>
      <c r="AD46" s="481"/>
      <c r="AE46" s="481"/>
      <c r="AF46" s="481"/>
      <c r="AG46" s="481"/>
      <c r="AH46" s="481"/>
      <c r="AI46" s="481"/>
      <c r="AJ46" s="481"/>
      <c r="AK46" s="481"/>
      <c r="AL46" s="481"/>
      <c r="AM46" s="481"/>
      <c r="AN46" s="481"/>
      <c r="AO46" s="481"/>
      <c r="AP46" s="481"/>
      <c r="AQ46" s="530"/>
      <c r="AR46" s="530"/>
      <c r="AS46" s="530"/>
      <c r="AT46" s="530"/>
      <c r="AU46" s="530"/>
      <c r="AV46" s="530"/>
      <c r="AW46" s="530"/>
      <c r="AX46" s="530"/>
      <c r="AY46" s="530"/>
      <c r="AZ46" s="530"/>
      <c r="BA46" s="530"/>
      <c r="BB46" s="530"/>
      <c r="BC46" s="530"/>
      <c r="BD46" s="530"/>
      <c r="BE46" s="530"/>
      <c r="BF46" s="530"/>
      <c r="BG46" s="530"/>
      <c r="BH46" s="530"/>
      <c r="BI46" s="530"/>
      <c r="BJ46" s="530"/>
      <c r="BK46" s="530"/>
      <c r="BL46" s="530"/>
      <c r="BM46" s="530"/>
      <c r="BN46" s="530"/>
      <c r="BO46" s="530"/>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row>
    <row r="47" customFormat="false" ht="14.4" hidden="false" customHeight="false" outlineLevel="0" collapsed="false">
      <c r="A47" s="499"/>
      <c r="B47" s="23" t="s">
        <v>141</v>
      </c>
      <c r="C47" s="23" t="s">
        <v>254</v>
      </c>
      <c r="D47" s="102" t="n">
        <v>0.14</v>
      </c>
      <c r="E47" s="690" t="n">
        <v>17835</v>
      </c>
      <c r="F47" s="23" t="n">
        <v>60</v>
      </c>
      <c r="G47" s="23" t="n">
        <v>0</v>
      </c>
      <c r="H47" s="297" t="n">
        <v>33.8865</v>
      </c>
      <c r="I47" s="478" t="n">
        <v>140</v>
      </c>
      <c r="J47" s="481" t="s">
        <v>607</v>
      </c>
      <c r="K47" s="563" t="s">
        <v>977</v>
      </c>
      <c r="L47" s="481" t="s">
        <v>1012</v>
      </c>
      <c r="M47" s="481" t="s">
        <v>1001</v>
      </c>
      <c r="N47" s="481" t="s">
        <v>976</v>
      </c>
      <c r="O47" s="481"/>
      <c r="P47" s="481"/>
      <c r="Q47" s="481"/>
      <c r="R47" s="481"/>
      <c r="S47" s="481"/>
      <c r="T47" s="481"/>
      <c r="U47" s="481"/>
      <c r="V47" s="481"/>
      <c r="W47" s="481"/>
      <c r="X47" s="481"/>
      <c r="Y47" s="481"/>
      <c r="Z47" s="481"/>
      <c r="AA47" s="481"/>
      <c r="AB47" s="481"/>
      <c r="AC47" s="481"/>
      <c r="AD47" s="481"/>
      <c r="AE47" s="481"/>
      <c r="AF47" s="481"/>
      <c r="AG47" s="481"/>
      <c r="AH47" s="481"/>
      <c r="AI47" s="481"/>
      <c r="AJ47" s="481"/>
      <c r="AK47" s="481"/>
      <c r="AL47" s="481"/>
      <c r="AM47" s="481"/>
      <c r="AN47" s="481"/>
      <c r="AO47" s="481"/>
      <c r="AP47" s="481"/>
      <c r="AQ47" s="530"/>
      <c r="AR47" s="530"/>
      <c r="AS47" s="530"/>
      <c r="AT47" s="530"/>
      <c r="AU47" s="530"/>
      <c r="AV47" s="530"/>
      <c r="AW47" s="530"/>
      <c r="AX47" s="530"/>
      <c r="AY47" s="530"/>
      <c r="AZ47" s="530"/>
      <c r="BA47" s="530"/>
      <c r="BB47" s="530"/>
      <c r="BC47" s="530"/>
      <c r="BD47" s="530"/>
      <c r="BE47" s="530"/>
      <c r="BF47" s="530"/>
      <c r="BG47" s="530"/>
      <c r="BH47" s="530"/>
      <c r="BI47" s="530"/>
      <c r="BJ47" s="530"/>
      <c r="BK47" s="530"/>
      <c r="BL47" s="530"/>
      <c r="BM47" s="530"/>
      <c r="BN47" s="530"/>
      <c r="BO47" s="530"/>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row>
    <row r="48" s="686" customFormat="true" ht="14.4" hidden="false" customHeight="false" outlineLevel="0" collapsed="false">
      <c r="A48" s="497" t="s">
        <v>72</v>
      </c>
      <c r="B48" s="289" t="s">
        <v>137</v>
      </c>
      <c r="C48" s="289" t="s">
        <v>254</v>
      </c>
      <c r="D48" s="649" t="n">
        <v>0.35</v>
      </c>
      <c r="E48" s="696" t="n">
        <v>29273</v>
      </c>
      <c r="F48" s="289" t="n">
        <v>220</v>
      </c>
      <c r="G48" s="289" t="n">
        <v>0</v>
      </c>
      <c r="H48" s="689" t="n">
        <v>35.1276</v>
      </c>
      <c r="I48" s="682" t="n">
        <v>140</v>
      </c>
      <c r="J48" s="481" t="s">
        <v>844</v>
      </c>
      <c r="K48" s="563" t="s">
        <v>844</v>
      </c>
      <c r="L48" s="481" t="s">
        <v>1003</v>
      </c>
      <c r="M48" s="481" t="s">
        <v>1001</v>
      </c>
      <c r="N48" s="481" t="s">
        <v>976</v>
      </c>
      <c r="O48" s="481"/>
      <c r="P48" s="481"/>
      <c r="Q48" s="481"/>
      <c r="R48" s="481"/>
      <c r="S48" s="481"/>
      <c r="T48" s="481"/>
      <c r="U48" s="481"/>
      <c r="V48" s="481"/>
      <c r="W48" s="481"/>
      <c r="X48" s="481"/>
      <c r="Y48" s="481"/>
      <c r="Z48" s="481"/>
      <c r="AA48" s="481"/>
      <c r="AB48" s="481"/>
      <c r="AC48" s="481"/>
      <c r="AD48" s="481"/>
      <c r="AE48" s="481"/>
      <c r="AF48" s="481"/>
      <c r="AG48" s="481"/>
      <c r="AH48" s="481"/>
      <c r="AI48" s="481"/>
      <c r="AJ48" s="481"/>
      <c r="AK48" s="481"/>
      <c r="AL48" s="481"/>
      <c r="AM48" s="481"/>
      <c r="AN48" s="481"/>
      <c r="AO48" s="481"/>
      <c r="AP48" s="481"/>
      <c r="AQ48" s="530"/>
      <c r="AR48" s="530"/>
      <c r="AS48" s="530"/>
      <c r="AT48" s="530"/>
      <c r="AU48" s="530"/>
      <c r="AV48" s="530"/>
      <c r="AW48" s="530"/>
      <c r="AX48" s="530"/>
      <c r="AY48" s="530"/>
      <c r="AZ48" s="530"/>
      <c r="BA48" s="530"/>
      <c r="BB48" s="530"/>
      <c r="BC48" s="530"/>
      <c r="BD48" s="530"/>
      <c r="BE48" s="530"/>
      <c r="BF48" s="530"/>
      <c r="BG48" s="530"/>
      <c r="BH48" s="530"/>
      <c r="BI48" s="530"/>
      <c r="BJ48" s="530"/>
      <c r="BK48" s="530"/>
      <c r="BL48" s="530"/>
      <c r="BM48" s="530"/>
      <c r="BN48" s="530"/>
      <c r="BO48" s="530"/>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row>
    <row r="49" customFormat="false" ht="14.4" hidden="false" customHeight="false" outlineLevel="0" collapsed="false">
      <c r="A49" s="499"/>
      <c r="B49" s="23" t="s">
        <v>187</v>
      </c>
      <c r="C49" s="23" t="s">
        <v>254</v>
      </c>
      <c r="D49" s="102" t="n">
        <v>0.54</v>
      </c>
      <c r="E49" s="23" t="n">
        <v>35472</v>
      </c>
      <c r="F49" s="23" t="n">
        <v>168</v>
      </c>
      <c r="G49" s="23" t="n">
        <v>0</v>
      </c>
      <c r="H49" s="297" t="n">
        <v>42.5664</v>
      </c>
      <c r="I49" s="478" t="n">
        <v>140</v>
      </c>
      <c r="J49" s="481" t="s">
        <v>607</v>
      </c>
      <c r="K49" s="563" t="s">
        <v>977</v>
      </c>
      <c r="L49" s="481" t="s">
        <v>1011</v>
      </c>
      <c r="M49" s="481" t="s">
        <v>1001</v>
      </c>
      <c r="N49" s="481" t="s">
        <v>976</v>
      </c>
      <c r="O49" s="481"/>
      <c r="P49" s="481"/>
      <c r="Q49" s="481"/>
      <c r="R49" s="481"/>
      <c r="S49" s="481"/>
      <c r="T49" s="481"/>
      <c r="U49" s="481"/>
      <c r="V49" s="481"/>
      <c r="W49" s="481"/>
      <c r="X49" s="481"/>
      <c r="Y49" s="481"/>
      <c r="Z49" s="481"/>
      <c r="AA49" s="481"/>
      <c r="AB49" s="481"/>
      <c r="AC49" s="481"/>
      <c r="AD49" s="481"/>
      <c r="AE49" s="481"/>
      <c r="AF49" s="481"/>
      <c r="AG49" s="481"/>
      <c r="AH49" s="481"/>
      <c r="AI49" s="481"/>
      <c r="AJ49" s="481"/>
      <c r="AK49" s="481"/>
      <c r="AL49" s="481"/>
      <c r="AM49" s="481"/>
      <c r="AN49" s="481"/>
      <c r="AO49" s="481"/>
      <c r="AP49" s="481"/>
      <c r="AQ49" s="530"/>
      <c r="AR49" s="530"/>
      <c r="AS49" s="530"/>
      <c r="AT49" s="530"/>
      <c r="AU49" s="530"/>
      <c r="AV49" s="530"/>
      <c r="AW49" s="530"/>
      <c r="AX49" s="530"/>
      <c r="AY49" s="530"/>
      <c r="AZ49" s="530"/>
      <c r="BA49" s="530"/>
      <c r="BB49" s="530"/>
      <c r="BC49" s="530"/>
      <c r="BD49" s="530"/>
      <c r="BE49" s="530"/>
      <c r="BF49" s="530"/>
      <c r="BG49" s="530"/>
      <c r="BH49" s="530"/>
      <c r="BI49" s="530"/>
      <c r="BJ49" s="530"/>
      <c r="BK49" s="530"/>
      <c r="BL49" s="530"/>
      <c r="BM49" s="530"/>
      <c r="BN49" s="530"/>
      <c r="BO49" s="530"/>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row>
    <row r="50" customFormat="false" ht="14.4" hidden="false" customHeight="false" outlineLevel="0" collapsed="false">
      <c r="A50" s="499"/>
      <c r="B50" s="23" t="s">
        <v>141</v>
      </c>
      <c r="C50" s="23" t="s">
        <v>254</v>
      </c>
      <c r="D50" s="102" t="n">
        <v>0.11</v>
      </c>
      <c r="E50" s="23" t="n">
        <v>28948</v>
      </c>
      <c r="F50" s="23" t="n">
        <v>177</v>
      </c>
      <c r="G50" s="23" t="n">
        <v>0</v>
      </c>
      <c r="H50" s="297" t="n">
        <v>34.7376</v>
      </c>
      <c r="I50" s="478" t="n">
        <v>140</v>
      </c>
      <c r="J50" s="481" t="s">
        <v>607</v>
      </c>
      <c r="K50" s="563" t="s">
        <v>977</v>
      </c>
      <c r="L50" s="481" t="s">
        <v>1009</v>
      </c>
      <c r="M50" s="481" t="s">
        <v>1001</v>
      </c>
      <c r="N50" s="481" t="s">
        <v>976</v>
      </c>
      <c r="O50" s="481"/>
      <c r="P50" s="481"/>
      <c r="Q50" s="481"/>
      <c r="R50" s="481"/>
      <c r="S50" s="481"/>
      <c r="T50" s="481"/>
      <c r="U50" s="481"/>
      <c r="V50" s="481"/>
      <c r="W50" s="481"/>
      <c r="X50" s="481"/>
      <c r="Y50" s="481"/>
      <c r="Z50" s="481"/>
      <c r="AA50" s="481"/>
      <c r="AB50" s="481"/>
      <c r="AC50" s="481"/>
      <c r="AD50" s="481"/>
      <c r="AE50" s="481"/>
      <c r="AF50" s="481"/>
      <c r="AG50" s="481"/>
      <c r="AH50" s="481"/>
      <c r="AI50" s="481"/>
      <c r="AJ50" s="481"/>
      <c r="AK50" s="481"/>
      <c r="AL50" s="481"/>
      <c r="AM50" s="481"/>
      <c r="AN50" s="481"/>
      <c r="AO50" s="481"/>
      <c r="AP50" s="481"/>
      <c r="AQ50" s="530"/>
      <c r="AR50" s="530"/>
      <c r="AS50" s="530"/>
      <c r="AT50" s="530"/>
      <c r="AU50" s="530"/>
      <c r="AV50" s="530"/>
      <c r="AW50" s="530"/>
      <c r="AX50" s="530"/>
      <c r="AY50" s="530"/>
      <c r="AZ50" s="530"/>
      <c r="BA50" s="530"/>
      <c r="BB50" s="530"/>
      <c r="BC50" s="530"/>
      <c r="BD50" s="530"/>
      <c r="BE50" s="530"/>
      <c r="BF50" s="530"/>
      <c r="BG50" s="530"/>
      <c r="BH50" s="530"/>
      <c r="BI50" s="530"/>
      <c r="BJ50" s="530"/>
      <c r="BK50" s="530"/>
      <c r="BL50" s="530"/>
      <c r="BM50" s="530"/>
      <c r="BN50" s="530"/>
      <c r="BO50" s="530"/>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row>
    <row r="51" s="686" customFormat="true" ht="14.4" hidden="false" customHeight="false" outlineLevel="0" collapsed="false">
      <c r="A51" s="497" t="s">
        <v>82</v>
      </c>
      <c r="B51" s="289" t="s">
        <v>137</v>
      </c>
      <c r="C51" s="289" t="s">
        <v>254</v>
      </c>
      <c r="D51" s="649" t="n">
        <v>0.43</v>
      </c>
      <c r="E51" s="289" t="n">
        <v>44100</v>
      </c>
      <c r="F51" s="289" t="n">
        <v>200</v>
      </c>
      <c r="G51" s="289" t="n">
        <v>0</v>
      </c>
      <c r="H51" s="689" t="n">
        <v>110.25</v>
      </c>
      <c r="I51" s="682" t="n">
        <v>140</v>
      </c>
      <c r="J51" s="481" t="s">
        <v>987</v>
      </c>
      <c r="K51" s="563" t="s">
        <v>844</v>
      </c>
      <c r="L51" s="481" t="s">
        <v>1000</v>
      </c>
      <c r="M51" s="481" t="s">
        <v>1001</v>
      </c>
      <c r="N51" s="481" t="s">
        <v>976</v>
      </c>
      <c r="O51" s="481"/>
      <c r="P51" s="481"/>
      <c r="Q51" s="481"/>
      <c r="R51" s="481"/>
      <c r="S51" s="481"/>
      <c r="T51" s="481"/>
      <c r="U51" s="481"/>
      <c r="V51" s="481"/>
      <c r="W51" s="481"/>
      <c r="X51" s="481"/>
      <c r="Y51" s="481"/>
      <c r="Z51" s="481"/>
      <c r="AA51" s="481"/>
      <c r="AB51" s="481"/>
      <c r="AC51" s="481"/>
      <c r="AD51" s="481"/>
      <c r="AE51" s="481"/>
      <c r="AF51" s="481"/>
      <c r="AG51" s="481"/>
      <c r="AH51" s="481"/>
      <c r="AI51" s="481"/>
      <c r="AJ51" s="481"/>
      <c r="AK51" s="481"/>
      <c r="AL51" s="481"/>
      <c r="AM51" s="481"/>
      <c r="AN51" s="481"/>
      <c r="AO51" s="481"/>
      <c r="AP51" s="481"/>
      <c r="AQ51" s="530"/>
      <c r="AR51" s="530"/>
      <c r="AS51" s="530"/>
      <c r="AT51" s="530"/>
      <c r="AU51" s="530"/>
      <c r="AV51" s="530"/>
      <c r="AW51" s="530"/>
      <c r="AX51" s="530"/>
      <c r="AY51" s="530"/>
      <c r="AZ51" s="530"/>
      <c r="BA51" s="530"/>
      <c r="BB51" s="530"/>
      <c r="BC51" s="530"/>
      <c r="BD51" s="530"/>
      <c r="BE51" s="530"/>
      <c r="BF51" s="530"/>
      <c r="BG51" s="530"/>
      <c r="BH51" s="530"/>
      <c r="BI51" s="530"/>
      <c r="BJ51" s="530"/>
      <c r="BK51" s="530"/>
      <c r="BL51" s="530"/>
      <c r="BM51" s="530"/>
      <c r="BN51" s="530"/>
      <c r="BO51" s="530"/>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row>
    <row r="52" customFormat="false" ht="14.4" hidden="false" customHeight="false" outlineLevel="0" collapsed="false">
      <c r="A52" s="499"/>
      <c r="B52" s="23" t="s">
        <v>140</v>
      </c>
      <c r="C52" s="23" t="s">
        <v>254</v>
      </c>
      <c r="D52" s="102" t="n">
        <v>0.51</v>
      </c>
      <c r="E52" s="690" t="n">
        <v>56752</v>
      </c>
      <c r="F52" s="297" t="n">
        <v>213.95504</v>
      </c>
      <c r="G52" s="23" t="n">
        <v>0</v>
      </c>
      <c r="H52" s="297" t="n">
        <v>141.88</v>
      </c>
      <c r="I52" s="478" t="n">
        <v>140</v>
      </c>
      <c r="J52" s="481" t="s">
        <v>607</v>
      </c>
      <c r="K52" s="563" t="s">
        <v>977</v>
      </c>
      <c r="L52" s="481" t="s">
        <v>1013</v>
      </c>
      <c r="M52" s="481" t="s">
        <v>1001</v>
      </c>
      <c r="N52" s="481" t="s">
        <v>976</v>
      </c>
      <c r="O52" s="481"/>
      <c r="P52" s="481"/>
      <c r="Q52" s="481"/>
      <c r="R52" s="481"/>
      <c r="S52" s="481"/>
      <c r="T52" s="481"/>
      <c r="U52" s="481"/>
      <c r="V52" s="481"/>
      <c r="W52" s="481"/>
      <c r="X52" s="481"/>
      <c r="Y52" s="481"/>
      <c r="Z52" s="481"/>
      <c r="AA52" s="481"/>
      <c r="AB52" s="481"/>
      <c r="AC52" s="481"/>
      <c r="AD52" s="481"/>
      <c r="AE52" s="481"/>
      <c r="AF52" s="481"/>
      <c r="AG52" s="481"/>
      <c r="AH52" s="481"/>
      <c r="AI52" s="481"/>
      <c r="AJ52" s="481"/>
      <c r="AK52" s="481"/>
      <c r="AL52" s="481"/>
      <c r="AM52" s="481"/>
      <c r="AN52" s="481"/>
      <c r="AO52" s="481"/>
      <c r="AP52" s="481"/>
      <c r="AQ52" s="530"/>
      <c r="AR52" s="530"/>
      <c r="AS52" s="530"/>
      <c r="AT52" s="530"/>
      <c r="AU52" s="530"/>
      <c r="AV52" s="530"/>
      <c r="AW52" s="530"/>
      <c r="AX52" s="530"/>
      <c r="AY52" s="530"/>
      <c r="AZ52" s="530"/>
      <c r="BA52" s="530"/>
      <c r="BB52" s="530"/>
      <c r="BC52" s="530"/>
      <c r="BD52" s="530"/>
      <c r="BE52" s="530"/>
      <c r="BF52" s="530"/>
      <c r="BG52" s="530"/>
      <c r="BH52" s="530"/>
      <c r="BI52" s="530"/>
      <c r="BJ52" s="530"/>
      <c r="BK52" s="530"/>
      <c r="BL52" s="530"/>
      <c r="BM52" s="530"/>
      <c r="BN52" s="530"/>
      <c r="BO52" s="530"/>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row>
    <row r="53" customFormat="false" ht="14.4" hidden="false" customHeight="false" outlineLevel="0" collapsed="false">
      <c r="A53" s="499"/>
      <c r="B53" s="23" t="s">
        <v>141</v>
      </c>
      <c r="C53" s="23" t="s">
        <v>254</v>
      </c>
      <c r="D53" s="102" t="n">
        <v>0.06</v>
      </c>
      <c r="E53" s="23" t="n">
        <v>29144</v>
      </c>
      <c r="F53" s="687" t="n">
        <v>109.87288</v>
      </c>
      <c r="G53" s="23" t="n">
        <v>0</v>
      </c>
      <c r="H53" s="297" t="n">
        <v>72.86</v>
      </c>
      <c r="I53" s="478" t="n">
        <v>140</v>
      </c>
      <c r="J53" s="481" t="s">
        <v>607</v>
      </c>
      <c r="K53" s="563" t="s">
        <v>977</v>
      </c>
      <c r="L53" s="481" t="s">
        <v>1013</v>
      </c>
      <c r="M53" s="481" t="s">
        <v>1001</v>
      </c>
      <c r="N53" s="481" t="s">
        <v>976</v>
      </c>
      <c r="O53" s="481"/>
      <c r="P53" s="481"/>
      <c r="Q53" s="481"/>
      <c r="R53" s="481"/>
      <c r="S53" s="481"/>
      <c r="T53" s="481"/>
      <c r="U53" s="481"/>
      <c r="V53" s="481"/>
      <c r="W53" s="481"/>
      <c r="X53" s="481"/>
      <c r="Y53" s="481"/>
      <c r="Z53" s="481"/>
      <c r="AA53" s="481"/>
      <c r="AB53" s="481"/>
      <c r="AC53" s="481"/>
      <c r="AD53" s="481"/>
      <c r="AE53" s="481"/>
      <c r="AF53" s="481"/>
      <c r="AG53" s="481"/>
      <c r="AH53" s="481"/>
      <c r="AI53" s="481"/>
      <c r="AJ53" s="481"/>
      <c r="AK53" s="481"/>
      <c r="AL53" s="481"/>
      <c r="AM53" s="481"/>
      <c r="AN53" s="481"/>
      <c r="AO53" s="481"/>
      <c r="AP53" s="481"/>
      <c r="AQ53" s="530"/>
      <c r="AR53" s="530"/>
      <c r="AS53" s="530"/>
      <c r="AT53" s="530"/>
      <c r="AU53" s="530"/>
      <c r="AV53" s="530"/>
      <c r="AW53" s="530"/>
      <c r="AX53" s="530"/>
      <c r="AY53" s="530"/>
      <c r="AZ53" s="530"/>
      <c r="BA53" s="530"/>
      <c r="BB53" s="530"/>
      <c r="BC53" s="530"/>
      <c r="BD53" s="530"/>
      <c r="BE53" s="530"/>
      <c r="BF53" s="530"/>
      <c r="BG53" s="530"/>
      <c r="BH53" s="530"/>
      <c r="BI53" s="530"/>
      <c r="BJ53" s="530"/>
      <c r="BK53" s="530"/>
      <c r="BL53" s="530"/>
      <c r="BM53" s="530"/>
      <c r="BN53" s="530"/>
      <c r="BO53" s="530"/>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row>
    <row r="54" s="686" customFormat="true" ht="14.4" hidden="false" customHeight="false" outlineLevel="0" collapsed="false">
      <c r="A54" s="497" t="s">
        <v>86</v>
      </c>
      <c r="B54" s="289" t="s">
        <v>137</v>
      </c>
      <c r="C54" s="289" t="s">
        <v>254</v>
      </c>
      <c r="D54" s="649" t="n">
        <v>0.42</v>
      </c>
      <c r="E54" s="289" t="n">
        <v>17820</v>
      </c>
      <c r="F54" s="289" t="n">
        <v>220</v>
      </c>
      <c r="G54" s="289" t="n">
        <v>0</v>
      </c>
      <c r="H54" s="689" t="n">
        <v>89.1</v>
      </c>
      <c r="I54" s="682" t="n">
        <v>140</v>
      </c>
      <c r="J54" s="481" t="s">
        <v>844</v>
      </c>
      <c r="K54" s="563" t="s">
        <v>844</v>
      </c>
      <c r="L54" s="481" t="s">
        <v>1000</v>
      </c>
      <c r="M54" s="481" t="s">
        <v>1001</v>
      </c>
      <c r="N54" s="481" t="s">
        <v>976</v>
      </c>
      <c r="O54" s="481"/>
      <c r="P54" s="481"/>
      <c r="Q54" s="481"/>
      <c r="R54" s="481"/>
      <c r="S54" s="481"/>
      <c r="T54" s="481"/>
      <c r="U54" s="481"/>
      <c r="V54" s="481"/>
      <c r="W54" s="481"/>
      <c r="X54" s="481"/>
      <c r="Y54" s="481"/>
      <c r="Z54" s="481"/>
      <c r="AA54" s="481"/>
      <c r="AB54" s="481"/>
      <c r="AC54" s="481"/>
      <c r="AD54" s="481"/>
      <c r="AE54" s="481"/>
      <c r="AF54" s="481"/>
      <c r="AG54" s="481"/>
      <c r="AH54" s="481"/>
      <c r="AI54" s="481"/>
      <c r="AJ54" s="481"/>
      <c r="AK54" s="481"/>
      <c r="AL54" s="481"/>
      <c r="AM54" s="481"/>
      <c r="AN54" s="481"/>
      <c r="AO54" s="481"/>
      <c r="AP54" s="481"/>
      <c r="AQ54" s="530"/>
      <c r="AR54" s="530"/>
      <c r="AS54" s="530"/>
      <c r="AT54" s="530"/>
      <c r="AU54" s="530"/>
      <c r="AV54" s="530"/>
      <c r="AW54" s="530"/>
      <c r="AX54" s="530"/>
      <c r="AY54" s="530"/>
      <c r="AZ54" s="530"/>
      <c r="BA54" s="530"/>
      <c r="BB54" s="530"/>
      <c r="BC54" s="530"/>
      <c r="BD54" s="530"/>
      <c r="BE54" s="530"/>
      <c r="BF54" s="530"/>
      <c r="BG54" s="530"/>
      <c r="BH54" s="530"/>
      <c r="BI54" s="530"/>
      <c r="BJ54" s="530"/>
      <c r="BK54" s="530"/>
      <c r="BL54" s="530"/>
      <c r="BM54" s="530"/>
      <c r="BN54" s="530"/>
      <c r="BO54" s="530"/>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row>
    <row r="55" customFormat="false" ht="14.4" hidden="false" customHeight="false" outlineLevel="0" collapsed="false">
      <c r="A55" s="499"/>
      <c r="B55" s="23" t="s">
        <v>285</v>
      </c>
      <c r="C55" s="23" t="s">
        <v>254</v>
      </c>
      <c r="D55" s="102" t="n">
        <v>0.27</v>
      </c>
      <c r="E55" s="23" t="n">
        <v>17353</v>
      </c>
      <c r="F55" s="23" t="n">
        <v>162</v>
      </c>
      <c r="G55" s="23" t="n">
        <v>0</v>
      </c>
      <c r="H55" s="297" t="n">
        <v>78.0885</v>
      </c>
      <c r="I55" s="478" t="n">
        <v>140</v>
      </c>
      <c r="J55" s="481" t="s">
        <v>607</v>
      </c>
      <c r="K55" s="563" t="s">
        <v>977</v>
      </c>
      <c r="L55" s="481" t="s">
        <v>994</v>
      </c>
      <c r="M55" s="481" t="s">
        <v>994</v>
      </c>
      <c r="N55" s="481" t="s">
        <v>976</v>
      </c>
      <c r="O55" s="481"/>
      <c r="P55" s="481"/>
      <c r="Q55" s="481"/>
      <c r="R55" s="481"/>
      <c r="S55" s="481"/>
      <c r="T55" s="481"/>
      <c r="U55" s="481"/>
      <c r="V55" s="481"/>
      <c r="W55" s="481"/>
      <c r="X55" s="481"/>
      <c r="Y55" s="481"/>
      <c r="Z55" s="481"/>
      <c r="AA55" s="481"/>
      <c r="AB55" s="481"/>
      <c r="AC55" s="481"/>
      <c r="AD55" s="481"/>
      <c r="AE55" s="481"/>
      <c r="AF55" s="481"/>
      <c r="AG55" s="481"/>
      <c r="AH55" s="481"/>
      <c r="AI55" s="481"/>
      <c r="AJ55" s="481"/>
      <c r="AK55" s="481"/>
      <c r="AL55" s="481"/>
      <c r="AM55" s="481"/>
      <c r="AN55" s="481"/>
      <c r="AO55" s="481"/>
      <c r="AP55" s="481"/>
      <c r="AQ55" s="530"/>
      <c r="AR55" s="530"/>
      <c r="AS55" s="530"/>
      <c r="AT55" s="530"/>
      <c r="AU55" s="530"/>
      <c r="AV55" s="530"/>
      <c r="AW55" s="530"/>
      <c r="AX55" s="530"/>
      <c r="AY55" s="530"/>
      <c r="AZ55" s="530"/>
      <c r="BA55" s="530"/>
      <c r="BB55" s="530"/>
      <c r="BC55" s="530"/>
      <c r="BD55" s="530"/>
      <c r="BE55" s="530"/>
      <c r="BF55" s="530"/>
      <c r="BG55" s="530"/>
      <c r="BH55" s="530"/>
      <c r="BI55" s="530"/>
      <c r="BJ55" s="530"/>
      <c r="BK55" s="530"/>
      <c r="BL55" s="530"/>
      <c r="BM55" s="530"/>
      <c r="BN55" s="530"/>
      <c r="BO55" s="530"/>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row>
    <row r="56" customFormat="false" ht="14.4" hidden="false" customHeight="false" outlineLevel="0" collapsed="false">
      <c r="A56" s="499"/>
      <c r="B56" s="23" t="s">
        <v>312</v>
      </c>
      <c r="C56" s="23" t="s">
        <v>254</v>
      </c>
      <c r="D56" s="102" t="n">
        <v>0.14</v>
      </c>
      <c r="E56" s="23" t="n">
        <v>17578</v>
      </c>
      <c r="F56" s="23" t="n">
        <v>190</v>
      </c>
      <c r="G56" s="23" t="n">
        <v>0</v>
      </c>
      <c r="H56" s="297" t="n">
        <v>83.4955</v>
      </c>
      <c r="I56" s="478" t="n">
        <v>140</v>
      </c>
      <c r="J56" s="481" t="s">
        <v>607</v>
      </c>
      <c r="K56" s="563" t="s">
        <v>977</v>
      </c>
      <c r="L56" s="481" t="s">
        <v>1014</v>
      </c>
      <c r="M56" s="481" t="s">
        <v>997</v>
      </c>
      <c r="N56" s="481" t="s">
        <v>976</v>
      </c>
      <c r="O56" s="481"/>
      <c r="P56" s="481"/>
      <c r="Q56" s="481"/>
      <c r="R56" s="481"/>
      <c r="S56" s="481"/>
      <c r="T56" s="481"/>
      <c r="U56" s="481"/>
      <c r="V56" s="481"/>
      <c r="W56" s="481"/>
      <c r="X56" s="481"/>
      <c r="Y56" s="481"/>
      <c r="Z56" s="481"/>
      <c r="AA56" s="481"/>
      <c r="AB56" s="481"/>
      <c r="AC56" s="481"/>
      <c r="AD56" s="481"/>
      <c r="AE56" s="481"/>
      <c r="AF56" s="481"/>
      <c r="AG56" s="481"/>
      <c r="AH56" s="481"/>
      <c r="AI56" s="481"/>
      <c r="AJ56" s="481"/>
      <c r="AK56" s="481"/>
      <c r="AL56" s="481"/>
      <c r="AM56" s="481"/>
      <c r="AN56" s="481"/>
      <c r="AO56" s="481"/>
      <c r="AP56" s="481"/>
      <c r="AQ56" s="530"/>
      <c r="AR56" s="530"/>
      <c r="AS56" s="530"/>
      <c r="AT56" s="530"/>
      <c r="AU56" s="530"/>
      <c r="AV56" s="530"/>
      <c r="AW56" s="530"/>
      <c r="AX56" s="530"/>
      <c r="AY56" s="530"/>
      <c r="AZ56" s="530"/>
      <c r="BA56" s="530"/>
      <c r="BB56" s="530"/>
      <c r="BC56" s="530"/>
      <c r="BD56" s="530"/>
      <c r="BE56" s="530"/>
      <c r="BF56" s="530"/>
      <c r="BG56" s="530"/>
      <c r="BH56" s="530"/>
      <c r="BI56" s="530"/>
      <c r="BJ56" s="530"/>
      <c r="BK56" s="530"/>
      <c r="BL56" s="530"/>
      <c r="BM56" s="530"/>
      <c r="BN56" s="530"/>
      <c r="BO56" s="530"/>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row>
    <row r="57" customFormat="false" ht="14.4" hidden="false" customHeight="false" outlineLevel="0" collapsed="false">
      <c r="A57" s="499"/>
      <c r="B57" s="23" t="s">
        <v>141</v>
      </c>
      <c r="C57" s="23" t="s">
        <v>254</v>
      </c>
      <c r="D57" s="102" t="n">
        <v>0.17</v>
      </c>
      <c r="E57" s="23" t="n">
        <v>17400</v>
      </c>
      <c r="F57" s="23" t="n">
        <v>188</v>
      </c>
      <c r="G57" s="23" t="n">
        <v>0</v>
      </c>
      <c r="H57" s="297" t="n">
        <v>82.65</v>
      </c>
      <c r="I57" s="478" t="n">
        <v>140</v>
      </c>
      <c r="J57" s="481" t="s">
        <v>607</v>
      </c>
      <c r="K57" s="563" t="s">
        <v>977</v>
      </c>
      <c r="L57" s="481" t="s">
        <v>1014</v>
      </c>
      <c r="M57" s="481" t="s">
        <v>997</v>
      </c>
      <c r="N57" s="481" t="s">
        <v>976</v>
      </c>
      <c r="O57" s="481"/>
      <c r="P57" s="481"/>
      <c r="Q57" s="481"/>
      <c r="R57" s="481"/>
      <c r="S57" s="481"/>
      <c r="T57" s="481"/>
      <c r="U57" s="481"/>
      <c r="V57" s="481"/>
      <c r="W57" s="481"/>
      <c r="X57" s="481"/>
      <c r="Y57" s="481"/>
      <c r="Z57" s="481"/>
      <c r="AA57" s="481"/>
      <c r="AB57" s="481"/>
      <c r="AC57" s="481"/>
      <c r="AD57" s="481"/>
      <c r="AE57" s="481"/>
      <c r="AF57" s="481"/>
      <c r="AG57" s="481"/>
      <c r="AH57" s="481"/>
      <c r="AI57" s="481"/>
      <c r="AJ57" s="481"/>
      <c r="AK57" s="481"/>
      <c r="AL57" s="481"/>
      <c r="AM57" s="481"/>
      <c r="AN57" s="481"/>
      <c r="AO57" s="481"/>
      <c r="AP57" s="481"/>
      <c r="AQ57" s="530"/>
      <c r="AR57" s="530"/>
      <c r="AS57" s="530"/>
      <c r="AT57" s="530"/>
      <c r="AU57" s="530"/>
      <c r="AV57" s="530"/>
      <c r="AW57" s="530"/>
      <c r="AX57" s="530"/>
      <c r="AY57" s="530"/>
      <c r="AZ57" s="530"/>
      <c r="BA57" s="530"/>
      <c r="BB57" s="530"/>
      <c r="BC57" s="530"/>
      <c r="BD57" s="530"/>
      <c r="BE57" s="530"/>
      <c r="BF57" s="530"/>
      <c r="BG57" s="530"/>
      <c r="BH57" s="530"/>
      <c r="BI57" s="530"/>
      <c r="BJ57" s="530"/>
      <c r="BK57" s="530"/>
      <c r="BL57" s="530"/>
      <c r="BM57" s="530"/>
      <c r="BN57" s="530"/>
      <c r="BO57" s="530"/>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row>
    <row r="58" s="686" customFormat="true" ht="14.4" hidden="false" customHeight="false" outlineLevel="0" collapsed="false">
      <c r="A58" s="497" t="s">
        <v>78</v>
      </c>
      <c r="B58" s="289" t="s">
        <v>137</v>
      </c>
      <c r="C58" s="289" t="s">
        <v>254</v>
      </c>
      <c r="D58" s="649" t="n">
        <v>0.66</v>
      </c>
      <c r="E58" s="689" t="n">
        <v>8428.72134980378</v>
      </c>
      <c r="F58" s="289" t="n">
        <v>150</v>
      </c>
      <c r="G58" s="289" t="n">
        <v>0</v>
      </c>
      <c r="H58" s="689" t="n">
        <v>113.3696</v>
      </c>
      <c r="I58" s="682" t="n">
        <v>140</v>
      </c>
      <c r="J58" s="481" t="s">
        <v>844</v>
      </c>
      <c r="K58" s="563" t="s">
        <v>844</v>
      </c>
      <c r="L58" s="481" t="s">
        <v>1000</v>
      </c>
      <c r="M58" s="481" t="s">
        <v>1015</v>
      </c>
      <c r="N58" s="481" t="s">
        <v>976</v>
      </c>
      <c r="O58" s="481"/>
      <c r="P58" s="481"/>
      <c r="Q58" s="481"/>
      <c r="R58" s="481"/>
      <c r="S58" s="481"/>
      <c r="T58" s="481"/>
      <c r="U58" s="481"/>
      <c r="V58" s="481"/>
      <c r="W58" s="481"/>
      <c r="X58" s="481"/>
      <c r="Y58" s="481"/>
      <c r="Z58" s="481"/>
      <c r="AA58" s="481"/>
      <c r="AB58" s="481"/>
      <c r="AC58" s="481"/>
      <c r="AD58" s="481"/>
      <c r="AE58" s="481"/>
      <c r="AF58" s="481"/>
      <c r="AG58" s="481"/>
      <c r="AH58" s="481"/>
      <c r="AI58" s="481"/>
      <c r="AJ58" s="481"/>
      <c r="AK58" s="481"/>
      <c r="AL58" s="481"/>
      <c r="AM58" s="481"/>
      <c r="AN58" s="481"/>
      <c r="AO58" s="481"/>
      <c r="AP58" s="481"/>
      <c r="AQ58" s="530"/>
      <c r="AR58" s="530"/>
      <c r="AS58" s="530"/>
      <c r="AT58" s="530"/>
      <c r="AU58" s="530"/>
      <c r="AV58" s="530"/>
      <c r="AW58" s="530"/>
      <c r="AX58" s="530"/>
      <c r="AY58" s="530"/>
      <c r="AZ58" s="530"/>
      <c r="BA58" s="530"/>
      <c r="BB58" s="530"/>
      <c r="BC58" s="530"/>
      <c r="BD58" s="530"/>
      <c r="BE58" s="530"/>
      <c r="BF58" s="530"/>
      <c r="BG58" s="530"/>
      <c r="BH58" s="530"/>
      <c r="BI58" s="530"/>
      <c r="BJ58" s="530"/>
      <c r="BK58" s="530"/>
      <c r="BL58" s="530"/>
      <c r="BM58" s="530"/>
      <c r="BN58" s="530"/>
      <c r="BO58" s="530"/>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row>
    <row r="59" customFormat="false" ht="14.4" hidden="false" customHeight="false" outlineLevel="0" collapsed="false">
      <c r="A59" s="499"/>
      <c r="B59" s="23" t="s">
        <v>285</v>
      </c>
      <c r="C59" s="23" t="s">
        <v>254</v>
      </c>
      <c r="D59" s="102" t="n">
        <v>0.14</v>
      </c>
      <c r="E59" s="23" t="n">
        <v>17353</v>
      </c>
      <c r="F59" s="23" t="n">
        <v>298</v>
      </c>
      <c r="G59" s="23" t="n">
        <v>0</v>
      </c>
      <c r="H59" s="297" t="n">
        <v>194.00654</v>
      </c>
      <c r="I59" s="478" t="n">
        <v>140</v>
      </c>
      <c r="J59" s="481" t="s">
        <v>607</v>
      </c>
      <c r="K59" s="563" t="s">
        <v>977</v>
      </c>
      <c r="L59" s="481" t="s">
        <v>994</v>
      </c>
      <c r="M59" s="481" t="s">
        <v>994</v>
      </c>
      <c r="N59" s="481" t="s">
        <v>976</v>
      </c>
      <c r="O59" s="481"/>
      <c r="P59" s="481"/>
      <c r="Q59" s="481"/>
      <c r="R59" s="481"/>
      <c r="S59" s="481"/>
      <c r="T59" s="481"/>
      <c r="U59" s="481"/>
      <c r="V59" s="481"/>
      <c r="W59" s="481"/>
      <c r="X59" s="481"/>
      <c r="Y59" s="481"/>
      <c r="Z59" s="481"/>
      <c r="AA59" s="481"/>
      <c r="AB59" s="481"/>
      <c r="AC59" s="481"/>
      <c r="AD59" s="481"/>
      <c r="AE59" s="481"/>
      <c r="AF59" s="481"/>
      <c r="AG59" s="481"/>
      <c r="AH59" s="481"/>
      <c r="AI59" s="481"/>
      <c r="AJ59" s="481"/>
      <c r="AK59" s="481"/>
      <c r="AL59" s="481"/>
      <c r="AM59" s="481"/>
      <c r="AN59" s="481"/>
      <c r="AO59" s="481"/>
      <c r="AP59" s="481"/>
      <c r="AQ59" s="530"/>
      <c r="AR59" s="530"/>
      <c r="AS59" s="530"/>
      <c r="AT59" s="530"/>
      <c r="AU59" s="530"/>
      <c r="AV59" s="530"/>
      <c r="AW59" s="530"/>
      <c r="AX59" s="530"/>
      <c r="AY59" s="530"/>
      <c r="AZ59" s="530"/>
      <c r="BA59" s="530"/>
      <c r="BB59" s="530"/>
      <c r="BC59" s="530"/>
      <c r="BD59" s="530"/>
      <c r="BE59" s="530"/>
      <c r="BF59" s="530"/>
      <c r="BG59" s="530"/>
      <c r="BH59" s="530"/>
      <c r="BI59" s="530"/>
      <c r="BJ59" s="530"/>
      <c r="BK59" s="530"/>
      <c r="BL59" s="530"/>
      <c r="BM59" s="530"/>
      <c r="BN59" s="530"/>
      <c r="BO59" s="530"/>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row>
    <row r="60" customFormat="false" ht="14.4" hidden="false" customHeight="false" outlineLevel="0" collapsed="false">
      <c r="A60" s="499"/>
      <c r="B60" s="23" t="s">
        <v>141</v>
      </c>
      <c r="C60" s="23" t="s">
        <v>254</v>
      </c>
      <c r="D60" s="102" t="n">
        <v>0.2</v>
      </c>
      <c r="E60" s="23" t="n">
        <v>17400</v>
      </c>
      <c r="F60" s="23" t="n">
        <v>209</v>
      </c>
      <c r="G60" s="23" t="n">
        <v>0</v>
      </c>
      <c r="H60" s="297" t="n">
        <v>215.586</v>
      </c>
      <c r="I60" s="478" t="n">
        <v>140</v>
      </c>
      <c r="J60" s="481" t="s">
        <v>607</v>
      </c>
      <c r="K60" s="563" t="s">
        <v>977</v>
      </c>
      <c r="L60" s="481" t="s">
        <v>1016</v>
      </c>
      <c r="M60" s="481" t="s">
        <v>997</v>
      </c>
      <c r="N60" s="481" t="s">
        <v>976</v>
      </c>
      <c r="O60" s="481"/>
      <c r="P60" s="481"/>
      <c r="Q60" s="481"/>
      <c r="R60" s="481"/>
      <c r="S60" s="481"/>
      <c r="T60" s="481"/>
      <c r="U60" s="481"/>
      <c r="V60" s="481"/>
      <c r="W60" s="481"/>
      <c r="X60" s="481"/>
      <c r="Y60" s="481"/>
      <c r="Z60" s="481"/>
      <c r="AA60" s="481"/>
      <c r="AB60" s="481"/>
      <c r="AC60" s="481"/>
      <c r="AD60" s="481"/>
      <c r="AE60" s="481"/>
      <c r="AF60" s="481"/>
      <c r="AG60" s="481"/>
      <c r="AH60" s="481"/>
      <c r="AI60" s="481"/>
      <c r="AJ60" s="481"/>
      <c r="AK60" s="481"/>
      <c r="AL60" s="481"/>
      <c r="AM60" s="481"/>
      <c r="AN60" s="481"/>
      <c r="AO60" s="481"/>
      <c r="AP60" s="481"/>
      <c r="AQ60" s="530"/>
      <c r="AR60" s="530"/>
      <c r="AS60" s="530"/>
      <c r="AT60" s="530"/>
      <c r="AU60" s="530"/>
      <c r="AV60" s="530"/>
      <c r="AW60" s="530"/>
      <c r="AX60" s="530"/>
      <c r="AY60" s="530"/>
      <c r="AZ60" s="530"/>
      <c r="BA60" s="530"/>
      <c r="BB60" s="530"/>
      <c r="BC60" s="530"/>
      <c r="BD60" s="530"/>
      <c r="BE60" s="530"/>
      <c r="BF60" s="530"/>
      <c r="BG60" s="530"/>
      <c r="BH60" s="530"/>
      <c r="BI60" s="530"/>
      <c r="BJ60" s="530"/>
      <c r="BK60" s="530"/>
      <c r="BL60" s="530"/>
      <c r="BM60" s="530"/>
      <c r="BN60" s="530"/>
      <c r="BO60" s="530"/>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row>
    <row r="61" s="686" customFormat="true" ht="14.4" hidden="false" customHeight="false" outlineLevel="0" collapsed="false">
      <c r="A61" s="497" t="s">
        <v>41</v>
      </c>
      <c r="B61" s="289" t="s">
        <v>187</v>
      </c>
      <c r="C61" s="289" t="s">
        <v>291</v>
      </c>
      <c r="D61" s="649" t="n">
        <v>0.600914275569035</v>
      </c>
      <c r="E61" s="289" t="n">
        <v>272934</v>
      </c>
      <c r="F61" s="289" t="n">
        <v>573</v>
      </c>
      <c r="G61" s="289" t="n">
        <v>0</v>
      </c>
      <c r="H61" s="289" t="n">
        <v>0</v>
      </c>
      <c r="I61" s="682" t="n">
        <v>0</v>
      </c>
      <c r="J61" s="481" t="s">
        <v>989</v>
      </c>
      <c r="K61" s="563" t="s">
        <v>977</v>
      </c>
      <c r="L61" s="481" t="s">
        <v>1017</v>
      </c>
      <c r="M61" s="481"/>
      <c r="N61" s="481"/>
      <c r="O61" s="481"/>
      <c r="P61" s="481"/>
      <c r="Q61" s="481"/>
      <c r="R61" s="481"/>
      <c r="S61" s="481"/>
      <c r="T61" s="481"/>
      <c r="U61" s="481"/>
      <c r="V61" s="481"/>
      <c r="W61" s="481"/>
      <c r="X61" s="481"/>
      <c r="Y61" s="481"/>
      <c r="Z61" s="481"/>
      <c r="AA61" s="481"/>
      <c r="AB61" s="481"/>
      <c r="AC61" s="481"/>
      <c r="AD61" s="481"/>
      <c r="AE61" s="481"/>
      <c r="AF61" s="481"/>
      <c r="AG61" s="481"/>
      <c r="AH61" s="481"/>
      <c r="AI61" s="481"/>
      <c r="AJ61" s="481"/>
      <c r="AK61" s="481"/>
      <c r="AL61" s="481"/>
      <c r="AM61" s="481"/>
      <c r="AN61" s="481"/>
      <c r="AO61" s="481"/>
      <c r="AP61" s="481"/>
      <c r="AQ61" s="530"/>
      <c r="AR61" s="530"/>
      <c r="AS61" s="530"/>
      <c r="AT61" s="530"/>
      <c r="AU61" s="530"/>
      <c r="AV61" s="530"/>
      <c r="AW61" s="530"/>
      <c r="AX61" s="530"/>
      <c r="AY61" s="530"/>
      <c r="AZ61" s="530"/>
      <c r="BA61" s="530"/>
      <c r="BB61" s="530"/>
      <c r="BC61" s="530"/>
      <c r="BD61" s="530"/>
      <c r="BE61" s="530"/>
      <c r="BF61" s="530"/>
      <c r="BG61" s="530"/>
      <c r="BH61" s="530"/>
      <c r="BI61" s="530"/>
      <c r="BJ61" s="530"/>
      <c r="BK61" s="530"/>
      <c r="BL61" s="530"/>
      <c r="BM61" s="530"/>
      <c r="BN61" s="530"/>
      <c r="BO61" s="530"/>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row>
    <row r="62" customFormat="false" ht="14.4" hidden="false" customHeight="false" outlineLevel="0" collapsed="false">
      <c r="A62" s="499"/>
      <c r="B62" s="23" t="s">
        <v>285</v>
      </c>
      <c r="C62" s="23" t="s">
        <v>991</v>
      </c>
      <c r="D62" s="102" t="n">
        <v>0.118594857689195</v>
      </c>
      <c r="E62" s="690" t="n">
        <v>72326</v>
      </c>
      <c r="F62" s="23" t="n">
        <v>338</v>
      </c>
      <c r="G62" s="23" t="n">
        <v>0</v>
      </c>
      <c r="H62" s="23" t="n">
        <v>0</v>
      </c>
      <c r="I62" s="382" t="n">
        <v>0</v>
      </c>
      <c r="J62" s="481" t="s">
        <v>992</v>
      </c>
      <c r="K62" s="563" t="s">
        <v>993</v>
      </c>
      <c r="L62" s="481" t="s">
        <v>994</v>
      </c>
      <c r="N62" s="481"/>
      <c r="O62" s="481"/>
      <c r="P62" s="481"/>
      <c r="Q62" s="481"/>
      <c r="R62" s="481"/>
      <c r="S62" s="481"/>
      <c r="T62" s="481"/>
      <c r="U62" s="481"/>
      <c r="V62" s="481"/>
      <c r="W62" s="481"/>
      <c r="X62" s="481"/>
      <c r="Y62" s="481"/>
      <c r="Z62" s="481"/>
      <c r="AA62" s="481"/>
      <c r="AB62" s="481"/>
      <c r="AC62" s="481"/>
      <c r="AD62" s="481"/>
      <c r="AE62" s="481"/>
      <c r="AF62" s="481"/>
      <c r="AG62" s="481"/>
      <c r="AH62" s="481"/>
      <c r="AI62" s="481"/>
      <c r="AJ62" s="481"/>
      <c r="AK62" s="481"/>
      <c r="AL62" s="481"/>
      <c r="AM62" s="481"/>
      <c r="AN62" s="481"/>
      <c r="AO62" s="481"/>
      <c r="AP62" s="481"/>
      <c r="AQ62" s="530"/>
      <c r="AR62" s="530"/>
      <c r="AS62" s="530"/>
      <c r="AT62" s="530"/>
      <c r="AU62" s="530"/>
      <c r="AV62" s="530"/>
      <c r="AW62" s="530"/>
      <c r="AX62" s="530"/>
      <c r="AY62" s="530"/>
      <c r="AZ62" s="530"/>
      <c r="BA62" s="530"/>
      <c r="BB62" s="530"/>
      <c r="BC62" s="530"/>
      <c r="BD62" s="530"/>
      <c r="BE62" s="530"/>
      <c r="BF62" s="530"/>
      <c r="BG62" s="530"/>
      <c r="BH62" s="530"/>
      <c r="BI62" s="530"/>
      <c r="BJ62" s="530"/>
      <c r="BK62" s="530"/>
      <c r="BL62" s="530"/>
      <c r="BM62" s="530"/>
      <c r="BN62" s="530"/>
      <c r="BO62" s="530"/>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row>
    <row r="63" customFormat="false" ht="14.4" hidden="false" customHeight="false" outlineLevel="0" collapsed="false">
      <c r="A63" s="499"/>
      <c r="B63" s="23"/>
      <c r="C63" s="23" t="s">
        <v>254</v>
      </c>
      <c r="D63" s="102" t="n">
        <v>0.135980690348331</v>
      </c>
      <c r="E63" s="23" t="n">
        <v>57121</v>
      </c>
      <c r="F63" s="23" t="n">
        <v>260</v>
      </c>
      <c r="G63" s="23" t="n">
        <v>0</v>
      </c>
      <c r="H63" s="297" t="n">
        <v>128.52225</v>
      </c>
      <c r="I63" s="478" t="n">
        <v>140</v>
      </c>
      <c r="J63" s="481" t="s">
        <v>992</v>
      </c>
      <c r="K63" s="563" t="s">
        <v>993</v>
      </c>
      <c r="L63" s="481" t="s">
        <v>994</v>
      </c>
      <c r="M63" s="481" t="s">
        <v>994</v>
      </c>
      <c r="N63" s="481" t="s">
        <v>976</v>
      </c>
      <c r="O63" s="481"/>
      <c r="P63" s="481"/>
      <c r="Q63" s="481"/>
      <c r="R63" s="481"/>
      <c r="S63" s="481"/>
      <c r="T63" s="481"/>
      <c r="U63" s="481"/>
      <c r="V63" s="481"/>
      <c r="W63" s="481"/>
      <c r="X63" s="481"/>
      <c r="Y63" s="481"/>
      <c r="Z63" s="481"/>
      <c r="AA63" s="481"/>
      <c r="AB63" s="481"/>
      <c r="AC63" s="481"/>
      <c r="AD63" s="481"/>
      <c r="AE63" s="481"/>
      <c r="AF63" s="481"/>
      <c r="AG63" s="481"/>
      <c r="AH63" s="481"/>
      <c r="AI63" s="481"/>
      <c r="AJ63" s="481"/>
      <c r="AK63" s="481"/>
      <c r="AL63" s="481"/>
      <c r="AM63" s="481"/>
      <c r="AN63" s="481"/>
      <c r="AO63" s="481"/>
      <c r="AP63" s="481"/>
      <c r="AQ63" s="530"/>
      <c r="AR63" s="530"/>
      <c r="AS63" s="530"/>
      <c r="AT63" s="530"/>
      <c r="AU63" s="530"/>
      <c r="AV63" s="530"/>
      <c r="AW63" s="530"/>
      <c r="AX63" s="530"/>
      <c r="AY63" s="530"/>
      <c r="AZ63" s="530"/>
      <c r="BA63" s="530"/>
      <c r="BB63" s="530"/>
      <c r="BC63" s="530"/>
      <c r="BD63" s="530"/>
      <c r="BE63" s="530"/>
      <c r="BF63" s="530"/>
      <c r="BG63" s="530"/>
      <c r="BH63" s="530"/>
      <c r="BI63" s="530"/>
      <c r="BJ63" s="530"/>
      <c r="BK63" s="530"/>
      <c r="BL63" s="530"/>
      <c r="BM63" s="530"/>
      <c r="BN63" s="530"/>
      <c r="BO63" s="530"/>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row>
    <row r="64" customFormat="false" ht="14.4" hidden="false" customHeight="false" outlineLevel="0" collapsed="false">
      <c r="A64" s="499"/>
      <c r="B64" s="23" t="s">
        <v>141</v>
      </c>
      <c r="C64" s="23" t="s">
        <v>291</v>
      </c>
      <c r="D64" s="102" t="n">
        <v>0.0408798512878502</v>
      </c>
      <c r="E64" s="23" t="n">
        <v>41215</v>
      </c>
      <c r="F64" s="23" t="n">
        <v>87</v>
      </c>
      <c r="G64" s="23" t="n">
        <v>0</v>
      </c>
      <c r="H64" s="282" t="n">
        <v>0</v>
      </c>
      <c r="I64" s="382" t="n">
        <v>0</v>
      </c>
      <c r="J64" s="481" t="s">
        <v>607</v>
      </c>
      <c r="K64" s="563" t="s">
        <v>977</v>
      </c>
      <c r="L64" s="481" t="s">
        <v>1017</v>
      </c>
      <c r="M64" s="481"/>
      <c r="N64" s="481"/>
      <c r="O64" s="481"/>
      <c r="P64" s="481"/>
      <c r="Q64" s="481"/>
      <c r="R64" s="481"/>
      <c r="S64" s="481"/>
      <c r="T64" s="481"/>
      <c r="U64" s="481"/>
      <c r="V64" s="481"/>
      <c r="W64" s="481"/>
      <c r="X64" s="481"/>
      <c r="Y64" s="481"/>
      <c r="Z64" s="481"/>
      <c r="AA64" s="481"/>
      <c r="AB64" s="481"/>
      <c r="AC64" s="481"/>
      <c r="AD64" s="481"/>
      <c r="AE64" s="481"/>
      <c r="AF64" s="481"/>
      <c r="AG64" s="481"/>
      <c r="AH64" s="481"/>
      <c r="AI64" s="481"/>
      <c r="AJ64" s="481"/>
      <c r="AK64" s="481"/>
      <c r="AL64" s="481"/>
      <c r="AM64" s="481"/>
      <c r="AN64" s="481"/>
      <c r="AO64" s="481"/>
      <c r="AP64" s="481"/>
      <c r="AQ64" s="530"/>
      <c r="AR64" s="530"/>
      <c r="AS64" s="530"/>
      <c r="AT64" s="530"/>
      <c r="AU64" s="530"/>
      <c r="AV64" s="530"/>
      <c r="AW64" s="530"/>
      <c r="AX64" s="530"/>
      <c r="AY64" s="530"/>
      <c r="AZ64" s="530"/>
      <c r="BA64" s="530"/>
      <c r="BB64" s="530"/>
      <c r="BC64" s="530"/>
      <c r="BD64" s="530"/>
      <c r="BE64" s="530"/>
      <c r="BF64" s="530"/>
      <c r="BG64" s="530"/>
      <c r="BH64" s="530"/>
      <c r="BI64" s="530"/>
      <c r="BJ64" s="530"/>
      <c r="BK64" s="530"/>
      <c r="BL64" s="530"/>
      <c r="BM64" s="530"/>
      <c r="BN64" s="530"/>
      <c r="BO64" s="530"/>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row>
    <row r="65" customFormat="false" ht="14.4" hidden="false" customHeight="false" outlineLevel="0" collapsed="false">
      <c r="A65" s="499"/>
      <c r="B65" s="23"/>
      <c r="C65" s="23" t="s">
        <v>254</v>
      </c>
      <c r="D65" s="102" t="n">
        <v>0.103630325105589</v>
      </c>
      <c r="E65" s="23" t="n">
        <v>38538</v>
      </c>
      <c r="F65" s="23" t="n">
        <v>81</v>
      </c>
      <c r="G65" s="23" t="n">
        <v>0</v>
      </c>
      <c r="H65" s="297" t="n">
        <v>86.7105</v>
      </c>
      <c r="I65" s="478" t="n">
        <v>140</v>
      </c>
      <c r="J65" s="481" t="s">
        <v>607</v>
      </c>
      <c r="K65" s="563" t="s">
        <v>977</v>
      </c>
      <c r="L65" s="481" t="s">
        <v>1017</v>
      </c>
      <c r="M65" s="481" t="s">
        <v>994</v>
      </c>
      <c r="N65" s="481" t="s">
        <v>976</v>
      </c>
      <c r="O65" s="481"/>
      <c r="P65" s="481"/>
      <c r="Q65" s="481"/>
      <c r="R65" s="481"/>
      <c r="S65" s="481"/>
      <c r="T65" s="481"/>
      <c r="U65" s="481"/>
      <c r="V65" s="481"/>
      <c r="W65" s="481"/>
      <c r="X65" s="481"/>
      <c r="Y65" s="481"/>
      <c r="Z65" s="481"/>
      <c r="AA65" s="481"/>
      <c r="AB65" s="481"/>
      <c r="AC65" s="481"/>
      <c r="AD65" s="481"/>
      <c r="AE65" s="481"/>
      <c r="AF65" s="481"/>
      <c r="AG65" s="481"/>
      <c r="AH65" s="481"/>
      <c r="AI65" s="481"/>
      <c r="AJ65" s="481"/>
      <c r="AK65" s="481"/>
      <c r="AL65" s="481"/>
      <c r="AM65" s="481"/>
      <c r="AN65" s="481"/>
      <c r="AO65" s="481"/>
      <c r="AP65" s="481"/>
      <c r="AQ65" s="530"/>
      <c r="AR65" s="530"/>
      <c r="AS65" s="530"/>
      <c r="AT65" s="530"/>
      <c r="AU65" s="530"/>
      <c r="AV65" s="530"/>
      <c r="AW65" s="530"/>
      <c r="AX65" s="530"/>
      <c r="AY65" s="530"/>
      <c r="AZ65" s="530"/>
      <c r="BA65" s="530"/>
      <c r="BB65" s="530"/>
      <c r="BC65" s="530"/>
      <c r="BD65" s="530"/>
      <c r="BE65" s="530"/>
      <c r="BF65" s="530"/>
      <c r="BG65" s="530"/>
      <c r="BH65" s="530"/>
      <c r="BI65" s="530"/>
      <c r="BJ65" s="530"/>
      <c r="BK65" s="530"/>
      <c r="BL65" s="530"/>
      <c r="BM65" s="530"/>
      <c r="BN65" s="530"/>
      <c r="BO65" s="530"/>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row>
    <row r="66" s="686" customFormat="true" ht="14.4" hidden="false" customHeight="false" outlineLevel="0" collapsed="false">
      <c r="A66" s="497" t="s">
        <v>28</v>
      </c>
      <c r="B66" s="289" t="s">
        <v>137</v>
      </c>
      <c r="C66" s="289" t="s">
        <v>254</v>
      </c>
      <c r="D66" s="649" t="n">
        <v>0.21</v>
      </c>
      <c r="E66" s="289" t="n">
        <v>17137</v>
      </c>
      <c r="F66" s="289" t="n">
        <v>45</v>
      </c>
      <c r="G66" s="289" t="n">
        <v>0</v>
      </c>
      <c r="H66" s="289" t="n">
        <v>0</v>
      </c>
      <c r="I66" s="665" t="n">
        <v>450</v>
      </c>
      <c r="J66" s="481" t="s">
        <v>987</v>
      </c>
      <c r="K66" s="563" t="s">
        <v>844</v>
      </c>
      <c r="L66" s="481" t="s">
        <v>1018</v>
      </c>
      <c r="M66" s="481"/>
      <c r="N66" s="481" t="s">
        <v>1019</v>
      </c>
      <c r="O66" s="481"/>
      <c r="P66" s="481"/>
      <c r="Q66" s="481"/>
      <c r="R66" s="481"/>
      <c r="S66" s="481"/>
      <c r="T66" s="481"/>
      <c r="U66" s="481"/>
      <c r="V66" s="481"/>
      <c r="W66" s="481"/>
      <c r="X66" s="481"/>
      <c r="Y66" s="481"/>
      <c r="Z66" s="481"/>
      <c r="AA66" s="481"/>
      <c r="AB66" s="481"/>
      <c r="AC66" s="481"/>
      <c r="AD66" s="481"/>
      <c r="AE66" s="481"/>
      <c r="AF66" s="481"/>
      <c r="AG66" s="481"/>
      <c r="AH66" s="481"/>
      <c r="AI66" s="481"/>
      <c r="AJ66" s="481"/>
      <c r="AK66" s="481"/>
      <c r="AL66" s="481"/>
      <c r="AM66" s="481"/>
      <c r="AN66" s="481"/>
      <c r="AO66" s="481"/>
      <c r="AP66" s="481"/>
      <c r="AQ66" s="530"/>
      <c r="AR66" s="530"/>
      <c r="AS66" s="530"/>
      <c r="AT66" s="530"/>
      <c r="AU66" s="530"/>
      <c r="AV66" s="530"/>
      <c r="AW66" s="530"/>
      <c r="AX66" s="530"/>
      <c r="AY66" s="530"/>
      <c r="AZ66" s="530"/>
      <c r="BA66" s="530"/>
      <c r="BB66" s="530"/>
      <c r="BC66" s="530"/>
      <c r="BD66" s="530"/>
      <c r="BE66" s="530"/>
      <c r="BF66" s="530"/>
      <c r="BG66" s="530"/>
      <c r="BH66" s="530"/>
      <c r="BI66" s="530"/>
      <c r="BJ66" s="530"/>
      <c r="BK66" s="530"/>
      <c r="BL66" s="530"/>
      <c r="BM66" s="530"/>
      <c r="BN66" s="530"/>
      <c r="BO66" s="530"/>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row>
    <row r="67" customFormat="false" ht="14.4" hidden="false" customHeight="false" outlineLevel="0" collapsed="false">
      <c r="A67" s="499"/>
      <c r="B67" s="23" t="s">
        <v>274</v>
      </c>
      <c r="C67" s="23" t="s">
        <v>254</v>
      </c>
      <c r="D67" s="102" t="n">
        <v>0.3</v>
      </c>
      <c r="E67" s="23" t="n">
        <v>41029</v>
      </c>
      <c r="F67" s="23" t="n">
        <v>51</v>
      </c>
      <c r="G67" s="23" t="n">
        <v>0</v>
      </c>
      <c r="H67" s="23" t="n">
        <v>0</v>
      </c>
      <c r="I67" s="381" t="n">
        <v>450</v>
      </c>
      <c r="J67" s="481" t="s">
        <v>607</v>
      </c>
      <c r="K67" s="563" t="s">
        <v>977</v>
      </c>
      <c r="L67" s="481" t="s">
        <v>1020</v>
      </c>
      <c r="M67" s="481"/>
      <c r="N67" s="481" t="s">
        <v>1019</v>
      </c>
      <c r="O67" s="481"/>
      <c r="P67" s="481"/>
      <c r="Q67" s="481"/>
      <c r="R67" s="481"/>
      <c r="S67" s="481"/>
      <c r="T67" s="481"/>
      <c r="U67" s="481"/>
      <c r="V67" s="481"/>
      <c r="W67" s="481"/>
      <c r="X67" s="481"/>
      <c r="Y67" s="481"/>
      <c r="Z67" s="481"/>
      <c r="AA67" s="481"/>
      <c r="AB67" s="481"/>
      <c r="AC67" s="481"/>
      <c r="AD67" s="481"/>
      <c r="AE67" s="481"/>
      <c r="AF67" s="481"/>
      <c r="AG67" s="481"/>
      <c r="AH67" s="481"/>
      <c r="AI67" s="481"/>
      <c r="AJ67" s="481"/>
      <c r="AK67" s="481"/>
      <c r="AL67" s="481"/>
      <c r="AM67" s="481"/>
      <c r="AN67" s="481"/>
      <c r="AO67" s="481"/>
      <c r="AP67" s="481"/>
      <c r="AQ67" s="530"/>
      <c r="AR67" s="530"/>
      <c r="AS67" s="530"/>
      <c r="AT67" s="530"/>
      <c r="AU67" s="530"/>
      <c r="AV67" s="530"/>
      <c r="AW67" s="530"/>
      <c r="AX67" s="530"/>
      <c r="AY67" s="530"/>
      <c r="AZ67" s="530"/>
      <c r="BA67" s="530"/>
      <c r="BB67" s="530"/>
      <c r="BC67" s="530"/>
      <c r="BD67" s="530"/>
      <c r="BE67" s="530"/>
      <c r="BF67" s="530"/>
      <c r="BG67" s="530"/>
      <c r="BH67" s="530"/>
      <c r="BI67" s="530"/>
      <c r="BJ67" s="530"/>
      <c r="BK67" s="530"/>
      <c r="BL67" s="530"/>
      <c r="BM67" s="530"/>
      <c r="BN67" s="530"/>
      <c r="BO67" s="530"/>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row>
    <row r="68" customFormat="false" ht="14.4" hidden="false" customHeight="false" outlineLevel="0" collapsed="false">
      <c r="A68" s="499"/>
      <c r="B68" s="23" t="s">
        <v>141</v>
      </c>
      <c r="C68" s="23" t="s">
        <v>254</v>
      </c>
      <c r="D68" s="102" t="n">
        <v>0.49</v>
      </c>
      <c r="E68" s="23" t="n">
        <v>15908</v>
      </c>
      <c r="F68" s="23" t="n">
        <v>28</v>
      </c>
      <c r="G68" s="23" t="n">
        <v>0</v>
      </c>
      <c r="H68" s="23" t="n">
        <v>0</v>
      </c>
      <c r="I68" s="381" t="n">
        <v>450</v>
      </c>
      <c r="J68" s="481" t="s">
        <v>607</v>
      </c>
      <c r="K68" s="563" t="s">
        <v>977</v>
      </c>
      <c r="L68" s="481" t="s">
        <v>1021</v>
      </c>
      <c r="M68" s="481"/>
      <c r="N68" s="481" t="s">
        <v>1019</v>
      </c>
      <c r="O68" s="481"/>
      <c r="P68" s="481"/>
      <c r="Q68" s="481"/>
      <c r="R68" s="481"/>
      <c r="S68" s="481"/>
      <c r="T68" s="481"/>
      <c r="U68" s="481"/>
      <c r="V68" s="481"/>
      <c r="W68" s="481"/>
      <c r="X68" s="481"/>
      <c r="Y68" s="481"/>
      <c r="Z68" s="481"/>
      <c r="AA68" s="481"/>
      <c r="AB68" s="481"/>
      <c r="AC68" s="481"/>
      <c r="AD68" s="481"/>
      <c r="AE68" s="481"/>
      <c r="AF68" s="481"/>
      <c r="AG68" s="481"/>
      <c r="AH68" s="481"/>
      <c r="AI68" s="481"/>
      <c r="AJ68" s="481"/>
      <c r="AK68" s="481"/>
      <c r="AL68" s="481"/>
      <c r="AM68" s="481"/>
      <c r="AN68" s="481"/>
      <c r="AO68" s="481"/>
      <c r="AP68" s="481"/>
      <c r="AQ68" s="530"/>
      <c r="AR68" s="530"/>
      <c r="AS68" s="530"/>
      <c r="AT68" s="530"/>
      <c r="AU68" s="530"/>
      <c r="AV68" s="530"/>
      <c r="AW68" s="530"/>
      <c r="AX68" s="530"/>
      <c r="AY68" s="530"/>
      <c r="AZ68" s="530"/>
      <c r="BA68" s="530"/>
      <c r="BB68" s="530"/>
      <c r="BC68" s="530"/>
      <c r="BD68" s="530"/>
      <c r="BE68" s="530"/>
      <c r="BF68" s="530"/>
      <c r="BG68" s="530"/>
      <c r="BH68" s="530"/>
      <c r="BI68" s="530"/>
      <c r="BJ68" s="530"/>
      <c r="BK68" s="530"/>
      <c r="BL68" s="530"/>
      <c r="BM68" s="530"/>
      <c r="BN68" s="530"/>
      <c r="BO68" s="530"/>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row>
    <row r="69" s="686" customFormat="true" ht="14.4" hidden="false" customHeight="false" outlineLevel="0" collapsed="false">
      <c r="A69" s="497" t="s">
        <v>49</v>
      </c>
      <c r="B69" s="289" t="s">
        <v>327</v>
      </c>
      <c r="C69" s="289" t="s">
        <v>254</v>
      </c>
      <c r="D69" s="649" t="n">
        <v>0.22</v>
      </c>
      <c r="E69" s="289" t="n">
        <v>51039</v>
      </c>
      <c r="F69" s="289" t="n">
        <v>76</v>
      </c>
      <c r="G69" s="289" t="n">
        <v>47</v>
      </c>
      <c r="H69" s="289" t="n">
        <v>0</v>
      </c>
      <c r="I69" s="665" t="n">
        <v>100</v>
      </c>
      <c r="J69" s="481" t="s">
        <v>607</v>
      </c>
      <c r="K69" s="563" t="s">
        <v>977</v>
      </c>
      <c r="L69" s="481" t="s">
        <v>1022</v>
      </c>
      <c r="M69" s="481"/>
      <c r="N69" s="481" t="s">
        <v>1023</v>
      </c>
      <c r="O69" s="481"/>
      <c r="P69" s="481"/>
      <c r="Q69" s="481"/>
      <c r="R69" s="481"/>
      <c r="S69" s="481"/>
      <c r="T69" s="481"/>
      <c r="U69" s="481"/>
      <c r="V69" s="481"/>
      <c r="W69" s="481"/>
      <c r="X69" s="481"/>
      <c r="Y69" s="481"/>
      <c r="Z69" s="481"/>
      <c r="AA69" s="481"/>
      <c r="AB69" s="481"/>
      <c r="AC69" s="481"/>
      <c r="AD69" s="481"/>
      <c r="AE69" s="481"/>
      <c r="AF69" s="481"/>
      <c r="AG69" s="481"/>
      <c r="AH69" s="481"/>
      <c r="AI69" s="481"/>
      <c r="AJ69" s="481"/>
      <c r="AK69" s="481"/>
      <c r="AL69" s="481"/>
      <c r="AM69" s="481"/>
      <c r="AN69" s="481"/>
      <c r="AO69" s="481"/>
      <c r="AP69" s="481"/>
      <c r="AQ69" s="530"/>
      <c r="AR69" s="530"/>
      <c r="AS69" s="530"/>
      <c r="AT69" s="530"/>
      <c r="AU69" s="530"/>
      <c r="AV69" s="530"/>
      <c r="AW69" s="530"/>
      <c r="AX69" s="530"/>
      <c r="AY69" s="530"/>
      <c r="AZ69" s="530"/>
      <c r="BA69" s="530"/>
      <c r="BB69" s="530"/>
      <c r="BC69" s="530"/>
      <c r="BD69" s="530"/>
      <c r="BE69" s="530"/>
      <c r="BF69" s="530"/>
      <c r="BG69" s="530"/>
      <c r="BH69" s="530"/>
      <c r="BI69" s="530"/>
      <c r="BJ69" s="530"/>
      <c r="BK69" s="530"/>
      <c r="BL69" s="530"/>
      <c r="BM69" s="530"/>
      <c r="BN69" s="530"/>
      <c r="BO69" s="530"/>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row>
    <row r="70" customFormat="false" ht="14.4" hidden="false" customHeight="false" outlineLevel="0" collapsed="false">
      <c r="A70" s="499"/>
      <c r="B70" s="23" t="s">
        <v>328</v>
      </c>
      <c r="C70" s="23" t="s">
        <v>254</v>
      </c>
      <c r="D70" s="102" t="n">
        <v>0.15</v>
      </c>
      <c r="E70" s="23" t="n">
        <v>35203</v>
      </c>
      <c r="F70" s="23" t="n">
        <v>283</v>
      </c>
      <c r="G70" s="23" t="n">
        <v>0</v>
      </c>
      <c r="H70" s="23" t="n">
        <v>0</v>
      </c>
      <c r="I70" s="381" t="n">
        <v>100</v>
      </c>
      <c r="J70" s="481" t="s">
        <v>607</v>
      </c>
      <c r="K70" s="563" t="s">
        <v>977</v>
      </c>
      <c r="L70" s="481" t="s">
        <v>1024</v>
      </c>
      <c r="M70" s="481"/>
      <c r="N70" s="481" t="s">
        <v>1023</v>
      </c>
      <c r="O70" s="481"/>
      <c r="P70" s="481"/>
      <c r="Q70" s="481"/>
      <c r="R70" s="481"/>
      <c r="S70" s="481"/>
      <c r="T70" s="481"/>
      <c r="U70" s="481"/>
      <c r="V70" s="481"/>
      <c r="W70" s="481"/>
      <c r="X70" s="481"/>
      <c r="Y70" s="481"/>
      <c r="Z70" s="481"/>
      <c r="AA70" s="481"/>
      <c r="AB70" s="481"/>
      <c r="AC70" s="481"/>
      <c r="AD70" s="481"/>
      <c r="AE70" s="481"/>
      <c r="AF70" s="481"/>
      <c r="AG70" s="481"/>
      <c r="AH70" s="481"/>
      <c r="AI70" s="481"/>
      <c r="AJ70" s="481"/>
      <c r="AK70" s="481"/>
      <c r="AL70" s="481"/>
      <c r="AM70" s="481"/>
      <c r="AN70" s="481"/>
      <c r="AO70" s="481"/>
      <c r="AP70" s="481"/>
      <c r="AQ70" s="530"/>
      <c r="AR70" s="530"/>
      <c r="AS70" s="530"/>
      <c r="AT70" s="530"/>
      <c r="AU70" s="530"/>
      <c r="AV70" s="530"/>
      <c r="AW70" s="530"/>
      <c r="AX70" s="530"/>
      <c r="AY70" s="530"/>
      <c r="AZ70" s="530"/>
      <c r="BA70" s="530"/>
      <c r="BB70" s="530"/>
      <c r="BC70" s="530"/>
      <c r="BD70" s="530"/>
      <c r="BE70" s="530"/>
      <c r="BF70" s="530"/>
      <c r="BG70" s="530"/>
      <c r="BH70" s="530"/>
      <c r="BI70" s="530"/>
      <c r="BJ70" s="530"/>
      <c r="BK70" s="530"/>
      <c r="BL70" s="530"/>
      <c r="BM70" s="530"/>
      <c r="BN70" s="530"/>
      <c r="BO70" s="530"/>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row>
    <row r="71" customFormat="false" ht="14.4" hidden="false" customHeight="false" outlineLevel="0" collapsed="false">
      <c r="A71" s="499"/>
      <c r="B71" s="23" t="s">
        <v>329</v>
      </c>
      <c r="C71" s="23" t="s">
        <v>254</v>
      </c>
      <c r="D71" s="102" t="n">
        <v>0.15</v>
      </c>
      <c r="E71" s="23" t="n">
        <v>37174</v>
      </c>
      <c r="F71" s="23" t="n">
        <v>60</v>
      </c>
      <c r="G71" s="23" t="n">
        <v>18</v>
      </c>
      <c r="H71" s="23" t="n">
        <v>0</v>
      </c>
      <c r="I71" s="382" t="n">
        <v>100</v>
      </c>
      <c r="J71" s="481" t="s">
        <v>607</v>
      </c>
      <c r="K71" s="563" t="s">
        <v>977</v>
      </c>
      <c r="L71" s="481" t="s">
        <v>1025</v>
      </c>
      <c r="M71" s="481"/>
      <c r="N71" s="481" t="s">
        <v>1023</v>
      </c>
      <c r="O71" s="481"/>
      <c r="P71" s="481"/>
      <c r="Q71" s="481"/>
      <c r="R71" s="481"/>
      <c r="S71" s="481"/>
      <c r="T71" s="481"/>
      <c r="U71" s="481"/>
      <c r="V71" s="481"/>
      <c r="W71" s="481"/>
      <c r="X71" s="481"/>
      <c r="Y71" s="481"/>
      <c r="Z71" s="481"/>
      <c r="AA71" s="481"/>
      <c r="AB71" s="481"/>
      <c r="AC71" s="481"/>
      <c r="AD71" s="481"/>
      <c r="AE71" s="481"/>
      <c r="AF71" s="481"/>
      <c r="AG71" s="481"/>
      <c r="AH71" s="481"/>
      <c r="AI71" s="481"/>
      <c r="AJ71" s="481"/>
      <c r="AK71" s="481"/>
      <c r="AL71" s="481"/>
      <c r="AM71" s="481"/>
      <c r="AN71" s="481"/>
      <c r="AO71" s="481"/>
      <c r="AP71" s="481"/>
      <c r="AQ71" s="530"/>
      <c r="AR71" s="530"/>
      <c r="AS71" s="530"/>
      <c r="AT71" s="530"/>
      <c r="AU71" s="530"/>
      <c r="AV71" s="530"/>
      <c r="AW71" s="530"/>
      <c r="AX71" s="530"/>
      <c r="AY71" s="530"/>
      <c r="AZ71" s="530"/>
      <c r="BA71" s="530"/>
      <c r="BB71" s="530"/>
      <c r="BC71" s="530"/>
      <c r="BD71" s="530"/>
      <c r="BE71" s="530"/>
      <c r="BF71" s="530"/>
      <c r="BG71" s="530"/>
      <c r="BH71" s="530"/>
      <c r="BI71" s="530"/>
      <c r="BJ71" s="530"/>
      <c r="BK71" s="530"/>
      <c r="BL71" s="530"/>
      <c r="BM71" s="530"/>
      <c r="BN71" s="530"/>
      <c r="BO71" s="530"/>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row>
    <row r="72" customFormat="false" ht="14.4" hidden="false" customHeight="false" outlineLevel="0" collapsed="false">
      <c r="A72" s="499"/>
      <c r="B72" s="23" t="s">
        <v>171</v>
      </c>
      <c r="C72" s="23" t="s">
        <v>254</v>
      </c>
      <c r="D72" s="102" t="n">
        <v>0.48</v>
      </c>
      <c r="E72" s="23" t="n">
        <v>20544</v>
      </c>
      <c r="F72" s="23" t="n">
        <v>33</v>
      </c>
      <c r="G72" s="23" t="n">
        <v>10</v>
      </c>
      <c r="H72" s="23" t="n">
        <v>0</v>
      </c>
      <c r="I72" s="382" t="n">
        <v>100</v>
      </c>
      <c r="J72" s="481" t="s">
        <v>607</v>
      </c>
      <c r="K72" s="563" t="s">
        <v>977</v>
      </c>
      <c r="L72" s="481" t="s">
        <v>1025</v>
      </c>
      <c r="M72" s="481"/>
      <c r="N72" s="481" t="s">
        <v>1023</v>
      </c>
      <c r="O72" s="481"/>
      <c r="P72" s="481"/>
      <c r="Q72" s="481"/>
      <c r="R72" s="481"/>
      <c r="S72" s="481"/>
      <c r="T72" s="481"/>
      <c r="U72" s="481"/>
      <c r="V72" s="481"/>
      <c r="W72" s="481"/>
      <c r="X72" s="481"/>
      <c r="Y72" s="481"/>
      <c r="Z72" s="481"/>
      <c r="AA72" s="481"/>
      <c r="AB72" s="481"/>
      <c r="AC72" s="481"/>
      <c r="AD72" s="481"/>
      <c r="AE72" s="481"/>
      <c r="AF72" s="481"/>
      <c r="AG72" s="481"/>
      <c r="AH72" s="481"/>
      <c r="AI72" s="481"/>
      <c r="AJ72" s="481"/>
      <c r="AK72" s="481"/>
      <c r="AL72" s="481"/>
      <c r="AM72" s="481"/>
      <c r="AN72" s="481"/>
      <c r="AO72" s="481"/>
      <c r="AP72" s="481"/>
      <c r="AQ72" s="530"/>
      <c r="AR72" s="530"/>
      <c r="AS72" s="530"/>
      <c r="AT72" s="530"/>
      <c r="AU72" s="530"/>
      <c r="AV72" s="530"/>
      <c r="AW72" s="530"/>
      <c r="AX72" s="530"/>
      <c r="AY72" s="530"/>
      <c r="AZ72" s="530"/>
      <c r="BA72" s="530"/>
      <c r="BB72" s="530"/>
      <c r="BC72" s="530"/>
      <c r="BD72" s="530"/>
      <c r="BE72" s="530"/>
      <c r="BF72" s="530"/>
      <c r="BG72" s="530"/>
      <c r="BH72" s="530"/>
      <c r="BI72" s="530"/>
      <c r="BJ72" s="530"/>
      <c r="BK72" s="530"/>
      <c r="BL72" s="530"/>
      <c r="BM72" s="530"/>
      <c r="BN72" s="530"/>
      <c r="BO72" s="530"/>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row>
    <row r="73" s="686" customFormat="true" ht="14.4" hidden="false" customHeight="false" outlineLevel="0" collapsed="false">
      <c r="A73" s="497" t="s">
        <v>42</v>
      </c>
      <c r="B73" s="289" t="s">
        <v>137</v>
      </c>
      <c r="C73" s="289" t="s">
        <v>291</v>
      </c>
      <c r="D73" s="649" t="n">
        <v>0.38</v>
      </c>
      <c r="E73" s="289" t="n">
        <v>57362</v>
      </c>
      <c r="F73" s="289" t="n">
        <v>204</v>
      </c>
      <c r="G73" s="289" t="n">
        <v>0</v>
      </c>
      <c r="H73" s="289" t="n">
        <v>0</v>
      </c>
      <c r="I73" s="665" t="n">
        <v>0</v>
      </c>
      <c r="J73" s="481" t="s">
        <v>844</v>
      </c>
      <c r="K73" s="563" t="s">
        <v>844</v>
      </c>
      <c r="L73" s="618" t="s">
        <v>1026</v>
      </c>
      <c r="M73" s="618"/>
      <c r="N73" s="618"/>
      <c r="O73" s="618"/>
      <c r="P73" s="618"/>
      <c r="Q73" s="618"/>
      <c r="R73" s="618"/>
      <c r="S73" s="481"/>
      <c r="T73" s="618"/>
      <c r="U73" s="481"/>
      <c r="V73" s="481"/>
      <c r="W73" s="481"/>
      <c r="X73" s="481"/>
      <c r="Y73" s="481"/>
      <c r="Z73" s="481"/>
      <c r="AA73" s="481"/>
      <c r="AB73" s="481"/>
      <c r="AC73" s="481"/>
      <c r="AD73" s="481"/>
      <c r="AE73" s="481"/>
      <c r="AF73" s="481"/>
      <c r="AG73" s="481"/>
      <c r="AH73" s="481"/>
      <c r="AI73" s="481"/>
      <c r="AJ73" s="481"/>
      <c r="AK73" s="481"/>
      <c r="AL73" s="481"/>
      <c r="AM73" s="481"/>
      <c r="AN73" s="481"/>
      <c r="AO73" s="481"/>
      <c r="AP73" s="481"/>
      <c r="AQ73" s="530"/>
      <c r="AR73" s="530"/>
      <c r="AS73" s="530"/>
      <c r="AT73" s="530"/>
      <c r="AU73" s="530"/>
      <c r="AV73" s="530"/>
      <c r="AW73" s="530"/>
      <c r="AX73" s="530"/>
      <c r="AY73" s="530"/>
      <c r="AZ73" s="530"/>
      <c r="BA73" s="530"/>
      <c r="BB73" s="530"/>
      <c r="BC73" s="530"/>
      <c r="BD73" s="530"/>
      <c r="BE73" s="530"/>
      <c r="BF73" s="530"/>
      <c r="BG73" s="530"/>
      <c r="BH73" s="530"/>
      <c r="BI73" s="530"/>
      <c r="BJ73" s="530"/>
      <c r="BK73" s="530"/>
      <c r="BL73" s="530"/>
      <c r="BM73" s="530"/>
      <c r="BN73" s="530"/>
      <c r="BO73" s="530"/>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row>
    <row r="74" customFormat="false" ht="14.4" hidden="false" customHeight="false" outlineLevel="0" collapsed="false">
      <c r="A74" s="499"/>
      <c r="B74" s="23" t="s">
        <v>285</v>
      </c>
      <c r="C74" s="23" t="s">
        <v>254</v>
      </c>
      <c r="D74" s="102" t="n">
        <v>0.34</v>
      </c>
      <c r="E74" s="23" t="n">
        <v>31379</v>
      </c>
      <c r="F74" s="23" t="n">
        <v>135</v>
      </c>
      <c r="G74" s="23" t="n">
        <v>0</v>
      </c>
      <c r="H74" s="23" t="n">
        <v>0</v>
      </c>
      <c r="I74" s="382" t="n">
        <v>300</v>
      </c>
      <c r="J74" s="481" t="s">
        <v>607</v>
      </c>
      <c r="K74" s="563" t="s">
        <v>977</v>
      </c>
      <c r="L74" s="481" t="s">
        <v>994</v>
      </c>
      <c r="M74" s="481"/>
      <c r="N74" s="481" t="s">
        <v>1027</v>
      </c>
      <c r="O74" s="481"/>
      <c r="P74" s="481"/>
      <c r="Q74" s="481"/>
      <c r="R74" s="481"/>
      <c r="S74" s="481"/>
      <c r="T74" s="481"/>
      <c r="U74" s="481"/>
      <c r="V74" s="481"/>
      <c r="W74" s="481"/>
      <c r="X74" s="481"/>
      <c r="Y74" s="481"/>
      <c r="Z74" s="481"/>
      <c r="AA74" s="481"/>
      <c r="AB74" s="481"/>
      <c r="AC74" s="481"/>
      <c r="AD74" s="481"/>
      <c r="AE74" s="481"/>
      <c r="AF74" s="481"/>
      <c r="AG74" s="481"/>
      <c r="AH74" s="481"/>
      <c r="AI74" s="481"/>
      <c r="AJ74" s="481"/>
      <c r="AK74" s="481"/>
      <c r="AL74" s="481"/>
      <c r="AM74" s="481"/>
      <c r="AN74" s="481"/>
      <c r="AO74" s="481"/>
      <c r="AP74" s="481"/>
      <c r="AQ74" s="530"/>
      <c r="AR74" s="530"/>
      <c r="AS74" s="530"/>
      <c r="AT74" s="530"/>
      <c r="AU74" s="530"/>
      <c r="AV74" s="530"/>
      <c r="AW74" s="530"/>
      <c r="AX74" s="530"/>
      <c r="AY74" s="530"/>
      <c r="AZ74" s="530"/>
      <c r="BA74" s="530"/>
      <c r="BB74" s="530"/>
      <c r="BC74" s="530"/>
      <c r="BD74" s="530"/>
      <c r="BE74" s="530"/>
      <c r="BF74" s="530"/>
      <c r="BG74" s="530"/>
      <c r="BH74" s="530"/>
      <c r="BI74" s="530"/>
      <c r="BJ74" s="530"/>
      <c r="BK74" s="530"/>
      <c r="BL74" s="530"/>
      <c r="BM74" s="530"/>
      <c r="BN74" s="530"/>
      <c r="BO74" s="530"/>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row>
    <row r="75" customFormat="false" ht="14.4" hidden="false" customHeight="false" outlineLevel="0" collapsed="false">
      <c r="A75" s="499"/>
      <c r="B75" s="23" t="s">
        <v>187</v>
      </c>
      <c r="C75" s="23" t="s">
        <v>254</v>
      </c>
      <c r="D75" s="102" t="n">
        <v>0.16</v>
      </c>
      <c r="E75" s="23" t="n">
        <v>29537</v>
      </c>
      <c r="F75" s="23" t="n">
        <v>105</v>
      </c>
      <c r="G75" s="23" t="n">
        <v>0</v>
      </c>
      <c r="H75" s="23" t="n">
        <v>0</v>
      </c>
      <c r="I75" s="382" t="n">
        <v>300</v>
      </c>
      <c r="J75" s="481" t="s">
        <v>607</v>
      </c>
      <c r="K75" s="563" t="s">
        <v>977</v>
      </c>
      <c r="L75" s="618" t="s">
        <v>1026</v>
      </c>
      <c r="M75" s="481"/>
      <c r="N75" s="481" t="s">
        <v>1027</v>
      </c>
      <c r="O75" s="481"/>
      <c r="P75" s="481"/>
      <c r="Q75" s="481"/>
      <c r="R75" s="481"/>
      <c r="S75" s="481"/>
      <c r="T75" s="481"/>
      <c r="U75" s="481"/>
      <c r="V75" s="481"/>
      <c r="W75" s="481"/>
      <c r="X75" s="481"/>
      <c r="Y75" s="481"/>
      <c r="Z75" s="481"/>
      <c r="AA75" s="481"/>
      <c r="AB75" s="481"/>
      <c r="AC75" s="481"/>
      <c r="AD75" s="481"/>
      <c r="AE75" s="481"/>
      <c r="AF75" s="481"/>
      <c r="AG75" s="481"/>
      <c r="AH75" s="481"/>
      <c r="AI75" s="481"/>
      <c r="AJ75" s="481"/>
      <c r="AK75" s="481"/>
      <c r="AL75" s="481"/>
      <c r="AM75" s="481"/>
      <c r="AN75" s="481"/>
      <c r="AO75" s="481"/>
      <c r="AP75" s="481"/>
      <c r="AQ75" s="530"/>
      <c r="AR75" s="530"/>
      <c r="AS75" s="530"/>
      <c r="AT75" s="530"/>
      <c r="AU75" s="530"/>
      <c r="AV75" s="530"/>
      <c r="AW75" s="530"/>
      <c r="AX75" s="530"/>
      <c r="AY75" s="530"/>
      <c r="AZ75" s="530"/>
      <c r="BA75" s="530"/>
      <c r="BB75" s="530"/>
      <c r="BC75" s="530"/>
      <c r="BD75" s="530"/>
      <c r="BE75" s="530"/>
      <c r="BF75" s="530"/>
      <c r="BG75" s="530"/>
      <c r="BH75" s="530"/>
      <c r="BI75" s="530"/>
      <c r="BJ75" s="530"/>
      <c r="BK75" s="530"/>
      <c r="BL75" s="530"/>
      <c r="BM75" s="530"/>
      <c r="BN75" s="530"/>
      <c r="BO75" s="530"/>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row>
    <row r="76" customFormat="false" ht="14.4" hidden="false" customHeight="false" outlineLevel="0" collapsed="false">
      <c r="A76" s="499"/>
      <c r="B76" s="23" t="s">
        <v>141</v>
      </c>
      <c r="C76" s="23" t="s">
        <v>254</v>
      </c>
      <c r="D76" s="102" t="n">
        <v>0.12</v>
      </c>
      <c r="E76" s="23" t="n">
        <v>20335</v>
      </c>
      <c r="F76" s="23" t="n">
        <v>72</v>
      </c>
      <c r="G76" s="23" t="n">
        <v>0</v>
      </c>
      <c r="H76" s="23" t="n">
        <v>0</v>
      </c>
      <c r="I76" s="382" t="n">
        <v>300</v>
      </c>
      <c r="J76" s="481" t="s">
        <v>607</v>
      </c>
      <c r="K76" s="563" t="s">
        <v>977</v>
      </c>
      <c r="L76" s="618" t="s">
        <v>1026</v>
      </c>
      <c r="M76" s="481"/>
      <c r="N76" s="481" t="s">
        <v>1027</v>
      </c>
      <c r="O76" s="481"/>
      <c r="P76" s="481"/>
      <c r="Q76" s="481"/>
      <c r="R76" s="481"/>
      <c r="S76" s="481"/>
      <c r="T76" s="481"/>
      <c r="U76" s="481"/>
      <c r="V76" s="481"/>
      <c r="W76" s="481"/>
      <c r="X76" s="481"/>
      <c r="Y76" s="481"/>
      <c r="Z76" s="481"/>
      <c r="AA76" s="481"/>
      <c r="AB76" s="481"/>
      <c r="AC76" s="481"/>
      <c r="AD76" s="481"/>
      <c r="AE76" s="481"/>
      <c r="AF76" s="481"/>
      <c r="AG76" s="481"/>
      <c r="AH76" s="481"/>
      <c r="AI76" s="481"/>
      <c r="AJ76" s="481"/>
      <c r="AK76" s="481"/>
      <c r="AL76" s="481"/>
      <c r="AM76" s="481"/>
      <c r="AN76" s="481"/>
      <c r="AO76" s="481"/>
      <c r="AP76" s="481"/>
      <c r="AQ76" s="530"/>
      <c r="AR76" s="530"/>
      <c r="AS76" s="530"/>
      <c r="AT76" s="530"/>
      <c r="AU76" s="530"/>
      <c r="AV76" s="530"/>
      <c r="AW76" s="530"/>
      <c r="AX76" s="530"/>
      <c r="AY76" s="530"/>
      <c r="AZ76" s="530"/>
      <c r="BA76" s="530"/>
      <c r="BB76" s="530"/>
      <c r="BC76" s="530"/>
      <c r="BD76" s="530"/>
      <c r="BE76" s="530"/>
      <c r="BF76" s="530"/>
      <c r="BG76" s="530"/>
      <c r="BH76" s="530"/>
      <c r="BI76" s="530"/>
      <c r="BJ76" s="530"/>
      <c r="BK76" s="530"/>
      <c r="BL76" s="530"/>
      <c r="BM76" s="530"/>
      <c r="BN76" s="530"/>
      <c r="BO76" s="530"/>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row>
    <row r="77" s="686" customFormat="true" ht="14.4" hidden="false" customHeight="false" outlineLevel="0" collapsed="false">
      <c r="A77" s="497" t="s">
        <v>1028</v>
      </c>
      <c r="B77" s="289" t="s">
        <v>137</v>
      </c>
      <c r="C77" s="289" t="s">
        <v>254</v>
      </c>
      <c r="D77" s="649" t="n">
        <v>0.0558772984840472</v>
      </c>
      <c r="E77" s="289" t="n">
        <v>14510</v>
      </c>
      <c r="F77" s="289" t="n">
        <v>48</v>
      </c>
      <c r="G77" s="289" t="n">
        <v>0</v>
      </c>
      <c r="H77" s="289" t="n">
        <v>0</v>
      </c>
      <c r="I77" s="665" t="n">
        <v>450</v>
      </c>
      <c r="J77" s="481" t="s">
        <v>844</v>
      </c>
      <c r="K77" s="563" t="s">
        <v>844</v>
      </c>
      <c r="L77" s="481" t="s">
        <v>1018</v>
      </c>
      <c r="M77" s="481"/>
      <c r="N77" s="481" t="s">
        <v>1019</v>
      </c>
      <c r="O77" s="481"/>
      <c r="P77" s="481"/>
      <c r="Q77" s="481"/>
      <c r="R77" s="481"/>
      <c r="S77" s="481"/>
      <c r="T77" s="481"/>
      <c r="U77" s="481"/>
      <c r="V77" s="481"/>
      <c r="W77" s="481"/>
      <c r="X77" s="481"/>
      <c r="Y77" s="481"/>
      <c r="Z77" s="481"/>
      <c r="AA77" s="481"/>
      <c r="AB77" s="481"/>
      <c r="AC77" s="481"/>
      <c r="AD77" s="481"/>
      <c r="AE77" s="481"/>
      <c r="AF77" s="481"/>
      <c r="AG77" s="481"/>
      <c r="AH77" s="481"/>
      <c r="AI77" s="481"/>
      <c r="AJ77" s="481"/>
      <c r="AK77" s="481"/>
      <c r="AL77" s="481"/>
      <c r="AM77" s="481"/>
      <c r="AN77" s="481"/>
      <c r="AO77" s="481"/>
      <c r="AP77" s="481"/>
      <c r="AQ77" s="530"/>
      <c r="AR77" s="530"/>
      <c r="AS77" s="530"/>
      <c r="AT77" s="530"/>
      <c r="AU77" s="530"/>
      <c r="AV77" s="530"/>
      <c r="AW77" s="530"/>
      <c r="AX77" s="530"/>
      <c r="AY77" s="530"/>
      <c r="AZ77" s="530"/>
      <c r="BA77" s="530"/>
      <c r="BB77" s="530"/>
      <c r="BC77" s="530"/>
      <c r="BD77" s="530"/>
      <c r="BE77" s="530"/>
      <c r="BF77" s="530"/>
      <c r="BG77" s="530"/>
      <c r="BH77" s="530"/>
      <c r="BI77" s="530"/>
      <c r="BJ77" s="530"/>
      <c r="BK77" s="530"/>
      <c r="BL77" s="530"/>
      <c r="BM77" s="530"/>
      <c r="BN77" s="530"/>
      <c r="BO77" s="530"/>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row>
    <row r="78" customFormat="false" ht="14.4" hidden="false" customHeight="false" outlineLevel="0" collapsed="false">
      <c r="A78" s="499"/>
      <c r="B78" s="23" t="s">
        <v>322</v>
      </c>
      <c r="C78" s="23" t="s">
        <v>254</v>
      </c>
      <c r="D78" s="102" t="n">
        <v>0.230617814663983</v>
      </c>
      <c r="E78" s="23" t="n">
        <v>34389</v>
      </c>
      <c r="F78" s="23" t="n">
        <v>26</v>
      </c>
      <c r="G78" s="23" t="n">
        <v>16</v>
      </c>
      <c r="H78" s="23" t="n">
        <v>0</v>
      </c>
      <c r="I78" s="382" t="n">
        <v>450</v>
      </c>
      <c r="J78" s="481" t="s">
        <v>607</v>
      </c>
      <c r="K78" s="563" t="s">
        <v>977</v>
      </c>
      <c r="L78" s="481" t="s">
        <v>1029</v>
      </c>
      <c r="M78" s="481"/>
      <c r="N78" s="481" t="s">
        <v>1019</v>
      </c>
      <c r="O78" s="481"/>
      <c r="P78" s="481"/>
      <c r="Q78" s="481"/>
      <c r="R78" s="481"/>
      <c r="S78" s="481"/>
      <c r="T78" s="481"/>
      <c r="U78" s="481"/>
      <c r="V78" s="481"/>
      <c r="W78" s="481"/>
      <c r="X78" s="481"/>
      <c r="Y78" s="481"/>
      <c r="Z78" s="481"/>
      <c r="AA78" s="481"/>
      <c r="AB78" s="481"/>
      <c r="AC78" s="481"/>
      <c r="AD78" s="481"/>
      <c r="AE78" s="481"/>
      <c r="AF78" s="481"/>
      <c r="AG78" s="481"/>
      <c r="AH78" s="481"/>
      <c r="AI78" s="481"/>
      <c r="AJ78" s="481"/>
      <c r="AK78" s="481"/>
      <c r="AL78" s="481"/>
      <c r="AM78" s="481"/>
      <c r="AN78" s="481"/>
      <c r="AO78" s="481"/>
      <c r="AP78" s="481"/>
      <c r="AQ78" s="530"/>
      <c r="AR78" s="530"/>
      <c r="AS78" s="530"/>
      <c r="AT78" s="530"/>
      <c r="AU78" s="530"/>
      <c r="AV78" s="530"/>
      <c r="AW78" s="530"/>
      <c r="AX78" s="530"/>
      <c r="AY78" s="530"/>
      <c r="AZ78" s="530"/>
      <c r="BA78" s="530"/>
      <c r="BB78" s="530"/>
      <c r="BC78" s="530"/>
      <c r="BD78" s="530"/>
      <c r="BE78" s="530"/>
      <c r="BF78" s="530"/>
      <c r="BG78" s="530"/>
      <c r="BH78" s="530"/>
      <c r="BI78" s="530"/>
      <c r="BJ78" s="530"/>
      <c r="BK78" s="530"/>
      <c r="BL78" s="530"/>
      <c r="BM78" s="530"/>
      <c r="BN78" s="530"/>
      <c r="BO78" s="530"/>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row>
    <row r="79" customFormat="false" ht="14.4" hidden="false" customHeight="false" outlineLevel="0" collapsed="false">
      <c r="A79" s="499"/>
      <c r="B79" s="23" t="s">
        <v>187</v>
      </c>
      <c r="C79" s="23" t="s">
        <v>254</v>
      </c>
      <c r="D79" s="102" t="n">
        <v>0.486275656098712</v>
      </c>
      <c r="E79" s="23" t="n">
        <v>36080</v>
      </c>
      <c r="F79" s="23" t="n">
        <v>389</v>
      </c>
      <c r="G79" s="23" t="n">
        <v>28</v>
      </c>
      <c r="H79" s="23" t="n">
        <v>0</v>
      </c>
      <c r="I79" s="382" t="n">
        <v>450</v>
      </c>
      <c r="J79" s="481" t="s">
        <v>607</v>
      </c>
      <c r="K79" s="563" t="s">
        <v>977</v>
      </c>
      <c r="L79" s="481" t="s">
        <v>1030</v>
      </c>
      <c r="M79" s="481"/>
      <c r="N79" s="481" t="s">
        <v>1019</v>
      </c>
      <c r="O79" s="481"/>
      <c r="P79" s="481"/>
      <c r="Q79" s="481"/>
      <c r="R79" s="481"/>
      <c r="S79" s="481"/>
      <c r="T79" s="481"/>
      <c r="U79" s="481"/>
      <c r="V79" s="481"/>
      <c r="W79" s="481"/>
      <c r="X79" s="481"/>
      <c r="Y79" s="481"/>
      <c r="Z79" s="481"/>
      <c r="AA79" s="481"/>
      <c r="AB79" s="481"/>
      <c r="AC79" s="481"/>
      <c r="AD79" s="481"/>
      <c r="AE79" s="481"/>
      <c r="AF79" s="481"/>
      <c r="AG79" s="481"/>
      <c r="AH79" s="481"/>
      <c r="AI79" s="481"/>
      <c r="AJ79" s="481"/>
      <c r="AK79" s="481"/>
      <c r="AL79" s="481"/>
      <c r="AM79" s="481"/>
      <c r="AN79" s="481"/>
      <c r="AO79" s="481"/>
      <c r="AP79" s="481"/>
      <c r="AQ79" s="530"/>
      <c r="AR79" s="530"/>
      <c r="AS79" s="530"/>
      <c r="AT79" s="530"/>
      <c r="AU79" s="530"/>
      <c r="AV79" s="530"/>
      <c r="AW79" s="530"/>
      <c r="AX79" s="530"/>
      <c r="AY79" s="530"/>
      <c r="AZ79" s="530"/>
      <c r="BA79" s="530"/>
      <c r="BB79" s="530"/>
      <c r="BC79" s="530"/>
      <c r="BD79" s="530"/>
      <c r="BE79" s="530"/>
      <c r="BF79" s="530"/>
      <c r="BG79" s="530"/>
      <c r="BH79" s="530"/>
      <c r="BI79" s="530"/>
      <c r="BJ79" s="530"/>
      <c r="BK79" s="530"/>
      <c r="BL79" s="530"/>
      <c r="BM79" s="530"/>
      <c r="BN79" s="530"/>
      <c r="BO79" s="530"/>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row>
    <row r="80" customFormat="false" ht="14.4" hidden="false" customHeight="false" outlineLevel="0" collapsed="false">
      <c r="A80" s="499"/>
      <c r="B80" s="23" t="s">
        <v>141</v>
      </c>
      <c r="C80" s="23" t="s">
        <v>254</v>
      </c>
      <c r="D80" s="102" t="n">
        <v>0.227229230753258</v>
      </c>
      <c r="E80" s="23" t="n">
        <v>15627</v>
      </c>
      <c r="F80" s="23" t="n">
        <v>169</v>
      </c>
      <c r="G80" s="23" t="n">
        <v>12</v>
      </c>
      <c r="H80" s="23" t="n">
        <v>0</v>
      </c>
      <c r="I80" s="382" t="n">
        <v>450</v>
      </c>
      <c r="J80" s="481" t="s">
        <v>607</v>
      </c>
      <c r="K80" s="563" t="s">
        <v>977</v>
      </c>
      <c r="L80" s="481" t="s">
        <v>1030</v>
      </c>
      <c r="M80" s="481"/>
      <c r="N80" s="481" t="s">
        <v>1019</v>
      </c>
      <c r="O80" s="481"/>
      <c r="P80" s="481"/>
      <c r="Q80" s="481"/>
      <c r="R80" s="481"/>
      <c r="S80" s="481"/>
      <c r="T80" s="481"/>
      <c r="U80" s="481"/>
      <c r="V80" s="481"/>
      <c r="W80" s="481"/>
      <c r="X80" s="481"/>
      <c r="Y80" s="481"/>
      <c r="Z80" s="481"/>
      <c r="AA80" s="481"/>
      <c r="AB80" s="481"/>
      <c r="AC80" s="481"/>
      <c r="AD80" s="481"/>
      <c r="AE80" s="481"/>
      <c r="AF80" s="481"/>
      <c r="AG80" s="481"/>
      <c r="AH80" s="481"/>
      <c r="AI80" s="481"/>
      <c r="AJ80" s="481"/>
      <c r="AK80" s="481"/>
      <c r="AL80" s="481"/>
      <c r="AM80" s="481"/>
      <c r="AN80" s="481"/>
      <c r="AO80" s="481"/>
      <c r="AP80" s="481"/>
      <c r="AQ80" s="530"/>
      <c r="AR80" s="530"/>
      <c r="AS80" s="530"/>
      <c r="AT80" s="530"/>
      <c r="AU80" s="530"/>
      <c r="AV80" s="530"/>
      <c r="AW80" s="530"/>
      <c r="AX80" s="530"/>
      <c r="AY80" s="530"/>
      <c r="AZ80" s="530"/>
      <c r="BA80" s="530"/>
      <c r="BB80" s="530"/>
      <c r="BC80" s="530"/>
      <c r="BD80" s="530"/>
      <c r="BE80" s="530"/>
      <c r="BF80" s="530"/>
      <c r="BG80" s="530"/>
      <c r="BH80" s="530"/>
      <c r="BI80" s="530"/>
      <c r="BJ80" s="530"/>
      <c r="BK80" s="530"/>
      <c r="BL80" s="530"/>
      <c r="BM80" s="530"/>
      <c r="BN80" s="530"/>
      <c r="BO80" s="530"/>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row>
    <row r="81" s="686" customFormat="true" ht="14.4" hidden="false" customHeight="false" outlineLevel="0" collapsed="false">
      <c r="A81" s="497" t="s">
        <v>61</v>
      </c>
      <c r="B81" s="289" t="s">
        <v>285</v>
      </c>
      <c r="C81" s="289" t="s">
        <v>254</v>
      </c>
      <c r="D81" s="649" t="n">
        <v>0.43</v>
      </c>
      <c r="E81" s="289" t="n">
        <v>21546</v>
      </c>
      <c r="F81" s="289" t="n">
        <v>260</v>
      </c>
      <c r="G81" s="289" t="n">
        <v>0</v>
      </c>
      <c r="H81" s="289" t="n">
        <v>0</v>
      </c>
      <c r="I81" s="665" t="n">
        <v>200</v>
      </c>
      <c r="J81" s="481" t="s">
        <v>607</v>
      </c>
      <c r="K81" s="563" t="s">
        <v>977</v>
      </c>
      <c r="L81" s="481" t="s">
        <v>994</v>
      </c>
      <c r="M81" s="481"/>
      <c r="N81" s="481" t="s">
        <v>1031</v>
      </c>
      <c r="O81" s="481"/>
      <c r="P81" s="481"/>
      <c r="Q81" s="481"/>
      <c r="R81" s="481"/>
      <c r="S81" s="481"/>
      <c r="T81" s="481"/>
      <c r="U81" s="481"/>
      <c r="V81" s="481"/>
      <c r="W81" s="481"/>
      <c r="X81" s="481"/>
      <c r="Y81" s="481"/>
      <c r="Z81" s="481"/>
      <c r="AA81" s="481"/>
      <c r="AB81" s="481"/>
      <c r="AC81" s="481"/>
      <c r="AD81" s="481"/>
      <c r="AE81" s="481"/>
      <c r="AF81" s="481"/>
      <c r="AG81" s="481"/>
      <c r="AH81" s="481"/>
      <c r="AI81" s="481"/>
      <c r="AJ81" s="481"/>
      <c r="AK81" s="481"/>
      <c r="AL81" s="481"/>
      <c r="AM81" s="481"/>
      <c r="AN81" s="481"/>
      <c r="AO81" s="481"/>
      <c r="AP81" s="481"/>
      <c r="AQ81" s="530"/>
      <c r="AR81" s="530"/>
      <c r="AS81" s="530"/>
      <c r="AT81" s="530"/>
      <c r="AU81" s="530"/>
      <c r="AV81" s="530"/>
      <c r="AW81" s="530"/>
      <c r="AX81" s="530"/>
      <c r="AY81" s="530"/>
      <c r="AZ81" s="530"/>
      <c r="BA81" s="530"/>
      <c r="BB81" s="530"/>
      <c r="BC81" s="530"/>
      <c r="BD81" s="530"/>
      <c r="BE81" s="530"/>
      <c r="BF81" s="530"/>
      <c r="BG81" s="530"/>
      <c r="BH81" s="530"/>
      <c r="BI81" s="530"/>
      <c r="BJ81" s="530"/>
      <c r="BK81" s="530"/>
      <c r="BL81" s="530"/>
      <c r="BM81" s="530"/>
      <c r="BN81" s="530"/>
      <c r="BO81" s="530"/>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row>
    <row r="82" customFormat="false" ht="14.4" hidden="false" customHeight="false" outlineLevel="0" collapsed="false">
      <c r="A82" s="499"/>
      <c r="B82" s="23" t="s">
        <v>141</v>
      </c>
      <c r="C82" s="23" t="s">
        <v>254</v>
      </c>
      <c r="D82" s="102" t="n">
        <v>0.57</v>
      </c>
      <c r="E82" s="23" t="n">
        <v>15410</v>
      </c>
      <c r="F82" s="23" t="n">
        <v>37</v>
      </c>
      <c r="G82" s="23" t="n">
        <v>14</v>
      </c>
      <c r="H82" s="23" t="n">
        <v>0</v>
      </c>
      <c r="I82" s="382" t="n">
        <v>200</v>
      </c>
      <c r="J82" s="481" t="s">
        <v>607</v>
      </c>
      <c r="K82" s="563" t="s">
        <v>977</v>
      </c>
      <c r="L82" s="481" t="s">
        <v>1032</v>
      </c>
      <c r="M82" s="481"/>
      <c r="N82" s="481" t="s">
        <v>1031</v>
      </c>
      <c r="O82" s="481"/>
      <c r="P82" s="481"/>
      <c r="Q82" s="481"/>
      <c r="R82" s="481"/>
      <c r="S82" s="481"/>
      <c r="T82" s="481"/>
      <c r="U82" s="481"/>
      <c r="V82" s="481"/>
      <c r="W82" s="481"/>
      <c r="X82" s="481"/>
      <c r="Y82" s="481"/>
      <c r="Z82" s="481"/>
      <c r="AA82" s="481"/>
      <c r="AB82" s="481"/>
      <c r="AC82" s="481"/>
      <c r="AD82" s="481"/>
      <c r="AE82" s="481"/>
      <c r="AF82" s="481"/>
      <c r="AG82" s="481"/>
      <c r="AH82" s="481"/>
      <c r="AI82" s="481"/>
      <c r="AJ82" s="481"/>
      <c r="AK82" s="481"/>
      <c r="AL82" s="481"/>
      <c r="AM82" s="481"/>
      <c r="AN82" s="481"/>
      <c r="AO82" s="481"/>
      <c r="AP82" s="481"/>
      <c r="AQ82" s="530"/>
      <c r="AR82" s="530"/>
      <c r="AS82" s="530"/>
      <c r="AT82" s="530"/>
      <c r="AU82" s="530"/>
      <c r="AV82" s="530"/>
      <c r="AW82" s="530"/>
      <c r="AX82" s="530"/>
      <c r="AY82" s="530"/>
      <c r="AZ82" s="530"/>
      <c r="BA82" s="530"/>
      <c r="BB82" s="530"/>
      <c r="BC82" s="530"/>
      <c r="BD82" s="530"/>
      <c r="BE82" s="530"/>
      <c r="BF82" s="530"/>
      <c r="BG82" s="530"/>
      <c r="BH82" s="530"/>
      <c r="BI82" s="530"/>
      <c r="BJ82" s="530"/>
      <c r="BK82" s="530"/>
      <c r="BL82" s="530"/>
      <c r="BM82" s="530"/>
      <c r="BN82" s="530"/>
      <c r="BO82" s="530"/>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row>
    <row r="83" s="686" customFormat="true" ht="14.4" hidden="false" customHeight="false" outlineLevel="0" collapsed="false">
      <c r="A83" s="497" t="s">
        <v>79</v>
      </c>
      <c r="B83" s="289" t="s">
        <v>137</v>
      </c>
      <c r="C83" s="289" t="s">
        <v>254</v>
      </c>
      <c r="D83" s="649" t="n">
        <v>0.69</v>
      </c>
      <c r="E83" s="289" t="n">
        <v>6624</v>
      </c>
      <c r="F83" s="689" t="n">
        <v>32.9926153846154</v>
      </c>
      <c r="G83" s="289" t="n">
        <v>0</v>
      </c>
      <c r="H83" s="289" t="n">
        <v>0</v>
      </c>
      <c r="I83" s="665" t="n">
        <v>300</v>
      </c>
      <c r="J83" s="481" t="s">
        <v>987</v>
      </c>
      <c r="K83" s="563" t="s">
        <v>844</v>
      </c>
      <c r="L83" s="481" t="s">
        <v>999</v>
      </c>
      <c r="M83" s="481"/>
      <c r="N83" s="481" t="s">
        <v>1019</v>
      </c>
      <c r="O83" s="481"/>
      <c r="P83" s="481"/>
      <c r="Q83" s="481"/>
      <c r="R83" s="481"/>
      <c r="S83" s="481"/>
      <c r="T83" s="481"/>
      <c r="U83" s="481"/>
      <c r="V83" s="481"/>
      <c r="W83" s="481"/>
      <c r="X83" s="481"/>
      <c r="Y83" s="481"/>
      <c r="Z83" s="481"/>
      <c r="AA83" s="481"/>
      <c r="AB83" s="481"/>
      <c r="AC83" s="481"/>
      <c r="AD83" s="481"/>
      <c r="AE83" s="481"/>
      <c r="AF83" s="481"/>
      <c r="AG83" s="481"/>
      <c r="AH83" s="481"/>
      <c r="AI83" s="481"/>
      <c r="AJ83" s="481"/>
      <c r="AK83" s="481"/>
      <c r="AL83" s="481"/>
      <c r="AM83" s="481"/>
      <c r="AN83" s="481"/>
      <c r="AO83" s="481"/>
      <c r="AP83" s="481"/>
      <c r="AQ83" s="530"/>
      <c r="AR83" s="530"/>
      <c r="AS83" s="530"/>
      <c r="AT83" s="530"/>
      <c r="AU83" s="530"/>
      <c r="AV83" s="530"/>
      <c r="AW83" s="530"/>
      <c r="AX83" s="530"/>
      <c r="AY83" s="530"/>
      <c r="AZ83" s="530"/>
      <c r="BA83" s="530"/>
      <c r="BB83" s="530"/>
      <c r="BC83" s="530"/>
      <c r="BD83" s="530"/>
      <c r="BE83" s="530"/>
      <c r="BF83" s="530"/>
      <c r="BG83" s="530"/>
      <c r="BH83" s="530"/>
      <c r="BI83" s="530"/>
      <c r="BJ83" s="530"/>
      <c r="BK83" s="530"/>
      <c r="BL83" s="530"/>
      <c r="BM83" s="530"/>
      <c r="BN83" s="530"/>
      <c r="BO83" s="530"/>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row>
    <row r="84" customFormat="false" ht="14.4" hidden="false" customHeight="false" outlineLevel="0" collapsed="false">
      <c r="A84" s="499"/>
      <c r="B84" s="23" t="s">
        <v>322</v>
      </c>
      <c r="C84" s="23" t="s">
        <v>254</v>
      </c>
      <c r="D84" s="102" t="n">
        <v>0.14</v>
      </c>
      <c r="E84" s="23" t="n">
        <v>23765</v>
      </c>
      <c r="F84" s="23" t="n">
        <v>83</v>
      </c>
      <c r="G84" s="23" t="n">
        <v>0</v>
      </c>
      <c r="H84" s="23" t="n">
        <v>0</v>
      </c>
      <c r="I84" s="382" t="n">
        <v>300</v>
      </c>
      <c r="J84" s="481" t="s">
        <v>607</v>
      </c>
      <c r="K84" s="563" t="s">
        <v>977</v>
      </c>
      <c r="L84" s="481" t="s">
        <v>1033</v>
      </c>
      <c r="M84" s="481"/>
      <c r="N84" s="481" t="s">
        <v>1019</v>
      </c>
      <c r="O84" s="481"/>
      <c r="P84" s="481"/>
      <c r="Q84" s="481"/>
      <c r="R84" s="481"/>
      <c r="S84" s="481"/>
      <c r="T84" s="481"/>
      <c r="U84" s="481"/>
      <c r="V84" s="481"/>
      <c r="W84" s="481"/>
      <c r="X84" s="481"/>
      <c r="Y84" s="481"/>
      <c r="Z84" s="481"/>
      <c r="AA84" s="481"/>
      <c r="AB84" s="481"/>
      <c r="AC84" s="481"/>
      <c r="AD84" s="481"/>
      <c r="AE84" s="481"/>
      <c r="AF84" s="481"/>
      <c r="AG84" s="481"/>
      <c r="AH84" s="481"/>
      <c r="AI84" s="481"/>
      <c r="AJ84" s="481"/>
      <c r="AK84" s="481"/>
      <c r="AL84" s="481"/>
      <c r="AM84" s="481"/>
      <c r="AN84" s="481"/>
      <c r="AO84" s="481"/>
      <c r="AP84" s="481"/>
      <c r="AQ84" s="530"/>
      <c r="AR84" s="530"/>
      <c r="AS84" s="530"/>
      <c r="AT84" s="530"/>
      <c r="AU84" s="530"/>
      <c r="AV84" s="530"/>
      <c r="AW84" s="530"/>
      <c r="AX84" s="530"/>
      <c r="AY84" s="530"/>
      <c r="AZ84" s="530"/>
      <c r="BA84" s="530"/>
      <c r="BB84" s="530"/>
      <c r="BC84" s="530"/>
      <c r="BD84" s="530"/>
      <c r="BE84" s="530"/>
      <c r="BF84" s="530"/>
      <c r="BG84" s="530"/>
      <c r="BH84" s="530"/>
      <c r="BI84" s="530"/>
      <c r="BJ84" s="530"/>
      <c r="BK84" s="530"/>
      <c r="BL84" s="530"/>
      <c r="BM84" s="530"/>
      <c r="BN84" s="530"/>
      <c r="BO84" s="530"/>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row>
    <row r="85" customFormat="false" ht="14.4" hidden="false" customHeight="false" outlineLevel="0" collapsed="false">
      <c r="A85" s="499"/>
      <c r="B85" s="23" t="s">
        <v>141</v>
      </c>
      <c r="C85" s="23" t="s">
        <v>291</v>
      </c>
      <c r="D85" s="102" t="n">
        <v>0.085</v>
      </c>
      <c r="E85" s="297" t="n">
        <v>87836.7130611978</v>
      </c>
      <c r="F85" s="297" t="n">
        <v>421.6176</v>
      </c>
      <c r="G85" s="23" t="n">
        <v>0</v>
      </c>
      <c r="H85" s="23" t="n">
        <v>0</v>
      </c>
      <c r="I85" s="382" t="n">
        <v>0</v>
      </c>
      <c r="J85" s="481" t="s">
        <v>607</v>
      </c>
      <c r="K85" s="563" t="s">
        <v>977</v>
      </c>
      <c r="L85" s="481" t="s">
        <v>1034</v>
      </c>
      <c r="M85" s="481"/>
      <c r="N85" s="481"/>
      <c r="O85" s="481"/>
      <c r="P85" s="481"/>
      <c r="Q85" s="481"/>
      <c r="R85" s="481"/>
      <c r="S85" s="481"/>
      <c r="T85" s="481"/>
      <c r="U85" s="481"/>
      <c r="V85" s="481"/>
      <c r="W85" s="481"/>
      <c r="X85" s="481"/>
      <c r="Y85" s="481"/>
      <c r="Z85" s="481"/>
      <c r="AA85" s="481"/>
      <c r="AB85" s="481"/>
      <c r="AC85" s="481"/>
      <c r="AD85" s="481"/>
      <c r="AE85" s="481"/>
      <c r="AF85" s="481"/>
      <c r="AG85" s="481"/>
      <c r="AH85" s="481"/>
      <c r="AI85" s="481"/>
      <c r="AJ85" s="481"/>
      <c r="AK85" s="481"/>
      <c r="AL85" s="481"/>
      <c r="AM85" s="481"/>
      <c r="AN85" s="481"/>
      <c r="AO85" s="481"/>
      <c r="AP85" s="481"/>
      <c r="AQ85" s="530"/>
      <c r="AR85" s="530"/>
      <c r="AS85" s="530"/>
      <c r="AT85" s="530"/>
      <c r="AU85" s="530"/>
      <c r="AV85" s="530"/>
      <c r="AW85" s="530"/>
      <c r="AX85" s="530"/>
      <c r="AY85" s="530"/>
      <c r="AZ85" s="530"/>
      <c r="BA85" s="530"/>
      <c r="BB85" s="530"/>
      <c r="BC85" s="530"/>
      <c r="BD85" s="530"/>
      <c r="BE85" s="530"/>
      <c r="BF85" s="530"/>
      <c r="BG85" s="530"/>
      <c r="BH85" s="530"/>
      <c r="BI85" s="530"/>
      <c r="BJ85" s="530"/>
      <c r="BK85" s="530"/>
      <c r="BL85" s="530"/>
      <c r="BM85" s="530"/>
      <c r="BN85" s="530"/>
      <c r="BO85" s="530"/>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row>
    <row r="86" customFormat="false" ht="14.4" hidden="false" customHeight="false" outlineLevel="0" collapsed="false">
      <c r="A86" s="499"/>
      <c r="B86" s="23"/>
      <c r="C86" s="23" t="s">
        <v>254</v>
      </c>
      <c r="D86" s="102" t="n">
        <v>0.085</v>
      </c>
      <c r="E86" s="23" t="n">
        <v>9312</v>
      </c>
      <c r="F86" s="23" t="n">
        <v>33</v>
      </c>
      <c r="G86" s="23" t="n">
        <v>0</v>
      </c>
      <c r="H86" s="23" t="n">
        <v>0</v>
      </c>
      <c r="I86" s="382" t="n">
        <v>300</v>
      </c>
      <c r="J86" s="481" t="s">
        <v>607</v>
      </c>
      <c r="K86" s="563" t="s">
        <v>977</v>
      </c>
      <c r="L86" s="481" t="s">
        <v>1033</v>
      </c>
      <c r="M86" s="481"/>
      <c r="N86" s="481" t="s">
        <v>1019</v>
      </c>
      <c r="O86" s="481"/>
      <c r="P86" s="481"/>
      <c r="Q86" s="481"/>
      <c r="R86" s="481"/>
      <c r="S86" s="481"/>
      <c r="T86" s="481"/>
      <c r="U86" s="481"/>
      <c r="V86" s="481"/>
      <c r="W86" s="481"/>
      <c r="X86" s="481"/>
      <c r="Y86" s="481"/>
      <c r="Z86" s="481"/>
      <c r="AA86" s="481"/>
      <c r="AB86" s="481"/>
      <c r="AC86" s="481"/>
      <c r="AD86" s="481"/>
      <c r="AE86" s="481"/>
      <c r="AF86" s="481"/>
      <c r="AG86" s="481"/>
      <c r="AH86" s="481"/>
      <c r="AI86" s="481"/>
      <c r="AJ86" s="481"/>
      <c r="AK86" s="481"/>
      <c r="AL86" s="481"/>
      <c r="AM86" s="481"/>
      <c r="AN86" s="481"/>
      <c r="AO86" s="481"/>
      <c r="AP86" s="481"/>
      <c r="AQ86" s="530"/>
      <c r="AR86" s="530"/>
      <c r="AS86" s="530"/>
      <c r="AT86" s="530"/>
      <c r="AU86" s="530"/>
      <c r="AV86" s="530"/>
      <c r="AW86" s="530"/>
      <c r="AX86" s="530"/>
      <c r="AY86" s="530"/>
      <c r="AZ86" s="530"/>
      <c r="BA86" s="530"/>
      <c r="BB86" s="530"/>
      <c r="BC86" s="530"/>
      <c r="BD86" s="530"/>
      <c r="BE86" s="530"/>
      <c r="BF86" s="530"/>
      <c r="BG86" s="530"/>
      <c r="BH86" s="530"/>
      <c r="BI86" s="530"/>
      <c r="BJ86" s="530"/>
      <c r="BK86" s="530"/>
      <c r="BL86" s="530"/>
      <c r="BM86" s="530"/>
      <c r="BN86" s="530"/>
      <c r="BO86" s="530"/>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row>
    <row r="87" s="686" customFormat="true" ht="14.4" hidden="false" customHeight="false" outlineLevel="0" collapsed="false">
      <c r="A87" s="497" t="s">
        <v>83</v>
      </c>
      <c r="B87" s="289" t="s">
        <v>137</v>
      </c>
      <c r="C87" s="289" t="s">
        <v>254</v>
      </c>
      <c r="D87" s="649" t="n">
        <v>0.44</v>
      </c>
      <c r="E87" s="289" t="n">
        <v>3343</v>
      </c>
      <c r="F87" s="289" t="n">
        <v>100</v>
      </c>
      <c r="G87" s="289" t="n">
        <v>0</v>
      </c>
      <c r="H87" s="289" t="n">
        <v>0</v>
      </c>
      <c r="I87" s="665" t="n">
        <v>300</v>
      </c>
      <c r="J87" s="481" t="s">
        <v>844</v>
      </c>
      <c r="K87" s="563" t="s">
        <v>844</v>
      </c>
      <c r="L87" s="481" t="s">
        <v>1035</v>
      </c>
      <c r="M87" s="481"/>
      <c r="N87" s="481" t="s">
        <v>1019</v>
      </c>
      <c r="O87" s="481"/>
      <c r="P87" s="481"/>
      <c r="Q87" s="481"/>
      <c r="R87" s="481"/>
      <c r="S87" s="481"/>
      <c r="T87" s="481"/>
      <c r="U87" s="481"/>
      <c r="V87" s="481"/>
      <c r="W87" s="481"/>
      <c r="X87" s="481"/>
      <c r="Y87" s="481"/>
      <c r="Z87" s="481"/>
      <c r="AA87" s="481"/>
      <c r="AB87" s="481"/>
      <c r="AC87" s="481"/>
      <c r="AD87" s="481"/>
      <c r="AE87" s="481"/>
      <c r="AF87" s="481"/>
      <c r="AG87" s="481"/>
      <c r="AH87" s="481"/>
      <c r="AI87" s="481"/>
      <c r="AJ87" s="481"/>
      <c r="AK87" s="481"/>
      <c r="AL87" s="481"/>
      <c r="AM87" s="481"/>
      <c r="AN87" s="481"/>
      <c r="AO87" s="481"/>
      <c r="AP87" s="481"/>
      <c r="AQ87" s="530"/>
      <c r="AR87" s="530"/>
      <c r="AS87" s="530"/>
      <c r="AT87" s="530"/>
      <c r="AU87" s="530"/>
      <c r="AV87" s="530"/>
      <c r="AW87" s="530"/>
      <c r="AX87" s="530"/>
      <c r="AY87" s="530"/>
      <c r="AZ87" s="530"/>
      <c r="BA87" s="530"/>
      <c r="BB87" s="530"/>
      <c r="BC87" s="530"/>
      <c r="BD87" s="530"/>
      <c r="BE87" s="530"/>
      <c r="BF87" s="530"/>
      <c r="BG87" s="530"/>
      <c r="BH87" s="530"/>
      <c r="BI87" s="530"/>
      <c r="BJ87" s="530"/>
      <c r="BK87" s="530"/>
      <c r="BL87" s="530"/>
      <c r="BM87" s="530"/>
      <c r="BN87" s="530"/>
      <c r="BO87" s="530"/>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row>
    <row r="88" customFormat="false" ht="14.4" hidden="false" customHeight="false" outlineLevel="0" collapsed="false">
      <c r="A88" s="499"/>
      <c r="B88" s="23" t="s">
        <v>322</v>
      </c>
      <c r="C88" s="23" t="s">
        <v>254</v>
      </c>
      <c r="D88" s="102" t="n">
        <v>0.15</v>
      </c>
      <c r="E88" s="23" t="n">
        <v>11690</v>
      </c>
      <c r="F88" s="23" t="n">
        <v>100</v>
      </c>
      <c r="G88" s="23" t="n">
        <v>0</v>
      </c>
      <c r="H88" s="23" t="n">
        <v>0</v>
      </c>
      <c r="I88" s="382" t="n">
        <v>300</v>
      </c>
      <c r="J88" s="481" t="s">
        <v>607</v>
      </c>
      <c r="K88" s="563" t="s">
        <v>977</v>
      </c>
      <c r="L88" s="481" t="s">
        <v>1035</v>
      </c>
      <c r="M88" s="481"/>
      <c r="N88" s="481" t="s">
        <v>1019</v>
      </c>
      <c r="O88" s="481"/>
      <c r="P88" s="481"/>
      <c r="Q88" s="481"/>
      <c r="R88" s="481"/>
      <c r="S88" s="481"/>
      <c r="T88" s="481"/>
      <c r="U88" s="481"/>
      <c r="V88" s="481"/>
      <c r="W88" s="481"/>
      <c r="X88" s="481"/>
      <c r="Y88" s="481"/>
      <c r="Z88" s="481"/>
      <c r="AA88" s="481"/>
      <c r="AB88" s="481"/>
      <c r="AC88" s="481"/>
      <c r="AD88" s="481"/>
      <c r="AE88" s="481"/>
      <c r="AF88" s="481"/>
      <c r="AG88" s="481"/>
      <c r="AH88" s="481"/>
      <c r="AI88" s="481"/>
      <c r="AJ88" s="481"/>
      <c r="AK88" s="481"/>
      <c r="AL88" s="481"/>
      <c r="AM88" s="481"/>
      <c r="AN88" s="481"/>
      <c r="AO88" s="481"/>
      <c r="AP88" s="481"/>
      <c r="AQ88" s="530"/>
      <c r="AR88" s="530"/>
      <c r="AS88" s="530"/>
      <c r="AT88" s="530"/>
      <c r="AU88" s="530"/>
      <c r="AV88" s="530"/>
      <c r="AW88" s="530"/>
      <c r="AX88" s="530"/>
      <c r="AY88" s="530"/>
      <c r="AZ88" s="530"/>
      <c r="BA88" s="530"/>
      <c r="BB88" s="530"/>
      <c r="BC88" s="530"/>
      <c r="BD88" s="530"/>
      <c r="BE88" s="530"/>
      <c r="BF88" s="530"/>
      <c r="BG88" s="530"/>
      <c r="BH88" s="530"/>
      <c r="BI88" s="530"/>
      <c r="BJ88" s="530"/>
      <c r="BK88" s="530"/>
      <c r="BL88" s="530"/>
      <c r="BM88" s="530"/>
      <c r="BN88" s="530"/>
      <c r="BO88" s="530"/>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row>
    <row r="89" customFormat="false" ht="14.4" hidden="false" customHeight="false" outlineLevel="0" collapsed="false">
      <c r="A89" s="499"/>
      <c r="B89" s="23" t="s">
        <v>187</v>
      </c>
      <c r="C89" s="23" t="s">
        <v>254</v>
      </c>
      <c r="D89" s="102" t="n">
        <v>0.25</v>
      </c>
      <c r="E89" s="23" t="n">
        <v>8272</v>
      </c>
      <c r="F89" s="23" t="n">
        <v>100</v>
      </c>
      <c r="G89" s="23" t="n">
        <v>0</v>
      </c>
      <c r="H89" s="23" t="n">
        <v>0</v>
      </c>
      <c r="I89" s="382" t="n">
        <v>300</v>
      </c>
      <c r="J89" s="481" t="s">
        <v>607</v>
      </c>
      <c r="K89" s="563" t="s">
        <v>977</v>
      </c>
      <c r="L89" s="481" t="s">
        <v>1035</v>
      </c>
      <c r="M89" s="481"/>
      <c r="N89" s="481" t="s">
        <v>1019</v>
      </c>
      <c r="O89" s="481"/>
      <c r="P89" s="481"/>
      <c r="Q89" s="481"/>
      <c r="R89" s="481"/>
      <c r="S89" s="481"/>
      <c r="T89" s="481"/>
      <c r="U89" s="481"/>
      <c r="V89" s="481"/>
      <c r="W89" s="481"/>
      <c r="X89" s="481"/>
      <c r="Y89" s="481"/>
      <c r="Z89" s="481"/>
      <c r="AA89" s="481"/>
      <c r="AB89" s="481"/>
      <c r="AC89" s="481"/>
      <c r="AD89" s="481"/>
      <c r="AE89" s="481"/>
      <c r="AF89" s="481"/>
      <c r="AG89" s="481"/>
      <c r="AH89" s="481"/>
      <c r="AI89" s="481"/>
      <c r="AJ89" s="481"/>
      <c r="AK89" s="481"/>
      <c r="AL89" s="481"/>
      <c r="AM89" s="481"/>
      <c r="AN89" s="481"/>
      <c r="AO89" s="481"/>
      <c r="AP89" s="481"/>
      <c r="AQ89" s="530"/>
      <c r="AR89" s="530"/>
      <c r="AS89" s="530"/>
      <c r="AT89" s="530"/>
      <c r="AU89" s="530"/>
      <c r="AV89" s="530"/>
      <c r="AW89" s="530"/>
      <c r="AX89" s="530"/>
      <c r="AY89" s="530"/>
      <c r="AZ89" s="530"/>
      <c r="BA89" s="530"/>
      <c r="BB89" s="530"/>
      <c r="BC89" s="530"/>
      <c r="BD89" s="530"/>
      <c r="BE89" s="530"/>
      <c r="BF89" s="530"/>
      <c r="BG89" s="530"/>
      <c r="BH89" s="530"/>
      <c r="BI89" s="530"/>
      <c r="BJ89" s="530"/>
      <c r="BK89" s="530"/>
      <c r="BL89" s="530"/>
      <c r="BM89" s="530"/>
      <c r="BN89" s="530"/>
      <c r="BO89" s="530"/>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row>
    <row r="90" customFormat="false" ht="14.4" hidden="false" customHeight="false" outlineLevel="0" collapsed="false">
      <c r="A90" s="499"/>
      <c r="B90" s="23" t="s">
        <v>141</v>
      </c>
      <c r="C90" s="23" t="s">
        <v>254</v>
      </c>
      <c r="D90" s="102" t="n">
        <v>0.16</v>
      </c>
      <c r="E90" s="23" t="n">
        <v>5513</v>
      </c>
      <c r="F90" s="23" t="n">
        <v>100</v>
      </c>
      <c r="G90" s="23" t="n">
        <v>0</v>
      </c>
      <c r="H90" s="23" t="n">
        <v>0</v>
      </c>
      <c r="I90" s="382" t="n">
        <v>300</v>
      </c>
      <c r="J90" s="481" t="s">
        <v>607</v>
      </c>
      <c r="K90" s="563" t="s">
        <v>977</v>
      </c>
      <c r="L90" s="481" t="s">
        <v>1035</v>
      </c>
      <c r="M90" s="481"/>
      <c r="N90" s="481" t="s">
        <v>1019</v>
      </c>
      <c r="O90" s="481"/>
      <c r="P90" s="481"/>
      <c r="Q90" s="481"/>
      <c r="R90" s="481"/>
      <c r="S90" s="481"/>
      <c r="T90" s="481"/>
      <c r="U90" s="481"/>
      <c r="V90" s="481"/>
      <c r="W90" s="481"/>
      <c r="X90" s="481"/>
      <c r="Y90" s="481"/>
      <c r="Z90" s="481"/>
      <c r="AA90" s="481"/>
      <c r="AB90" s="481"/>
      <c r="AC90" s="481"/>
      <c r="AD90" s="481"/>
      <c r="AE90" s="481"/>
      <c r="AF90" s="481"/>
      <c r="AG90" s="481"/>
      <c r="AH90" s="481"/>
      <c r="AI90" s="481"/>
      <c r="AJ90" s="481"/>
      <c r="AK90" s="481"/>
      <c r="AL90" s="481"/>
      <c r="AM90" s="481"/>
      <c r="AN90" s="481"/>
      <c r="AO90" s="481"/>
      <c r="AP90" s="481"/>
      <c r="AQ90" s="530"/>
      <c r="AR90" s="530"/>
      <c r="AS90" s="530"/>
      <c r="AT90" s="530"/>
      <c r="AU90" s="530"/>
      <c r="AV90" s="530"/>
      <c r="AW90" s="530"/>
      <c r="AX90" s="530"/>
      <c r="AY90" s="530"/>
      <c r="AZ90" s="530"/>
      <c r="BA90" s="530"/>
      <c r="BB90" s="530"/>
      <c r="BC90" s="530"/>
      <c r="BD90" s="530"/>
      <c r="BE90" s="530"/>
      <c r="BF90" s="530"/>
      <c r="BG90" s="530"/>
      <c r="BH90" s="530"/>
      <c r="BI90" s="530"/>
      <c r="BJ90" s="530"/>
      <c r="BK90" s="530"/>
      <c r="BL90" s="530"/>
      <c r="BM90" s="530"/>
      <c r="BN90" s="530"/>
      <c r="BO90" s="530"/>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row>
    <row r="91" s="686" customFormat="true" ht="14.4" hidden="false" customHeight="false" outlineLevel="0" collapsed="false">
      <c r="A91" s="497" t="s">
        <v>67</v>
      </c>
      <c r="B91" s="289" t="s">
        <v>336</v>
      </c>
      <c r="C91" s="289" t="s">
        <v>254</v>
      </c>
      <c r="D91" s="649" t="n">
        <v>1</v>
      </c>
      <c r="E91" s="289" t="n">
        <v>9032</v>
      </c>
      <c r="F91" s="289" t="n">
        <v>136</v>
      </c>
      <c r="G91" s="289" t="n">
        <v>0</v>
      </c>
      <c r="H91" s="289" t="n">
        <v>0</v>
      </c>
      <c r="I91" s="665" t="n">
        <v>100</v>
      </c>
      <c r="J91" s="481" t="s">
        <v>607</v>
      </c>
      <c r="K91" s="563" t="s">
        <v>977</v>
      </c>
      <c r="L91" s="481" t="s">
        <v>1036</v>
      </c>
      <c r="M91" s="481"/>
      <c r="N91" s="481" t="s">
        <v>1031</v>
      </c>
      <c r="O91" s="481"/>
      <c r="P91" s="481"/>
      <c r="Q91" s="481"/>
      <c r="R91" s="481"/>
      <c r="S91" s="481"/>
      <c r="T91" s="481"/>
      <c r="U91" s="481"/>
      <c r="V91" s="481"/>
      <c r="W91" s="481"/>
      <c r="X91" s="481"/>
      <c r="Y91" s="481"/>
      <c r="Z91" s="481"/>
      <c r="AA91" s="481"/>
      <c r="AB91" s="481"/>
      <c r="AC91" s="481"/>
      <c r="AD91" s="481"/>
      <c r="AE91" s="481"/>
      <c r="AF91" s="481"/>
      <c r="AG91" s="481"/>
      <c r="AH91" s="481"/>
      <c r="AI91" s="481"/>
      <c r="AJ91" s="481"/>
      <c r="AK91" s="481"/>
      <c r="AL91" s="481"/>
      <c r="AM91" s="481"/>
      <c r="AN91" s="481"/>
      <c r="AO91" s="481"/>
      <c r="AP91" s="481"/>
      <c r="AQ91" s="530"/>
      <c r="AR91" s="530"/>
      <c r="AS91" s="530"/>
      <c r="AT91" s="530"/>
      <c r="AU91" s="530"/>
      <c r="AV91" s="530"/>
      <c r="AW91" s="530"/>
      <c r="AX91" s="530"/>
      <c r="AY91" s="530"/>
      <c r="AZ91" s="530"/>
      <c r="BA91" s="530"/>
      <c r="BB91" s="530"/>
      <c r="BC91" s="530"/>
      <c r="BD91" s="530"/>
      <c r="BE91" s="530"/>
      <c r="BF91" s="530"/>
      <c r="BG91" s="530"/>
      <c r="BH91" s="530"/>
      <c r="BI91" s="530"/>
      <c r="BJ91" s="530"/>
      <c r="BK91" s="530"/>
      <c r="BL91" s="530"/>
      <c r="BM91" s="530"/>
      <c r="BN91" s="530"/>
      <c r="BO91" s="530"/>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row>
    <row r="92" customFormat="false" ht="14.4" hidden="false" customHeight="false" outlineLevel="0" collapsed="false">
      <c r="A92" s="499"/>
      <c r="B92" s="23"/>
      <c r="C92" s="23"/>
      <c r="D92" s="102"/>
      <c r="E92" s="23"/>
      <c r="F92" s="23"/>
      <c r="G92" s="23"/>
      <c r="H92" s="23"/>
      <c r="I92" s="382"/>
      <c r="J92" s="481"/>
      <c r="K92" s="563"/>
      <c r="L92" s="481"/>
      <c r="M92" s="481"/>
      <c r="N92" s="481"/>
      <c r="O92" s="481"/>
      <c r="P92" s="481"/>
      <c r="Q92" s="481"/>
      <c r="R92" s="481"/>
      <c r="S92" s="481"/>
      <c r="T92" s="481"/>
      <c r="U92" s="481"/>
      <c r="V92" s="481"/>
      <c r="W92" s="481"/>
      <c r="X92" s="481"/>
      <c r="Y92" s="481"/>
      <c r="Z92" s="481"/>
      <c r="AA92" s="481"/>
      <c r="AB92" s="481"/>
      <c r="AC92" s="481"/>
      <c r="AD92" s="481"/>
      <c r="AE92" s="481"/>
      <c r="AF92" s="481"/>
      <c r="AG92" s="481"/>
      <c r="AH92" s="481"/>
      <c r="AI92" s="481"/>
      <c r="AJ92" s="481"/>
      <c r="AK92" s="481"/>
      <c r="AL92" s="481"/>
      <c r="AM92" s="481"/>
      <c r="AN92" s="481"/>
      <c r="AO92" s="481"/>
      <c r="AP92" s="481"/>
      <c r="AQ92" s="530"/>
      <c r="AR92" s="530"/>
      <c r="AS92" s="530"/>
      <c r="AT92" s="530"/>
      <c r="AU92" s="530"/>
      <c r="AV92" s="530"/>
      <c r="AW92" s="530"/>
      <c r="AX92" s="530"/>
      <c r="AY92" s="530"/>
      <c r="AZ92" s="530"/>
      <c r="BA92" s="530"/>
      <c r="BB92" s="530"/>
      <c r="BC92" s="530"/>
      <c r="BD92" s="530"/>
      <c r="BE92" s="530"/>
      <c r="BF92" s="530"/>
      <c r="BG92" s="530"/>
      <c r="BH92" s="530"/>
      <c r="BI92" s="530"/>
      <c r="BJ92" s="530"/>
      <c r="BK92" s="530"/>
      <c r="BL92" s="530"/>
      <c r="BM92" s="530"/>
      <c r="BN92" s="530"/>
      <c r="BO92" s="530"/>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row>
    <row r="93" s="686" customFormat="true" ht="14.4" hidden="false" customHeight="false" outlineLevel="0" collapsed="false">
      <c r="A93" s="497" t="s">
        <v>73</v>
      </c>
      <c r="B93" s="289" t="s">
        <v>274</v>
      </c>
      <c r="C93" s="289" t="s">
        <v>254</v>
      </c>
      <c r="D93" s="649" t="n">
        <v>0.49</v>
      </c>
      <c r="E93" s="289" t="n">
        <v>17796</v>
      </c>
      <c r="F93" s="689" t="n">
        <v>79.6833696</v>
      </c>
      <c r="G93" s="289" t="n">
        <v>0</v>
      </c>
      <c r="H93" s="289" t="n">
        <v>0</v>
      </c>
      <c r="I93" s="665" t="n">
        <v>350</v>
      </c>
      <c r="J93" s="481" t="s">
        <v>607</v>
      </c>
      <c r="K93" s="563" t="s">
        <v>977</v>
      </c>
      <c r="L93" s="481" t="s">
        <v>1037</v>
      </c>
      <c r="M93" s="481"/>
      <c r="N93" s="481" t="s">
        <v>1038</v>
      </c>
      <c r="O93" s="481"/>
      <c r="P93" s="481"/>
      <c r="Q93" s="481"/>
      <c r="R93" s="481"/>
      <c r="S93" s="481"/>
      <c r="T93" s="481"/>
      <c r="U93" s="481"/>
      <c r="V93" s="481"/>
      <c r="W93" s="481"/>
      <c r="X93" s="481"/>
      <c r="Y93" s="481"/>
      <c r="Z93" s="481"/>
      <c r="AA93" s="481"/>
      <c r="AB93" s="481"/>
      <c r="AC93" s="481"/>
      <c r="AD93" s="481"/>
      <c r="AE93" s="481"/>
      <c r="AF93" s="481"/>
      <c r="AG93" s="481"/>
      <c r="AH93" s="481"/>
      <c r="AI93" s="481"/>
      <c r="AJ93" s="481"/>
      <c r="AK93" s="481"/>
      <c r="AL93" s="481"/>
      <c r="AM93" s="481"/>
      <c r="AN93" s="481"/>
      <c r="AO93" s="481"/>
      <c r="AP93" s="481"/>
      <c r="AQ93" s="530"/>
      <c r="AR93" s="530"/>
      <c r="AS93" s="530"/>
      <c r="AT93" s="530"/>
      <c r="AU93" s="530"/>
      <c r="AV93" s="530"/>
      <c r="AW93" s="530"/>
      <c r="AX93" s="530"/>
      <c r="AY93" s="530"/>
      <c r="AZ93" s="530"/>
      <c r="BA93" s="530"/>
      <c r="BB93" s="530"/>
      <c r="BC93" s="530"/>
      <c r="BD93" s="530"/>
      <c r="BE93" s="530"/>
      <c r="BF93" s="530"/>
      <c r="BG93" s="530"/>
      <c r="BH93" s="530"/>
      <c r="BI93" s="530"/>
      <c r="BJ93" s="530"/>
      <c r="BK93" s="530"/>
      <c r="BL93" s="530"/>
      <c r="BM93" s="530"/>
      <c r="BN93" s="530"/>
      <c r="BO93" s="530"/>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row>
    <row r="94" customFormat="false" ht="14.4" hidden="false" customHeight="false" outlineLevel="0" collapsed="false">
      <c r="A94" s="499"/>
      <c r="B94" s="23" t="s">
        <v>171</v>
      </c>
      <c r="C94" s="23" t="s">
        <v>254</v>
      </c>
      <c r="D94" s="102" t="n">
        <v>0.51</v>
      </c>
      <c r="E94" s="23" t="n">
        <v>15757</v>
      </c>
      <c r="F94" s="23" t="n">
        <v>71</v>
      </c>
      <c r="G94" s="23" t="n">
        <v>0</v>
      </c>
      <c r="H94" s="23" t="n">
        <v>0</v>
      </c>
      <c r="I94" s="382" t="n">
        <v>350</v>
      </c>
      <c r="J94" s="481" t="s">
        <v>607</v>
      </c>
      <c r="K94" s="563" t="s">
        <v>977</v>
      </c>
      <c r="L94" s="481" t="s">
        <v>1039</v>
      </c>
      <c r="M94" s="481"/>
      <c r="N94" s="481" t="s">
        <v>1038</v>
      </c>
      <c r="O94" s="481"/>
      <c r="P94" s="481"/>
      <c r="Q94" s="481"/>
      <c r="R94" s="481"/>
      <c r="S94" s="481"/>
      <c r="T94" s="481"/>
      <c r="U94" s="481"/>
      <c r="V94" s="481"/>
      <c r="W94" s="481"/>
      <c r="X94" s="481"/>
      <c r="Y94" s="481"/>
      <c r="Z94" s="481"/>
      <c r="AA94" s="481"/>
      <c r="AB94" s="481"/>
      <c r="AC94" s="481"/>
      <c r="AD94" s="481"/>
      <c r="AE94" s="481"/>
      <c r="AF94" s="481"/>
      <c r="AG94" s="481"/>
      <c r="AH94" s="481"/>
      <c r="AI94" s="481"/>
      <c r="AJ94" s="481"/>
      <c r="AK94" s="481"/>
      <c r="AL94" s="481"/>
      <c r="AM94" s="481"/>
      <c r="AN94" s="481"/>
      <c r="AO94" s="481"/>
      <c r="AP94" s="481"/>
      <c r="AQ94" s="530"/>
      <c r="AR94" s="530"/>
      <c r="AS94" s="530"/>
      <c r="AT94" s="530"/>
      <c r="AU94" s="530"/>
      <c r="AV94" s="530"/>
      <c r="AW94" s="530"/>
      <c r="AX94" s="530"/>
      <c r="AY94" s="530"/>
      <c r="AZ94" s="530"/>
      <c r="BA94" s="530"/>
      <c r="BB94" s="530"/>
      <c r="BC94" s="530"/>
      <c r="BD94" s="530"/>
      <c r="BE94" s="530"/>
      <c r="BF94" s="530"/>
      <c r="BG94" s="530"/>
      <c r="BH94" s="530"/>
      <c r="BI94" s="530"/>
      <c r="BJ94" s="530"/>
      <c r="BK94" s="530"/>
      <c r="BL94" s="530"/>
      <c r="BM94" s="530"/>
      <c r="BN94" s="530"/>
      <c r="BO94" s="530"/>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row>
    <row r="95" s="686" customFormat="true" ht="14.4" hidden="false" customHeight="false" outlineLevel="0" collapsed="false">
      <c r="A95" s="497" t="s">
        <v>55</v>
      </c>
      <c r="B95" s="289" t="s">
        <v>285</v>
      </c>
      <c r="C95" s="289" t="s">
        <v>254</v>
      </c>
      <c r="D95" s="649" t="n">
        <v>0.41</v>
      </c>
      <c r="E95" s="289" t="n">
        <v>21325</v>
      </c>
      <c r="F95" s="289" t="n">
        <v>260</v>
      </c>
      <c r="G95" s="289" t="n">
        <v>0</v>
      </c>
      <c r="H95" s="289" t="n">
        <v>0</v>
      </c>
      <c r="I95" s="665" t="n">
        <v>200</v>
      </c>
      <c r="J95" s="481" t="s">
        <v>607</v>
      </c>
      <c r="K95" s="563" t="s">
        <v>977</v>
      </c>
      <c r="L95" s="481" t="s">
        <v>994</v>
      </c>
      <c r="M95" s="481"/>
      <c r="N95" s="481" t="s">
        <v>1031</v>
      </c>
      <c r="O95" s="481"/>
      <c r="P95" s="481"/>
      <c r="Q95" s="481"/>
      <c r="R95" s="481"/>
      <c r="S95" s="481"/>
      <c r="T95" s="481"/>
      <c r="U95" s="481"/>
      <c r="V95" s="481"/>
      <c r="W95" s="481"/>
      <c r="X95" s="481"/>
      <c r="Y95" s="481"/>
      <c r="Z95" s="481"/>
      <c r="AA95" s="481"/>
      <c r="AB95" s="481"/>
      <c r="AC95" s="481"/>
      <c r="AD95" s="481"/>
      <c r="AE95" s="481"/>
      <c r="AF95" s="481"/>
      <c r="AG95" s="481"/>
      <c r="AH95" s="481"/>
      <c r="AI95" s="481"/>
      <c r="AJ95" s="481"/>
      <c r="AK95" s="481"/>
      <c r="AL95" s="481"/>
      <c r="AM95" s="481"/>
      <c r="AN95" s="481"/>
      <c r="AO95" s="481"/>
      <c r="AP95" s="481"/>
      <c r="AQ95" s="530"/>
      <c r="AR95" s="530"/>
      <c r="AS95" s="530"/>
      <c r="AT95" s="530"/>
      <c r="AU95" s="530"/>
      <c r="AV95" s="530"/>
      <c r="AW95" s="530"/>
      <c r="AX95" s="530"/>
      <c r="AY95" s="530"/>
      <c r="AZ95" s="530"/>
      <c r="BA95" s="530"/>
      <c r="BB95" s="530"/>
      <c r="BC95" s="530"/>
      <c r="BD95" s="530"/>
      <c r="BE95" s="530"/>
      <c r="BF95" s="530"/>
      <c r="BG95" s="530"/>
      <c r="BH95" s="530"/>
      <c r="BI95" s="530"/>
      <c r="BJ95" s="530"/>
      <c r="BK95" s="530"/>
      <c r="BL95" s="530"/>
      <c r="BM95" s="530"/>
      <c r="BN95" s="530"/>
      <c r="BO95" s="530"/>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row>
    <row r="96" customFormat="false" ht="14.4" hidden="false" customHeight="false" outlineLevel="0" collapsed="false">
      <c r="A96" s="499"/>
      <c r="B96" s="23" t="s">
        <v>171</v>
      </c>
      <c r="C96" s="23" t="s">
        <v>254</v>
      </c>
      <c r="D96" s="102" t="n">
        <v>0.59</v>
      </c>
      <c r="E96" s="23" t="n">
        <v>18131</v>
      </c>
      <c r="F96" s="23" t="n">
        <v>181</v>
      </c>
      <c r="G96" s="23" t="n">
        <v>8</v>
      </c>
      <c r="H96" s="23" t="n">
        <v>0</v>
      </c>
      <c r="I96" s="382" t="n">
        <v>200</v>
      </c>
      <c r="J96" s="481" t="s">
        <v>607</v>
      </c>
      <c r="K96" s="563" t="s">
        <v>977</v>
      </c>
      <c r="L96" s="481" t="s">
        <v>1040</v>
      </c>
      <c r="M96" s="481"/>
      <c r="N96" s="481" t="s">
        <v>1031</v>
      </c>
      <c r="O96" s="481"/>
      <c r="P96" s="481"/>
      <c r="Q96" s="481"/>
      <c r="R96" s="481"/>
      <c r="S96" s="481"/>
      <c r="T96" s="481"/>
      <c r="U96" s="481"/>
      <c r="V96" s="481"/>
      <c r="W96" s="481"/>
      <c r="X96" s="481"/>
      <c r="Y96" s="481"/>
      <c r="Z96" s="481"/>
      <c r="AA96" s="481"/>
      <c r="AB96" s="481"/>
      <c r="AC96" s="481"/>
      <c r="AD96" s="481"/>
      <c r="AE96" s="481"/>
      <c r="AF96" s="481"/>
      <c r="AG96" s="481"/>
      <c r="AH96" s="481"/>
      <c r="AI96" s="481"/>
      <c r="AJ96" s="481"/>
      <c r="AK96" s="481"/>
      <c r="AL96" s="481"/>
      <c r="AM96" s="481"/>
      <c r="AN96" s="481"/>
      <c r="AO96" s="481"/>
      <c r="AP96" s="481"/>
      <c r="AQ96" s="530"/>
      <c r="AR96" s="530"/>
      <c r="AS96" s="530"/>
      <c r="AT96" s="530"/>
      <c r="AU96" s="530"/>
      <c r="AV96" s="530"/>
      <c r="AW96" s="530"/>
      <c r="AX96" s="530"/>
      <c r="AY96" s="530"/>
      <c r="AZ96" s="530"/>
      <c r="BA96" s="530"/>
      <c r="BB96" s="530"/>
      <c r="BC96" s="530"/>
      <c r="BD96" s="530"/>
      <c r="BE96" s="530"/>
      <c r="BF96" s="530"/>
      <c r="BG96" s="530"/>
      <c r="BH96" s="530"/>
      <c r="BI96" s="530"/>
      <c r="BJ96" s="530"/>
      <c r="BK96" s="530"/>
      <c r="BL96" s="530"/>
      <c r="BM96" s="530"/>
      <c r="BN96" s="530"/>
      <c r="BO96" s="530"/>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row>
    <row r="97" s="686" customFormat="true" ht="27.6" hidden="false" customHeight="false" outlineLevel="0" collapsed="false">
      <c r="A97" s="497" t="s">
        <v>1041</v>
      </c>
      <c r="B97" s="289" t="s">
        <v>1042</v>
      </c>
      <c r="C97" s="289" t="s">
        <v>254</v>
      </c>
      <c r="D97" s="649"/>
      <c r="E97" s="289" t="n">
        <v>545</v>
      </c>
      <c r="F97" s="289" t="n">
        <v>27</v>
      </c>
      <c r="G97" s="289" t="n">
        <v>0</v>
      </c>
      <c r="H97" s="689" t="n">
        <v>2.725</v>
      </c>
      <c r="I97" s="665" t="n">
        <v>0</v>
      </c>
      <c r="J97" s="481" t="s">
        <v>1043</v>
      </c>
      <c r="K97" s="563" t="s">
        <v>977</v>
      </c>
      <c r="L97" s="481" t="s">
        <v>1044</v>
      </c>
      <c r="M97" s="416" t="s">
        <v>1045</v>
      </c>
      <c r="N97" s="481"/>
      <c r="O97" s="481"/>
      <c r="P97" s="481"/>
      <c r="Q97" s="481"/>
      <c r="R97" s="481"/>
      <c r="S97" s="481"/>
      <c r="T97" s="481"/>
      <c r="U97" s="481"/>
      <c r="V97" s="481"/>
      <c r="W97" s="481"/>
      <c r="X97" s="481"/>
      <c r="Y97" s="481"/>
      <c r="Z97" s="481"/>
      <c r="AA97" s="481"/>
      <c r="AB97" s="481"/>
      <c r="AC97" s="481"/>
      <c r="AD97" s="481"/>
      <c r="AE97" s="481"/>
      <c r="AF97" s="481"/>
      <c r="AG97" s="481"/>
      <c r="AH97" s="481"/>
      <c r="AI97" s="481"/>
      <c r="AJ97" s="481"/>
      <c r="AK97" s="481"/>
      <c r="AL97" s="481"/>
      <c r="AM97" s="481"/>
      <c r="AN97" s="481"/>
      <c r="AO97" s="481"/>
      <c r="AP97" s="481"/>
      <c r="AQ97" s="530"/>
      <c r="AR97" s="530"/>
      <c r="AS97" s="530"/>
      <c r="AT97" s="530"/>
      <c r="AU97" s="530"/>
      <c r="AV97" s="530"/>
      <c r="AW97" s="530"/>
      <c r="AX97" s="530"/>
      <c r="AY97" s="530"/>
      <c r="AZ97" s="530"/>
      <c r="BA97" s="530"/>
      <c r="BB97" s="530"/>
      <c r="BC97" s="530"/>
      <c r="BD97" s="530"/>
      <c r="BE97" s="530"/>
      <c r="BF97" s="530"/>
      <c r="BG97" s="530"/>
      <c r="BH97" s="530"/>
      <c r="BI97" s="530"/>
      <c r="BJ97" s="530"/>
      <c r="BK97" s="530"/>
      <c r="BL97" s="530"/>
      <c r="BM97" s="530"/>
      <c r="BN97" s="530"/>
      <c r="BO97" s="530"/>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row>
    <row r="98" customFormat="false" ht="14.4" hidden="false" customHeight="false" outlineLevel="0" collapsed="false">
      <c r="A98" s="499"/>
      <c r="B98" s="23"/>
      <c r="C98" s="23"/>
      <c r="D98" s="102"/>
      <c r="E98" s="23"/>
      <c r="F98" s="23"/>
      <c r="G98" s="23"/>
      <c r="H98" s="297"/>
      <c r="I98" s="382"/>
      <c r="J98" s="481"/>
      <c r="K98" s="563"/>
      <c r="L98" s="481"/>
      <c r="M98" s="481"/>
      <c r="N98" s="481"/>
      <c r="O98" s="481"/>
      <c r="P98" s="481"/>
      <c r="Q98" s="481"/>
      <c r="R98" s="481"/>
      <c r="S98" s="481"/>
      <c r="T98" s="481"/>
      <c r="U98" s="481"/>
      <c r="V98" s="481"/>
      <c r="W98" s="481"/>
      <c r="X98" s="481"/>
      <c r="Y98" s="481"/>
      <c r="Z98" s="481"/>
      <c r="AA98" s="481"/>
      <c r="AB98" s="481"/>
      <c r="AC98" s="481"/>
      <c r="AD98" s="481"/>
      <c r="AE98" s="481"/>
      <c r="AF98" s="481"/>
      <c r="AG98" s="481"/>
      <c r="AH98" s="481"/>
      <c r="AI98" s="481"/>
      <c r="AJ98" s="481"/>
      <c r="AK98" s="481"/>
      <c r="AL98" s="481"/>
      <c r="AM98" s="481"/>
      <c r="AN98" s="481"/>
      <c r="AO98" s="481"/>
      <c r="AP98" s="481"/>
      <c r="AQ98" s="530"/>
      <c r="AR98" s="530"/>
      <c r="AS98" s="530"/>
      <c r="AT98" s="530"/>
      <c r="AU98" s="530"/>
      <c r="AV98" s="530"/>
      <c r="AW98" s="530"/>
      <c r="AX98" s="530"/>
      <c r="AY98" s="530"/>
      <c r="AZ98" s="530"/>
      <c r="BA98" s="530"/>
      <c r="BB98" s="530"/>
      <c r="BC98" s="530"/>
      <c r="BD98" s="530"/>
      <c r="BE98" s="530"/>
      <c r="BF98" s="530"/>
      <c r="BG98" s="530"/>
      <c r="BH98" s="530"/>
      <c r="BI98" s="530"/>
      <c r="BJ98" s="530"/>
      <c r="BK98" s="530"/>
      <c r="BL98" s="530"/>
      <c r="BM98" s="530"/>
      <c r="BN98" s="530"/>
      <c r="BO98" s="530"/>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row>
    <row r="99" s="686" customFormat="true" ht="14.4" hidden="false" customHeight="false" outlineLevel="0" collapsed="false">
      <c r="A99" s="497" t="s">
        <v>91</v>
      </c>
      <c r="B99" s="289" t="s">
        <v>353</v>
      </c>
      <c r="C99" s="289" t="s">
        <v>254</v>
      </c>
      <c r="D99" s="649" t="n">
        <v>0.34</v>
      </c>
      <c r="E99" s="289" t="n">
        <v>1371</v>
      </c>
      <c r="F99" s="289" t="n">
        <v>131</v>
      </c>
      <c r="G99" s="289" t="n">
        <v>0</v>
      </c>
      <c r="H99" s="689" t="n">
        <v>22.82715</v>
      </c>
      <c r="I99" s="665" t="n">
        <v>140</v>
      </c>
      <c r="J99" s="481" t="s">
        <v>607</v>
      </c>
      <c r="K99" s="563" t="s">
        <v>977</v>
      </c>
      <c r="L99" s="481" t="s">
        <v>1046</v>
      </c>
      <c r="M99" s="416" t="s">
        <v>1047</v>
      </c>
      <c r="N99" s="481" t="s">
        <v>1046</v>
      </c>
      <c r="O99" s="481"/>
      <c r="P99" s="481"/>
      <c r="Q99" s="481"/>
      <c r="R99" s="481"/>
      <c r="S99" s="481"/>
      <c r="T99" s="481"/>
      <c r="U99" s="481"/>
      <c r="V99" s="481"/>
      <c r="W99" s="481"/>
      <c r="X99" s="481"/>
      <c r="Y99" s="481"/>
      <c r="Z99" s="481"/>
      <c r="AA99" s="481"/>
      <c r="AB99" s="481"/>
      <c r="AC99" s="481"/>
      <c r="AD99" s="481"/>
      <c r="AE99" s="481"/>
      <c r="AF99" s="481"/>
      <c r="AG99" s="481"/>
      <c r="AH99" s="481"/>
      <c r="AI99" s="481"/>
      <c r="AJ99" s="481"/>
      <c r="AK99" s="481"/>
      <c r="AL99" s="481"/>
      <c r="AM99" s="481"/>
      <c r="AN99" s="481"/>
      <c r="AO99" s="481"/>
      <c r="AP99" s="481"/>
      <c r="AQ99" s="530"/>
      <c r="AR99" s="530"/>
      <c r="AS99" s="530"/>
      <c r="AT99" s="530"/>
      <c r="AU99" s="530"/>
      <c r="AV99" s="530"/>
      <c r="AW99" s="530"/>
      <c r="AX99" s="530"/>
      <c r="AY99" s="530"/>
      <c r="AZ99" s="530"/>
      <c r="BA99" s="530"/>
      <c r="BB99" s="530"/>
      <c r="BC99" s="530"/>
      <c r="BD99" s="530"/>
      <c r="BE99" s="530"/>
      <c r="BF99" s="530"/>
      <c r="BG99" s="530"/>
      <c r="BH99" s="530"/>
      <c r="BI99" s="530"/>
      <c r="BJ99" s="530"/>
      <c r="BK99" s="530"/>
      <c r="BL99" s="530"/>
      <c r="BM99" s="530"/>
      <c r="BN99" s="530"/>
      <c r="BO99" s="530"/>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row>
    <row r="100" customFormat="false" ht="14.4" hidden="false" customHeight="false" outlineLevel="0" collapsed="false">
      <c r="A100" s="499"/>
      <c r="B100" s="23" t="s">
        <v>171</v>
      </c>
      <c r="C100" s="23" t="s">
        <v>254</v>
      </c>
      <c r="D100" s="102" t="n">
        <v>0.66</v>
      </c>
      <c r="E100" s="23" t="n">
        <v>839</v>
      </c>
      <c r="F100" s="23" t="n">
        <v>81</v>
      </c>
      <c r="G100" s="23" t="n">
        <v>0</v>
      </c>
      <c r="H100" s="297" t="n">
        <v>13.96935</v>
      </c>
      <c r="I100" s="382" t="n">
        <v>140</v>
      </c>
      <c r="J100" s="481" t="s">
        <v>607</v>
      </c>
      <c r="K100" s="563" t="s">
        <v>977</v>
      </c>
      <c r="L100" s="481" t="s">
        <v>1048</v>
      </c>
      <c r="M100" s="416" t="s">
        <v>1047</v>
      </c>
      <c r="N100" s="481" t="s">
        <v>1048</v>
      </c>
      <c r="O100" s="481"/>
      <c r="P100" s="481"/>
      <c r="Q100" s="481"/>
      <c r="R100" s="481"/>
      <c r="S100" s="481"/>
      <c r="T100" s="481"/>
      <c r="U100" s="481"/>
      <c r="V100" s="481"/>
      <c r="W100" s="481"/>
      <c r="X100" s="481"/>
      <c r="Y100" s="481"/>
      <c r="Z100" s="481"/>
      <c r="AA100" s="481"/>
      <c r="AB100" s="481"/>
      <c r="AC100" s="481"/>
      <c r="AD100" s="481"/>
      <c r="AE100" s="481"/>
      <c r="AF100" s="481"/>
      <c r="AG100" s="481"/>
      <c r="AH100" s="481"/>
      <c r="AI100" s="481"/>
      <c r="AJ100" s="481"/>
      <c r="AK100" s="481"/>
      <c r="AL100" s="481"/>
      <c r="AM100" s="481"/>
      <c r="AN100" s="481"/>
      <c r="AO100" s="481"/>
      <c r="AP100" s="481"/>
      <c r="AQ100" s="530"/>
      <c r="AR100" s="530"/>
      <c r="AS100" s="530"/>
      <c r="AT100" s="530"/>
      <c r="AU100" s="530"/>
      <c r="AV100" s="530"/>
      <c r="AW100" s="530"/>
      <c r="AX100" s="530"/>
      <c r="AY100" s="530"/>
      <c r="AZ100" s="530"/>
      <c r="BA100" s="530"/>
      <c r="BB100" s="530"/>
      <c r="BC100" s="530"/>
      <c r="BD100" s="530"/>
      <c r="BE100" s="530"/>
      <c r="BF100" s="530"/>
      <c r="BG100" s="530"/>
      <c r="BH100" s="530"/>
      <c r="BI100" s="530"/>
      <c r="BJ100" s="530"/>
      <c r="BK100" s="530"/>
      <c r="BL100" s="530"/>
      <c r="BM100" s="530"/>
      <c r="BN100" s="530"/>
      <c r="BO100" s="530"/>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row>
    <row r="101" s="686" customFormat="true" ht="14.4" hidden="false" customHeight="false" outlineLevel="0" collapsed="false">
      <c r="A101" s="497" t="s">
        <v>1049</v>
      </c>
      <c r="B101" s="289" t="s">
        <v>284</v>
      </c>
      <c r="C101" s="289" t="s">
        <v>254</v>
      </c>
      <c r="D101" s="649" t="n">
        <v>0.11</v>
      </c>
      <c r="E101" s="289" t="n">
        <v>2733</v>
      </c>
      <c r="F101" s="289" t="n">
        <v>40</v>
      </c>
      <c r="G101" s="289" t="n">
        <v>0</v>
      </c>
      <c r="H101" s="289" t="n">
        <v>0</v>
      </c>
      <c r="I101" s="665" t="n">
        <v>140</v>
      </c>
      <c r="J101" s="481" t="s">
        <v>607</v>
      </c>
      <c r="K101" s="563" t="s">
        <v>977</v>
      </c>
      <c r="L101" s="481" t="s">
        <v>1050</v>
      </c>
      <c r="M101" s="481"/>
      <c r="N101" s="481" t="s">
        <v>1031</v>
      </c>
      <c r="O101" s="481"/>
      <c r="P101" s="481"/>
      <c r="Q101" s="481"/>
      <c r="R101" s="481"/>
      <c r="S101" s="481"/>
      <c r="T101" s="481"/>
      <c r="U101" s="481"/>
      <c r="V101" s="481"/>
      <c r="W101" s="481"/>
      <c r="X101" s="481"/>
      <c r="Y101" s="481"/>
      <c r="Z101" s="481"/>
      <c r="AA101" s="481"/>
      <c r="AB101" s="481"/>
      <c r="AC101" s="481"/>
      <c r="AD101" s="481"/>
      <c r="AE101" s="481"/>
      <c r="AF101" s="481"/>
      <c r="AG101" s="481"/>
      <c r="AH101" s="481"/>
      <c r="AI101" s="481"/>
      <c r="AJ101" s="481"/>
      <c r="AK101" s="481"/>
      <c r="AL101" s="481"/>
      <c r="AM101" s="481"/>
      <c r="AN101" s="481"/>
      <c r="AO101" s="481"/>
      <c r="AP101" s="481"/>
      <c r="AQ101" s="530"/>
      <c r="AR101" s="530"/>
      <c r="AS101" s="530"/>
      <c r="AT101" s="530"/>
      <c r="AU101" s="530"/>
      <c r="AV101" s="530"/>
      <c r="AW101" s="530"/>
      <c r="AX101" s="530"/>
      <c r="AY101" s="530"/>
      <c r="AZ101" s="530"/>
      <c r="BA101" s="530"/>
      <c r="BB101" s="530"/>
      <c r="BC101" s="530"/>
      <c r="BD101" s="530"/>
      <c r="BE101" s="530"/>
      <c r="BF101" s="530"/>
      <c r="BG101" s="530"/>
      <c r="BH101" s="530"/>
      <c r="BI101" s="530"/>
      <c r="BJ101" s="530"/>
      <c r="BK101" s="530"/>
      <c r="BL101" s="530"/>
      <c r="BM101" s="530"/>
      <c r="BN101" s="530"/>
      <c r="BO101" s="530"/>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row>
    <row r="102" customFormat="false" ht="14.4" hidden="false" customHeight="false" outlineLevel="0" collapsed="false">
      <c r="A102" s="499"/>
      <c r="B102" s="23" t="s">
        <v>274</v>
      </c>
      <c r="C102" s="23" t="s">
        <v>254</v>
      </c>
      <c r="D102" s="102" t="n">
        <v>0.56</v>
      </c>
      <c r="E102" s="23" t="n">
        <v>2314</v>
      </c>
      <c r="F102" s="23" t="n">
        <v>40</v>
      </c>
      <c r="G102" s="23" t="n">
        <v>12</v>
      </c>
      <c r="H102" s="23" t="n">
        <v>0</v>
      </c>
      <c r="I102" s="382" t="n">
        <v>140</v>
      </c>
      <c r="J102" s="481" t="s">
        <v>607</v>
      </c>
      <c r="K102" s="563" t="s">
        <v>977</v>
      </c>
      <c r="L102" s="481" t="s">
        <v>1051</v>
      </c>
      <c r="M102" s="481"/>
      <c r="N102" s="481" t="s">
        <v>1031</v>
      </c>
      <c r="O102" s="481"/>
      <c r="P102" s="481"/>
      <c r="Q102" s="481"/>
      <c r="R102" s="481"/>
      <c r="S102" s="481"/>
      <c r="T102" s="481"/>
      <c r="U102" s="481"/>
      <c r="V102" s="481"/>
      <c r="W102" s="481"/>
      <c r="X102" s="481"/>
      <c r="Y102" s="481"/>
      <c r="Z102" s="481"/>
      <c r="AA102" s="481"/>
      <c r="AB102" s="481"/>
      <c r="AC102" s="481"/>
      <c r="AD102" s="481"/>
      <c r="AE102" s="481"/>
      <c r="AF102" s="481"/>
      <c r="AG102" s="481"/>
      <c r="AH102" s="481"/>
      <c r="AI102" s="481"/>
      <c r="AJ102" s="481"/>
      <c r="AK102" s="481"/>
      <c r="AL102" s="481"/>
      <c r="AM102" s="481"/>
      <c r="AN102" s="481"/>
      <c r="AO102" s="481"/>
      <c r="AP102" s="481"/>
      <c r="AQ102" s="530"/>
      <c r="AR102" s="530"/>
      <c r="AS102" s="530"/>
      <c r="AT102" s="530"/>
      <c r="AU102" s="530"/>
      <c r="AV102" s="530"/>
      <c r="AW102" s="530"/>
      <c r="AX102" s="530"/>
      <c r="AY102" s="530"/>
      <c r="AZ102" s="530"/>
      <c r="BA102" s="530"/>
      <c r="BB102" s="530"/>
      <c r="BC102" s="530"/>
      <c r="BD102" s="530"/>
      <c r="BE102" s="530"/>
      <c r="BF102" s="530"/>
      <c r="BG102" s="530"/>
      <c r="BH102" s="530"/>
      <c r="BI102" s="530"/>
      <c r="BJ102" s="530"/>
      <c r="BK102" s="530"/>
      <c r="BL102" s="530"/>
      <c r="BM102" s="530"/>
      <c r="BN102" s="530"/>
      <c r="BO102" s="530"/>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row>
    <row r="103" customFormat="false" ht="14.4" hidden="false" customHeight="false" outlineLevel="0" collapsed="false">
      <c r="A103" s="499"/>
      <c r="B103" s="23" t="s">
        <v>285</v>
      </c>
      <c r="C103" s="23" t="s">
        <v>254</v>
      </c>
      <c r="D103" s="102" t="n">
        <v>0.28</v>
      </c>
      <c r="E103" s="23" t="n">
        <v>2723</v>
      </c>
      <c r="F103" s="23" t="n">
        <v>33</v>
      </c>
      <c r="G103" s="23" t="n">
        <v>0</v>
      </c>
      <c r="H103" s="23" t="n">
        <v>0</v>
      </c>
      <c r="I103" s="382" t="n">
        <v>140</v>
      </c>
      <c r="J103" s="481" t="s">
        <v>607</v>
      </c>
      <c r="K103" s="563" t="s">
        <v>977</v>
      </c>
      <c r="L103" s="481" t="s">
        <v>1052</v>
      </c>
      <c r="M103" s="481"/>
      <c r="N103" s="481" t="s">
        <v>1031</v>
      </c>
      <c r="O103" s="481"/>
      <c r="P103" s="481"/>
      <c r="Q103" s="481"/>
      <c r="R103" s="481"/>
      <c r="S103" s="481"/>
      <c r="T103" s="481"/>
      <c r="U103" s="481"/>
      <c r="V103" s="481"/>
      <c r="W103" s="481"/>
      <c r="X103" s="481"/>
      <c r="Y103" s="481"/>
      <c r="Z103" s="481"/>
      <c r="AA103" s="481"/>
      <c r="AB103" s="481"/>
      <c r="AC103" s="481"/>
      <c r="AD103" s="481"/>
      <c r="AE103" s="481"/>
      <c r="AF103" s="481"/>
      <c r="AG103" s="481"/>
      <c r="AH103" s="481"/>
      <c r="AI103" s="481"/>
      <c r="AJ103" s="481"/>
      <c r="AK103" s="481"/>
      <c r="AL103" s="481"/>
      <c r="AM103" s="481"/>
      <c r="AN103" s="481"/>
      <c r="AO103" s="481"/>
      <c r="AP103" s="481"/>
      <c r="AQ103" s="530"/>
      <c r="AR103" s="530"/>
      <c r="AS103" s="530"/>
      <c r="AT103" s="530"/>
      <c r="AU103" s="530"/>
      <c r="AV103" s="530"/>
      <c r="AW103" s="530"/>
      <c r="AX103" s="530"/>
      <c r="AY103" s="530"/>
      <c r="AZ103" s="530"/>
      <c r="BA103" s="530"/>
      <c r="BB103" s="530"/>
      <c r="BC103" s="530"/>
      <c r="BD103" s="530"/>
      <c r="BE103" s="530"/>
      <c r="BF103" s="530"/>
      <c r="BG103" s="530"/>
      <c r="BH103" s="530"/>
      <c r="BI103" s="530"/>
      <c r="BJ103" s="530"/>
      <c r="BK103" s="530"/>
      <c r="BL103" s="530"/>
      <c r="BM103" s="530"/>
      <c r="BN103" s="530"/>
      <c r="BO103" s="530"/>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row>
    <row r="104" customFormat="false" ht="14.4" hidden="false" customHeight="false" outlineLevel="0" collapsed="false">
      <c r="A104" s="503"/>
      <c r="B104" s="504" t="s">
        <v>141</v>
      </c>
      <c r="C104" s="504" t="s">
        <v>254</v>
      </c>
      <c r="D104" s="228" t="n">
        <v>0.05</v>
      </c>
      <c r="E104" s="504" t="n">
        <v>2504</v>
      </c>
      <c r="F104" s="504" t="n">
        <v>30</v>
      </c>
      <c r="G104" s="504" t="n">
        <v>0</v>
      </c>
      <c r="H104" s="504" t="n">
        <v>0</v>
      </c>
      <c r="I104" s="436" t="n">
        <v>140</v>
      </c>
      <c r="J104" s="481" t="s">
        <v>607</v>
      </c>
      <c r="K104" s="563" t="s">
        <v>977</v>
      </c>
      <c r="L104" s="481" t="s">
        <v>1053</v>
      </c>
      <c r="M104" s="481"/>
      <c r="N104" s="481" t="s">
        <v>1031</v>
      </c>
      <c r="O104" s="481"/>
      <c r="P104" s="481"/>
      <c r="Q104" s="481"/>
      <c r="R104" s="481"/>
      <c r="S104" s="481"/>
      <c r="T104" s="481"/>
      <c r="U104" s="481"/>
      <c r="V104" s="481"/>
      <c r="W104" s="481"/>
      <c r="X104" s="481"/>
      <c r="Y104" s="481"/>
      <c r="Z104" s="481"/>
      <c r="AA104" s="481"/>
      <c r="AB104" s="481"/>
      <c r="AC104" s="481"/>
      <c r="AD104" s="481"/>
      <c r="AE104" s="481"/>
      <c r="AF104" s="481"/>
      <c r="AG104" s="481"/>
      <c r="AH104" s="481"/>
      <c r="AI104" s="481"/>
      <c r="AJ104" s="481"/>
      <c r="AK104" s="481"/>
      <c r="AL104" s="481"/>
      <c r="AM104" s="481"/>
      <c r="AN104" s="481"/>
      <c r="AO104" s="481"/>
      <c r="AP104" s="481"/>
      <c r="AQ104" s="530"/>
      <c r="AR104" s="530"/>
      <c r="AS104" s="530"/>
      <c r="AT104" s="530"/>
      <c r="AU104" s="530"/>
      <c r="AV104" s="530"/>
      <c r="AW104" s="530"/>
      <c r="AX104" s="530"/>
      <c r="AY104" s="530"/>
      <c r="AZ104" s="530"/>
      <c r="BA104" s="530"/>
      <c r="BB104" s="530"/>
      <c r="BC104" s="530"/>
      <c r="BD104" s="530"/>
      <c r="BE104" s="530"/>
      <c r="BF104" s="530"/>
      <c r="BG104" s="530"/>
      <c r="BH104" s="530"/>
      <c r="BI104" s="530"/>
      <c r="BJ104" s="530"/>
      <c r="BK104" s="530"/>
      <c r="BL104" s="530"/>
      <c r="BM104" s="530"/>
      <c r="BN104" s="530"/>
      <c r="BO104" s="530"/>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row>
    <row r="105" customFormat="false" ht="14.4" hidden="false" customHeight="false" outlineLevel="0" collapsed="false">
      <c r="A105" s="481" t="s">
        <v>1054</v>
      </c>
      <c r="B105" s="23"/>
      <c r="C105" s="23"/>
      <c r="D105" s="102"/>
      <c r="E105" s="23"/>
      <c r="F105" s="23"/>
      <c r="G105" s="23"/>
      <c r="H105" s="23"/>
      <c r="I105" s="380"/>
      <c r="J105" s="481"/>
      <c r="K105" s="563"/>
      <c r="L105" s="481"/>
      <c r="M105" s="481"/>
      <c r="N105" s="481"/>
      <c r="O105" s="481"/>
      <c r="P105" s="481"/>
      <c r="Q105" s="481"/>
      <c r="R105" s="481"/>
      <c r="S105" s="481"/>
      <c r="T105" s="481"/>
      <c r="U105" s="481"/>
      <c r="V105" s="481"/>
      <c r="W105" s="481"/>
      <c r="X105" s="481"/>
      <c r="Y105" s="481"/>
      <c r="Z105" s="481"/>
      <c r="AA105" s="481"/>
      <c r="AB105" s="481"/>
      <c r="AC105" s="481"/>
      <c r="AD105" s="481"/>
      <c r="AE105" s="481"/>
      <c r="AF105" s="481"/>
      <c r="AG105" s="481"/>
      <c r="AH105" s="481"/>
      <c r="AI105" s="481"/>
      <c r="AJ105" s="481"/>
      <c r="AK105" s="481"/>
      <c r="AL105" s="481"/>
      <c r="AM105" s="481"/>
      <c r="AN105" s="481"/>
      <c r="AO105" s="481"/>
      <c r="AP105" s="481"/>
      <c r="AQ105" s="530"/>
      <c r="AR105" s="530"/>
      <c r="AS105" s="530"/>
      <c r="AT105" s="530"/>
      <c r="AU105" s="530"/>
      <c r="AV105" s="530"/>
      <c r="AW105" s="530"/>
      <c r="AX105" s="530"/>
      <c r="AY105" s="530"/>
      <c r="AZ105" s="530"/>
      <c r="BA105" s="530"/>
      <c r="BB105" s="530"/>
      <c r="BC105" s="530"/>
      <c r="BD105" s="530"/>
      <c r="BE105" s="530"/>
      <c r="BF105" s="530"/>
      <c r="BG105" s="530"/>
      <c r="BH105" s="530"/>
      <c r="BI105" s="530"/>
      <c r="BJ105" s="530"/>
      <c r="BK105" s="530"/>
      <c r="BL105" s="530"/>
      <c r="BM105" s="530"/>
      <c r="BN105" s="530"/>
      <c r="BO105" s="530"/>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row>
    <row r="106" s="699" customFormat="true" ht="14.4" hidden="false" customHeight="false" outlineLevel="0" collapsed="false">
      <c r="A106" s="395" t="s">
        <v>1055</v>
      </c>
      <c r="B106" s="697"/>
      <c r="C106" s="697"/>
      <c r="D106" s="395"/>
      <c r="E106" s="395"/>
      <c r="F106" s="395"/>
      <c r="G106" s="395"/>
      <c r="H106" s="395"/>
      <c r="I106" s="467"/>
      <c r="J106" s="642"/>
      <c r="K106" s="642"/>
      <c r="L106" s="642"/>
      <c r="M106" s="642"/>
      <c r="N106" s="642"/>
      <c r="O106" s="642"/>
      <c r="P106" s="642"/>
      <c r="Q106" s="642"/>
      <c r="R106" s="642"/>
      <c r="S106" s="642"/>
      <c r="T106" s="642"/>
      <c r="U106" s="642"/>
      <c r="V106" s="642"/>
      <c r="W106" s="642"/>
      <c r="X106" s="642"/>
      <c r="Y106" s="642"/>
      <c r="Z106" s="642"/>
      <c r="AA106" s="642"/>
      <c r="AB106" s="642"/>
      <c r="AC106" s="642"/>
      <c r="AD106" s="642"/>
      <c r="AE106" s="642"/>
      <c r="AF106" s="642"/>
      <c r="AG106" s="642"/>
      <c r="AH106" s="642"/>
      <c r="AI106" s="642"/>
      <c r="AJ106" s="642"/>
      <c r="AK106" s="642"/>
      <c r="AL106" s="642"/>
      <c r="AM106" s="642"/>
      <c r="AN106" s="642"/>
      <c r="AO106" s="642"/>
      <c r="AP106" s="642"/>
      <c r="AQ106" s="642"/>
      <c r="AR106" s="642"/>
      <c r="AS106" s="642"/>
      <c r="AT106" s="642"/>
      <c r="AU106" s="642"/>
      <c r="AV106" s="642"/>
      <c r="AW106" s="642"/>
      <c r="AX106" s="642"/>
      <c r="AY106" s="642"/>
      <c r="AZ106" s="642"/>
      <c r="BA106" s="642"/>
      <c r="BB106" s="642"/>
      <c r="BC106" s="642"/>
      <c r="BD106" s="642"/>
      <c r="BE106" s="642"/>
      <c r="BF106" s="642"/>
      <c r="BG106" s="642"/>
      <c r="BH106" s="642"/>
      <c r="BI106" s="642"/>
      <c r="BJ106" s="642"/>
      <c r="BK106" s="642"/>
      <c r="BL106" s="642"/>
      <c r="BM106" s="642"/>
      <c r="BN106" s="642"/>
      <c r="BO106" s="642"/>
      <c r="BP106" s="698"/>
      <c r="BQ106" s="698"/>
      <c r="BR106" s="698"/>
      <c r="BS106" s="698"/>
      <c r="BT106" s="698"/>
      <c r="BU106" s="698"/>
      <c r="BV106" s="698"/>
      <c r="BW106" s="698"/>
      <c r="BX106" s="698"/>
      <c r="BY106" s="698"/>
      <c r="BZ106" s="698"/>
      <c r="CA106" s="698"/>
      <c r="CB106" s="698"/>
      <c r="CC106" s="698"/>
      <c r="CD106" s="698"/>
      <c r="CE106" s="698"/>
      <c r="CF106" s="698"/>
      <c r="CG106" s="698"/>
      <c r="CH106" s="698"/>
      <c r="CI106" s="698"/>
      <c r="CJ106" s="698"/>
      <c r="CK106" s="698"/>
      <c r="CL106" s="698"/>
      <c r="CM106" s="698"/>
      <c r="CN106" s="698"/>
      <c r="CO106" s="698"/>
      <c r="CP106" s="698"/>
      <c r="CQ106" s="698"/>
      <c r="CR106" s="698"/>
      <c r="CS106" s="698"/>
      <c r="CT106" s="698"/>
      <c r="CU106" s="698"/>
      <c r="CV106" s="698"/>
      <c r="CW106" s="698"/>
      <c r="CX106" s="698"/>
      <c r="CY106" s="698"/>
      <c r="CZ106" s="698"/>
      <c r="DA106" s="698"/>
      <c r="DB106" s="698"/>
      <c r="DC106" s="698"/>
      <c r="DD106" s="698"/>
      <c r="DE106" s="698"/>
      <c r="DF106" s="698"/>
      <c r="DG106" s="698"/>
      <c r="DH106" s="698"/>
      <c r="DI106" s="698"/>
      <c r="DJ106" s="698"/>
      <c r="DK106" s="698"/>
      <c r="DL106" s="698"/>
      <c r="DM106" s="698"/>
      <c r="DN106" s="698"/>
      <c r="DO106" s="698"/>
      <c r="DP106" s="698"/>
      <c r="DQ106" s="698"/>
      <c r="DR106" s="698"/>
      <c r="DS106" s="698"/>
      <c r="DT106" s="698"/>
      <c r="DU106" s="698"/>
      <c r="DV106" s="698"/>
      <c r="DW106" s="698"/>
      <c r="DX106" s="698"/>
      <c r="DY106" s="698"/>
      <c r="DZ106" s="698"/>
      <c r="EA106" s="698"/>
      <c r="EB106" s="698"/>
      <c r="EC106" s="698"/>
      <c r="ED106" s="698"/>
      <c r="EE106" s="698"/>
      <c r="EF106" s="698"/>
      <c r="EG106" s="698"/>
      <c r="EH106" s="698"/>
      <c r="EI106" s="698"/>
      <c r="EJ106" s="698"/>
    </row>
    <row r="107" customFormat="false" ht="14.4" hidden="false" customHeight="false" outlineLevel="0" collapsed="false">
      <c r="A107" s="481" t="s">
        <v>1056</v>
      </c>
      <c r="B107" s="23"/>
      <c r="C107" s="23"/>
      <c r="I107" s="401"/>
      <c r="J107" s="530"/>
      <c r="K107" s="694"/>
      <c r="L107" s="530"/>
      <c r="M107" s="530"/>
      <c r="N107" s="530"/>
      <c r="O107" s="530"/>
      <c r="P107" s="530"/>
      <c r="Q107" s="530"/>
      <c r="R107" s="530"/>
      <c r="S107" s="530"/>
      <c r="T107" s="530"/>
      <c r="U107" s="530"/>
      <c r="V107" s="530"/>
      <c r="W107" s="530"/>
      <c r="X107" s="530"/>
      <c r="Y107" s="530"/>
      <c r="Z107" s="530"/>
      <c r="AA107" s="530"/>
      <c r="AB107" s="530"/>
      <c r="AC107" s="530"/>
      <c r="AD107" s="530"/>
      <c r="AE107" s="530"/>
      <c r="AF107" s="530"/>
      <c r="AG107" s="530"/>
      <c r="AH107" s="530"/>
      <c r="AI107" s="530"/>
      <c r="AJ107" s="530"/>
      <c r="AK107" s="530"/>
      <c r="AL107" s="530"/>
      <c r="AM107" s="530"/>
      <c r="AN107" s="530"/>
      <c r="AO107" s="530"/>
      <c r="AP107" s="530"/>
      <c r="AQ107" s="530"/>
      <c r="AR107" s="530"/>
      <c r="AS107" s="530"/>
      <c r="AT107" s="530"/>
      <c r="AU107" s="530"/>
      <c r="AV107" s="530"/>
      <c r="AW107" s="530"/>
      <c r="AX107" s="530"/>
      <c r="AY107" s="530"/>
      <c r="AZ107" s="530"/>
      <c r="BA107" s="530"/>
      <c r="BB107" s="530"/>
      <c r="BC107" s="530"/>
      <c r="BD107" s="530"/>
      <c r="BE107" s="530"/>
      <c r="BF107" s="530"/>
      <c r="BG107" s="530"/>
      <c r="BH107" s="530"/>
      <c r="BI107" s="530"/>
      <c r="BJ107" s="530"/>
      <c r="BK107" s="530"/>
      <c r="BL107" s="530"/>
      <c r="BM107" s="530"/>
      <c r="BN107" s="530"/>
      <c r="BO107" s="530"/>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row>
    <row r="108" customFormat="false" ht="14.4" hidden="false" customHeight="false" outlineLevel="0" collapsed="false">
      <c r="A108" s="481" t="s">
        <v>1057</v>
      </c>
      <c r="B108" s="23"/>
      <c r="C108" s="23"/>
      <c r="I108" s="401"/>
      <c r="J108" s="530"/>
      <c r="K108" s="694"/>
      <c r="L108" s="530"/>
      <c r="M108" s="530"/>
      <c r="N108" s="530"/>
      <c r="O108" s="530"/>
      <c r="P108" s="530"/>
      <c r="Q108" s="530"/>
      <c r="R108" s="530"/>
      <c r="S108" s="530"/>
      <c r="T108" s="530"/>
      <c r="U108" s="530"/>
      <c r="V108" s="530"/>
      <c r="W108" s="530"/>
      <c r="X108" s="530"/>
      <c r="Y108" s="530"/>
      <c r="Z108" s="530"/>
      <c r="AA108" s="530"/>
      <c r="AB108" s="530"/>
      <c r="AC108" s="530"/>
      <c r="AD108" s="530"/>
      <c r="AE108" s="530"/>
      <c r="AF108" s="530"/>
      <c r="AG108" s="530"/>
      <c r="AH108" s="530"/>
      <c r="AI108" s="530"/>
      <c r="AJ108" s="530"/>
      <c r="AK108" s="530"/>
      <c r="AL108" s="530"/>
      <c r="AM108" s="530"/>
      <c r="AN108" s="530"/>
      <c r="AO108" s="530"/>
      <c r="AP108" s="530"/>
      <c r="AQ108" s="530"/>
      <c r="AR108" s="530"/>
      <c r="AS108" s="530"/>
      <c r="AT108" s="530"/>
      <c r="AU108" s="530"/>
      <c r="AV108" s="530"/>
      <c r="AW108" s="530"/>
      <c r="AX108" s="530"/>
      <c r="AY108" s="530"/>
      <c r="AZ108" s="530"/>
      <c r="BA108" s="530"/>
      <c r="BB108" s="530"/>
      <c r="BC108" s="530"/>
      <c r="BD108" s="530"/>
      <c r="BE108" s="530"/>
      <c r="BF108" s="530"/>
      <c r="BG108" s="530"/>
      <c r="BH108" s="530"/>
      <c r="BI108" s="530"/>
      <c r="BJ108" s="530"/>
      <c r="BK108" s="530"/>
      <c r="BL108" s="530"/>
      <c r="BM108" s="530"/>
      <c r="BN108" s="530"/>
      <c r="BO108" s="530"/>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row>
    <row r="109" customFormat="false" ht="14.4" hidden="false" customHeight="false" outlineLevel="0" collapsed="false">
      <c r="A109" s="416" t="s">
        <v>1058</v>
      </c>
      <c r="B109" s="23"/>
      <c r="C109" s="23"/>
      <c r="I109" s="401"/>
      <c r="J109" s="530"/>
      <c r="K109" s="694"/>
      <c r="L109" s="530"/>
      <c r="M109" s="530"/>
      <c r="N109" s="530"/>
      <c r="O109" s="530"/>
      <c r="P109" s="530"/>
      <c r="Q109" s="530"/>
      <c r="R109" s="530"/>
      <c r="S109" s="530"/>
      <c r="T109" s="530"/>
      <c r="U109" s="530"/>
      <c r="V109" s="530"/>
      <c r="W109" s="530"/>
      <c r="X109" s="530"/>
      <c r="Y109" s="530"/>
      <c r="Z109" s="530"/>
      <c r="AA109" s="530"/>
      <c r="AB109" s="530"/>
      <c r="AC109" s="530"/>
      <c r="AD109" s="530"/>
      <c r="AE109" s="530"/>
      <c r="AF109" s="530"/>
      <c r="AG109" s="530"/>
      <c r="AH109" s="530"/>
      <c r="AI109" s="530"/>
      <c r="AJ109" s="530"/>
      <c r="AK109" s="530"/>
      <c r="AL109" s="530"/>
      <c r="AM109" s="530"/>
      <c r="AN109" s="530"/>
      <c r="AO109" s="530"/>
      <c r="AP109" s="530"/>
      <c r="AQ109" s="530"/>
      <c r="AR109" s="530"/>
      <c r="AS109" s="530"/>
      <c r="AT109" s="530"/>
      <c r="AU109" s="530"/>
      <c r="AV109" s="530"/>
      <c r="AW109" s="530"/>
      <c r="AX109" s="530"/>
      <c r="AY109" s="530"/>
      <c r="AZ109" s="530"/>
      <c r="BA109" s="530"/>
      <c r="BB109" s="530"/>
      <c r="BC109" s="530"/>
      <c r="BD109" s="530"/>
      <c r="BE109" s="530"/>
      <c r="BF109" s="530"/>
      <c r="BG109" s="530"/>
      <c r="BH109" s="530"/>
      <c r="BI109" s="530"/>
      <c r="BJ109" s="530"/>
      <c r="BK109" s="530"/>
      <c r="BL109" s="530"/>
      <c r="BM109" s="530"/>
      <c r="BN109" s="530"/>
      <c r="BO109" s="530"/>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row>
    <row r="110" customFormat="false" ht="14.4" hidden="false" customHeight="false" outlineLevel="0" collapsed="false">
      <c r="A110" s="395" t="s">
        <v>1059</v>
      </c>
      <c r="D110" s="25"/>
      <c r="E110" s="25"/>
      <c r="F110" s="25"/>
      <c r="I110" s="401"/>
      <c r="J110" s="401"/>
      <c r="K110" s="700"/>
      <c r="L110" s="401"/>
      <c r="M110" s="401"/>
      <c r="N110" s="401"/>
      <c r="O110" s="401"/>
      <c r="P110" s="401"/>
      <c r="Q110" s="401"/>
      <c r="R110" s="401"/>
      <c r="S110" s="401"/>
      <c r="T110" s="401"/>
      <c r="U110" s="401"/>
      <c r="V110" s="401"/>
      <c r="W110" s="401"/>
      <c r="X110" s="401"/>
      <c r="Y110" s="401"/>
      <c r="Z110" s="401"/>
      <c r="AA110" s="401"/>
      <c r="AB110" s="401"/>
      <c r="AC110" s="401"/>
      <c r="AD110" s="401"/>
      <c r="AE110" s="401"/>
      <c r="AF110" s="401"/>
      <c r="AG110" s="401"/>
      <c r="AH110" s="401"/>
      <c r="AI110" s="401"/>
      <c r="AJ110" s="401"/>
      <c r="AK110" s="401"/>
      <c r="AL110" s="401"/>
      <c r="AM110" s="401"/>
      <c r="AN110" s="401"/>
      <c r="AO110" s="401"/>
      <c r="AP110" s="401"/>
      <c r="AQ110" s="401"/>
      <c r="AR110" s="401"/>
      <c r="AS110" s="401"/>
      <c r="AT110" s="401"/>
      <c r="AU110" s="401"/>
      <c r="AV110" s="401"/>
      <c r="AW110" s="401"/>
      <c r="AX110" s="401"/>
      <c r="AY110" s="401"/>
      <c r="AZ110" s="401"/>
      <c r="BA110" s="401"/>
      <c r="BB110" s="401"/>
      <c r="BC110" s="401"/>
      <c r="BD110" s="401"/>
      <c r="BE110" s="401"/>
      <c r="BF110" s="401"/>
      <c r="BG110" s="401"/>
      <c r="BH110" s="401"/>
      <c r="BI110" s="401"/>
      <c r="BJ110" s="401"/>
      <c r="BK110" s="401"/>
      <c r="BL110" s="401"/>
      <c r="BM110" s="401"/>
      <c r="BN110" s="401"/>
      <c r="BO110" s="401"/>
    </row>
    <row r="111" customFormat="false" ht="14.4" hidden="false" customHeight="false" outlineLevel="0" collapsed="false">
      <c r="A111" s="395" t="s">
        <v>1060</v>
      </c>
      <c r="I111" s="401"/>
      <c r="J111" s="401"/>
      <c r="K111" s="700"/>
      <c r="L111" s="401"/>
      <c r="M111" s="401"/>
      <c r="N111" s="401"/>
      <c r="O111" s="401"/>
      <c r="P111" s="401"/>
      <c r="Q111" s="401"/>
      <c r="R111" s="401"/>
      <c r="S111" s="401"/>
      <c r="T111" s="401"/>
      <c r="U111" s="401"/>
      <c r="V111" s="401"/>
      <c r="W111" s="401"/>
      <c r="X111" s="401"/>
      <c r="Y111" s="401"/>
      <c r="Z111" s="401"/>
      <c r="AA111" s="401"/>
      <c r="AB111" s="401"/>
      <c r="AC111" s="401"/>
      <c r="AD111" s="401"/>
      <c r="AE111" s="401"/>
      <c r="AF111" s="401"/>
      <c r="AG111" s="401"/>
      <c r="AH111" s="401"/>
      <c r="AI111" s="401"/>
      <c r="AJ111" s="401"/>
      <c r="AK111" s="401"/>
      <c r="AL111" s="401"/>
      <c r="AM111" s="401"/>
      <c r="AN111" s="401"/>
      <c r="AO111" s="401"/>
      <c r="AP111" s="401"/>
      <c r="AQ111" s="401"/>
      <c r="AR111" s="401"/>
      <c r="AS111" s="401"/>
      <c r="AT111" s="401"/>
      <c r="AU111" s="401"/>
      <c r="AV111" s="401"/>
      <c r="AW111" s="401"/>
      <c r="AX111" s="401"/>
      <c r="AY111" s="401"/>
      <c r="AZ111" s="401"/>
      <c r="BA111" s="401"/>
      <c r="BB111" s="401"/>
      <c r="BC111" s="401"/>
      <c r="BD111" s="401"/>
      <c r="BE111" s="401"/>
      <c r="BF111" s="401"/>
      <c r="BG111" s="401"/>
      <c r="BH111" s="401"/>
      <c r="BI111" s="401"/>
      <c r="BJ111" s="401"/>
      <c r="BK111" s="401"/>
      <c r="BL111" s="401"/>
      <c r="BM111" s="401"/>
      <c r="BN111" s="401"/>
      <c r="BO111" s="401"/>
    </row>
    <row r="112" customFormat="false" ht="14.4" hidden="false" customHeight="false" outlineLevel="0" collapsed="false">
      <c r="I112" s="401"/>
      <c r="J112" s="401"/>
      <c r="K112" s="700"/>
      <c r="L112" s="401"/>
      <c r="M112" s="401"/>
      <c r="N112" s="401"/>
      <c r="O112" s="401"/>
      <c r="P112" s="401"/>
      <c r="Q112" s="401"/>
      <c r="R112" s="401"/>
      <c r="S112" s="401"/>
      <c r="T112" s="401"/>
      <c r="U112" s="401"/>
      <c r="V112" s="401"/>
      <c r="W112" s="401"/>
      <c r="X112" s="401"/>
      <c r="Y112" s="401"/>
      <c r="Z112" s="401"/>
      <c r="AA112" s="401"/>
      <c r="AB112" s="401"/>
      <c r="AC112" s="401"/>
      <c r="AD112" s="401"/>
      <c r="AE112" s="401"/>
      <c r="AF112" s="401"/>
      <c r="AG112" s="401"/>
      <c r="AH112" s="401"/>
      <c r="AI112" s="401"/>
      <c r="AJ112" s="401"/>
      <c r="AK112" s="401"/>
      <c r="AL112" s="401"/>
      <c r="AM112" s="401"/>
      <c r="AN112" s="401"/>
      <c r="AO112" s="401"/>
      <c r="AP112" s="401"/>
      <c r="AQ112" s="401"/>
      <c r="AR112" s="401"/>
      <c r="AS112" s="401"/>
      <c r="AT112" s="401"/>
      <c r="AU112" s="401"/>
      <c r="AV112" s="401"/>
      <c r="AW112" s="401"/>
      <c r="AX112" s="401"/>
      <c r="AY112" s="401"/>
      <c r="AZ112" s="401"/>
      <c r="BA112" s="401"/>
      <c r="BB112" s="401"/>
      <c r="BC112" s="401"/>
      <c r="BD112" s="401"/>
      <c r="BE112" s="401"/>
      <c r="BF112" s="401"/>
      <c r="BG112" s="401"/>
      <c r="BH112" s="401"/>
      <c r="BI112" s="401"/>
      <c r="BJ112" s="401"/>
      <c r="BK112" s="401"/>
      <c r="BL112" s="401"/>
      <c r="BM112" s="401"/>
      <c r="BN112" s="401"/>
      <c r="BO112" s="401"/>
    </row>
    <row r="113" customFormat="false" ht="14.4" hidden="false" customHeight="false" outlineLevel="0" collapsed="false">
      <c r="A113" s="519" t="s">
        <v>1061</v>
      </c>
      <c r="I113" s="401"/>
      <c r="J113" s="530"/>
      <c r="K113" s="694"/>
      <c r="L113" s="530"/>
      <c r="M113" s="530"/>
      <c r="N113" s="530"/>
      <c r="O113" s="530"/>
      <c r="P113" s="530"/>
      <c r="Q113" s="530"/>
      <c r="R113" s="530"/>
      <c r="S113" s="530"/>
      <c r="T113" s="530"/>
      <c r="U113" s="530"/>
      <c r="V113" s="530"/>
      <c r="W113" s="530"/>
      <c r="X113" s="530"/>
      <c r="Y113" s="530"/>
      <c r="Z113" s="530"/>
      <c r="AA113" s="530"/>
      <c r="AB113" s="530"/>
      <c r="AC113" s="530"/>
      <c r="AD113" s="530"/>
      <c r="AE113" s="530"/>
      <c r="AF113" s="530"/>
      <c r="AG113" s="530"/>
      <c r="AH113" s="530"/>
      <c r="AI113" s="530"/>
      <c r="AJ113" s="530"/>
      <c r="AK113" s="530"/>
      <c r="AL113" s="530"/>
      <c r="AM113" s="530"/>
      <c r="AN113" s="530"/>
      <c r="AO113" s="530"/>
      <c r="AP113" s="530"/>
      <c r="AQ113" s="530"/>
      <c r="AR113" s="530"/>
      <c r="AS113" s="530"/>
      <c r="AT113" s="530"/>
      <c r="AU113" s="530"/>
      <c r="AV113" s="530"/>
      <c r="AW113" s="530"/>
      <c r="AX113" s="530"/>
      <c r="AY113" s="530"/>
      <c r="AZ113" s="530"/>
      <c r="BA113" s="530"/>
      <c r="BB113" s="530"/>
      <c r="BC113" s="530"/>
      <c r="BD113" s="530"/>
      <c r="BE113" s="530"/>
      <c r="BF113" s="530"/>
      <c r="BG113" s="530"/>
      <c r="BH113" s="530"/>
      <c r="BI113" s="530"/>
      <c r="BJ113" s="530"/>
      <c r="BK113" s="530"/>
      <c r="BL113" s="530"/>
      <c r="BM113" s="530"/>
      <c r="BN113" s="530"/>
      <c r="BO113" s="530"/>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row>
    <row r="114" customFormat="false" ht="14.4" hidden="false" customHeight="false" outlineLevel="0" collapsed="false">
      <c r="A114" s="472" t="s">
        <v>120</v>
      </c>
      <c r="B114" s="561" t="n">
        <v>0.01</v>
      </c>
      <c r="C114" s="701" t="s">
        <v>1062</v>
      </c>
      <c r="D114" s="333" t="s">
        <v>411</v>
      </c>
      <c r="I114" s="401"/>
      <c r="J114" s="530"/>
      <c r="K114" s="694"/>
      <c r="L114" s="530"/>
      <c r="M114" s="530"/>
      <c r="N114" s="530"/>
      <c r="O114" s="530"/>
      <c r="P114" s="530"/>
      <c r="Q114" s="530"/>
      <c r="R114" s="530"/>
      <c r="S114" s="530"/>
      <c r="T114" s="530"/>
      <c r="U114" s="530"/>
      <c r="V114" s="530"/>
      <c r="W114" s="530"/>
      <c r="X114" s="530"/>
      <c r="Y114" s="530"/>
      <c r="Z114" s="530"/>
      <c r="AA114" s="530"/>
      <c r="AB114" s="530"/>
      <c r="AC114" s="530"/>
      <c r="AD114" s="530"/>
      <c r="AE114" s="530"/>
      <c r="AF114" s="530"/>
      <c r="AG114" s="530"/>
      <c r="AH114" s="530"/>
      <c r="AI114" s="530"/>
      <c r="AJ114" s="530"/>
      <c r="AK114" s="530"/>
      <c r="AL114" s="530"/>
      <c r="AM114" s="530"/>
      <c r="AN114" s="530"/>
      <c r="AO114" s="530"/>
      <c r="AP114" s="530"/>
      <c r="AQ114" s="530"/>
      <c r="AR114" s="530"/>
      <c r="AS114" s="530"/>
      <c r="AT114" s="530"/>
      <c r="AU114" s="530"/>
      <c r="AV114" s="530"/>
      <c r="AW114" s="530"/>
      <c r="AX114" s="530"/>
      <c r="AY114" s="530"/>
      <c r="AZ114" s="530"/>
      <c r="BA114" s="530"/>
      <c r="BB114" s="530"/>
      <c r="BC114" s="530"/>
      <c r="BD114" s="530"/>
      <c r="BE114" s="530"/>
      <c r="BF114" s="530"/>
      <c r="BG114" s="530"/>
      <c r="BH114" s="530"/>
      <c r="BI114" s="530"/>
      <c r="BJ114" s="530"/>
      <c r="BK114" s="530"/>
      <c r="BL114" s="530"/>
      <c r="BM114" s="530"/>
      <c r="BN114" s="530"/>
      <c r="BO114" s="530"/>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row>
    <row r="115" customFormat="false" ht="14.4" hidden="false" customHeight="false" outlineLevel="0" collapsed="false">
      <c r="A115" s="513" t="s">
        <v>1063</v>
      </c>
      <c r="B115" s="469" t="n">
        <v>0.1</v>
      </c>
      <c r="C115" s="702" t="s">
        <v>1064</v>
      </c>
      <c r="D115" s="282" t="s">
        <v>747</v>
      </c>
      <c r="I115" s="401"/>
      <c r="J115" s="530"/>
      <c r="K115" s="694"/>
      <c r="L115" s="530"/>
      <c r="M115" s="530"/>
      <c r="N115" s="530"/>
      <c r="O115" s="530"/>
      <c r="P115" s="530"/>
      <c r="Q115" s="530"/>
      <c r="R115" s="530"/>
      <c r="S115" s="530"/>
      <c r="T115" s="530"/>
      <c r="U115" s="530"/>
      <c r="V115" s="530"/>
      <c r="W115" s="530"/>
      <c r="X115" s="530"/>
      <c r="Y115" s="530"/>
      <c r="Z115" s="530"/>
      <c r="AA115" s="530"/>
      <c r="AB115" s="530"/>
      <c r="AC115" s="530"/>
      <c r="AD115" s="530"/>
      <c r="AE115" s="530"/>
      <c r="AF115" s="530"/>
      <c r="AG115" s="530"/>
      <c r="AH115" s="530"/>
      <c r="AI115" s="530"/>
      <c r="AJ115" s="530"/>
      <c r="AK115" s="530"/>
      <c r="AL115" s="530"/>
      <c r="AM115" s="530"/>
      <c r="AN115" s="530"/>
      <c r="AO115" s="530"/>
      <c r="AP115" s="530"/>
      <c r="AQ115" s="530"/>
      <c r="AR115" s="530"/>
      <c r="AS115" s="530"/>
      <c r="AT115" s="530"/>
      <c r="AU115" s="530"/>
      <c r="AV115" s="530"/>
      <c r="AW115" s="530"/>
      <c r="AX115" s="530"/>
      <c r="AY115" s="530"/>
      <c r="AZ115" s="530"/>
      <c r="BA115" s="530"/>
      <c r="BB115" s="530"/>
      <c r="BC115" s="530"/>
      <c r="BD115" s="530"/>
      <c r="BE115" s="530"/>
      <c r="BF115" s="530"/>
      <c r="BG115" s="530"/>
      <c r="BH115" s="530"/>
      <c r="BI115" s="530"/>
      <c r="BJ115" s="530"/>
      <c r="BK115" s="530"/>
      <c r="BL115" s="530"/>
      <c r="BM115" s="530"/>
      <c r="BN115" s="530"/>
      <c r="BO115" s="530"/>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row>
    <row r="116" customFormat="false" ht="14.4" hidden="false" customHeight="false" outlineLevel="0" collapsed="false">
      <c r="A116" s="416" t="s">
        <v>1065</v>
      </c>
      <c r="I116" s="401"/>
      <c r="J116" s="530"/>
      <c r="K116" s="694"/>
      <c r="L116" s="530"/>
      <c r="M116" s="530"/>
      <c r="N116" s="530"/>
      <c r="O116" s="530"/>
      <c r="P116" s="530"/>
      <c r="Q116" s="530"/>
      <c r="R116" s="530"/>
      <c r="S116" s="530"/>
      <c r="T116" s="530"/>
      <c r="U116" s="530"/>
      <c r="V116" s="530"/>
      <c r="W116" s="530"/>
      <c r="X116" s="530"/>
      <c r="Y116" s="530"/>
      <c r="Z116" s="530"/>
      <c r="AA116" s="530"/>
      <c r="AB116" s="530"/>
      <c r="AC116" s="530"/>
      <c r="AD116" s="530"/>
      <c r="AE116" s="530"/>
      <c r="AF116" s="530"/>
      <c r="AG116" s="530"/>
      <c r="AH116" s="530"/>
      <c r="AI116" s="530"/>
      <c r="AJ116" s="530"/>
      <c r="AK116" s="530"/>
      <c r="AL116" s="530"/>
      <c r="AM116" s="530"/>
      <c r="AN116" s="530"/>
      <c r="AO116" s="530"/>
      <c r="AP116" s="530"/>
      <c r="AQ116" s="530"/>
      <c r="AR116" s="530"/>
      <c r="AS116" s="530"/>
      <c r="AT116" s="530"/>
      <c r="AU116" s="530"/>
      <c r="AV116" s="530"/>
      <c r="AW116" s="530"/>
      <c r="AX116" s="530"/>
      <c r="AY116" s="530"/>
      <c r="AZ116" s="530"/>
      <c r="BA116" s="530"/>
      <c r="BB116" s="530"/>
      <c r="BC116" s="530"/>
      <c r="BD116" s="530"/>
      <c r="BE116" s="530"/>
      <c r="BF116" s="530"/>
      <c r="BG116" s="530"/>
      <c r="BH116" s="530"/>
      <c r="BI116" s="530"/>
      <c r="BJ116" s="530"/>
      <c r="BK116" s="530"/>
      <c r="BL116" s="530"/>
      <c r="BM116" s="530"/>
      <c r="BN116" s="530"/>
      <c r="BO116" s="530"/>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row>
    <row r="117" customFormat="false" ht="14.4" hidden="false" customHeight="false" outlineLevel="0" collapsed="false">
      <c r="I117" s="401"/>
      <c r="J117" s="530"/>
      <c r="K117" s="694"/>
      <c r="L117" s="530"/>
      <c r="M117" s="530"/>
      <c r="N117" s="530"/>
      <c r="O117" s="530"/>
      <c r="P117" s="530"/>
      <c r="Q117" s="530"/>
      <c r="R117" s="530"/>
      <c r="S117" s="530"/>
      <c r="T117" s="530"/>
      <c r="U117" s="530"/>
      <c r="V117" s="530"/>
      <c r="W117" s="530"/>
      <c r="X117" s="530"/>
      <c r="Y117" s="530"/>
      <c r="Z117" s="530"/>
      <c r="AA117" s="530"/>
      <c r="AB117" s="530"/>
      <c r="AC117" s="530"/>
      <c r="AD117" s="530"/>
      <c r="AE117" s="530"/>
      <c r="AF117" s="530"/>
      <c r="AG117" s="530"/>
      <c r="AH117" s="530"/>
      <c r="AI117" s="530"/>
      <c r="AJ117" s="530"/>
      <c r="AK117" s="530"/>
      <c r="AL117" s="530"/>
      <c r="AM117" s="530"/>
      <c r="AN117" s="530"/>
      <c r="AO117" s="530"/>
      <c r="AP117" s="530"/>
      <c r="AQ117" s="530"/>
      <c r="AR117" s="530"/>
      <c r="AS117" s="530"/>
      <c r="AT117" s="530"/>
      <c r="AU117" s="530"/>
      <c r="AV117" s="530"/>
      <c r="AW117" s="530"/>
      <c r="AX117" s="530"/>
      <c r="AY117" s="530"/>
      <c r="AZ117" s="530"/>
      <c r="BA117" s="530"/>
      <c r="BB117" s="530"/>
      <c r="BC117" s="530"/>
      <c r="BD117" s="530"/>
      <c r="BE117" s="530"/>
      <c r="BF117" s="530"/>
      <c r="BG117" s="530"/>
      <c r="BH117" s="530"/>
      <c r="BI117" s="530"/>
      <c r="BJ117" s="530"/>
      <c r="BK117" s="530"/>
      <c r="BL117" s="530"/>
      <c r="BM117" s="530"/>
      <c r="BN117" s="530"/>
      <c r="BO117" s="530"/>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row>
    <row r="118" customFormat="false" ht="14.4" hidden="false" customHeight="false" outlineLevel="0" collapsed="false">
      <c r="A118" s="522" t="s">
        <v>1066</v>
      </c>
      <c r="I118" s="401"/>
      <c r="J118" s="530"/>
      <c r="K118" s="694"/>
      <c r="L118" s="530"/>
      <c r="M118" s="530"/>
      <c r="N118" s="530"/>
      <c r="O118" s="530"/>
      <c r="P118" s="703" t="s">
        <v>411</v>
      </c>
      <c r="Q118" s="530"/>
      <c r="R118" s="530"/>
      <c r="S118" s="530"/>
      <c r="T118" s="530"/>
      <c r="V118" s="530"/>
      <c r="W118" s="530"/>
      <c r="Y118" s="530"/>
      <c r="Z118" s="530"/>
      <c r="AA118" s="530"/>
      <c r="AB118" s="530"/>
      <c r="AC118" s="530"/>
      <c r="AD118" s="530"/>
      <c r="AE118" s="530"/>
      <c r="AF118" s="530"/>
      <c r="AG118" s="530"/>
      <c r="AH118" s="530"/>
      <c r="AI118" s="530"/>
      <c r="AJ118" s="530"/>
      <c r="AK118" s="530"/>
      <c r="AL118" s="530"/>
      <c r="AM118" s="530"/>
      <c r="AN118" s="530"/>
      <c r="AO118" s="530"/>
      <c r="AP118" s="530"/>
      <c r="AQ118" s="530"/>
      <c r="AR118" s="530"/>
      <c r="AS118" s="530"/>
      <c r="AT118" s="530"/>
      <c r="AU118" s="530"/>
      <c r="AV118" s="530"/>
      <c r="AW118" s="530"/>
      <c r="AX118" s="530"/>
      <c r="AY118" s="530"/>
      <c r="AZ118" s="530"/>
      <c r="BA118" s="530"/>
      <c r="BB118" s="530"/>
      <c r="BC118" s="530"/>
      <c r="BD118" s="530"/>
      <c r="BE118" s="530"/>
      <c r="BF118" s="530"/>
      <c r="BG118" s="530"/>
      <c r="BH118" s="530"/>
      <c r="BI118" s="530"/>
      <c r="BJ118" s="530"/>
      <c r="BK118" s="530"/>
      <c r="BL118" s="530"/>
      <c r="BM118" s="530"/>
      <c r="BN118" s="530"/>
      <c r="BO118" s="530"/>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row>
    <row r="119" customFormat="false" ht="110.4" hidden="false" customHeight="false" outlineLevel="0" collapsed="false">
      <c r="A119" s="472"/>
      <c r="B119" s="704" t="s">
        <v>1067</v>
      </c>
      <c r="C119" s="705" t="s">
        <v>1068</v>
      </c>
      <c r="D119" s="705" t="s">
        <v>1069</v>
      </c>
      <c r="E119" s="705" t="s">
        <v>1070</v>
      </c>
      <c r="F119" s="705" t="s">
        <v>1071</v>
      </c>
      <c r="G119" s="705" t="s">
        <v>1072</v>
      </c>
      <c r="H119" s="705" t="s">
        <v>1073</v>
      </c>
      <c r="I119" s="705" t="s">
        <v>1074</v>
      </c>
      <c r="J119" s="705" t="s">
        <v>1075</v>
      </c>
      <c r="K119" s="705" t="s">
        <v>1076</v>
      </c>
      <c r="L119" s="705" t="s">
        <v>1077</v>
      </c>
      <c r="M119" s="705" t="s">
        <v>1078</v>
      </c>
      <c r="N119" s="705" t="s">
        <v>1079</v>
      </c>
      <c r="O119" s="706" t="s">
        <v>1080</v>
      </c>
      <c r="P119" s="25" t="s">
        <v>1081</v>
      </c>
      <c r="Q119" s="25" t="s">
        <v>1082</v>
      </c>
      <c r="R119" s="25"/>
      <c r="S119" s="23"/>
      <c r="T119" s="23"/>
      <c r="V119" s="23"/>
      <c r="W119" s="23"/>
      <c r="Y119" s="23"/>
      <c r="Z119" s="23"/>
      <c r="AA119" s="23"/>
      <c r="AB119" s="23"/>
      <c r="AC119" s="23"/>
      <c r="AD119" s="530"/>
      <c r="AE119" s="530"/>
      <c r="AF119" s="530"/>
      <c r="AG119" s="530"/>
      <c r="AH119" s="530"/>
      <c r="AI119" s="530"/>
      <c r="AJ119" s="530"/>
      <c r="AK119" s="530"/>
      <c r="AL119" s="530"/>
      <c r="AM119" s="530"/>
      <c r="AN119" s="530"/>
      <c r="AO119" s="530"/>
      <c r="AP119" s="530"/>
      <c r="AQ119" s="530"/>
      <c r="AR119" s="530"/>
      <c r="AS119" s="530"/>
      <c r="AT119" s="530"/>
      <c r="AU119" s="530"/>
      <c r="AV119" s="530"/>
      <c r="AW119" s="530"/>
      <c r="AX119" s="530"/>
      <c r="AY119" s="530"/>
      <c r="AZ119" s="530"/>
      <c r="BA119" s="530"/>
      <c r="BB119" s="530"/>
      <c r="BC119" s="530"/>
      <c r="BD119" s="530"/>
      <c r="BE119" s="530"/>
      <c r="BF119" s="530"/>
      <c r="BG119" s="530"/>
      <c r="BH119" s="530"/>
      <c r="BI119" s="530"/>
      <c r="BJ119" s="530"/>
      <c r="BK119" s="530"/>
      <c r="BL119" s="530"/>
      <c r="BM119" s="530"/>
      <c r="BN119" s="530"/>
      <c r="BO119" s="530"/>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row>
    <row r="120" customFormat="false" ht="14.4" hidden="false" customHeight="false" outlineLevel="0" collapsed="false">
      <c r="A120" s="162" t="s">
        <v>419</v>
      </c>
      <c r="B120" s="290" t="n">
        <v>0.0113</v>
      </c>
      <c r="C120" s="102" t="n">
        <v>0.0188</v>
      </c>
      <c r="D120" s="102"/>
      <c r="E120" s="102" t="n">
        <v>0.00705934469200524</v>
      </c>
      <c r="F120" s="102" t="n">
        <v>1.10694444444444</v>
      </c>
      <c r="G120" s="102"/>
      <c r="H120" s="102"/>
      <c r="I120" s="484"/>
      <c r="J120" s="481"/>
      <c r="K120" s="563"/>
      <c r="L120" s="481"/>
      <c r="M120" s="282" t="n">
        <v>20</v>
      </c>
      <c r="N120" s="297" t="n">
        <v>14</v>
      </c>
      <c r="O120" s="648" t="n">
        <f aca="false">1/((100-M120)/(100-N120))</f>
        <v>1.075</v>
      </c>
      <c r="P120" s="530" t="s">
        <v>1083</v>
      </c>
      <c r="Q120" s="530" t="s">
        <v>844</v>
      </c>
      <c r="R120" s="530"/>
      <c r="S120" s="530"/>
      <c r="T120" s="530"/>
      <c r="V120" s="530"/>
      <c r="W120" s="530"/>
      <c r="Y120" s="530"/>
      <c r="Z120" s="530"/>
      <c r="AA120" s="530"/>
      <c r="AB120" s="530"/>
      <c r="AC120" s="530"/>
      <c r="AD120" s="530"/>
      <c r="AE120" s="530"/>
      <c r="AF120" s="530"/>
      <c r="AG120" s="530"/>
      <c r="AH120" s="530"/>
      <c r="AI120" s="530"/>
      <c r="AJ120" s="530"/>
      <c r="AK120" s="530"/>
      <c r="AL120" s="530"/>
      <c r="AM120" s="530"/>
      <c r="AN120" s="530"/>
      <c r="AO120" s="530"/>
      <c r="AP120" s="530"/>
      <c r="AQ120" s="530"/>
      <c r="AR120" s="530"/>
      <c r="AS120" s="530"/>
      <c r="AT120" s="530"/>
      <c r="AU120" s="530"/>
      <c r="AV120" s="530"/>
      <c r="AW120" s="530"/>
      <c r="AX120" s="530"/>
      <c r="AY120" s="530"/>
      <c r="AZ120" s="530"/>
      <c r="BA120" s="530"/>
      <c r="BB120" s="530"/>
      <c r="BC120" s="530"/>
      <c r="BD120" s="530"/>
      <c r="BE120" s="530"/>
      <c r="BF120" s="530"/>
      <c r="BG120" s="530"/>
      <c r="BH120" s="530"/>
      <c r="BI120" s="530"/>
      <c r="BJ120" s="530"/>
      <c r="BK120" s="530"/>
      <c r="BL120" s="530"/>
      <c r="BM120" s="530"/>
      <c r="BN120" s="530"/>
      <c r="BO120" s="530"/>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row>
    <row r="121" customFormat="false" ht="14.4" hidden="false" customHeight="false" outlineLevel="0" collapsed="false">
      <c r="A121" s="162" t="s">
        <v>1084</v>
      </c>
      <c r="B121" s="290" t="n">
        <v>0.0113</v>
      </c>
      <c r="C121" s="102" t="n">
        <v>0.0188</v>
      </c>
      <c r="D121" s="102"/>
      <c r="E121" s="102"/>
      <c r="F121" s="102"/>
      <c r="G121" s="102"/>
      <c r="H121" s="102"/>
      <c r="I121" s="484"/>
      <c r="J121" s="481"/>
      <c r="K121" s="563"/>
      <c r="L121" s="481"/>
      <c r="M121" s="160" t="n">
        <v>21.5</v>
      </c>
      <c r="N121" s="297" t="n">
        <v>18</v>
      </c>
      <c r="O121" s="648" t="n">
        <f aca="false">1/((100-M121)/(100-N121))</f>
        <v>1.04458598726115</v>
      </c>
      <c r="P121" s="530" t="s">
        <v>1085</v>
      </c>
      <c r="Q121" s="563" t="s">
        <v>1006</v>
      </c>
      <c r="R121" s="530"/>
      <c r="S121" s="530"/>
      <c r="T121" s="530"/>
      <c r="V121" s="530"/>
      <c r="W121" s="530"/>
      <c r="Y121" s="530"/>
      <c r="Z121" s="530"/>
      <c r="AA121" s="530"/>
      <c r="AB121" s="530"/>
      <c r="AC121" s="530"/>
      <c r="AD121" s="530"/>
      <c r="AE121" s="530"/>
      <c r="AF121" s="530"/>
      <c r="AG121" s="530"/>
      <c r="AH121" s="530"/>
      <c r="AI121" s="530"/>
      <c r="AJ121" s="530"/>
      <c r="AK121" s="530"/>
      <c r="AL121" s="530"/>
      <c r="AM121" s="530"/>
      <c r="AN121" s="530"/>
      <c r="AO121" s="530"/>
      <c r="AP121" s="530"/>
      <c r="AQ121" s="530"/>
      <c r="AR121" s="530"/>
      <c r="AS121" s="530"/>
      <c r="AT121" s="530"/>
      <c r="AU121" s="530"/>
      <c r="AV121" s="530"/>
      <c r="AW121" s="530"/>
      <c r="AX121" s="530"/>
      <c r="AY121" s="530"/>
      <c r="AZ121" s="530"/>
      <c r="BA121" s="530"/>
      <c r="BB121" s="530"/>
      <c r="BC121" s="530"/>
      <c r="BD121" s="530"/>
      <c r="BE121" s="530"/>
      <c r="BF121" s="530"/>
      <c r="BG121" s="530"/>
      <c r="BH121" s="530"/>
      <c r="BI121" s="530"/>
      <c r="BJ121" s="530"/>
      <c r="BK121" s="530"/>
      <c r="BL121" s="530"/>
      <c r="BM121" s="530"/>
      <c r="BN121" s="530"/>
      <c r="BO121" s="530"/>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row>
    <row r="122" customFormat="false" ht="14.4" hidden="false" customHeight="true" outlineLevel="0" collapsed="false">
      <c r="A122" s="162" t="s">
        <v>59</v>
      </c>
      <c r="B122" s="290" t="n">
        <v>0.0161</v>
      </c>
      <c r="C122" s="102" t="n">
        <v>0.178</v>
      </c>
      <c r="D122" s="102"/>
      <c r="E122" s="102"/>
      <c r="F122" s="102" t="n">
        <v>0.0195</v>
      </c>
      <c r="G122" s="102"/>
      <c r="H122" s="102"/>
      <c r="I122" s="484"/>
      <c r="J122" s="481"/>
      <c r="K122" s="563"/>
      <c r="L122" s="481"/>
      <c r="M122" s="282" t="n">
        <v>25</v>
      </c>
      <c r="N122" s="282" t="n">
        <v>14</v>
      </c>
      <c r="O122" s="648" t="n">
        <f aca="false">1/((100-M122)/(100-N122))</f>
        <v>1.14666666666667</v>
      </c>
      <c r="P122" s="481" t="s">
        <v>1086</v>
      </c>
      <c r="Q122" s="481" t="s">
        <v>979</v>
      </c>
      <c r="R122" s="530"/>
      <c r="S122" s="530"/>
      <c r="T122" s="530"/>
      <c r="V122" s="530"/>
      <c r="W122" s="530"/>
      <c r="Y122" s="530"/>
      <c r="Z122" s="530"/>
      <c r="AA122" s="530"/>
      <c r="AB122" s="530"/>
      <c r="AC122" s="530"/>
      <c r="AD122" s="530"/>
      <c r="AE122" s="530"/>
      <c r="AF122" s="530"/>
      <c r="AG122" s="530"/>
      <c r="AH122" s="530"/>
      <c r="AI122" s="530"/>
      <c r="AJ122" s="530"/>
      <c r="AK122" s="530"/>
      <c r="AL122" s="530"/>
      <c r="AM122" s="530"/>
      <c r="AN122" s="530"/>
      <c r="AO122" s="530"/>
      <c r="AP122" s="530"/>
      <c r="AQ122" s="530"/>
      <c r="AR122" s="530"/>
      <c r="AS122" s="530"/>
      <c r="AT122" s="530"/>
      <c r="AU122" s="530"/>
      <c r="AV122" s="530"/>
      <c r="AW122" s="530"/>
      <c r="AX122" s="530"/>
      <c r="AY122" s="530"/>
      <c r="AZ122" s="530"/>
      <c r="BA122" s="530"/>
      <c r="BB122" s="530"/>
      <c r="BC122" s="530"/>
      <c r="BD122" s="530"/>
      <c r="BE122" s="530"/>
      <c r="BF122" s="530"/>
      <c r="BG122" s="530"/>
      <c r="BH122" s="530"/>
      <c r="BI122" s="530"/>
      <c r="BJ122" s="530"/>
      <c r="BK122" s="530"/>
      <c r="BL122" s="530"/>
      <c r="BM122" s="530"/>
      <c r="BN122" s="530"/>
      <c r="BO122" s="530"/>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row>
    <row r="123" customFormat="false" ht="14.4" hidden="false" customHeight="false" outlineLevel="0" collapsed="false">
      <c r="A123" s="162" t="s">
        <v>1087</v>
      </c>
      <c r="B123" s="290" t="n">
        <v>0.017</v>
      </c>
      <c r="C123" s="102" t="n">
        <v>0.0178</v>
      </c>
      <c r="D123" s="102"/>
      <c r="E123" s="102"/>
      <c r="F123" s="102"/>
      <c r="G123" s="102" t="n">
        <v>0.051</v>
      </c>
      <c r="H123" s="102" t="n">
        <v>0.204</v>
      </c>
      <c r="I123" s="484"/>
      <c r="J123" s="481"/>
      <c r="K123" s="563"/>
      <c r="L123" s="481"/>
      <c r="M123" s="282" t="n">
        <v>15</v>
      </c>
      <c r="N123" s="282" t="n">
        <v>9</v>
      </c>
      <c r="O123" s="648" t="n">
        <f aca="false">1/((100-M123)/(100-N123))</f>
        <v>1.07058823529412</v>
      </c>
      <c r="P123" s="530" t="s">
        <v>1088</v>
      </c>
      <c r="Q123" s="530" t="s">
        <v>844</v>
      </c>
      <c r="R123" s="530"/>
      <c r="S123" s="530"/>
      <c r="T123" s="530"/>
      <c r="V123" s="530"/>
      <c r="W123" s="530"/>
      <c r="Y123" s="530"/>
      <c r="Z123" s="530"/>
      <c r="AA123" s="530"/>
      <c r="AB123" s="530"/>
      <c r="AC123" s="530"/>
      <c r="AD123" s="530"/>
      <c r="AE123" s="530"/>
      <c r="AF123" s="530"/>
      <c r="AG123" s="530"/>
      <c r="AH123" s="530"/>
      <c r="AI123" s="530"/>
      <c r="AJ123" s="530"/>
      <c r="AK123" s="530"/>
      <c r="AL123" s="530"/>
      <c r="AM123" s="530"/>
      <c r="AN123" s="530"/>
      <c r="AO123" s="530"/>
      <c r="AP123" s="530"/>
      <c r="AQ123" s="530"/>
      <c r="AR123" s="530"/>
      <c r="AS123" s="530"/>
      <c r="AT123" s="530"/>
      <c r="AU123" s="530"/>
      <c r="AV123" s="530"/>
      <c r="AW123" s="530"/>
      <c r="AX123" s="530"/>
      <c r="AY123" s="530"/>
      <c r="AZ123" s="530"/>
      <c r="BA123" s="530"/>
      <c r="BB123" s="530"/>
      <c r="BC123" s="530"/>
      <c r="BD123" s="530"/>
      <c r="BE123" s="530"/>
      <c r="BF123" s="530"/>
      <c r="BG123" s="530"/>
      <c r="BH123" s="530"/>
      <c r="BI123" s="530"/>
      <c r="BJ123" s="530"/>
      <c r="BK123" s="530"/>
      <c r="BL123" s="530"/>
      <c r="BM123" s="530"/>
      <c r="BN123" s="530"/>
      <c r="BO123" s="530"/>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row>
    <row r="124" customFormat="false" ht="14.4" hidden="false" customHeight="false" outlineLevel="0" collapsed="false">
      <c r="A124" s="162" t="s">
        <v>91</v>
      </c>
      <c r="C124" s="102" t="n">
        <v>0.179</v>
      </c>
      <c r="D124" s="693" t="n">
        <v>1.288</v>
      </c>
      <c r="E124" s="102"/>
      <c r="F124" s="102"/>
      <c r="G124" s="102"/>
      <c r="H124" s="102"/>
      <c r="I124" s="484"/>
      <c r="J124" s="481"/>
      <c r="K124" s="563"/>
      <c r="L124" s="481"/>
      <c r="M124" s="282" t="n">
        <v>50</v>
      </c>
      <c r="N124" s="160" t="n">
        <f aca="false">AVERAGE(8,13)</f>
        <v>10.5</v>
      </c>
      <c r="O124" s="648" t="n">
        <f aca="false">1/((100-M124)/(100-N124))</f>
        <v>1.79</v>
      </c>
      <c r="P124" s="481" t="s">
        <v>1089</v>
      </c>
      <c r="Q124" s="530" t="s">
        <v>1090</v>
      </c>
      <c r="R124" s="530"/>
      <c r="S124" s="530"/>
      <c r="T124" s="530"/>
      <c r="V124" s="530"/>
      <c r="W124" s="530"/>
      <c r="Y124" s="530"/>
      <c r="Z124" s="530"/>
      <c r="AA124" s="530"/>
      <c r="AB124" s="530"/>
      <c r="AC124" s="530"/>
      <c r="AD124" s="530"/>
      <c r="AE124" s="530"/>
      <c r="AF124" s="530"/>
      <c r="AG124" s="530"/>
      <c r="AH124" s="530"/>
      <c r="AI124" s="530"/>
      <c r="AJ124" s="530"/>
      <c r="AK124" s="530"/>
      <c r="AL124" s="530"/>
      <c r="AM124" s="530"/>
      <c r="AN124" s="530"/>
      <c r="AO124" s="530"/>
      <c r="AP124" s="530"/>
      <c r="AQ124" s="530"/>
      <c r="AR124" s="530"/>
      <c r="AS124" s="530"/>
      <c r="AT124" s="530"/>
      <c r="AU124" s="530"/>
      <c r="AV124" s="530"/>
      <c r="AW124" s="530"/>
      <c r="AX124" s="530"/>
      <c r="AY124" s="530"/>
      <c r="AZ124" s="530"/>
      <c r="BA124" s="530"/>
      <c r="BB124" s="530"/>
      <c r="BC124" s="530"/>
      <c r="BD124" s="530"/>
      <c r="BE124" s="530"/>
      <c r="BF124" s="530"/>
      <c r="BG124" s="530"/>
      <c r="BH124" s="530"/>
      <c r="BI124" s="530"/>
      <c r="BJ124" s="530"/>
      <c r="BK124" s="530"/>
      <c r="BL124" s="530"/>
      <c r="BM124" s="530"/>
      <c r="BN124" s="530"/>
      <c r="BO124" s="530"/>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row>
    <row r="125" customFormat="false" ht="14.4" hidden="false" customHeight="false" outlineLevel="0" collapsed="false">
      <c r="A125" s="162" t="s">
        <v>1091</v>
      </c>
      <c r="B125" s="290"/>
      <c r="C125" s="102"/>
      <c r="D125" s="102"/>
      <c r="E125" s="102"/>
      <c r="F125" s="102"/>
      <c r="G125" s="102" t="n">
        <v>0.051</v>
      </c>
      <c r="H125" s="102" t="n">
        <v>0.204</v>
      </c>
      <c r="I125" s="484"/>
      <c r="J125" s="481"/>
      <c r="K125" s="563"/>
      <c r="L125" s="481"/>
      <c r="M125" s="282" t="n">
        <v>65</v>
      </c>
      <c r="N125" s="160" t="n">
        <v>30</v>
      </c>
      <c r="O125" s="648" t="n">
        <f aca="false">1/((100-M125)/(100-N125))</f>
        <v>2</v>
      </c>
      <c r="P125" s="530" t="s">
        <v>1092</v>
      </c>
      <c r="Q125" s="530" t="s">
        <v>1093</v>
      </c>
      <c r="R125" s="530"/>
      <c r="S125" s="530"/>
      <c r="T125" s="530"/>
      <c r="V125" s="530"/>
      <c r="W125" s="530"/>
      <c r="Y125" s="530"/>
      <c r="Z125" s="530"/>
      <c r="AA125" s="530"/>
      <c r="AB125" s="530"/>
      <c r="AC125" s="530"/>
      <c r="AD125" s="530"/>
      <c r="AE125" s="530"/>
      <c r="AF125" s="530"/>
      <c r="AG125" s="530"/>
      <c r="AH125" s="530"/>
      <c r="AI125" s="530"/>
      <c r="AJ125" s="530"/>
      <c r="AK125" s="530"/>
      <c r="AL125" s="530"/>
      <c r="AM125" s="530"/>
      <c r="AN125" s="530"/>
      <c r="AO125" s="530"/>
      <c r="AP125" s="530"/>
      <c r="AQ125" s="530"/>
      <c r="AR125" s="530"/>
      <c r="AS125" s="530"/>
      <c r="AT125" s="530"/>
      <c r="AU125" s="530"/>
      <c r="AV125" s="530"/>
      <c r="AW125" s="530"/>
      <c r="AX125" s="530"/>
      <c r="AY125" s="530"/>
      <c r="AZ125" s="530"/>
      <c r="BA125" s="530"/>
      <c r="BB125" s="530"/>
      <c r="BC125" s="530"/>
      <c r="BD125" s="530"/>
      <c r="BE125" s="530"/>
      <c r="BF125" s="530"/>
      <c r="BG125" s="530"/>
      <c r="BH125" s="530"/>
      <c r="BI125" s="530"/>
      <c r="BJ125" s="530"/>
      <c r="BK125" s="530"/>
      <c r="BL125" s="530"/>
      <c r="BM125" s="530"/>
      <c r="BN125" s="530"/>
      <c r="BO125" s="530"/>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row>
    <row r="126" customFormat="false" ht="14.4" hidden="false" customHeight="false" outlineLevel="0" collapsed="false">
      <c r="A126" s="282" t="s">
        <v>453</v>
      </c>
      <c r="B126" s="290"/>
      <c r="C126" s="102"/>
      <c r="D126" s="102"/>
      <c r="E126" s="102"/>
      <c r="F126" s="102"/>
      <c r="G126" s="102"/>
      <c r="H126" s="102"/>
      <c r="I126" s="439" t="n">
        <v>0.086</v>
      </c>
      <c r="J126" s="290" t="n">
        <v>0.1428</v>
      </c>
      <c r="K126" s="290" t="n">
        <v>0.0132</v>
      </c>
      <c r="L126" s="707" t="n">
        <v>0.0044</v>
      </c>
      <c r="M126" s="481"/>
      <c r="N126" s="282"/>
      <c r="O126" s="648" t="n">
        <v>6.5</v>
      </c>
      <c r="P126" s="530" t="s">
        <v>690</v>
      </c>
      <c r="Q126" s="530" t="s">
        <v>1094</v>
      </c>
      <c r="R126" s="530"/>
      <c r="S126" s="530"/>
      <c r="T126" s="530"/>
      <c r="V126" s="530"/>
      <c r="W126" s="530"/>
      <c r="Y126" s="530"/>
      <c r="Z126" s="530"/>
      <c r="AA126" s="530"/>
      <c r="AB126" s="530"/>
      <c r="AC126" s="530"/>
      <c r="AD126" s="530"/>
      <c r="AE126" s="530"/>
      <c r="AF126" s="530"/>
      <c r="AG126" s="530"/>
      <c r="AH126" s="530"/>
      <c r="AI126" s="530"/>
      <c r="AJ126" s="530"/>
      <c r="AK126" s="530"/>
      <c r="AL126" s="530"/>
      <c r="AM126" s="530"/>
      <c r="AN126" s="530"/>
      <c r="AO126" s="530"/>
      <c r="AP126" s="530"/>
      <c r="AQ126" s="530"/>
      <c r="AR126" s="530"/>
      <c r="AS126" s="530"/>
      <c r="AT126" s="530"/>
      <c r="AU126" s="530"/>
      <c r="AV126" s="530"/>
      <c r="AW126" s="530"/>
      <c r="AX126" s="530"/>
      <c r="AY126" s="530"/>
      <c r="AZ126" s="530"/>
      <c r="BA126" s="530"/>
      <c r="BB126" s="530"/>
      <c r="BC126" s="530"/>
      <c r="BD126" s="530"/>
      <c r="BE126" s="530"/>
      <c r="BF126" s="530"/>
      <c r="BG126" s="530"/>
      <c r="BH126" s="530"/>
      <c r="BI126" s="530"/>
      <c r="BJ126" s="530"/>
      <c r="BK126" s="530"/>
      <c r="BL126" s="530"/>
      <c r="BM126" s="530"/>
      <c r="BN126" s="530"/>
      <c r="BO126" s="530"/>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row>
    <row r="127" customFormat="false" ht="14.4" hidden="false" customHeight="false" outlineLevel="0" collapsed="false">
      <c r="A127" s="469" t="s">
        <v>1041</v>
      </c>
      <c r="B127" s="397"/>
      <c r="C127" s="228"/>
      <c r="D127" s="228"/>
      <c r="E127" s="228"/>
      <c r="F127" s="228"/>
      <c r="G127" s="228"/>
      <c r="H127" s="228"/>
      <c r="I127" s="435"/>
      <c r="J127" s="397"/>
      <c r="K127" s="397"/>
      <c r="L127" s="708"/>
      <c r="M127" s="709" t="n">
        <v>60</v>
      </c>
      <c r="N127" s="469" t="n">
        <v>7.5</v>
      </c>
      <c r="O127" s="710" t="n">
        <f aca="false">1/((100-M127)/(100-N127))</f>
        <v>2.3125</v>
      </c>
      <c r="P127" s="401"/>
      <c r="Q127" s="401" t="s">
        <v>1095</v>
      </c>
      <c r="R127" s="530"/>
      <c r="S127" s="530"/>
      <c r="T127" s="530"/>
      <c r="V127" s="530"/>
      <c r="W127" s="530"/>
      <c r="Y127" s="530"/>
      <c r="Z127" s="530"/>
      <c r="AA127" s="530"/>
      <c r="AB127" s="530"/>
      <c r="AC127" s="530"/>
      <c r="AD127" s="530"/>
      <c r="AE127" s="530"/>
      <c r="AF127" s="530"/>
      <c r="AG127" s="530"/>
      <c r="AH127" s="530"/>
      <c r="AI127" s="530"/>
      <c r="AJ127" s="530"/>
      <c r="AK127" s="530"/>
      <c r="AL127" s="530"/>
      <c r="AM127" s="530"/>
      <c r="AN127" s="530"/>
      <c r="AO127" s="530"/>
      <c r="AP127" s="530"/>
      <c r="AQ127" s="530"/>
      <c r="AR127" s="530"/>
      <c r="AS127" s="530"/>
      <c r="AT127" s="530"/>
      <c r="AU127" s="530"/>
      <c r="AV127" s="530"/>
      <c r="AW127" s="530"/>
      <c r="AX127" s="530"/>
      <c r="AY127" s="530"/>
      <c r="AZ127" s="530"/>
      <c r="BA127" s="530"/>
      <c r="BB127" s="530"/>
      <c r="BC127" s="530"/>
      <c r="BD127" s="530"/>
      <c r="BE127" s="530"/>
      <c r="BF127" s="530"/>
      <c r="BG127" s="530"/>
      <c r="BH127" s="530"/>
      <c r="BI127" s="530"/>
      <c r="BJ127" s="530"/>
      <c r="BK127" s="530"/>
      <c r="BL127" s="530"/>
      <c r="BM127" s="530"/>
      <c r="BN127" s="530"/>
      <c r="BO127" s="530"/>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row>
    <row r="128" customFormat="false" ht="14.4" hidden="false" customHeight="false" outlineLevel="0" collapsed="false">
      <c r="I128" s="401"/>
      <c r="J128" s="530"/>
      <c r="K128" s="694"/>
      <c r="L128" s="481"/>
      <c r="M128" s="530"/>
      <c r="N128" s="530"/>
      <c r="O128" s="530"/>
      <c r="P128" s="530"/>
      <c r="Q128" s="530"/>
      <c r="R128" s="530"/>
      <c r="S128" s="530"/>
      <c r="T128" s="530"/>
      <c r="U128" s="530"/>
      <c r="V128" s="530"/>
      <c r="W128" s="530"/>
      <c r="X128" s="530"/>
      <c r="Y128" s="530"/>
      <c r="Z128" s="530"/>
      <c r="AA128" s="530"/>
      <c r="AB128" s="530"/>
      <c r="AC128" s="530"/>
      <c r="AD128" s="530"/>
      <c r="AE128" s="530"/>
      <c r="AF128" s="530"/>
      <c r="AG128" s="530"/>
      <c r="AH128" s="530"/>
      <c r="AI128" s="530"/>
      <c r="AJ128" s="530"/>
      <c r="AK128" s="530"/>
      <c r="AL128" s="530"/>
      <c r="AM128" s="530"/>
      <c r="AN128" s="530"/>
      <c r="AO128" s="530"/>
      <c r="AP128" s="530"/>
      <c r="AQ128" s="530"/>
      <c r="AR128" s="530"/>
      <c r="AS128" s="530"/>
      <c r="AT128" s="530"/>
      <c r="AU128" s="530"/>
      <c r="AV128" s="530"/>
      <c r="AW128" s="530"/>
      <c r="AX128" s="530"/>
      <c r="AY128" s="530"/>
      <c r="AZ128" s="530"/>
      <c r="BA128" s="530"/>
      <c r="BB128" s="530"/>
      <c r="BC128" s="530"/>
      <c r="BD128" s="530"/>
      <c r="BE128" s="530"/>
      <c r="BF128" s="530"/>
      <c r="BG128" s="530"/>
      <c r="BH128" s="530"/>
      <c r="BI128" s="530"/>
      <c r="BJ128" s="530"/>
      <c r="BK128" s="530"/>
      <c r="BL128" s="530"/>
      <c r="BM128" s="530"/>
      <c r="BN128" s="530"/>
      <c r="BO128" s="530"/>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row>
    <row r="129" customFormat="false" ht="14.4" hidden="false" customHeight="false" outlineLevel="0" collapsed="false">
      <c r="A129" s="677" t="s">
        <v>1096</v>
      </c>
      <c r="B129" s="561" t="s">
        <v>1097</v>
      </c>
      <c r="C129" s="473" t="s">
        <v>1098</v>
      </c>
      <c r="D129" s="333" t="s">
        <v>411</v>
      </c>
      <c r="I129" s="401"/>
      <c r="J129" s="530"/>
      <c r="K129" s="694"/>
      <c r="L129" s="481"/>
      <c r="M129" s="530"/>
      <c r="N129" s="530"/>
      <c r="O129" s="530"/>
      <c r="P129" s="711"/>
      <c r="Q129" s="530"/>
      <c r="R129" s="530"/>
      <c r="S129" s="530"/>
      <c r="T129" s="530"/>
      <c r="U129" s="530"/>
      <c r="V129" s="530"/>
      <c r="W129" s="530"/>
      <c r="X129" s="530"/>
      <c r="Y129" s="530"/>
      <c r="Z129" s="530"/>
      <c r="AA129" s="530"/>
      <c r="AB129" s="530"/>
      <c r="AC129" s="530"/>
      <c r="AD129" s="530"/>
      <c r="AE129" s="530"/>
      <c r="AF129" s="530"/>
      <c r="AG129" s="530"/>
      <c r="AH129" s="530"/>
      <c r="AI129" s="530"/>
      <c r="AJ129" s="530"/>
      <c r="AK129" s="530"/>
      <c r="AL129" s="530"/>
      <c r="AM129" s="530"/>
      <c r="AN129" s="530"/>
      <c r="AO129" s="530"/>
      <c r="AP129" s="530"/>
      <c r="AQ129" s="530"/>
      <c r="AR129" s="530"/>
      <c r="AS129" s="530"/>
      <c r="AT129" s="530"/>
      <c r="AU129" s="530"/>
      <c r="AV129" s="530"/>
      <c r="AW129" s="530"/>
      <c r="AX129" s="530"/>
      <c r="AY129" s="530"/>
      <c r="AZ129" s="530"/>
      <c r="BA129" s="530"/>
      <c r="BB129" s="530"/>
      <c r="BC129" s="530"/>
      <c r="BD129" s="530"/>
      <c r="BE129" s="530"/>
      <c r="BF129" s="530"/>
      <c r="BG129" s="530"/>
      <c r="BH129" s="530"/>
      <c r="BI129" s="530"/>
      <c r="BJ129" s="530"/>
      <c r="BK129" s="530"/>
      <c r="BL129" s="530"/>
      <c r="BM129" s="530"/>
      <c r="BN129" s="530"/>
      <c r="BO129" s="530"/>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row>
    <row r="130" customFormat="false" ht="14.4" hidden="false" customHeight="false" outlineLevel="0" collapsed="false">
      <c r="A130" s="513" t="s">
        <v>1099</v>
      </c>
      <c r="B130" s="712" t="n">
        <f aca="false">1/0.4*0.914</f>
        <v>2.285</v>
      </c>
      <c r="C130" s="713" t="n">
        <f aca="false">1/0.2*0.914</f>
        <v>4.57</v>
      </c>
      <c r="D130" s="401" t="s">
        <v>1100</v>
      </c>
      <c r="I130" s="401"/>
      <c r="J130" s="530"/>
      <c r="K130" s="694"/>
      <c r="L130" s="481"/>
      <c r="M130" s="530"/>
      <c r="N130" s="530"/>
      <c r="O130" s="530"/>
      <c r="P130" s="530"/>
      <c r="Q130" s="530"/>
      <c r="R130" s="530"/>
      <c r="S130" s="530"/>
      <c r="T130" s="530"/>
      <c r="U130" s="530"/>
      <c r="V130" s="530"/>
      <c r="W130" s="530"/>
      <c r="X130" s="530"/>
      <c r="Y130" s="530"/>
      <c r="Z130" s="530"/>
      <c r="AA130" s="530"/>
      <c r="AB130" s="530"/>
      <c r="AC130" s="530"/>
      <c r="AD130" s="530"/>
      <c r="AE130" s="530"/>
      <c r="AF130" s="530"/>
      <c r="AG130" s="530"/>
      <c r="AH130" s="530"/>
      <c r="AI130" s="530"/>
      <c r="AJ130" s="530"/>
      <c r="AK130" s="530"/>
      <c r="AL130" s="530"/>
      <c r="AM130" s="530"/>
      <c r="AN130" s="530"/>
      <c r="AO130" s="530"/>
      <c r="AP130" s="530"/>
      <c r="AQ130" s="530"/>
      <c r="AR130" s="530"/>
      <c r="AS130" s="530"/>
      <c r="AT130" s="530"/>
      <c r="AU130" s="530"/>
      <c r="AV130" s="530"/>
      <c r="AW130" s="530"/>
      <c r="AX130" s="530"/>
      <c r="AY130" s="530"/>
      <c r="AZ130" s="530"/>
      <c r="BA130" s="530"/>
      <c r="BB130" s="530"/>
      <c r="BC130" s="530"/>
      <c r="BD130" s="530"/>
      <c r="BE130" s="530"/>
      <c r="BF130" s="530"/>
      <c r="BG130" s="530"/>
      <c r="BH130" s="530"/>
      <c r="BI130" s="530"/>
      <c r="BJ130" s="530"/>
      <c r="BK130" s="530"/>
      <c r="BL130" s="530"/>
      <c r="BM130" s="530"/>
      <c r="BN130" s="530"/>
      <c r="BO130" s="530"/>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row>
    <row r="131" customFormat="false" ht="14.4" hidden="false" customHeight="false" outlineLevel="0" collapsed="false">
      <c r="A131" s="395" t="s">
        <v>1101</v>
      </c>
      <c r="I131" s="401"/>
      <c r="J131" s="530"/>
      <c r="K131" s="694"/>
      <c r="L131" s="481"/>
      <c r="M131" s="530"/>
      <c r="N131" s="530"/>
      <c r="O131" s="530"/>
      <c r="P131" s="530"/>
      <c r="Q131" s="530"/>
      <c r="R131" s="530"/>
      <c r="S131" s="530"/>
      <c r="T131" s="530"/>
      <c r="U131" s="530"/>
      <c r="V131" s="530"/>
      <c r="W131" s="530"/>
      <c r="X131" s="530"/>
      <c r="Y131" s="530"/>
      <c r="Z131" s="530"/>
      <c r="AA131" s="530"/>
      <c r="AB131" s="530"/>
      <c r="AC131" s="530"/>
      <c r="AD131" s="530"/>
      <c r="AE131" s="530"/>
      <c r="AF131" s="530"/>
      <c r="AG131" s="530"/>
      <c r="AH131" s="530"/>
      <c r="AI131" s="530"/>
      <c r="AJ131" s="530"/>
      <c r="AK131" s="530"/>
      <c r="AL131" s="530"/>
      <c r="AM131" s="530"/>
      <c r="AN131" s="530"/>
      <c r="AO131" s="530"/>
      <c r="AP131" s="530"/>
      <c r="AQ131" s="530"/>
      <c r="AR131" s="530"/>
      <c r="AS131" s="530"/>
      <c r="AT131" s="530"/>
      <c r="AU131" s="530"/>
      <c r="AV131" s="530"/>
      <c r="AW131" s="530"/>
      <c r="AX131" s="530"/>
      <c r="AY131" s="530"/>
      <c r="AZ131" s="530"/>
      <c r="BA131" s="530"/>
      <c r="BB131" s="530"/>
      <c r="BC131" s="530"/>
      <c r="BD131" s="530"/>
      <c r="BE131" s="530"/>
      <c r="BF131" s="530"/>
      <c r="BG131" s="530"/>
      <c r="BH131" s="530"/>
      <c r="BI131" s="530"/>
      <c r="BJ131" s="530"/>
      <c r="BK131" s="530"/>
      <c r="BL131" s="530"/>
      <c r="BM131" s="530"/>
      <c r="BN131" s="530"/>
      <c r="BO131" s="530"/>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row>
    <row r="132" customFormat="false" ht="14.4" hidden="false" customHeight="false" outlineLevel="0" collapsed="false">
      <c r="I132" s="401"/>
      <c r="J132" s="530"/>
      <c r="K132" s="694"/>
      <c r="L132" s="481"/>
      <c r="M132" s="530"/>
      <c r="N132" s="530"/>
      <c r="O132" s="530"/>
      <c r="P132" s="530"/>
      <c r="Q132" s="530"/>
      <c r="R132" s="530"/>
      <c r="S132" s="530"/>
      <c r="T132" s="530"/>
      <c r="U132" s="530"/>
      <c r="V132" s="530"/>
      <c r="W132" s="530"/>
      <c r="X132" s="530"/>
      <c r="Y132" s="530"/>
      <c r="Z132" s="530"/>
      <c r="AA132" s="530"/>
      <c r="AB132" s="530"/>
      <c r="AC132" s="530"/>
      <c r="AD132" s="530"/>
      <c r="AE132" s="530"/>
      <c r="AF132" s="530"/>
      <c r="AG132" s="530"/>
      <c r="AH132" s="530"/>
      <c r="AI132" s="530"/>
      <c r="AJ132" s="530"/>
      <c r="AK132" s="530"/>
      <c r="AL132" s="530"/>
      <c r="AM132" s="530"/>
      <c r="AN132" s="530"/>
      <c r="AO132" s="530"/>
      <c r="AP132" s="530"/>
      <c r="AQ132" s="530"/>
      <c r="AR132" s="530"/>
      <c r="AS132" s="530"/>
      <c r="AT132" s="530"/>
      <c r="AU132" s="530"/>
      <c r="AV132" s="530"/>
      <c r="AW132" s="530"/>
      <c r="AX132" s="530"/>
      <c r="AY132" s="530"/>
      <c r="AZ132" s="530"/>
      <c r="BA132" s="530"/>
      <c r="BB132" s="530"/>
      <c r="BC132" s="530"/>
      <c r="BD132" s="530"/>
      <c r="BE132" s="530"/>
      <c r="BF132" s="530"/>
      <c r="BG132" s="530"/>
      <c r="BH132" s="530"/>
      <c r="BI132" s="530"/>
      <c r="BJ132" s="530"/>
      <c r="BK132" s="530"/>
      <c r="BL132" s="530"/>
      <c r="BM132" s="530"/>
      <c r="BN132" s="530"/>
      <c r="BO132" s="530"/>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row>
    <row r="133" customFormat="false" ht="14.4" hidden="false" customHeight="false" outlineLevel="0" collapsed="false">
      <c r="A133" s="714" t="s">
        <v>1102</v>
      </c>
      <c r="B133" s="561" t="s">
        <v>1041</v>
      </c>
      <c r="C133" s="706" t="s">
        <v>1103</v>
      </c>
      <c r="D133" s="333" t="s">
        <v>411</v>
      </c>
      <c r="I133" s="401"/>
      <c r="J133" s="530"/>
      <c r="K133" s="694"/>
      <c r="L133" s="481"/>
      <c r="M133" s="530"/>
      <c r="N133" s="530"/>
      <c r="O133" s="530"/>
      <c r="P133" s="530"/>
      <c r="Q133" s="530"/>
      <c r="R133" s="530"/>
      <c r="S133" s="530"/>
      <c r="T133" s="530"/>
      <c r="U133" s="530"/>
      <c r="V133" s="530"/>
      <c r="W133" s="530"/>
      <c r="X133" s="530"/>
      <c r="Y133" s="530"/>
      <c r="Z133" s="530"/>
      <c r="AA133" s="530"/>
      <c r="AB133" s="530"/>
      <c r="AC133" s="530"/>
      <c r="AD133" s="530"/>
      <c r="AE133" s="530"/>
      <c r="AF133" s="530"/>
      <c r="AG133" s="530"/>
      <c r="AH133" s="530"/>
      <c r="AI133" s="530"/>
      <c r="AJ133" s="530"/>
      <c r="AK133" s="530"/>
      <c r="AL133" s="530"/>
      <c r="AM133" s="530"/>
      <c r="AN133" s="530"/>
      <c r="AO133" s="530"/>
      <c r="AP133" s="530"/>
      <c r="AQ133" s="530"/>
      <c r="AR133" s="530"/>
      <c r="AS133" s="530"/>
      <c r="AT133" s="530"/>
      <c r="AU133" s="530"/>
      <c r="AV133" s="530"/>
      <c r="AW133" s="530"/>
      <c r="AX133" s="530"/>
      <c r="AY133" s="530"/>
      <c r="AZ133" s="530"/>
      <c r="BA133" s="530"/>
      <c r="BB133" s="530"/>
      <c r="BC133" s="530"/>
      <c r="BD133" s="530"/>
      <c r="BE133" s="530"/>
      <c r="BF133" s="530"/>
      <c r="BG133" s="530"/>
      <c r="BH133" s="530"/>
      <c r="BI133" s="530"/>
      <c r="BJ133" s="530"/>
      <c r="BK133" s="530"/>
      <c r="BL133" s="530"/>
      <c r="BM133" s="530"/>
      <c r="BN133" s="530"/>
      <c r="BO133" s="530"/>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row>
    <row r="134" customFormat="false" ht="14.4" hidden="false" customHeight="false" outlineLevel="0" collapsed="false">
      <c r="A134" s="513" t="s">
        <v>1104</v>
      </c>
      <c r="B134" s="469" t="n">
        <v>0.2</v>
      </c>
      <c r="C134" s="662" t="n">
        <v>0.1</v>
      </c>
      <c r="D134" s="395" t="s">
        <v>1105</v>
      </c>
      <c r="I134" s="401"/>
      <c r="J134" s="530"/>
      <c r="K134" s="694"/>
      <c r="L134" s="481"/>
      <c r="M134" s="530"/>
      <c r="N134" s="530"/>
      <c r="O134" s="530"/>
      <c r="P134" s="530"/>
      <c r="Q134" s="530"/>
      <c r="R134" s="530"/>
      <c r="S134" s="530"/>
      <c r="T134" s="530"/>
      <c r="U134" s="530"/>
      <c r="V134" s="530"/>
      <c r="W134" s="530"/>
      <c r="X134" s="530"/>
      <c r="Y134" s="530"/>
      <c r="Z134" s="530"/>
      <c r="AA134" s="530"/>
      <c r="AB134" s="530"/>
      <c r="AC134" s="530"/>
      <c r="AD134" s="530"/>
      <c r="AE134" s="530"/>
      <c r="AF134" s="530"/>
      <c r="AG134" s="530"/>
      <c r="AH134" s="530"/>
      <c r="AI134" s="530"/>
      <c r="AJ134" s="530"/>
      <c r="AK134" s="530"/>
      <c r="AL134" s="530"/>
      <c r="AM134" s="530"/>
      <c r="AN134" s="530"/>
      <c r="AO134" s="530"/>
      <c r="AP134" s="530"/>
      <c r="AQ134" s="530"/>
      <c r="AR134" s="530"/>
      <c r="AS134" s="530"/>
      <c r="AT134" s="530"/>
      <c r="AU134" s="530"/>
      <c r="AV134" s="530"/>
      <c r="AW134" s="530"/>
      <c r="AX134" s="530"/>
      <c r="AY134" s="530"/>
      <c r="AZ134" s="530"/>
      <c r="BA134" s="530"/>
      <c r="BB134" s="530"/>
      <c r="BC134" s="530"/>
      <c r="BD134" s="530"/>
      <c r="BE134" s="530"/>
      <c r="BF134" s="530"/>
      <c r="BG134" s="530"/>
      <c r="BH134" s="530"/>
      <c r="BI134" s="530"/>
      <c r="BJ134" s="530"/>
      <c r="BK134" s="530"/>
      <c r="BL134" s="530"/>
      <c r="BM134" s="530"/>
      <c r="BN134" s="530"/>
      <c r="BO134" s="530"/>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row>
    <row r="135" customFormat="false" ht="14.4" hidden="false" customHeight="false" outlineLevel="0" collapsed="false">
      <c r="A135" s="282" t="s">
        <v>1106</v>
      </c>
      <c r="C135" s="23"/>
      <c r="D135" s="395"/>
      <c r="I135" s="401"/>
      <c r="J135" s="530"/>
      <c r="K135" s="715"/>
      <c r="L135" s="481"/>
      <c r="M135" s="530"/>
      <c r="N135" s="530"/>
      <c r="O135" s="530"/>
      <c r="P135" s="530"/>
      <c r="Q135" s="530"/>
      <c r="R135" s="530"/>
      <c r="S135" s="530"/>
      <c r="T135" s="530"/>
      <c r="U135" s="530"/>
      <c r="V135" s="530"/>
      <c r="W135" s="530"/>
      <c r="X135" s="530"/>
      <c r="Y135" s="530"/>
      <c r="Z135" s="530"/>
      <c r="AA135" s="530"/>
      <c r="AB135" s="530"/>
      <c r="AC135" s="530"/>
      <c r="AD135" s="530"/>
      <c r="AE135" s="530"/>
      <c r="AF135" s="530"/>
      <c r="AG135" s="530"/>
      <c r="AH135" s="530"/>
      <c r="AI135" s="530"/>
      <c r="AJ135" s="530"/>
      <c r="AK135" s="530"/>
      <c r="AL135" s="530"/>
      <c r="AM135" s="530"/>
      <c r="AN135" s="530"/>
      <c r="AO135" s="530"/>
      <c r="AP135" s="530"/>
      <c r="AQ135" s="530"/>
      <c r="AR135" s="530"/>
      <c r="AS135" s="530"/>
      <c r="AT135" s="530"/>
      <c r="AU135" s="530"/>
      <c r="AV135" s="530"/>
      <c r="AW135" s="530"/>
      <c r="AX135" s="530"/>
      <c r="AY135" s="530"/>
      <c r="AZ135" s="530"/>
      <c r="BA135" s="530"/>
      <c r="BB135" s="530"/>
      <c r="BC135" s="530"/>
      <c r="BD135" s="530"/>
      <c r="BE135" s="530"/>
      <c r="BF135" s="530"/>
      <c r="BG135" s="530"/>
      <c r="BH135" s="530"/>
      <c r="BI135" s="530"/>
      <c r="BJ135" s="530"/>
      <c r="BK135" s="530"/>
      <c r="BL135" s="530"/>
      <c r="BM135" s="530"/>
      <c r="BN135" s="530"/>
      <c r="BO135" s="530"/>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row>
    <row r="136" customFormat="false" ht="14.4" hidden="false" customHeight="false" outlineLevel="0" collapsed="false">
      <c r="I136" s="401"/>
      <c r="J136" s="530"/>
      <c r="K136" s="694"/>
      <c r="L136" s="530"/>
      <c r="M136" s="530"/>
      <c r="N136" s="530"/>
      <c r="O136" s="530"/>
      <c r="P136" s="530"/>
      <c r="Q136" s="530"/>
      <c r="R136" s="530"/>
      <c r="S136" s="530"/>
      <c r="T136" s="530"/>
      <c r="U136" s="530"/>
      <c r="V136" s="530"/>
      <c r="W136" s="530"/>
      <c r="X136" s="530"/>
      <c r="Y136" s="530"/>
      <c r="Z136" s="530"/>
      <c r="AA136" s="530"/>
      <c r="AB136" s="530"/>
      <c r="AC136" s="530"/>
      <c r="AD136" s="530"/>
      <c r="AE136" s="530"/>
      <c r="AF136" s="530"/>
      <c r="AG136" s="530"/>
      <c r="AH136" s="530"/>
      <c r="AI136" s="530"/>
      <c r="AJ136" s="530"/>
      <c r="AK136" s="530"/>
      <c r="AL136" s="530"/>
      <c r="AM136" s="530"/>
      <c r="AN136" s="530"/>
      <c r="AO136" s="530"/>
      <c r="AP136" s="530"/>
      <c r="AQ136" s="530"/>
      <c r="AR136" s="530"/>
      <c r="AS136" s="530"/>
      <c r="AT136" s="530"/>
      <c r="AU136" s="530"/>
      <c r="AV136" s="530"/>
      <c r="AW136" s="530"/>
      <c r="AX136" s="530"/>
      <c r="AY136" s="530"/>
      <c r="AZ136" s="530"/>
      <c r="BA136" s="530"/>
      <c r="BB136" s="530"/>
      <c r="BC136" s="530"/>
      <c r="BD136" s="530"/>
      <c r="BE136" s="530"/>
      <c r="BF136" s="530"/>
      <c r="BG136" s="530"/>
      <c r="BH136" s="530"/>
      <c r="BI136" s="530"/>
      <c r="BJ136" s="530"/>
      <c r="BK136" s="530"/>
      <c r="BL136" s="530"/>
      <c r="BM136" s="530"/>
      <c r="BN136" s="530"/>
      <c r="BO136" s="530"/>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row>
    <row r="137" customFormat="false" ht="14.4" hidden="false" customHeight="false" outlineLevel="0" collapsed="false">
      <c r="A137" s="519" t="s">
        <v>1107</v>
      </c>
      <c r="I137" s="401"/>
      <c r="J137" s="530"/>
      <c r="K137" s="694"/>
      <c r="L137" s="530"/>
      <c r="M137" s="25"/>
      <c r="N137" s="530"/>
      <c r="O137" s="530"/>
      <c r="P137" s="703" t="s">
        <v>411</v>
      </c>
      <c r="Q137" s="530"/>
      <c r="R137" s="530"/>
      <c r="S137" s="530"/>
      <c r="T137" s="530"/>
      <c r="U137" s="530"/>
      <c r="V137" s="530"/>
      <c r="W137" s="530"/>
      <c r="X137" s="530"/>
      <c r="Y137" s="530"/>
      <c r="Z137" s="530"/>
      <c r="AA137" s="530"/>
      <c r="AB137" s="530"/>
      <c r="AC137" s="530"/>
      <c r="AD137" s="530"/>
      <c r="AE137" s="530"/>
      <c r="AF137" s="530"/>
      <c r="AG137" s="530"/>
      <c r="AH137" s="530"/>
      <c r="AI137" s="530"/>
      <c r="AJ137" s="530"/>
      <c r="AK137" s="530"/>
      <c r="AL137" s="530"/>
      <c r="AM137" s="530"/>
      <c r="AN137" s="530"/>
      <c r="AO137" s="530"/>
      <c r="AP137" s="530"/>
      <c r="AQ137" s="530"/>
      <c r="AR137" s="530"/>
      <c r="AS137" s="530"/>
      <c r="AT137" s="530"/>
      <c r="AU137" s="530"/>
      <c r="AV137" s="530"/>
      <c r="AW137" s="530"/>
      <c r="AX137" s="530"/>
      <c r="AY137" s="530"/>
      <c r="AZ137" s="530"/>
      <c r="BA137" s="530"/>
      <c r="BB137" s="530"/>
      <c r="BC137" s="530"/>
      <c r="BD137" s="530"/>
      <c r="BE137" s="530"/>
      <c r="BF137" s="530"/>
      <c r="BG137" s="530"/>
      <c r="BH137" s="530"/>
      <c r="BI137" s="530"/>
      <c r="BJ137" s="530"/>
      <c r="BK137" s="530"/>
      <c r="BL137" s="530"/>
      <c r="BM137" s="530"/>
      <c r="BN137" s="530"/>
      <c r="BO137" s="530"/>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row>
    <row r="138" customFormat="false" ht="82.8" hidden="false" customHeight="false" outlineLevel="0" collapsed="false">
      <c r="A138" s="472"/>
      <c r="B138" s="476" t="s">
        <v>965</v>
      </c>
      <c r="C138" s="476" t="s">
        <v>1108</v>
      </c>
      <c r="D138" s="476" t="s">
        <v>1109</v>
      </c>
      <c r="E138" s="476" t="s">
        <v>1110</v>
      </c>
      <c r="F138" s="476" t="s">
        <v>1111</v>
      </c>
      <c r="G138" s="476" t="s">
        <v>1112</v>
      </c>
      <c r="H138" s="476" t="s">
        <v>1113</v>
      </c>
      <c r="I138" s="476" t="s">
        <v>1114</v>
      </c>
      <c r="J138" s="476" t="s">
        <v>1115</v>
      </c>
      <c r="K138" s="476" t="s">
        <v>1116</v>
      </c>
      <c r="L138" s="476" t="s">
        <v>1117</v>
      </c>
      <c r="M138" s="476" t="s">
        <v>1118</v>
      </c>
      <c r="N138" s="476" t="s">
        <v>1119</v>
      </c>
      <c r="O138" s="476" t="s">
        <v>1120</v>
      </c>
      <c r="P138" s="465" t="s">
        <v>1121</v>
      </c>
      <c r="Q138" s="25" t="s">
        <v>1117</v>
      </c>
      <c r="R138" s="716"/>
      <c r="S138" s="716"/>
      <c r="T138" s="673"/>
      <c r="U138" s="530"/>
      <c r="V138" s="530"/>
      <c r="W138" s="530"/>
      <c r="X138" s="530"/>
      <c r="Y138" s="530"/>
      <c r="Z138" s="530"/>
      <c r="AA138" s="530"/>
      <c r="AB138" s="530"/>
      <c r="AC138" s="530"/>
      <c r="AD138" s="530"/>
      <c r="AE138" s="530"/>
      <c r="AF138" s="530"/>
      <c r="AG138" s="530"/>
      <c r="AH138" s="530"/>
      <c r="AI138" s="530"/>
      <c r="AJ138" s="530"/>
      <c r="AK138" s="530"/>
      <c r="AL138" s="530"/>
      <c r="AM138" s="530"/>
      <c r="AN138" s="530"/>
      <c r="AO138" s="530"/>
      <c r="AP138" s="530"/>
      <c r="AQ138" s="530"/>
      <c r="AR138" s="530"/>
      <c r="AS138" s="530"/>
      <c r="AT138" s="530"/>
      <c r="AU138" s="530"/>
      <c r="AV138" s="530"/>
      <c r="AW138" s="530"/>
      <c r="AX138" s="530"/>
      <c r="AY138" s="530"/>
      <c r="AZ138" s="530"/>
      <c r="BA138" s="530"/>
      <c r="BB138" s="530"/>
      <c r="BC138" s="530"/>
      <c r="BD138" s="530"/>
      <c r="BE138" s="530"/>
      <c r="BF138" s="530"/>
      <c r="BG138" s="530"/>
      <c r="BH138" s="530"/>
      <c r="BI138" s="530"/>
      <c r="BJ138" s="530"/>
      <c r="BK138" s="530"/>
      <c r="BL138" s="530"/>
      <c r="BM138" s="530"/>
      <c r="BN138" s="530"/>
      <c r="BO138" s="530"/>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row>
    <row r="139" customFormat="false" ht="14.4" hidden="false" customHeight="false" outlineLevel="0" collapsed="false">
      <c r="A139" s="499" t="s">
        <v>27</v>
      </c>
      <c r="B139" s="23" t="s">
        <v>137</v>
      </c>
      <c r="C139" s="717" t="n">
        <f aca="false">10.944*1000*1000</f>
        <v>10944000</v>
      </c>
      <c r="D139" s="718" t="n">
        <v>0.49</v>
      </c>
      <c r="E139" s="718" t="n">
        <v>0.015</v>
      </c>
      <c r="F139" s="718" t="n">
        <v>0.05</v>
      </c>
      <c r="G139" s="718" t="n">
        <v>0.18</v>
      </c>
      <c r="H139" s="718" t="n">
        <v>0.03</v>
      </c>
      <c r="I139" s="718" t="n">
        <v>0.19</v>
      </c>
      <c r="J139" s="719" t="n">
        <v>0.08</v>
      </c>
      <c r="K139" s="283" t="n">
        <v>0.01</v>
      </c>
      <c r="L139" s="719" t="n">
        <v>0.51</v>
      </c>
      <c r="M139" s="618" t="n">
        <f aca="false">C139*(D139*'Common input data'!E49+E139*'Common input data'!F49+F139*'Common input data'!G49+G139*'Common input data'!I49+H139*'Common input data'!B63/3.6+I139*'Common input data'!C49+J139*'Common input data'!B49+K139*'Common input data'!D49)</f>
        <v>275730.0672</v>
      </c>
      <c r="N139" s="618" t="n">
        <f aca="false">C139*(D139*'Common input data'!E50+E139*'Common input data'!F50+F139*'Common input data'!G50+G139*'Common input data'!I50+I139*'Common input data'!C50+J139*'Common input data'!B50+K139*'Common input data'!D50)</f>
        <v>649.792704</v>
      </c>
      <c r="O139" s="720" t="n">
        <f aca="false">C139*(D139*'Common input data'!E51+E139*'Common input data'!F51+F139*'Common input data'!G51+G139*'Common input data'!I51+I139*'Common input data'!C51+J139*'Common input data'!B51+K139*'Common input data'!D51)</f>
        <v>14.029565952</v>
      </c>
      <c r="P139" s="401" t="s">
        <v>1122</v>
      </c>
      <c r="Q139" s="401" t="s">
        <v>1123</v>
      </c>
      <c r="R139" s="721"/>
      <c r="S139" s="673"/>
      <c r="T139" s="673"/>
      <c r="U139" s="530"/>
      <c r="V139" s="530"/>
      <c r="W139" s="530"/>
      <c r="X139" s="530"/>
      <c r="Y139" s="530"/>
      <c r="Z139" s="530"/>
      <c r="AA139" s="530"/>
      <c r="AB139" s="530"/>
      <c r="AC139" s="530"/>
      <c r="AD139" s="530"/>
      <c r="AE139" s="530"/>
      <c r="AF139" s="530"/>
      <c r="AG139" s="530"/>
      <c r="AH139" s="530"/>
      <c r="AI139" s="530"/>
      <c r="AJ139" s="530"/>
      <c r="AK139" s="530"/>
      <c r="AL139" s="530"/>
      <c r="AM139" s="530"/>
      <c r="AN139" s="530"/>
      <c r="AO139" s="530"/>
      <c r="AP139" s="530"/>
      <c r="AQ139" s="530"/>
      <c r="AR139" s="530"/>
      <c r="AS139" s="530"/>
      <c r="AT139" s="530"/>
      <c r="AU139" s="530"/>
      <c r="AV139" s="530"/>
      <c r="AW139" s="530"/>
      <c r="AX139" s="530"/>
      <c r="AY139" s="530"/>
      <c r="AZ139" s="530"/>
      <c r="BA139" s="530"/>
      <c r="BB139" s="530"/>
      <c r="BC139" s="530"/>
      <c r="BD139" s="530"/>
      <c r="BE139" s="530"/>
      <c r="BF139" s="530"/>
      <c r="BG139" s="530"/>
      <c r="BH139" s="530"/>
      <c r="BI139" s="530"/>
      <c r="BJ139" s="530"/>
      <c r="BK139" s="530"/>
      <c r="BL139" s="530"/>
      <c r="BM139" s="530"/>
      <c r="BN139" s="530"/>
      <c r="BO139" s="530"/>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row>
    <row r="140" customFormat="false" ht="14.4" hidden="false" customHeight="false" outlineLevel="0" collapsed="false">
      <c r="A140" s="499" t="s">
        <v>27</v>
      </c>
      <c r="B140" s="23" t="s">
        <v>187</v>
      </c>
      <c r="C140" s="717" t="n">
        <f aca="false">11.4*1000*1000</f>
        <v>11400000</v>
      </c>
      <c r="D140" s="718"/>
      <c r="E140" s="718"/>
      <c r="F140" s="718" t="n">
        <v>0.03</v>
      </c>
      <c r="G140" s="718"/>
      <c r="H140" s="718"/>
      <c r="I140" s="718" t="n">
        <v>0.97</v>
      </c>
      <c r="J140" s="719"/>
      <c r="K140" s="283"/>
      <c r="L140" s="719" t="n">
        <v>1</v>
      </c>
      <c r="M140" s="618" t="n">
        <f aca="false">C140*(D140*'Common input data'!E49+E140*'Common input data'!F49+F140*'Common input data'!G49+G140*'Common input data'!I49+H140*'Common input data'!C63/3.6+I140*'Common input data'!C49+J140*'Common input data'!B49+K140*'Common input data'!D49)</f>
        <v>686510.85</v>
      </c>
      <c r="N140" s="618" t="n">
        <f aca="false">C140*(D140*'Common input data'!E50+E140*'Common input data'!F50+F140*'Common input data'!G50+G140*'Common input data'!I50+I140*'Common input data'!C50+J140*'Common input data'!B50+K140*'Common input data'!D50)</f>
        <v>3099.7227</v>
      </c>
      <c r="O140" s="720" t="n">
        <f aca="false">C140*(D140*'Common input data'!E51+E140*'Common input data'!F51+F140*'Common input data'!G51+G140*'Common input data'!I51+I140*'Common input data'!C51+J140*'Common input data'!B51+K140*'Common input data'!D51)</f>
        <v>23.56551</v>
      </c>
      <c r="P140" s="530" t="s">
        <v>1124</v>
      </c>
      <c r="Q140" s="530" t="s">
        <v>1125</v>
      </c>
      <c r="R140" s="722"/>
      <c r="S140" s="673"/>
      <c r="T140" s="673"/>
      <c r="U140" s="530"/>
      <c r="V140" s="530"/>
      <c r="W140" s="530"/>
      <c r="X140" s="530"/>
      <c r="Y140" s="530"/>
      <c r="Z140" s="530"/>
      <c r="AA140" s="530"/>
      <c r="AB140" s="530"/>
      <c r="AC140" s="530"/>
      <c r="AD140" s="530"/>
      <c r="AE140" s="530"/>
      <c r="AF140" s="530"/>
      <c r="AG140" s="530"/>
      <c r="AH140" s="530"/>
      <c r="AI140" s="530"/>
      <c r="AJ140" s="530"/>
      <c r="AK140" s="530"/>
      <c r="AL140" s="530"/>
      <c r="AM140" s="530"/>
      <c r="AN140" s="530"/>
      <c r="AO140" s="530"/>
      <c r="AP140" s="530"/>
      <c r="AQ140" s="530"/>
      <c r="AR140" s="530"/>
      <c r="AS140" s="530"/>
      <c r="AT140" s="530"/>
      <c r="AU140" s="530"/>
      <c r="AV140" s="530"/>
      <c r="AW140" s="530"/>
      <c r="AX140" s="530"/>
      <c r="AY140" s="530"/>
      <c r="AZ140" s="530"/>
      <c r="BA140" s="530"/>
      <c r="BB140" s="530"/>
      <c r="BC140" s="530"/>
      <c r="BD140" s="530"/>
      <c r="BE140" s="530"/>
      <c r="BF140" s="530"/>
      <c r="BG140" s="530"/>
      <c r="BH140" s="530"/>
      <c r="BI140" s="530"/>
      <c r="BJ140" s="530"/>
      <c r="BK140" s="530"/>
      <c r="BL140" s="530"/>
      <c r="BM140" s="530"/>
      <c r="BN140" s="530"/>
      <c r="BO140" s="530"/>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row>
    <row r="141" customFormat="false" ht="14.4" hidden="false" customHeight="false" outlineLevel="0" collapsed="false">
      <c r="A141" s="499" t="s">
        <v>34</v>
      </c>
      <c r="B141" s="23" t="s">
        <v>137</v>
      </c>
      <c r="C141" s="717" t="n">
        <f aca="false">7.272*1000*1000</f>
        <v>7272000</v>
      </c>
      <c r="D141" s="718" t="n">
        <v>0.49</v>
      </c>
      <c r="E141" s="718" t="n">
        <v>0.025</v>
      </c>
      <c r="F141" s="718" t="n">
        <v>0.025</v>
      </c>
      <c r="G141" s="718" t="n">
        <v>0.04</v>
      </c>
      <c r="H141" s="718" t="n">
        <v>0.055</v>
      </c>
      <c r="I141" s="718" t="n">
        <v>0.265</v>
      </c>
      <c r="J141" s="719" t="n">
        <v>0.08</v>
      </c>
      <c r="K141" s="283" t="n">
        <v>0.025</v>
      </c>
      <c r="L141" s="719" t="n">
        <v>0.51</v>
      </c>
      <c r="M141" s="618" t="n">
        <f aca="false">C141*(D141*'Common input data'!E49+E141*'Common input data'!F49+F141*'Common input data'!G49+G141*'Common input data'!I49+H141*'Common input data'!B63/3.6+I141*'Common input data'!C49+J141*'Common input data'!B49+K141*'Common input data'!D49)</f>
        <v>204396.3866</v>
      </c>
      <c r="N141" s="618" t="n">
        <f aca="false">C141*(D141*'Common input data'!E50+E141*'Common input data'!F50+F141*'Common input data'!G50+G141*'Common input data'!I50+I141*'Common input data'!C50+J141*'Common input data'!B50+K141*'Common input data'!D50)</f>
        <v>600.810822</v>
      </c>
      <c r="O141" s="720" t="n">
        <f aca="false">C141*(D141*'Common input data'!E51+E141*'Common input data'!F51+F141*'Common input data'!G51+G141*'Common input data'!I51+I141*'Common input data'!C51+J141*'Common input data'!B51+K141*'Common input data'!D51)</f>
        <v>10.354295376</v>
      </c>
      <c r="P141" s="401" t="s">
        <v>1122</v>
      </c>
      <c r="Q141" s="401" t="s">
        <v>1123</v>
      </c>
      <c r="R141" s="716"/>
      <c r="S141" s="530"/>
      <c r="T141" s="530"/>
      <c r="U141" s="530"/>
      <c r="V141" s="530"/>
      <c r="W141" s="530"/>
      <c r="X141" s="530"/>
      <c r="Y141" s="530"/>
      <c r="Z141" s="530"/>
      <c r="AA141" s="530"/>
      <c r="AB141" s="530"/>
      <c r="AC141" s="530"/>
      <c r="AD141" s="530"/>
      <c r="AE141" s="530"/>
      <c r="AF141" s="530"/>
      <c r="AG141" s="530"/>
      <c r="AH141" s="530"/>
      <c r="AI141" s="530"/>
      <c r="AJ141" s="530"/>
      <c r="AK141" s="530"/>
      <c r="AL141" s="530"/>
      <c r="AM141" s="530"/>
      <c r="AN141" s="530"/>
      <c r="AO141" s="530"/>
      <c r="AP141" s="530"/>
      <c r="AQ141" s="530"/>
      <c r="AR141" s="530"/>
      <c r="AS141" s="530"/>
      <c r="AT141" s="530"/>
      <c r="AU141" s="530"/>
      <c r="AV141" s="530"/>
      <c r="AW141" s="530"/>
      <c r="AX141" s="530"/>
      <c r="AY141" s="530"/>
      <c r="AZ141" s="530"/>
      <c r="BA141" s="530"/>
      <c r="BB141" s="530"/>
      <c r="BC141" s="530"/>
      <c r="BD141" s="530"/>
      <c r="BE141" s="530"/>
      <c r="BF141" s="530"/>
      <c r="BG141" s="530"/>
      <c r="BH141" s="530"/>
      <c r="BI141" s="530"/>
      <c r="BJ141" s="530"/>
      <c r="BK141" s="530"/>
      <c r="BL141" s="530"/>
      <c r="BM141" s="530"/>
      <c r="BN141" s="530"/>
      <c r="BO141" s="530"/>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row>
    <row r="142" customFormat="false" ht="14.4" hidden="false" customHeight="false" outlineLevel="0" collapsed="false">
      <c r="A142" s="499" t="s">
        <v>34</v>
      </c>
      <c r="B142" s="23" t="s">
        <v>187</v>
      </c>
      <c r="C142" s="717" t="n">
        <f aca="false">11.4*1000*1000</f>
        <v>11400000</v>
      </c>
      <c r="D142" s="718"/>
      <c r="E142" s="718"/>
      <c r="F142" s="718" t="n">
        <v>0.03</v>
      </c>
      <c r="G142" s="718"/>
      <c r="H142" s="718"/>
      <c r="I142" s="718" t="n">
        <v>0.97</v>
      </c>
      <c r="J142" s="719"/>
      <c r="K142" s="283"/>
      <c r="L142" s="719" t="n">
        <v>1</v>
      </c>
      <c r="M142" s="618" t="n">
        <f aca="false">C142*(D142*'Common input data'!E49+E142*'Common input data'!F49+F142*'Common input data'!G49+G142*'Common input data'!I49+H142*'Common input data'!C63/3.6+I142*'Common input data'!C49+J142*'Common input data'!B49+K142*'Common input data'!D49)</f>
        <v>686510.85</v>
      </c>
      <c r="N142" s="618" t="n">
        <f aca="false">C142*(D142*'Common input data'!E50+E142*'Common input data'!F50+F142*'Common input data'!G50+G142*'Common input data'!I50+I142*'Common input data'!C50+J142*'Common input data'!B50+K142*'Common input data'!D50)</f>
        <v>3099.7227</v>
      </c>
      <c r="O142" s="720" t="n">
        <f aca="false">C142*(D142*'Common input data'!E51+E142*'Common input data'!F51+F142*'Common input data'!G51+G142*'Common input data'!I51+I142*'Common input data'!C51+J142*'Common input data'!B51+K142*'Common input data'!D51)</f>
        <v>23.56551</v>
      </c>
      <c r="P142" s="530" t="s">
        <v>1124</v>
      </c>
      <c r="Q142" s="530" t="s">
        <v>1125</v>
      </c>
      <c r="R142" s="722"/>
      <c r="S142" s="673"/>
      <c r="T142" s="389"/>
      <c r="U142" s="389"/>
      <c r="V142" s="530"/>
      <c r="W142" s="530"/>
      <c r="X142" s="530"/>
      <c r="Y142" s="530"/>
      <c r="Z142" s="530"/>
      <c r="AA142" s="530"/>
      <c r="AB142" s="530"/>
      <c r="AC142" s="530"/>
      <c r="AD142" s="530"/>
      <c r="AE142" s="530"/>
      <c r="AF142" s="530"/>
      <c r="AG142" s="530"/>
      <c r="AH142" s="530"/>
      <c r="AI142" s="530"/>
      <c r="AJ142" s="530"/>
      <c r="AK142" s="530"/>
      <c r="AL142" s="530"/>
      <c r="AM142" s="530"/>
      <c r="AN142" s="530"/>
      <c r="AO142" s="530"/>
      <c r="AP142" s="530"/>
      <c r="AQ142" s="530"/>
      <c r="AR142" s="530"/>
      <c r="AS142" s="530"/>
      <c r="AT142" s="530"/>
      <c r="AU142" s="530"/>
      <c r="AV142" s="530"/>
      <c r="AW142" s="530"/>
      <c r="AX142" s="530"/>
      <c r="AY142" s="530"/>
      <c r="AZ142" s="530"/>
      <c r="BA142" s="530"/>
      <c r="BB142" s="530"/>
      <c r="BC142" s="530"/>
      <c r="BD142" s="530"/>
      <c r="BE142" s="530"/>
      <c r="BF142" s="530"/>
      <c r="BG142" s="530"/>
      <c r="BH142" s="530"/>
      <c r="BI142" s="530"/>
      <c r="BJ142" s="530"/>
      <c r="BK142" s="530"/>
      <c r="BL142" s="530"/>
      <c r="BM142" s="530"/>
      <c r="BN142" s="530"/>
      <c r="BO142" s="530"/>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row>
    <row r="143" customFormat="false" ht="14.4" hidden="false" customHeight="false" outlineLevel="0" collapsed="false">
      <c r="A143" s="499" t="s">
        <v>41</v>
      </c>
      <c r="B143" s="23" t="s">
        <v>187</v>
      </c>
      <c r="C143" s="717" t="n">
        <f aca="false">11.4*1000*1000</f>
        <v>11400000</v>
      </c>
      <c r="D143" s="718"/>
      <c r="E143" s="718"/>
      <c r="F143" s="718" t="n">
        <v>0.03</v>
      </c>
      <c r="G143" s="718"/>
      <c r="H143" s="718"/>
      <c r="I143" s="718" t="n">
        <v>0.97</v>
      </c>
      <c r="J143" s="719"/>
      <c r="K143" s="283"/>
      <c r="L143" s="719" t="n">
        <v>1</v>
      </c>
      <c r="M143" s="618" t="n">
        <f aca="false">C143*(D143*'Common input data'!E49+E143*'Common input data'!F49+F143*'Common input data'!G49+G143*'Common input data'!I49+H143*'Common input data'!C63/3.6+I143*'Common input data'!C49+J143*'Common input data'!B49+K143*'Common input data'!D49)</f>
        <v>686510.85</v>
      </c>
      <c r="N143" s="618" t="n">
        <f aca="false">C143*(D143*'Common input data'!E50+E143*'Common input data'!F50+F143*'Common input data'!G50+G143*'Common input data'!I50+I143*'Common input data'!C50+J143*'Common input data'!B50+K143*'Common input data'!D50)</f>
        <v>3099.7227</v>
      </c>
      <c r="O143" s="720" t="n">
        <f aca="false">C143*(D143*'Common input data'!E51+E143*'Common input data'!F51+F143*'Common input data'!G51+G143*'Common input data'!I51+I143*'Common input data'!C51+J143*'Common input data'!B51+K143*'Common input data'!D51)</f>
        <v>23.56551</v>
      </c>
      <c r="P143" s="530" t="s">
        <v>1124</v>
      </c>
      <c r="Q143" s="530" t="s">
        <v>1125</v>
      </c>
      <c r="R143" s="530"/>
      <c r="S143" s="530"/>
      <c r="T143" s="530"/>
      <c r="U143" s="530"/>
      <c r="V143" s="530"/>
      <c r="W143" s="530"/>
      <c r="X143" s="530"/>
      <c r="Y143" s="530"/>
      <c r="Z143" s="530"/>
      <c r="AA143" s="530"/>
      <c r="AB143" s="530"/>
      <c r="AC143" s="530"/>
      <c r="AD143" s="530"/>
      <c r="AE143" s="530"/>
      <c r="AF143" s="530"/>
      <c r="AG143" s="530"/>
      <c r="AH143" s="530"/>
      <c r="AI143" s="530"/>
      <c r="AJ143" s="530"/>
      <c r="AK143" s="530"/>
      <c r="AL143" s="530"/>
      <c r="AM143" s="530"/>
      <c r="AN143" s="530"/>
      <c r="AO143" s="530"/>
      <c r="AP143" s="530"/>
      <c r="AQ143" s="530"/>
      <c r="AR143" s="530"/>
      <c r="AS143" s="530"/>
      <c r="AT143" s="530"/>
      <c r="AU143" s="530"/>
      <c r="AV143" s="530"/>
      <c r="AW143" s="530"/>
      <c r="AX143" s="530"/>
      <c r="AY143" s="530"/>
      <c r="AZ143" s="530"/>
      <c r="BA143" s="530"/>
      <c r="BB143" s="530"/>
      <c r="BC143" s="530"/>
      <c r="BD143" s="530"/>
      <c r="BE143" s="530"/>
      <c r="BF143" s="530"/>
      <c r="BG143" s="530"/>
      <c r="BH143" s="530"/>
      <c r="BI143" s="530"/>
      <c r="BJ143" s="530"/>
      <c r="BK143" s="530"/>
      <c r="BL143" s="530"/>
      <c r="BM143" s="530"/>
      <c r="BN143" s="530"/>
      <c r="BO143" s="530"/>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row>
    <row r="144" customFormat="false" ht="14.4" hidden="false" customHeight="false" outlineLevel="0" collapsed="false">
      <c r="A144" s="499" t="s">
        <v>1126</v>
      </c>
      <c r="B144" s="23" t="s">
        <v>137</v>
      </c>
      <c r="C144" s="717" t="n">
        <f aca="false">6.714*1000*1000</f>
        <v>6714000</v>
      </c>
      <c r="D144" s="718" t="n">
        <v>0.34</v>
      </c>
      <c r="E144" s="718" t="n">
        <v>0.065</v>
      </c>
      <c r="F144" s="718" t="n">
        <v>0.02</v>
      </c>
      <c r="G144" s="718" t="n">
        <v>0.07</v>
      </c>
      <c r="H144" s="718" t="n">
        <v>0.15</v>
      </c>
      <c r="I144" s="718" t="n">
        <v>0.145</v>
      </c>
      <c r="J144" s="719" t="n">
        <v>0.19</v>
      </c>
      <c r="K144" s="283" t="n">
        <v>0.02</v>
      </c>
      <c r="L144" s="719" t="n">
        <v>0.51</v>
      </c>
      <c r="M144" s="618" t="n">
        <f aca="false">C144*(D144*'Common input data'!E49+E144*'Common input data'!F49+F144*'Common input data'!G49+G144*'Common input data'!I49+H144*'Common input data'!B63/3.6+I144*'Common input data'!C49+J144*'Common input data'!B49+K144*'Common input data'!D49)</f>
        <v>217195.1771</v>
      </c>
      <c r="N144" s="618" t="n">
        <f aca="false">C144*(D144*'Common input data'!E50+E144*'Common input data'!F50+F144*'Common input data'!G50+G144*'Common input data'!I50+I144*'Common input data'!C50+J144*'Common input data'!B50+K144*'Common input data'!D50)</f>
        <v>347.985501</v>
      </c>
      <c r="O144" s="720" t="n">
        <f aca="false">C144*(D144*'Common input data'!E51+E144*'Common input data'!F51+F144*'Common input data'!G51+G144*'Common input data'!I51+I144*'Common input data'!C51+J144*'Common input data'!B51+K144*'Common input data'!D51)</f>
        <v>11.281717716</v>
      </c>
      <c r="P144" s="401" t="s">
        <v>1122</v>
      </c>
      <c r="Q144" s="401" t="s">
        <v>1123</v>
      </c>
      <c r="R144" s="716"/>
      <c r="S144" s="716"/>
      <c r="T144" s="530"/>
      <c r="U144" s="530"/>
      <c r="V144" s="530"/>
      <c r="W144" s="530"/>
      <c r="X144" s="530"/>
      <c r="Y144" s="530"/>
      <c r="Z144" s="530"/>
      <c r="AA144" s="530"/>
      <c r="AB144" s="530"/>
      <c r="AC144" s="530"/>
      <c r="AD144" s="530"/>
      <c r="AE144" s="530"/>
      <c r="AF144" s="530"/>
      <c r="AG144" s="530"/>
      <c r="AH144" s="530"/>
      <c r="AI144" s="530"/>
      <c r="AJ144" s="530"/>
      <c r="AK144" s="530"/>
      <c r="AL144" s="530"/>
      <c r="AM144" s="530"/>
      <c r="AN144" s="530"/>
      <c r="AO144" s="530"/>
      <c r="AP144" s="530"/>
      <c r="AQ144" s="530"/>
      <c r="AR144" s="530"/>
      <c r="AS144" s="530"/>
      <c r="AT144" s="530"/>
      <c r="AU144" s="530"/>
      <c r="AV144" s="530"/>
      <c r="AW144" s="530"/>
      <c r="AX144" s="530"/>
      <c r="AY144" s="530"/>
      <c r="AZ144" s="530"/>
      <c r="BA144" s="530"/>
      <c r="BB144" s="530"/>
      <c r="BC144" s="530"/>
      <c r="BD144" s="530"/>
      <c r="BE144" s="530"/>
      <c r="BF144" s="530"/>
      <c r="BG144" s="530"/>
      <c r="BH144" s="530"/>
      <c r="BI144" s="530"/>
      <c r="BJ144" s="530"/>
      <c r="BK144" s="530"/>
      <c r="BL144" s="530"/>
      <c r="BM144" s="530"/>
      <c r="BN144" s="530"/>
      <c r="BO144" s="530"/>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row>
    <row r="145" customFormat="false" ht="14.4" hidden="false" customHeight="false" outlineLevel="0" collapsed="false">
      <c r="A145" s="504" t="s">
        <v>79</v>
      </c>
      <c r="B145" s="504" t="s">
        <v>141</v>
      </c>
      <c r="C145" s="723" t="n">
        <v>4059400</v>
      </c>
      <c r="D145" s="724"/>
      <c r="E145" s="724"/>
      <c r="F145" s="724" t="n">
        <v>0.03</v>
      </c>
      <c r="G145" s="724"/>
      <c r="H145" s="724"/>
      <c r="I145" s="724" t="n">
        <v>0.97</v>
      </c>
      <c r="J145" s="725"/>
      <c r="K145" s="661"/>
      <c r="L145" s="725" t="n">
        <v>1</v>
      </c>
      <c r="M145" s="726" t="n">
        <f aca="false">C145*(D145*'Common input data'!E49+E145*'Common input data'!F49+F145*'Common input data'!G49+G145*'Common input data'!I49+H145*'Common input data'!C63/3.6+I145*'Common input data'!C49+J145*'Common input data'!B49+K145*'Common input data'!D49)</f>
        <v>244458.08285</v>
      </c>
      <c r="N145" s="726" t="n">
        <f aca="false">C145*(D145*'Common input data'!E50+E145*'Common input data'!F50+F145*'Common input data'!G50+G145*'Common input data'!I50+I145*'Common input data'!C50+J145*'Common input data'!B50+K145*'Common input data'!D50)</f>
        <v>1103.7731867</v>
      </c>
      <c r="O145" s="727" t="n">
        <f aca="false">C145*(D145*'Common input data'!E51+E145*'Common input data'!F51+F145*'Common input data'!G51+G145*'Common input data'!I51+I145*'Common input data'!C51+J145*'Common input data'!B51+K145*'Common input data'!D51)</f>
        <v>8.39138871</v>
      </c>
      <c r="P145" s="530" t="s">
        <v>1127</v>
      </c>
      <c r="Q145" s="530" t="s">
        <v>1125</v>
      </c>
      <c r="R145" s="716"/>
      <c r="S145" s="716"/>
      <c r="T145" s="530"/>
      <c r="U145" s="530"/>
      <c r="V145" s="530"/>
      <c r="W145" s="530"/>
      <c r="X145" s="530"/>
      <c r="Y145" s="530"/>
      <c r="Z145" s="530"/>
      <c r="AA145" s="530"/>
      <c r="AB145" s="530"/>
      <c r="AC145" s="530"/>
      <c r="AD145" s="530"/>
      <c r="AE145" s="530"/>
      <c r="AF145" s="530"/>
      <c r="AG145" s="530"/>
      <c r="AH145" s="530"/>
      <c r="AI145" s="530"/>
      <c r="AJ145" s="530"/>
      <c r="AK145" s="530"/>
      <c r="AL145" s="530"/>
      <c r="AM145" s="530"/>
      <c r="AN145" s="530"/>
      <c r="AO145" s="530"/>
      <c r="AP145" s="530"/>
      <c r="AQ145" s="530"/>
      <c r="AR145" s="530"/>
      <c r="AS145" s="530"/>
      <c r="AT145" s="530"/>
      <c r="AU145" s="530"/>
      <c r="AV145" s="530"/>
      <c r="AW145" s="530"/>
      <c r="AX145" s="530"/>
      <c r="AY145" s="530"/>
      <c r="AZ145" s="530"/>
      <c r="BA145" s="530"/>
      <c r="BB145" s="530"/>
      <c r="BC145" s="530"/>
      <c r="BD145" s="530"/>
      <c r="BE145" s="530"/>
      <c r="BF145" s="530"/>
      <c r="BG145" s="530"/>
      <c r="BH145" s="530"/>
      <c r="BI145" s="530"/>
      <c r="BJ145" s="530"/>
      <c r="BK145" s="530"/>
      <c r="BL145" s="530"/>
      <c r="BM145" s="530"/>
      <c r="BN145" s="530"/>
      <c r="BO145" s="530"/>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row>
    <row r="146" customFormat="false" ht="14.4" hidden="false" customHeight="false" outlineLevel="0" collapsed="false">
      <c r="A146" s="395" t="s">
        <v>1128</v>
      </c>
      <c r="B146" s="23"/>
      <c r="C146" s="481"/>
      <c r="D146" s="718"/>
      <c r="E146" s="718"/>
      <c r="F146" s="718"/>
      <c r="G146" s="718"/>
      <c r="H146" s="718"/>
      <c r="I146" s="718"/>
      <c r="J146" s="719"/>
      <c r="K146" s="283"/>
      <c r="L146" s="719"/>
      <c r="M146" s="618"/>
      <c r="N146" s="618"/>
      <c r="O146" s="618"/>
      <c r="P146" s="530"/>
      <c r="Q146" s="530"/>
      <c r="R146" s="716"/>
      <c r="S146" s="716"/>
      <c r="T146" s="530"/>
      <c r="U146" s="530"/>
      <c r="V146" s="530"/>
      <c r="W146" s="530"/>
      <c r="X146" s="530"/>
      <c r="Y146" s="530"/>
      <c r="Z146" s="530"/>
      <c r="AA146" s="530"/>
      <c r="AB146" s="530"/>
      <c r="AC146" s="530"/>
      <c r="AD146" s="530"/>
      <c r="AE146" s="530"/>
      <c r="AF146" s="530"/>
      <c r="AG146" s="530"/>
      <c r="AH146" s="530"/>
      <c r="AI146" s="530"/>
      <c r="AJ146" s="530"/>
      <c r="AK146" s="530"/>
      <c r="AL146" s="530"/>
      <c r="AM146" s="530"/>
      <c r="AN146" s="530"/>
      <c r="AO146" s="530"/>
      <c r="AP146" s="530"/>
      <c r="AQ146" s="530"/>
      <c r="AR146" s="530"/>
      <c r="AS146" s="530"/>
      <c r="AT146" s="530"/>
      <c r="AU146" s="530"/>
      <c r="AV146" s="530"/>
      <c r="AW146" s="530"/>
      <c r="AX146" s="530"/>
      <c r="AY146" s="530"/>
      <c r="AZ146" s="530"/>
      <c r="BA146" s="530"/>
      <c r="BB146" s="530"/>
      <c r="BC146" s="530"/>
      <c r="BD146" s="530"/>
      <c r="BE146" s="530"/>
      <c r="BF146" s="530"/>
      <c r="BG146" s="530"/>
      <c r="BH146" s="530"/>
      <c r="BI146" s="530"/>
      <c r="BJ146" s="530"/>
      <c r="BK146" s="530"/>
      <c r="BL146" s="530"/>
      <c r="BM146" s="530"/>
      <c r="BN146" s="530"/>
      <c r="BO146" s="530"/>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row>
    <row r="147" customFormat="false" ht="14.4" hidden="false" customHeight="false" outlineLevel="0" collapsed="false">
      <c r="A147" s="395" t="s">
        <v>1129</v>
      </c>
      <c r="B147" s="23"/>
      <c r="C147" s="481"/>
      <c r="D147" s="718"/>
      <c r="E147" s="718"/>
      <c r="F147" s="718"/>
      <c r="G147" s="718"/>
      <c r="H147" s="718"/>
      <c r="I147" s="718"/>
      <c r="J147" s="719"/>
      <c r="K147" s="283"/>
      <c r="L147" s="719"/>
      <c r="M147" s="618"/>
      <c r="N147" s="618"/>
      <c r="O147" s="618"/>
      <c r="P147" s="530"/>
      <c r="Q147" s="530"/>
      <c r="R147" s="716"/>
      <c r="S147" s="716"/>
      <c r="T147" s="530"/>
      <c r="U147" s="530"/>
      <c r="V147" s="530"/>
      <c r="W147" s="530"/>
      <c r="X147" s="530"/>
      <c r="Y147" s="530"/>
      <c r="Z147" s="530"/>
      <c r="AA147" s="530"/>
      <c r="AB147" s="530"/>
      <c r="AC147" s="530"/>
      <c r="AD147" s="530"/>
      <c r="AE147" s="530"/>
      <c r="AF147" s="530"/>
      <c r="AG147" s="530"/>
      <c r="AH147" s="530"/>
      <c r="AI147" s="530"/>
      <c r="AJ147" s="530"/>
      <c r="AK147" s="530"/>
      <c r="AL147" s="530"/>
      <c r="AM147" s="530"/>
      <c r="AN147" s="530"/>
      <c r="AO147" s="530"/>
      <c r="AP147" s="530"/>
      <c r="AQ147" s="530"/>
      <c r="AR147" s="530"/>
      <c r="AS147" s="530"/>
      <c r="AT147" s="530"/>
      <c r="AU147" s="530"/>
      <c r="AV147" s="530"/>
      <c r="AW147" s="530"/>
      <c r="AX147" s="530"/>
      <c r="AY147" s="530"/>
      <c r="AZ147" s="530"/>
      <c r="BA147" s="530"/>
      <c r="BB147" s="530"/>
      <c r="BC147" s="530"/>
      <c r="BD147" s="530"/>
      <c r="BE147" s="530"/>
      <c r="BF147" s="530"/>
      <c r="BG147" s="530"/>
      <c r="BH147" s="530"/>
      <c r="BI147" s="530"/>
      <c r="BJ147" s="530"/>
      <c r="BK147" s="530"/>
      <c r="BL147" s="530"/>
      <c r="BM147" s="530"/>
      <c r="BN147" s="530"/>
      <c r="BO147" s="530"/>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row>
    <row r="148" customFormat="false" ht="14.4" hidden="false" customHeight="false" outlineLevel="0" collapsed="false">
      <c r="A148" s="395" t="s">
        <v>1130</v>
      </c>
      <c r="H148" s="401"/>
      <c r="I148" s="401"/>
      <c r="J148" s="530"/>
      <c r="K148" s="694"/>
      <c r="L148" s="530"/>
      <c r="M148" s="530"/>
      <c r="N148" s="530"/>
      <c r="O148" s="530"/>
      <c r="P148" s="530"/>
      <c r="Q148" s="530"/>
      <c r="R148" s="673"/>
      <c r="S148" s="722"/>
      <c r="T148" s="530"/>
      <c r="U148" s="530"/>
      <c r="V148" s="530"/>
      <c r="W148" s="530"/>
      <c r="X148" s="530"/>
      <c r="Y148" s="530"/>
      <c r="Z148" s="530"/>
      <c r="AA148" s="530"/>
      <c r="AB148" s="530"/>
      <c r="AC148" s="530"/>
      <c r="AD148" s="530"/>
      <c r="AE148" s="530"/>
      <c r="AF148" s="530"/>
      <c r="AG148" s="530"/>
      <c r="AH148" s="530"/>
      <c r="AI148" s="530"/>
      <c r="AJ148" s="530"/>
      <c r="AK148" s="530"/>
      <c r="AL148" s="530"/>
      <c r="AM148" s="530"/>
      <c r="AN148" s="530"/>
      <c r="AO148" s="530"/>
      <c r="AP148" s="530"/>
      <c r="AQ148" s="530"/>
      <c r="AR148" s="530"/>
      <c r="AS148" s="530"/>
      <c r="AT148" s="530"/>
      <c r="AU148" s="530"/>
      <c r="AV148" s="530"/>
      <c r="AW148" s="530"/>
      <c r="AX148" s="530"/>
      <c r="AY148" s="530"/>
      <c r="AZ148" s="530"/>
      <c r="BA148" s="530"/>
      <c r="BB148" s="530"/>
      <c r="BC148" s="530"/>
      <c r="BD148" s="530"/>
      <c r="BE148" s="530"/>
      <c r="BF148" s="530"/>
      <c r="BG148" s="530"/>
      <c r="BH148" s="530"/>
      <c r="BI148" s="530"/>
      <c r="BJ148" s="530"/>
      <c r="BK148" s="530"/>
      <c r="BL148" s="530"/>
      <c r="BM148" s="530"/>
      <c r="BN148" s="530"/>
      <c r="BO148" s="530"/>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row>
    <row r="149" customFormat="false" ht="14.4" hidden="false" customHeight="false" outlineLevel="0" collapsed="false">
      <c r="A149" s="395"/>
      <c r="H149" s="401"/>
      <c r="I149" s="401"/>
      <c r="J149" s="530"/>
      <c r="K149" s="694"/>
      <c r="L149" s="530"/>
      <c r="M149" s="530"/>
      <c r="N149" s="530"/>
      <c r="O149" s="530"/>
      <c r="P149" s="530"/>
      <c r="Q149" s="530"/>
      <c r="R149" s="673"/>
      <c r="S149" s="722"/>
      <c r="T149" s="530"/>
      <c r="U149" s="530"/>
      <c r="V149" s="530"/>
      <c r="W149" s="530"/>
      <c r="X149" s="530"/>
      <c r="Y149" s="530"/>
      <c r="Z149" s="530"/>
      <c r="AA149" s="530"/>
      <c r="AB149" s="530"/>
      <c r="AC149" s="530"/>
      <c r="AD149" s="530"/>
      <c r="AE149" s="530"/>
      <c r="AF149" s="530"/>
      <c r="AG149" s="530"/>
      <c r="AH149" s="530"/>
      <c r="AI149" s="530"/>
      <c r="AJ149" s="530"/>
      <c r="AK149" s="530"/>
      <c r="AL149" s="530"/>
      <c r="AM149" s="530"/>
      <c r="AN149" s="530"/>
      <c r="AO149" s="530"/>
      <c r="AP149" s="530"/>
      <c r="AQ149" s="530"/>
      <c r="AR149" s="530"/>
      <c r="AS149" s="530"/>
      <c r="AT149" s="530"/>
      <c r="AU149" s="530"/>
      <c r="AV149" s="530"/>
      <c r="AW149" s="530"/>
      <c r="AX149" s="530"/>
      <c r="AY149" s="530"/>
      <c r="AZ149" s="530"/>
      <c r="BA149" s="530"/>
      <c r="BB149" s="530"/>
      <c r="BC149" s="530"/>
      <c r="BD149" s="530"/>
      <c r="BE149" s="530"/>
      <c r="BF149" s="530"/>
      <c r="BG149" s="530"/>
      <c r="BH149" s="530"/>
      <c r="BI149" s="530"/>
      <c r="BJ149" s="530"/>
      <c r="BK149" s="530"/>
      <c r="BL149" s="530"/>
      <c r="BM149" s="530"/>
      <c r="BN149" s="530"/>
      <c r="BO149" s="530"/>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row>
    <row r="150" customFormat="false" ht="14.4" hidden="false" customHeight="false" outlineLevel="0" collapsed="false">
      <c r="A150" s="728" t="s">
        <v>1131</v>
      </c>
      <c r="B150" s="401"/>
      <c r="C150" s="401"/>
      <c r="D150" s="401"/>
      <c r="E150" s="401"/>
      <c r="G150" s="290"/>
      <c r="I150" s="282"/>
      <c r="J150" s="530"/>
      <c r="K150" s="694"/>
      <c r="L150" s="530"/>
      <c r="M150" s="530"/>
      <c r="N150" s="530"/>
      <c r="O150" s="530"/>
      <c r="P150" s="530"/>
      <c r="Q150" s="530"/>
      <c r="R150" s="673"/>
      <c r="S150" s="722"/>
      <c r="T150" s="530"/>
      <c r="U150" s="530"/>
      <c r="V150" s="530"/>
      <c r="W150" s="530"/>
      <c r="X150" s="530"/>
      <c r="Y150" s="530"/>
      <c r="Z150" s="530"/>
      <c r="AA150" s="530"/>
      <c r="AB150" s="530"/>
      <c r="AC150" s="530"/>
      <c r="AD150" s="530"/>
      <c r="AE150" s="530"/>
      <c r="AF150" s="530"/>
      <c r="AG150" s="530"/>
      <c r="AH150" s="530"/>
      <c r="AI150" s="530"/>
      <c r="AJ150" s="530"/>
      <c r="AK150" s="530"/>
      <c r="AL150" s="530"/>
      <c r="AM150" s="530"/>
      <c r="AN150" s="530"/>
      <c r="AO150" s="530"/>
      <c r="AP150" s="530"/>
      <c r="AQ150" s="530"/>
      <c r="AR150" s="530"/>
      <c r="AS150" s="530"/>
      <c r="AT150" s="530"/>
      <c r="AU150" s="530"/>
      <c r="AV150" s="530"/>
      <c r="AW150" s="530"/>
      <c r="AX150" s="530"/>
      <c r="AY150" s="530"/>
      <c r="AZ150" s="530"/>
      <c r="BA150" s="530"/>
      <c r="BB150" s="530"/>
      <c r="BC150" s="530"/>
      <c r="BD150" s="530"/>
      <c r="BE150" s="530"/>
      <c r="BF150" s="530"/>
      <c r="BG150" s="530"/>
      <c r="BH150" s="530"/>
      <c r="BI150" s="530"/>
      <c r="BJ150" s="530"/>
      <c r="BK150" s="530"/>
      <c r="BL150" s="530"/>
      <c r="BM150" s="530"/>
      <c r="BN150" s="530"/>
      <c r="BO150" s="530"/>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row>
    <row r="151" customFormat="false" ht="27.6" hidden="false" customHeight="false" outlineLevel="0" collapsed="false">
      <c r="A151" s="729"/>
      <c r="B151" s="374" t="s">
        <v>59</v>
      </c>
      <c r="C151" s="374" t="s">
        <v>91</v>
      </c>
      <c r="D151" s="463" t="s">
        <v>1041</v>
      </c>
      <c r="E151" s="463" t="s">
        <v>67</v>
      </c>
      <c r="F151" s="374" t="s">
        <v>1132</v>
      </c>
      <c r="G151" s="375" t="s">
        <v>1133</v>
      </c>
      <c r="H151" s="333" t="s">
        <v>411</v>
      </c>
      <c r="I151" s="282"/>
      <c r="J151" s="530"/>
      <c r="K151" s="694"/>
      <c r="L151" s="530"/>
      <c r="M151" s="530"/>
      <c r="N151" s="530"/>
      <c r="O151" s="530"/>
      <c r="P151" s="530"/>
      <c r="Q151" s="530"/>
      <c r="R151" s="673"/>
      <c r="S151" s="530"/>
      <c r="T151" s="530"/>
      <c r="U151" s="530"/>
      <c r="V151" s="530"/>
      <c r="W151" s="530"/>
      <c r="X151" s="530"/>
      <c r="Y151" s="530"/>
      <c r="Z151" s="530"/>
      <c r="AA151" s="530"/>
      <c r="AB151" s="530"/>
      <c r="AC151" s="530"/>
      <c r="AD151" s="530"/>
      <c r="AE151" s="530"/>
      <c r="AF151" s="530"/>
      <c r="AG151" s="530"/>
      <c r="AH151" s="530"/>
      <c r="AI151" s="530"/>
      <c r="AJ151" s="530"/>
      <c r="AK151" s="530"/>
      <c r="AL151" s="530"/>
      <c r="AM151" s="530"/>
      <c r="AN151" s="530"/>
      <c r="AO151" s="530"/>
      <c r="AP151" s="530"/>
      <c r="AQ151" s="530"/>
      <c r="AR151" s="530"/>
      <c r="AS151" s="530"/>
      <c r="AT151" s="530"/>
      <c r="AU151" s="530"/>
      <c r="AV151" s="530"/>
      <c r="AW151" s="530"/>
      <c r="AX151" s="530"/>
      <c r="AY151" s="530"/>
      <c r="AZ151" s="530"/>
      <c r="BA151" s="530"/>
      <c r="BB151" s="530"/>
      <c r="BC151" s="530"/>
      <c r="BD151" s="530"/>
      <c r="BE151" s="530"/>
      <c r="BF151" s="530"/>
      <c r="BG151" s="530"/>
      <c r="BH151" s="530"/>
      <c r="BI151" s="530"/>
      <c r="BJ151" s="530"/>
      <c r="BK151" s="530"/>
      <c r="BL151" s="530"/>
      <c r="BM151" s="530"/>
      <c r="BN151" s="530"/>
      <c r="BO151" s="530"/>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row>
    <row r="152" customFormat="false" ht="14.4" hidden="false" customHeight="false" outlineLevel="0" collapsed="false">
      <c r="A152" s="404" t="s">
        <v>543</v>
      </c>
      <c r="B152" s="730" t="n">
        <v>0.3</v>
      </c>
      <c r="C152" s="730" t="n">
        <v>0.4</v>
      </c>
      <c r="D152" s="469" t="n">
        <v>0.6</v>
      </c>
      <c r="E152" s="397" t="n">
        <v>0.15</v>
      </c>
      <c r="F152" s="730" t="n">
        <v>0.05</v>
      </c>
      <c r="G152" s="731" t="n">
        <v>0.02</v>
      </c>
      <c r="H152" s="395" t="s">
        <v>1134</v>
      </c>
      <c r="I152" s="282"/>
      <c r="J152" s="530"/>
      <c r="K152" s="694"/>
      <c r="L152" s="530"/>
      <c r="M152" s="530"/>
      <c r="N152" s="530"/>
      <c r="O152" s="530"/>
      <c r="P152" s="530"/>
      <c r="Q152" s="530"/>
      <c r="R152" s="530"/>
      <c r="S152" s="530"/>
      <c r="T152" s="530"/>
      <c r="U152" s="530"/>
      <c r="V152" s="530"/>
      <c r="W152" s="530"/>
      <c r="X152" s="530"/>
      <c r="Y152" s="530"/>
      <c r="Z152" s="530"/>
      <c r="AA152" s="530"/>
      <c r="AB152" s="530"/>
      <c r="AC152" s="530"/>
      <c r="AD152" s="530"/>
      <c r="AE152" s="530"/>
      <c r="AF152" s="530"/>
      <c r="AG152" s="530"/>
      <c r="AH152" s="530"/>
      <c r="AI152" s="530"/>
      <c r="AJ152" s="530"/>
      <c r="AK152" s="530"/>
      <c r="AL152" s="530"/>
      <c r="AM152" s="530"/>
      <c r="AN152" s="530"/>
      <c r="AO152" s="530"/>
      <c r="AP152" s="530"/>
      <c r="AQ152" s="530"/>
      <c r="AR152" s="530"/>
      <c r="AS152" s="530"/>
      <c r="AT152" s="530"/>
      <c r="AU152" s="530"/>
      <c r="AV152" s="530"/>
      <c r="AW152" s="530"/>
      <c r="AX152" s="530"/>
      <c r="AY152" s="530"/>
      <c r="AZ152" s="530"/>
      <c r="BA152" s="530"/>
      <c r="BB152" s="530"/>
      <c r="BC152" s="530"/>
      <c r="BD152" s="530"/>
      <c r="BE152" s="530"/>
      <c r="BF152" s="530"/>
      <c r="BG152" s="530"/>
      <c r="BH152" s="530"/>
      <c r="BI152" s="530"/>
      <c r="BJ152" s="530"/>
      <c r="BK152" s="530"/>
      <c r="BL152" s="530"/>
      <c r="BM152" s="530"/>
      <c r="BN152" s="530"/>
      <c r="BO152" s="530"/>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row>
    <row r="153" customFormat="false" ht="14.4" hidden="false" customHeight="false" outlineLevel="0" collapsed="false">
      <c r="A153" s="395" t="s">
        <v>1135</v>
      </c>
      <c r="I153" s="401"/>
      <c r="J153" s="530"/>
      <c r="K153" s="694"/>
      <c r="L153" s="530"/>
      <c r="M153" s="530"/>
      <c r="N153" s="530"/>
      <c r="O153" s="530"/>
      <c r="P153" s="530"/>
      <c r="Q153" s="530"/>
      <c r="R153" s="530"/>
      <c r="S153" s="530"/>
      <c r="T153" s="530"/>
      <c r="U153" s="530"/>
      <c r="V153" s="530"/>
      <c r="W153" s="530"/>
      <c r="X153" s="530"/>
      <c r="Y153" s="530"/>
      <c r="Z153" s="530"/>
      <c r="AA153" s="530"/>
      <c r="AB153" s="530"/>
      <c r="AC153" s="530"/>
      <c r="AD153" s="530"/>
      <c r="AE153" s="530"/>
      <c r="AF153" s="530"/>
      <c r="AG153" s="530"/>
      <c r="AH153" s="530"/>
      <c r="AI153" s="530"/>
      <c r="AJ153" s="530"/>
      <c r="AK153" s="530"/>
      <c r="AL153" s="530"/>
      <c r="AM153" s="530"/>
      <c r="AN153" s="530"/>
      <c r="AO153" s="530"/>
      <c r="AP153" s="530"/>
      <c r="AQ153" s="530"/>
      <c r="AR153" s="530"/>
      <c r="AS153" s="530"/>
      <c r="AT153" s="530"/>
      <c r="AU153" s="530"/>
      <c r="AV153" s="530"/>
      <c r="AW153" s="530"/>
      <c r="AX153" s="530"/>
      <c r="AY153" s="530"/>
      <c r="AZ153" s="530"/>
      <c r="BA153" s="530"/>
      <c r="BB153" s="530"/>
      <c r="BC153" s="530"/>
      <c r="BD153" s="530"/>
      <c r="BE153" s="530"/>
      <c r="BF153" s="530"/>
      <c r="BG153" s="530"/>
      <c r="BH153" s="530"/>
      <c r="BI153" s="530"/>
      <c r="BJ153" s="530"/>
      <c r="BK153" s="530"/>
      <c r="BL153" s="530"/>
      <c r="BM153" s="530"/>
      <c r="BN153" s="530"/>
      <c r="BO153" s="530"/>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row>
    <row r="154" customFormat="false" ht="14.4" hidden="false" customHeight="false" outlineLevel="0" collapsed="false">
      <c r="I154" s="401"/>
      <c r="J154" s="530"/>
      <c r="K154" s="694"/>
      <c r="L154" s="530"/>
      <c r="M154" s="530"/>
      <c r="N154" s="530"/>
      <c r="O154" s="530"/>
      <c r="P154" s="530"/>
      <c r="Q154" s="530"/>
      <c r="R154" s="530"/>
      <c r="S154" s="530"/>
      <c r="T154" s="530"/>
      <c r="U154" s="530"/>
      <c r="V154" s="530"/>
      <c r="W154" s="530"/>
      <c r="X154" s="530"/>
      <c r="Y154" s="530"/>
      <c r="Z154" s="530"/>
      <c r="AA154" s="530"/>
      <c r="AB154" s="530"/>
      <c r="AC154" s="530"/>
      <c r="AD154" s="530"/>
      <c r="AE154" s="530"/>
      <c r="AF154" s="530"/>
      <c r="AG154" s="530"/>
      <c r="AH154" s="530"/>
      <c r="AI154" s="530"/>
      <c r="AJ154" s="530"/>
      <c r="AK154" s="530"/>
      <c r="AL154" s="530"/>
      <c r="AM154" s="530"/>
      <c r="AN154" s="530"/>
      <c r="AO154" s="530"/>
      <c r="AP154" s="530"/>
      <c r="AQ154" s="530"/>
      <c r="AR154" s="530"/>
      <c r="AS154" s="530"/>
      <c r="AT154" s="530"/>
      <c r="AU154" s="530"/>
      <c r="AV154" s="530"/>
      <c r="AW154" s="530"/>
      <c r="AX154" s="530"/>
      <c r="AY154" s="530"/>
      <c r="AZ154" s="530"/>
      <c r="BA154" s="530"/>
      <c r="BB154" s="530"/>
      <c r="BC154" s="530"/>
      <c r="BD154" s="530"/>
      <c r="BE154" s="530"/>
      <c r="BF154" s="530"/>
      <c r="BG154" s="530"/>
      <c r="BH154" s="530"/>
      <c r="BI154" s="530"/>
      <c r="BJ154" s="530"/>
      <c r="BK154" s="530"/>
      <c r="BL154" s="530"/>
      <c r="BM154" s="530"/>
      <c r="BN154" s="530"/>
      <c r="BO154" s="530"/>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row>
    <row r="155" customFormat="false" ht="14.4" hidden="false" customHeight="false" outlineLevel="0" collapsed="false">
      <c r="A155" s="519" t="s">
        <v>1136</v>
      </c>
      <c r="I155" s="401"/>
      <c r="J155" s="530"/>
      <c r="K155" s="694"/>
      <c r="L155" s="530"/>
      <c r="M155" s="25" t="s">
        <v>411</v>
      </c>
      <c r="N155" s="530"/>
      <c r="O155" s="530"/>
      <c r="P155" s="530"/>
      <c r="Q155" s="530"/>
      <c r="R155" s="530"/>
      <c r="S155" s="530"/>
      <c r="T155" s="530"/>
      <c r="U155" s="530"/>
      <c r="V155" s="530"/>
      <c r="W155" s="530"/>
      <c r="X155" s="530"/>
      <c r="Y155" s="530"/>
      <c r="Z155" s="530"/>
      <c r="AA155" s="530"/>
      <c r="AB155" s="530"/>
      <c r="AC155" s="530"/>
      <c r="AD155" s="530"/>
      <c r="AE155" s="530"/>
      <c r="AF155" s="530"/>
      <c r="AG155" s="530"/>
      <c r="AH155" s="530"/>
      <c r="AI155" s="530"/>
      <c r="AJ155" s="530"/>
      <c r="AK155" s="530"/>
      <c r="AL155" s="530"/>
      <c r="AM155" s="530"/>
      <c r="AN155" s="530"/>
      <c r="AO155" s="530"/>
      <c r="AP155" s="530"/>
      <c r="AQ155" s="530"/>
      <c r="AR155" s="530"/>
      <c r="AS155" s="530"/>
      <c r="AT155" s="530"/>
      <c r="AU155" s="530"/>
      <c r="AV155" s="530"/>
      <c r="AW155" s="530"/>
      <c r="AX155" s="530"/>
      <c r="AY155" s="530"/>
      <c r="AZ155" s="530"/>
      <c r="BA155" s="530"/>
      <c r="BB155" s="530"/>
      <c r="BC155" s="530"/>
      <c r="BD155" s="530"/>
      <c r="BE155" s="530"/>
      <c r="BF155" s="530"/>
      <c r="BG155" s="530"/>
      <c r="BH155" s="530"/>
      <c r="BI155" s="530"/>
      <c r="BJ155" s="530"/>
      <c r="BK155" s="530"/>
      <c r="BL155" s="530"/>
      <c r="BM155" s="530"/>
      <c r="BN155" s="530"/>
      <c r="BO155" s="530"/>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row>
    <row r="156" customFormat="false" ht="55.2" hidden="false" customHeight="false" outlineLevel="0" collapsed="false">
      <c r="A156" s="472"/>
      <c r="B156" s="476" t="s">
        <v>1137</v>
      </c>
      <c r="C156" s="476" t="s">
        <v>1138</v>
      </c>
      <c r="D156" s="476" t="s">
        <v>1139</v>
      </c>
      <c r="E156" s="476" t="s">
        <v>1140</v>
      </c>
      <c r="F156" s="476" t="s">
        <v>1141</v>
      </c>
      <c r="G156" s="476" t="s">
        <v>1142</v>
      </c>
      <c r="H156" s="476" t="s">
        <v>1143</v>
      </c>
      <c r="I156" s="476" t="s">
        <v>1144</v>
      </c>
      <c r="J156" s="476" t="s">
        <v>1145</v>
      </c>
      <c r="K156" s="476" t="s">
        <v>1146</v>
      </c>
      <c r="L156" s="477" t="s">
        <v>1147</v>
      </c>
      <c r="M156" s="25" t="s">
        <v>1148</v>
      </c>
      <c r="N156" s="25" t="s">
        <v>1149</v>
      </c>
      <c r="O156" s="401"/>
      <c r="P156" s="401"/>
      <c r="Q156" s="401"/>
      <c r="R156" s="401"/>
      <c r="S156" s="401"/>
      <c r="T156" s="401"/>
      <c r="U156" s="401"/>
      <c r="V156" s="401"/>
      <c r="W156" s="401"/>
      <c r="X156" s="401"/>
      <c r="Y156" s="401"/>
      <c r="Z156" s="401"/>
      <c r="AA156" s="401"/>
      <c r="AB156" s="401"/>
      <c r="AC156" s="401"/>
      <c r="AD156" s="401"/>
      <c r="AE156" s="401"/>
      <c r="AF156" s="401"/>
      <c r="AG156" s="401"/>
      <c r="AH156" s="401"/>
      <c r="AI156" s="401"/>
      <c r="AJ156" s="401"/>
      <c r="AK156" s="401"/>
      <c r="AL156" s="401"/>
      <c r="AM156" s="401"/>
      <c r="AN156" s="401"/>
      <c r="AO156" s="401"/>
      <c r="AP156" s="401"/>
      <c r="AQ156" s="401"/>
      <c r="AR156" s="401"/>
      <c r="AS156" s="401"/>
      <c r="AT156" s="401"/>
      <c r="AU156" s="401"/>
      <c r="AV156" s="401"/>
      <c r="AW156" s="401"/>
      <c r="AX156" s="401"/>
      <c r="AY156" s="401"/>
      <c r="AZ156" s="401"/>
      <c r="BA156" s="401"/>
      <c r="BB156" s="401"/>
      <c r="BC156" s="401"/>
      <c r="BD156" s="401"/>
      <c r="BE156" s="401"/>
      <c r="BF156" s="401"/>
      <c r="BG156" s="401"/>
      <c r="BH156" s="401"/>
      <c r="BI156" s="401"/>
      <c r="BJ156" s="401"/>
      <c r="BK156" s="401"/>
      <c r="BL156" s="401"/>
      <c r="BM156" s="401"/>
      <c r="BN156" s="401"/>
      <c r="BO156" s="401"/>
    </row>
    <row r="157" customFormat="false" ht="18" hidden="false" customHeight="true" outlineLevel="0" collapsed="false">
      <c r="A157" s="499" t="s">
        <v>273</v>
      </c>
      <c r="B157" s="380"/>
      <c r="C157" s="688" t="n">
        <f aca="false">G157*(H157*D157*K157+E157*I157*L157+F157*J157)</f>
        <v>41.379</v>
      </c>
      <c r="D157" s="439" t="n">
        <v>0.89</v>
      </c>
      <c r="E157" s="439" t="n">
        <v>0.1</v>
      </c>
      <c r="F157" s="439" t="n">
        <v>0.01</v>
      </c>
      <c r="G157" s="732" t="n">
        <v>1.3</v>
      </c>
      <c r="H157" s="380" t="n">
        <v>0.27</v>
      </c>
      <c r="I157" s="439" t="n">
        <v>0.78</v>
      </c>
      <c r="J157" s="688" t="n">
        <v>0</v>
      </c>
      <c r="K157" s="380" t="n">
        <v>100</v>
      </c>
      <c r="L157" s="382" t="n">
        <v>100</v>
      </c>
      <c r="M157" s="401" t="s">
        <v>1150</v>
      </c>
      <c r="N157" s="733" t="s">
        <v>1151</v>
      </c>
      <c r="O157" s="401"/>
      <c r="P157" s="401"/>
      <c r="Q157" s="401"/>
      <c r="R157" s="401"/>
      <c r="S157" s="401"/>
      <c r="T157" s="401"/>
      <c r="U157" s="401"/>
      <c r="V157" s="401"/>
      <c r="W157" s="401"/>
      <c r="X157" s="401"/>
      <c r="Y157" s="401"/>
      <c r="Z157" s="401"/>
      <c r="AA157" s="401"/>
      <c r="AB157" s="401"/>
      <c r="AC157" s="401"/>
      <c r="AD157" s="401"/>
      <c r="AE157" s="401"/>
      <c r="AF157" s="401"/>
      <c r="AG157" s="401"/>
      <c r="AH157" s="401"/>
      <c r="AI157" s="401"/>
      <c r="AJ157" s="401"/>
      <c r="AK157" s="401"/>
      <c r="AL157" s="401"/>
      <c r="AM157" s="401"/>
      <c r="AN157" s="401"/>
      <c r="AO157" s="401"/>
      <c r="AP157" s="401"/>
      <c r="AQ157" s="401"/>
      <c r="AR157" s="401"/>
      <c r="AS157" s="401"/>
      <c r="AT157" s="401"/>
      <c r="AU157" s="401"/>
      <c r="AV157" s="401"/>
      <c r="AW157" s="401"/>
      <c r="AX157" s="401"/>
      <c r="AY157" s="401"/>
      <c r="AZ157" s="401"/>
      <c r="BA157" s="401"/>
      <c r="BB157" s="401"/>
      <c r="BC157" s="401"/>
      <c r="BD157" s="401"/>
      <c r="BE157" s="401"/>
      <c r="BF157" s="401"/>
      <c r="BG157" s="401"/>
      <c r="BH157" s="401"/>
      <c r="BI157" s="401"/>
      <c r="BJ157" s="401"/>
      <c r="BK157" s="401"/>
      <c r="BL157" s="401"/>
      <c r="BM157" s="401"/>
      <c r="BN157" s="401"/>
      <c r="BO157" s="401"/>
    </row>
    <row r="158" customFormat="false" ht="14.4" hidden="false" customHeight="false" outlineLevel="0" collapsed="false">
      <c r="A158" s="499" t="s">
        <v>274</v>
      </c>
      <c r="B158" s="439" t="n">
        <v>0.0460390894108155</v>
      </c>
      <c r="C158" s="380"/>
      <c r="D158" s="439" t="n">
        <v>0</v>
      </c>
      <c r="E158" s="439" t="n">
        <v>1</v>
      </c>
      <c r="F158" s="439" t="n">
        <v>0</v>
      </c>
      <c r="G158" s="380"/>
      <c r="H158" s="380"/>
      <c r="I158" s="380"/>
      <c r="J158" s="380"/>
      <c r="K158" s="380"/>
      <c r="L158" s="382"/>
      <c r="M158" s="401" t="s">
        <v>1152</v>
      </c>
      <c r="N158" s="401" t="s">
        <v>1152</v>
      </c>
      <c r="O158" s="401"/>
      <c r="P158" s="401"/>
      <c r="Q158" s="401"/>
      <c r="R158" s="401"/>
      <c r="S158" s="401"/>
      <c r="T158" s="401"/>
      <c r="U158" s="401"/>
      <c r="V158" s="401"/>
      <c r="W158" s="401"/>
      <c r="X158" s="401"/>
      <c r="Y158" s="401"/>
      <c r="Z158" s="401"/>
      <c r="AA158" s="401"/>
      <c r="AB158" s="401"/>
      <c r="AC158" s="401"/>
      <c r="AD158" s="401"/>
      <c r="AE158" s="401"/>
      <c r="AF158" s="401"/>
      <c r="AG158" s="401"/>
      <c r="AH158" s="401"/>
      <c r="AI158" s="401"/>
      <c r="AJ158" s="401"/>
      <c r="AK158" s="401"/>
      <c r="AL158" s="401"/>
      <c r="AM158" s="401"/>
      <c r="AN158" s="401"/>
      <c r="AO158" s="401"/>
      <c r="AP158" s="401"/>
      <c r="AQ158" s="401"/>
      <c r="AR158" s="401"/>
      <c r="AS158" s="401"/>
      <c r="AT158" s="401"/>
      <c r="AU158" s="401"/>
      <c r="AV158" s="401"/>
      <c r="AW158" s="401"/>
      <c r="AX158" s="401"/>
      <c r="AY158" s="401"/>
      <c r="AZ158" s="401"/>
      <c r="BA158" s="401"/>
      <c r="BB158" s="401"/>
      <c r="BC158" s="401"/>
      <c r="BD158" s="401"/>
      <c r="BE158" s="401"/>
      <c r="BF158" s="401"/>
      <c r="BG158" s="401"/>
      <c r="BH158" s="401"/>
      <c r="BI158" s="401"/>
      <c r="BJ158" s="401"/>
      <c r="BK158" s="401"/>
      <c r="BL158" s="401"/>
      <c r="BM158" s="401"/>
      <c r="BN158" s="401"/>
      <c r="BO158" s="401"/>
    </row>
    <row r="159" customFormat="false" ht="14.4" hidden="false" customHeight="false" outlineLevel="0" collapsed="false">
      <c r="A159" s="503" t="s">
        <v>171</v>
      </c>
      <c r="B159" s="384"/>
      <c r="C159" s="385" t="n">
        <f aca="false">G159*(H159*D159*K159+E159*I159*L159+F159*J159)</f>
        <v>62.46747</v>
      </c>
      <c r="D159" s="435" t="n">
        <v>0.41</v>
      </c>
      <c r="E159" s="435" t="n">
        <v>0.5</v>
      </c>
      <c r="F159" s="435" t="n">
        <v>0.09</v>
      </c>
      <c r="G159" s="446" t="n">
        <v>1.3</v>
      </c>
      <c r="H159" s="384" t="n">
        <v>0.27</v>
      </c>
      <c r="I159" s="435" t="n">
        <v>0.78</v>
      </c>
      <c r="J159" s="385" t="n">
        <v>0</v>
      </c>
      <c r="K159" s="384" t="n">
        <v>117</v>
      </c>
      <c r="L159" s="436" t="n">
        <v>90</v>
      </c>
      <c r="M159" s="401" t="s">
        <v>1150</v>
      </c>
      <c r="N159" s="733" t="s">
        <v>1151</v>
      </c>
      <c r="O159" s="401"/>
      <c r="P159" s="401"/>
      <c r="Q159" s="401"/>
      <c r="R159" s="401"/>
      <c r="S159" s="401"/>
      <c r="T159" s="401"/>
      <c r="U159" s="401"/>
      <c r="V159" s="401"/>
      <c r="W159" s="401"/>
      <c r="X159" s="401"/>
      <c r="Y159" s="401"/>
      <c r="Z159" s="401"/>
      <c r="AA159" s="401"/>
      <c r="AB159" s="401"/>
      <c r="AC159" s="401"/>
      <c r="AD159" s="401"/>
      <c r="AE159" s="401"/>
      <c r="AF159" s="401"/>
      <c r="AG159" s="401"/>
      <c r="AH159" s="401"/>
      <c r="AI159" s="401"/>
      <c r="AJ159" s="401"/>
      <c r="AK159" s="401"/>
      <c r="AL159" s="401"/>
      <c r="AM159" s="401"/>
      <c r="AN159" s="401"/>
      <c r="AO159" s="401"/>
      <c r="AP159" s="401"/>
      <c r="AQ159" s="401"/>
      <c r="AR159" s="401"/>
      <c r="AS159" s="401"/>
      <c r="AT159" s="401"/>
      <c r="AU159" s="401"/>
      <c r="AV159" s="401"/>
      <c r="AW159" s="401"/>
      <c r="AX159" s="401"/>
      <c r="AY159" s="401"/>
      <c r="AZ159" s="401"/>
      <c r="BA159" s="401"/>
      <c r="BB159" s="401"/>
      <c r="BC159" s="401"/>
      <c r="BD159" s="401"/>
      <c r="BE159" s="401"/>
      <c r="BF159" s="401"/>
      <c r="BG159" s="401"/>
      <c r="BH159" s="401"/>
      <c r="BI159" s="401"/>
      <c r="BJ159" s="401"/>
      <c r="BK159" s="401"/>
      <c r="BL159" s="401"/>
      <c r="BM159" s="401"/>
      <c r="BN159" s="401"/>
      <c r="BO159" s="401"/>
    </row>
    <row r="160" customFormat="false" ht="14.4" hidden="false" customHeight="false" outlineLevel="0" collapsed="false">
      <c r="A160" s="484" t="s">
        <v>1153</v>
      </c>
      <c r="B160" s="484"/>
      <c r="C160" s="484"/>
      <c r="D160" s="484"/>
      <c r="E160" s="484"/>
      <c r="F160" s="484"/>
      <c r="G160" s="484"/>
      <c r="H160" s="484"/>
      <c r="I160" s="484"/>
      <c r="J160" s="484"/>
      <c r="K160" s="414"/>
      <c r="L160" s="484"/>
      <c r="M160" s="401"/>
      <c r="N160" s="401"/>
      <c r="O160" s="401"/>
      <c r="P160" s="401"/>
      <c r="Q160" s="401"/>
      <c r="R160" s="401"/>
      <c r="S160" s="401"/>
      <c r="T160" s="401"/>
      <c r="U160" s="401"/>
      <c r="V160" s="401"/>
      <c r="W160" s="401"/>
      <c r="X160" s="401"/>
      <c r="Y160" s="401"/>
      <c r="Z160" s="401"/>
      <c r="AA160" s="401"/>
      <c r="AB160" s="401"/>
      <c r="AC160" s="401"/>
      <c r="AD160" s="401"/>
      <c r="AE160" s="401"/>
      <c r="AF160" s="401"/>
      <c r="AG160" s="401"/>
      <c r="AH160" s="401"/>
      <c r="AI160" s="401"/>
      <c r="AJ160" s="401"/>
      <c r="AK160" s="401"/>
      <c r="AL160" s="401"/>
      <c r="AM160" s="401"/>
      <c r="AN160" s="401"/>
      <c r="AO160" s="401"/>
      <c r="AP160" s="401"/>
      <c r="AQ160" s="401"/>
      <c r="AR160" s="401"/>
      <c r="AS160" s="401"/>
      <c r="AT160" s="401"/>
      <c r="AU160" s="401"/>
      <c r="AV160" s="401"/>
      <c r="AW160" s="401"/>
      <c r="AX160" s="401"/>
      <c r="AY160" s="401"/>
      <c r="AZ160" s="401"/>
      <c r="BA160" s="401"/>
      <c r="BB160" s="401"/>
      <c r="BC160" s="401"/>
      <c r="BD160" s="401"/>
      <c r="BE160" s="401"/>
      <c r="BF160" s="401"/>
      <c r="BG160" s="401"/>
      <c r="BH160" s="401"/>
      <c r="BI160" s="401"/>
      <c r="BJ160" s="401"/>
      <c r="BK160" s="401"/>
      <c r="BL160" s="401"/>
      <c r="BM160" s="401"/>
      <c r="BN160" s="401"/>
      <c r="BO160" s="401"/>
    </row>
    <row r="161" customFormat="false" ht="55.2" hidden="false" customHeight="false" outlineLevel="0" collapsed="false">
      <c r="A161" s="23" t="s">
        <v>1154</v>
      </c>
      <c r="C161" s="484"/>
      <c r="D161" s="484"/>
      <c r="E161" s="484"/>
      <c r="F161" s="484"/>
      <c r="G161" s="484"/>
      <c r="H161" s="484"/>
      <c r="I161" s="484"/>
      <c r="J161" s="484"/>
      <c r="K161" s="414"/>
      <c r="L161" s="484"/>
      <c r="M161" s="401"/>
      <c r="N161" s="401"/>
      <c r="O161" s="401"/>
      <c r="P161" s="401"/>
      <c r="Q161" s="401"/>
      <c r="R161" s="401"/>
      <c r="S161" s="401"/>
      <c r="T161" s="401"/>
      <c r="U161" s="401"/>
      <c r="V161" s="401"/>
      <c r="W161" s="401"/>
      <c r="X161" s="401"/>
      <c r="Y161" s="401"/>
      <c r="Z161" s="401"/>
      <c r="AA161" s="401"/>
      <c r="AB161" s="401"/>
      <c r="AC161" s="401"/>
      <c r="AD161" s="401"/>
      <c r="AE161" s="401"/>
      <c r="AF161" s="401"/>
      <c r="AG161" s="401"/>
      <c r="AH161" s="401"/>
      <c r="AI161" s="401"/>
      <c r="AJ161" s="401"/>
      <c r="AK161" s="401"/>
      <c r="AL161" s="401"/>
      <c r="AM161" s="401"/>
      <c r="AN161" s="401"/>
      <c r="AO161" s="401"/>
      <c r="AP161" s="401"/>
      <c r="AQ161" s="401"/>
      <c r="AR161" s="401"/>
      <c r="AS161" s="401"/>
      <c r="AT161" s="401"/>
      <c r="AU161" s="401"/>
      <c r="AV161" s="401"/>
      <c r="AW161" s="401"/>
      <c r="AX161" s="401"/>
      <c r="AY161" s="401"/>
      <c r="AZ161" s="401"/>
      <c r="BA161" s="401"/>
      <c r="BB161" s="401"/>
      <c r="BC161" s="401"/>
      <c r="BD161" s="401"/>
      <c r="BE161" s="401"/>
      <c r="BF161" s="401"/>
      <c r="BG161" s="401"/>
      <c r="BH161" s="401"/>
      <c r="BI161" s="401"/>
      <c r="BJ161" s="401"/>
      <c r="BK161" s="401"/>
      <c r="BL161" s="401"/>
      <c r="BM161" s="401"/>
      <c r="BN161" s="401"/>
      <c r="BO161" s="401"/>
    </row>
    <row r="162" customFormat="false" ht="14.4" hidden="false" customHeight="false" outlineLevel="0" collapsed="false">
      <c r="A162" s="23"/>
      <c r="C162" s="484"/>
      <c r="D162" s="484"/>
      <c r="E162" s="484"/>
      <c r="F162" s="484"/>
      <c r="G162" s="484"/>
      <c r="H162" s="484"/>
      <c r="I162" s="484"/>
      <c r="J162" s="484"/>
      <c r="K162" s="414"/>
      <c r="L162" s="484"/>
      <c r="M162" s="401"/>
      <c r="N162" s="401"/>
      <c r="O162" s="401"/>
      <c r="P162" s="401"/>
      <c r="Q162" s="401"/>
      <c r="R162" s="401"/>
      <c r="S162" s="401"/>
      <c r="T162" s="401"/>
      <c r="U162" s="401"/>
      <c r="V162" s="401"/>
      <c r="W162" s="401"/>
      <c r="X162" s="401"/>
      <c r="Y162" s="401"/>
      <c r="Z162" s="401"/>
      <c r="AA162" s="401"/>
      <c r="AB162" s="401"/>
      <c r="AC162" s="401"/>
      <c r="AD162" s="401"/>
      <c r="AE162" s="401"/>
      <c r="AF162" s="401"/>
      <c r="AG162" s="401"/>
      <c r="AH162" s="401"/>
      <c r="AI162" s="401"/>
      <c r="AJ162" s="401"/>
      <c r="AK162" s="401"/>
      <c r="AL162" s="401"/>
      <c r="AM162" s="401"/>
      <c r="AN162" s="401"/>
      <c r="AO162" s="401"/>
      <c r="AP162" s="401"/>
      <c r="AQ162" s="401"/>
      <c r="AR162" s="401"/>
      <c r="AS162" s="401"/>
      <c r="AT162" s="401"/>
      <c r="AU162" s="401"/>
      <c r="AV162" s="401"/>
      <c r="AW162" s="401"/>
      <c r="AX162" s="401"/>
      <c r="AY162" s="401"/>
      <c r="AZ162" s="401"/>
      <c r="BA162" s="401"/>
      <c r="BB162" s="401"/>
      <c r="BC162" s="401"/>
      <c r="BD162" s="401"/>
      <c r="BE162" s="401"/>
      <c r="BF162" s="401"/>
      <c r="BG162" s="401"/>
      <c r="BH162" s="401"/>
      <c r="BI162" s="401"/>
      <c r="BJ162" s="401"/>
      <c r="BK162" s="401"/>
      <c r="BL162" s="401"/>
      <c r="BM162" s="401"/>
      <c r="BN162" s="401"/>
      <c r="BO162" s="401"/>
    </row>
    <row r="163" customFormat="false" ht="14.4" hidden="false" customHeight="false" outlineLevel="0" collapsed="false">
      <c r="A163" s="499"/>
      <c r="I163" s="401"/>
      <c r="J163" s="401"/>
      <c r="K163" s="700"/>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c r="AR163" s="401"/>
      <c r="AS163" s="401"/>
      <c r="AT163" s="401"/>
      <c r="AU163" s="401"/>
      <c r="AV163" s="401"/>
      <c r="AW163" s="401"/>
      <c r="AX163" s="401"/>
      <c r="AY163" s="401"/>
      <c r="AZ163" s="401"/>
      <c r="BA163" s="401"/>
      <c r="BB163" s="401"/>
      <c r="BC163" s="401"/>
      <c r="BD163" s="401"/>
      <c r="BE163" s="401"/>
      <c r="BF163" s="401"/>
      <c r="BG163" s="401"/>
      <c r="BH163" s="401"/>
      <c r="BI163" s="401"/>
      <c r="BJ163" s="401"/>
      <c r="BK163" s="401"/>
      <c r="BL163" s="401"/>
      <c r="BM163" s="401"/>
      <c r="BN163" s="401"/>
      <c r="BO163" s="401"/>
    </row>
    <row r="164" customFormat="false" ht="14.4" hidden="false" customHeight="false" outlineLevel="0" collapsed="false">
      <c r="I164" s="401"/>
      <c r="J164" s="401"/>
      <c r="K164" s="700"/>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c r="AR164" s="401"/>
      <c r="AS164" s="401"/>
      <c r="AT164" s="401"/>
      <c r="AU164" s="401"/>
      <c r="AV164" s="401"/>
      <c r="AW164" s="401"/>
      <c r="AX164" s="401"/>
      <c r="AY164" s="401"/>
      <c r="AZ164" s="401"/>
      <c r="BA164" s="401"/>
      <c r="BB164" s="401"/>
      <c r="BC164" s="401"/>
      <c r="BD164" s="401"/>
      <c r="BE164" s="401"/>
      <c r="BF164" s="401"/>
      <c r="BG164" s="401"/>
      <c r="BH164" s="401"/>
      <c r="BI164" s="401"/>
      <c r="BJ164" s="401"/>
      <c r="BK164" s="401"/>
      <c r="BL164" s="401"/>
      <c r="BM164" s="401"/>
      <c r="BN164" s="401"/>
      <c r="BO164" s="401"/>
    </row>
    <row r="165" customFormat="false" ht="14.4" hidden="false" customHeight="false" outlineLevel="0" collapsed="false">
      <c r="I165" s="401"/>
      <c r="J165" s="401"/>
      <c r="K165" s="700"/>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c r="AR165" s="401"/>
      <c r="AS165" s="401"/>
      <c r="AT165" s="401"/>
      <c r="AU165" s="401"/>
      <c r="AV165" s="401"/>
      <c r="AW165" s="401"/>
      <c r="AX165" s="401"/>
      <c r="AY165" s="401"/>
      <c r="AZ165" s="401"/>
      <c r="BA165" s="401"/>
      <c r="BB165" s="401"/>
      <c r="BC165" s="401"/>
      <c r="BD165" s="401"/>
      <c r="BE165" s="401"/>
      <c r="BF165" s="401"/>
      <c r="BG165" s="401"/>
      <c r="BH165" s="401"/>
      <c r="BI165" s="401"/>
      <c r="BJ165" s="401"/>
      <c r="BK165" s="401"/>
      <c r="BL165" s="401"/>
      <c r="BM165" s="401"/>
      <c r="BN165" s="401"/>
      <c r="BO165" s="401"/>
    </row>
  </sheetData>
  <mergeCells count="1">
    <mergeCell ref="T142:U1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9DC3E6"/>
    <pageSetUpPr fitToPage="false"/>
  </sheetPr>
  <dimension ref="A1:FS7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0234375" defaultRowHeight="13.8" zeroHeight="false" outlineLevelRow="0" outlineLevelCol="0"/>
  <cols>
    <col collapsed="false" customWidth="true" hidden="false" outlineLevel="0" max="1" min="1" style="530" width="66"/>
    <col collapsed="false" customWidth="true" hidden="false" outlineLevel="0" max="2" min="2" style="530" width="17.33"/>
    <col collapsed="false" customWidth="true" hidden="false" outlineLevel="0" max="3" min="3" style="530" width="19.66"/>
    <col collapsed="false" customWidth="true" hidden="false" outlineLevel="0" max="4" min="4" style="530" width="26.66"/>
    <col collapsed="false" customWidth="true" hidden="false" outlineLevel="0" max="5" min="5" style="530" width="26.56"/>
    <col collapsed="false" customWidth="true" hidden="false" outlineLevel="0" max="6" min="6" style="530" width="16.67"/>
    <col collapsed="false" customWidth="true" hidden="false" outlineLevel="0" max="7" min="7" style="530" width="20.99"/>
    <col collapsed="false" customWidth="true" hidden="false" outlineLevel="0" max="8" min="8" style="530" width="22.33"/>
    <col collapsed="false" customWidth="true" hidden="false" outlineLevel="0" max="9" min="9" style="530" width="14.88"/>
    <col collapsed="false" customWidth="true" hidden="false" outlineLevel="0" max="10" min="10" style="530" width="21.33"/>
    <col collapsed="false" customWidth="true" hidden="false" outlineLevel="0" max="11" min="11" style="530" width="8.44"/>
    <col collapsed="false" customWidth="true" hidden="false" outlineLevel="0" max="12" min="12" style="530" width="16"/>
    <col collapsed="false" customWidth="true" hidden="false" outlineLevel="0" max="13" min="13" style="530" width="16.44"/>
    <col collapsed="false" customWidth="true" hidden="false" outlineLevel="0" max="14" min="14" style="530" width="11.66"/>
    <col collapsed="false" customWidth="true" hidden="false" outlineLevel="0" max="15" min="15" style="530" width="10.33"/>
    <col collapsed="false" customWidth="true" hidden="false" outlineLevel="0" max="16" min="16" style="530" width="8.67"/>
    <col collapsed="false" customWidth="true" hidden="false" outlineLevel="0" max="17" min="17" style="530" width="14.55"/>
    <col collapsed="false" customWidth="true" hidden="false" outlineLevel="0" max="18" min="18" style="530" width="14.34"/>
    <col collapsed="false" customWidth="true" hidden="false" outlineLevel="0" max="19" min="19" style="530" width="13.66"/>
    <col collapsed="false" customWidth="true" hidden="false" outlineLevel="0" max="20" min="20" style="530" width="8.44"/>
    <col collapsed="false" customWidth="true" hidden="false" outlineLevel="0" max="21" min="21" style="530" width="10.66"/>
    <col collapsed="false" customWidth="true" hidden="false" outlineLevel="0" max="22" min="22" style="530" width="13.66"/>
    <col collapsed="false" customWidth="true" hidden="false" outlineLevel="0" max="23" min="23" style="530" width="13.44"/>
    <col collapsed="false" customWidth="true" hidden="false" outlineLevel="0" max="24" min="24" style="530" width="14.55"/>
    <col collapsed="false" customWidth="true" hidden="false" outlineLevel="0" max="25" min="25" style="530" width="8.11"/>
    <col collapsed="false" customWidth="true" hidden="false" outlineLevel="0" max="26" min="26" style="530" width="37.11"/>
    <col collapsed="false" customWidth="true" hidden="false" outlineLevel="0" max="27" min="27" style="530" width="16.44"/>
    <col collapsed="false" customWidth="true" hidden="false" outlineLevel="0" max="28" min="28" style="530" width="6.56"/>
    <col collapsed="false" customWidth="true" hidden="false" outlineLevel="0" max="29" min="29" style="642" width="14.66"/>
    <col collapsed="false" customWidth="true" hidden="false" outlineLevel="0" max="30" min="30" style="642" width="28.66"/>
    <col collapsed="false" customWidth="false" hidden="false" outlineLevel="0" max="36" min="31" style="530" width="8.89"/>
    <col collapsed="false" customWidth="true" hidden="false" outlineLevel="0" max="37" min="37" style="530" width="10.66"/>
    <col collapsed="false" customWidth="false" hidden="false" outlineLevel="0" max="38" min="38" style="530" width="8.89"/>
    <col collapsed="false" customWidth="true" hidden="false" outlineLevel="0" max="39" min="39" style="530" width="11.77"/>
    <col collapsed="false" customWidth="false" hidden="false" outlineLevel="0" max="1025" min="40" style="530" width="8.89"/>
  </cols>
  <sheetData>
    <row r="1" customFormat="false" ht="23.4" hidden="false" customHeight="false" outlineLevel="0" collapsed="false">
      <c r="A1" s="371" t="s">
        <v>1155</v>
      </c>
    </row>
    <row r="3" customFormat="false" ht="72" hidden="false" customHeight="true" outlineLevel="0" collapsed="false">
      <c r="A3" s="627" t="s">
        <v>603</v>
      </c>
      <c r="B3" s="680" t="s">
        <v>604</v>
      </c>
      <c r="C3" s="680" t="s">
        <v>860</v>
      </c>
      <c r="D3" s="627" t="s">
        <v>1156</v>
      </c>
      <c r="E3" s="734"/>
      <c r="F3" s="734"/>
      <c r="G3" s="734"/>
      <c r="H3" s="734"/>
      <c r="I3" s="734"/>
      <c r="J3" s="734"/>
      <c r="K3" s="734"/>
      <c r="L3" s="734"/>
      <c r="M3" s="734"/>
      <c r="N3" s="734"/>
      <c r="O3" s="734"/>
      <c r="P3" s="734"/>
      <c r="Q3" s="734"/>
      <c r="R3" s="734"/>
      <c r="S3" s="734"/>
      <c r="T3" s="734"/>
      <c r="U3" s="734"/>
      <c r="V3" s="734"/>
      <c r="W3" s="734"/>
      <c r="X3" s="734"/>
      <c r="Y3" s="734"/>
      <c r="Z3" s="734"/>
      <c r="AA3" s="734"/>
      <c r="AB3" s="735"/>
      <c r="AC3" s="333" t="s">
        <v>411</v>
      </c>
    </row>
    <row r="4" s="737" customFormat="true" ht="55.2" hidden="false" customHeight="false" outlineLevel="0" collapsed="false">
      <c r="A4" s="462"/>
      <c r="B4" s="463"/>
      <c r="C4" s="463"/>
      <c r="D4" s="627" t="s">
        <v>953</v>
      </c>
      <c r="E4" s="476" t="s">
        <v>1157</v>
      </c>
      <c r="F4" s="476" t="s">
        <v>1158</v>
      </c>
      <c r="G4" s="476" t="s">
        <v>443</v>
      </c>
      <c r="H4" s="463" t="s">
        <v>460</v>
      </c>
      <c r="I4" s="463" t="s">
        <v>1159</v>
      </c>
      <c r="J4" s="476" t="s">
        <v>84</v>
      </c>
      <c r="K4" s="476" t="s">
        <v>38</v>
      </c>
      <c r="L4" s="476" t="s">
        <v>465</v>
      </c>
      <c r="M4" s="476" t="s">
        <v>464</v>
      </c>
      <c r="N4" s="476" t="s">
        <v>1160</v>
      </c>
      <c r="O4" s="476" t="s">
        <v>1161</v>
      </c>
      <c r="P4" s="476" t="s">
        <v>1162</v>
      </c>
      <c r="Q4" s="476" t="s">
        <v>1163</v>
      </c>
      <c r="R4" s="463" t="s">
        <v>1164</v>
      </c>
      <c r="S4" s="463" t="s">
        <v>1165</v>
      </c>
      <c r="T4" s="476" t="s">
        <v>453</v>
      </c>
      <c r="U4" s="476" t="s">
        <v>54</v>
      </c>
      <c r="V4" s="476" t="s">
        <v>1166</v>
      </c>
      <c r="W4" s="463" t="s">
        <v>75</v>
      </c>
      <c r="X4" s="463" t="s">
        <v>1167</v>
      </c>
      <c r="Y4" s="476" t="s">
        <v>51</v>
      </c>
      <c r="Z4" s="463" t="s">
        <v>1168</v>
      </c>
      <c r="AA4" s="463" t="s">
        <v>1169</v>
      </c>
      <c r="AB4" s="464" t="s">
        <v>37</v>
      </c>
      <c r="AC4" s="25" t="s">
        <v>606</v>
      </c>
      <c r="AD4" s="736" t="s">
        <v>1156</v>
      </c>
    </row>
    <row r="5" s="743" customFormat="true" ht="13.8" hidden="false" customHeight="false" outlineLevel="0" collapsed="false">
      <c r="A5" s="738" t="s">
        <v>29</v>
      </c>
      <c r="B5" s="646" t="s">
        <v>137</v>
      </c>
      <c r="C5" s="739" t="n">
        <v>0.3</v>
      </c>
      <c r="D5" s="652" t="n">
        <v>1.18</v>
      </c>
      <c r="E5" s="740"/>
      <c r="F5" s="740"/>
      <c r="G5" s="740"/>
      <c r="H5" s="740"/>
      <c r="I5" s="740"/>
      <c r="J5" s="740"/>
      <c r="K5" s="740"/>
      <c r="L5" s="740"/>
      <c r="M5" s="740"/>
      <c r="N5" s="740"/>
      <c r="O5" s="740"/>
      <c r="P5" s="740"/>
      <c r="Q5" s="740"/>
      <c r="R5" s="740"/>
      <c r="S5" s="740"/>
      <c r="T5" s="740"/>
      <c r="U5" s="740"/>
      <c r="V5" s="740"/>
      <c r="W5" s="740"/>
      <c r="X5" s="740"/>
      <c r="Y5" s="740"/>
      <c r="Z5" s="740"/>
      <c r="AA5" s="740"/>
      <c r="AB5" s="741"/>
      <c r="AC5" s="642" t="s">
        <v>1170</v>
      </c>
      <c r="AD5" s="642" t="s">
        <v>1171</v>
      </c>
      <c r="AE5" s="530"/>
      <c r="AF5" s="742"/>
      <c r="AG5" s="742"/>
      <c r="AH5" s="530"/>
      <c r="AI5" s="530"/>
      <c r="AJ5" s="530"/>
      <c r="AK5" s="530"/>
      <c r="AL5" s="530"/>
      <c r="AM5" s="530"/>
      <c r="AN5" s="530"/>
      <c r="AO5" s="530"/>
      <c r="AP5" s="530"/>
      <c r="AQ5" s="530"/>
      <c r="AR5" s="530"/>
      <c r="AS5" s="530"/>
      <c r="AT5" s="530"/>
      <c r="AU5" s="530"/>
      <c r="AV5" s="530"/>
      <c r="AW5" s="530"/>
      <c r="AX5" s="530"/>
      <c r="AY5" s="530"/>
      <c r="AZ5" s="530"/>
      <c r="BA5" s="530"/>
      <c r="BB5" s="530"/>
      <c r="BC5" s="530"/>
      <c r="BD5" s="530"/>
      <c r="BE5" s="530"/>
      <c r="BF5" s="530"/>
      <c r="BG5" s="530"/>
      <c r="BH5" s="530"/>
      <c r="BI5" s="530"/>
      <c r="BJ5" s="530"/>
      <c r="BK5" s="530"/>
      <c r="BL5" s="530"/>
      <c r="BM5" s="530"/>
      <c r="BN5" s="530"/>
      <c r="BO5" s="530"/>
      <c r="BP5" s="530"/>
      <c r="BQ5" s="530"/>
      <c r="BR5" s="530"/>
      <c r="BS5" s="530"/>
      <c r="BT5" s="530"/>
      <c r="BU5" s="530"/>
      <c r="BV5" s="530"/>
      <c r="BW5" s="530"/>
      <c r="BX5" s="530"/>
      <c r="BY5" s="530"/>
      <c r="BZ5" s="530"/>
      <c r="CA5" s="530"/>
      <c r="CB5" s="530"/>
      <c r="CC5" s="530"/>
      <c r="CD5" s="530"/>
      <c r="CE5" s="530"/>
      <c r="CF5" s="530"/>
      <c r="CG5" s="530"/>
      <c r="CH5" s="530"/>
      <c r="CI5" s="530"/>
      <c r="CJ5" s="530"/>
      <c r="CK5" s="530"/>
      <c r="CL5" s="530"/>
      <c r="CM5" s="530"/>
      <c r="CN5" s="530"/>
      <c r="CO5" s="530"/>
      <c r="CP5" s="530"/>
      <c r="CQ5" s="530"/>
      <c r="CR5" s="530"/>
      <c r="CS5" s="530"/>
      <c r="CT5" s="530"/>
      <c r="CU5" s="530"/>
      <c r="CV5" s="530"/>
      <c r="CW5" s="530"/>
      <c r="CX5" s="530"/>
      <c r="CY5" s="530"/>
      <c r="CZ5" s="530"/>
      <c r="DA5" s="530"/>
      <c r="DB5" s="530"/>
      <c r="DC5" s="530"/>
      <c r="DD5" s="530"/>
      <c r="DE5" s="530"/>
      <c r="DF5" s="530"/>
      <c r="DG5" s="530"/>
      <c r="DH5" s="530"/>
      <c r="DI5" s="530"/>
      <c r="DJ5" s="530"/>
      <c r="DK5" s="530"/>
      <c r="DL5" s="530"/>
      <c r="DM5" s="530"/>
      <c r="DN5" s="530"/>
      <c r="DO5" s="530"/>
      <c r="DP5" s="530"/>
      <c r="DQ5" s="530"/>
      <c r="DR5" s="530"/>
      <c r="DS5" s="530"/>
      <c r="DT5" s="530"/>
      <c r="DU5" s="530"/>
      <c r="DV5" s="530"/>
      <c r="DW5" s="530"/>
      <c r="DX5" s="530"/>
      <c r="DY5" s="530"/>
      <c r="DZ5" s="530"/>
      <c r="EA5" s="530"/>
      <c r="EB5" s="530"/>
      <c r="EC5" s="530"/>
      <c r="ED5" s="530"/>
      <c r="EE5" s="530"/>
      <c r="EF5" s="530"/>
      <c r="EG5" s="530"/>
      <c r="EH5" s="530"/>
      <c r="EI5" s="530"/>
      <c r="EJ5" s="530"/>
      <c r="EK5" s="530"/>
      <c r="EL5" s="530"/>
      <c r="EM5" s="530"/>
      <c r="EN5" s="530"/>
      <c r="EO5" s="530"/>
      <c r="EP5" s="530"/>
      <c r="EQ5" s="530"/>
      <c r="ER5" s="530"/>
      <c r="ES5" s="530"/>
      <c r="ET5" s="530"/>
      <c r="EU5" s="530"/>
      <c r="EV5" s="530"/>
      <c r="EW5" s="530"/>
      <c r="EX5" s="530"/>
      <c r="EY5" s="530"/>
      <c r="EZ5" s="530"/>
      <c r="FA5" s="530"/>
      <c r="FB5" s="530"/>
      <c r="FC5" s="530"/>
      <c r="FD5" s="530"/>
      <c r="FE5" s="530"/>
      <c r="FF5" s="530"/>
      <c r="FG5" s="530"/>
      <c r="FH5" s="530"/>
      <c r="FI5" s="530"/>
      <c r="FJ5" s="530"/>
      <c r="FK5" s="530"/>
      <c r="FL5" s="530"/>
      <c r="FM5" s="530"/>
      <c r="FN5" s="530"/>
      <c r="FO5" s="530"/>
      <c r="FP5" s="530"/>
      <c r="FQ5" s="530"/>
      <c r="FR5" s="530"/>
      <c r="FS5" s="530"/>
    </row>
    <row r="6" customFormat="false" ht="13.8" hidden="false" customHeight="false" outlineLevel="0" collapsed="false">
      <c r="A6" s="162"/>
      <c r="B6" s="23" t="s">
        <v>274</v>
      </c>
      <c r="C6" s="454" t="n">
        <v>0.503</v>
      </c>
      <c r="D6" s="290" t="n">
        <v>1.18</v>
      </c>
      <c r="E6" s="290"/>
      <c r="F6" s="290"/>
      <c r="G6" s="290"/>
      <c r="H6" s="290"/>
      <c r="I6" s="290"/>
      <c r="J6" s="290"/>
      <c r="K6" s="290"/>
      <c r="L6" s="290"/>
      <c r="M6" s="290"/>
      <c r="N6" s="290"/>
      <c r="O6" s="290"/>
      <c r="P6" s="290"/>
      <c r="Q6" s="290"/>
      <c r="R6" s="290"/>
      <c r="S6" s="290"/>
      <c r="T6" s="290"/>
      <c r="U6" s="290"/>
      <c r="V6" s="290"/>
      <c r="W6" s="290"/>
      <c r="X6" s="290"/>
      <c r="Y6" s="290"/>
      <c r="Z6" s="290"/>
      <c r="AA6" s="290"/>
      <c r="AB6" s="500"/>
      <c r="AF6" s="742"/>
      <c r="AG6" s="742"/>
    </row>
    <row r="7" customFormat="false" ht="13.8" hidden="false" customHeight="false" outlineLevel="0" collapsed="false">
      <c r="A7" s="162"/>
      <c r="B7" s="23" t="s">
        <v>171</v>
      </c>
      <c r="C7" s="454" t="n">
        <v>0.197</v>
      </c>
      <c r="D7" s="290" t="n">
        <v>1.18</v>
      </c>
      <c r="E7" s="290"/>
      <c r="F7" s="290"/>
      <c r="G7" s="290"/>
      <c r="H7" s="290"/>
      <c r="I7" s="290"/>
      <c r="J7" s="290"/>
      <c r="K7" s="290"/>
      <c r="L7" s="290"/>
      <c r="M7" s="290"/>
      <c r="N7" s="290"/>
      <c r="O7" s="290"/>
      <c r="P7" s="290"/>
      <c r="Q7" s="290"/>
      <c r="R7" s="290"/>
      <c r="S7" s="290"/>
      <c r="T7" s="290"/>
      <c r="U7" s="290"/>
      <c r="V7" s="290"/>
      <c r="W7" s="290"/>
      <c r="X7" s="290"/>
      <c r="Y7" s="290"/>
      <c r="Z7" s="290"/>
      <c r="AA7" s="290"/>
      <c r="AB7" s="500"/>
      <c r="AF7" s="742"/>
      <c r="AG7" s="742"/>
    </row>
    <row r="8" s="743" customFormat="true" ht="13.8" hidden="false" customHeight="false" outlineLevel="0" collapsed="false">
      <c r="A8" s="161" t="s">
        <v>36</v>
      </c>
      <c r="B8" s="289" t="s">
        <v>137</v>
      </c>
      <c r="C8" s="498" t="n">
        <v>1</v>
      </c>
      <c r="D8" s="649" t="n">
        <v>0.399</v>
      </c>
      <c r="E8" s="652"/>
      <c r="F8" s="652"/>
      <c r="G8" s="649" t="n">
        <v>0.018</v>
      </c>
      <c r="H8" s="652"/>
      <c r="I8" s="652"/>
      <c r="J8" s="649" t="n">
        <v>0.017</v>
      </c>
      <c r="K8" s="649" t="n">
        <v>0.035</v>
      </c>
      <c r="L8" s="652"/>
      <c r="M8" s="652"/>
      <c r="N8" s="652"/>
      <c r="O8" s="652"/>
      <c r="P8" s="652"/>
      <c r="Q8" s="652"/>
      <c r="R8" s="652"/>
      <c r="S8" s="652"/>
      <c r="T8" s="652"/>
      <c r="U8" s="652"/>
      <c r="V8" s="652"/>
      <c r="W8" s="652"/>
      <c r="X8" s="652"/>
      <c r="Y8" s="652"/>
      <c r="Z8" s="652"/>
      <c r="AA8" s="652"/>
      <c r="AB8" s="502"/>
      <c r="AC8" s="642" t="s">
        <v>1172</v>
      </c>
      <c r="AD8" s="642" t="s">
        <v>1173</v>
      </c>
      <c r="AE8" s="530"/>
      <c r="AF8" s="742"/>
      <c r="AG8" s="742"/>
      <c r="AH8" s="530"/>
      <c r="AI8" s="530"/>
      <c r="AJ8" s="530"/>
      <c r="AK8" s="530"/>
      <c r="AL8" s="530"/>
      <c r="AM8" s="530"/>
      <c r="AN8" s="530"/>
      <c r="AO8" s="530"/>
      <c r="AP8" s="530"/>
      <c r="AQ8" s="530"/>
      <c r="AR8" s="530"/>
      <c r="AS8" s="530"/>
      <c r="AT8" s="530"/>
      <c r="AU8" s="530"/>
      <c r="AV8" s="530"/>
      <c r="AW8" s="530"/>
      <c r="AX8" s="530"/>
      <c r="AY8" s="530"/>
      <c r="AZ8" s="530"/>
      <c r="BA8" s="530"/>
      <c r="BB8" s="530"/>
      <c r="BC8" s="530"/>
      <c r="BD8" s="530"/>
      <c r="BE8" s="530"/>
      <c r="BF8" s="530"/>
      <c r="BG8" s="530"/>
      <c r="BH8" s="530"/>
      <c r="BI8" s="530"/>
      <c r="BJ8" s="530"/>
      <c r="BK8" s="530"/>
      <c r="BL8" s="530"/>
      <c r="BM8" s="530"/>
      <c r="BN8" s="530"/>
      <c r="BO8" s="530"/>
      <c r="BP8" s="530"/>
      <c r="BQ8" s="530"/>
      <c r="BR8" s="530"/>
      <c r="BS8" s="530"/>
      <c r="BT8" s="530"/>
      <c r="BU8" s="530"/>
      <c r="BV8" s="530"/>
      <c r="BW8" s="530"/>
      <c r="BX8" s="530"/>
      <c r="BY8" s="530"/>
      <c r="BZ8" s="530"/>
      <c r="CA8" s="530"/>
      <c r="CB8" s="530"/>
      <c r="CC8" s="530"/>
      <c r="CD8" s="530"/>
      <c r="CE8" s="530"/>
      <c r="CF8" s="530"/>
      <c r="CG8" s="530"/>
      <c r="CH8" s="530"/>
      <c r="CI8" s="530"/>
      <c r="CJ8" s="530"/>
      <c r="CK8" s="530"/>
      <c r="CL8" s="530"/>
      <c r="CM8" s="530"/>
      <c r="CN8" s="530"/>
      <c r="CO8" s="530"/>
      <c r="CP8" s="530"/>
      <c r="CQ8" s="530"/>
      <c r="CR8" s="530"/>
      <c r="CS8" s="530"/>
      <c r="CT8" s="530"/>
      <c r="CU8" s="530"/>
      <c r="CV8" s="530"/>
      <c r="CW8" s="530"/>
      <c r="CX8" s="530"/>
      <c r="CY8" s="530"/>
      <c r="CZ8" s="530"/>
      <c r="DA8" s="530"/>
      <c r="DB8" s="530"/>
      <c r="DC8" s="530"/>
      <c r="DD8" s="530"/>
      <c r="DE8" s="530"/>
      <c r="DF8" s="530"/>
      <c r="DG8" s="530"/>
      <c r="DH8" s="530"/>
      <c r="DI8" s="530"/>
      <c r="DJ8" s="530"/>
      <c r="DK8" s="530"/>
      <c r="DL8" s="530"/>
      <c r="DM8" s="530"/>
      <c r="DN8" s="530"/>
      <c r="DO8" s="530"/>
      <c r="DP8" s="530"/>
      <c r="DQ8" s="530"/>
      <c r="DR8" s="530"/>
      <c r="DS8" s="530"/>
      <c r="DT8" s="530"/>
      <c r="DU8" s="530"/>
      <c r="DV8" s="530"/>
      <c r="DW8" s="530"/>
      <c r="DX8" s="530"/>
      <c r="DY8" s="530"/>
      <c r="DZ8" s="530"/>
      <c r="EA8" s="530"/>
      <c r="EB8" s="530"/>
      <c r="EC8" s="530"/>
      <c r="ED8" s="530"/>
      <c r="EE8" s="530"/>
      <c r="EF8" s="530"/>
      <c r="EG8" s="530"/>
      <c r="EH8" s="530"/>
      <c r="EI8" s="530"/>
      <c r="EJ8" s="530"/>
      <c r="EK8" s="530"/>
      <c r="EL8" s="530"/>
      <c r="EM8" s="530"/>
      <c r="EN8" s="530"/>
      <c r="EO8" s="530"/>
      <c r="EP8" s="530"/>
      <c r="EQ8" s="530"/>
      <c r="ER8" s="530"/>
      <c r="ES8" s="530"/>
      <c r="ET8" s="530"/>
      <c r="EU8" s="530"/>
      <c r="EV8" s="530"/>
      <c r="EW8" s="530"/>
      <c r="EX8" s="530"/>
      <c r="EY8" s="530"/>
      <c r="EZ8" s="530"/>
      <c r="FA8" s="530"/>
      <c r="FB8" s="530"/>
      <c r="FC8" s="530"/>
      <c r="FD8" s="530"/>
      <c r="FE8" s="530"/>
      <c r="FF8" s="530"/>
      <c r="FG8" s="530"/>
      <c r="FH8" s="530"/>
      <c r="FI8" s="530"/>
      <c r="FJ8" s="530"/>
      <c r="FK8" s="530"/>
      <c r="FL8" s="530"/>
      <c r="FM8" s="530"/>
      <c r="FN8" s="530"/>
      <c r="FO8" s="530"/>
      <c r="FP8" s="530"/>
      <c r="FQ8" s="530"/>
      <c r="FR8" s="530"/>
      <c r="FS8" s="530"/>
    </row>
    <row r="9" customFormat="false" ht="13.8" hidden="false" customHeight="false" outlineLevel="0" collapsed="false">
      <c r="A9" s="162"/>
      <c r="B9" s="23"/>
      <c r="C9" s="454"/>
      <c r="D9" s="102"/>
      <c r="E9" s="290"/>
      <c r="F9" s="290"/>
      <c r="G9" s="102"/>
      <c r="H9" s="290"/>
      <c r="I9" s="290"/>
      <c r="J9" s="102"/>
      <c r="K9" s="102"/>
      <c r="L9" s="290"/>
      <c r="M9" s="290"/>
      <c r="N9" s="290"/>
      <c r="O9" s="290"/>
      <c r="P9" s="290"/>
      <c r="Q9" s="290"/>
      <c r="R9" s="290"/>
      <c r="S9" s="290"/>
      <c r="T9" s="290"/>
      <c r="U9" s="290"/>
      <c r="V9" s="290"/>
      <c r="W9" s="290"/>
      <c r="X9" s="290"/>
      <c r="Y9" s="290"/>
      <c r="Z9" s="290"/>
      <c r="AA9" s="290"/>
      <c r="AB9" s="500"/>
      <c r="AF9" s="742"/>
      <c r="AG9" s="742"/>
    </row>
    <row r="10" s="743" customFormat="true" ht="13.8" hidden="false" customHeight="false" outlineLevel="0" collapsed="false">
      <c r="A10" s="161" t="s">
        <v>43</v>
      </c>
      <c r="B10" s="289" t="s">
        <v>137</v>
      </c>
      <c r="C10" s="498" t="n">
        <v>1</v>
      </c>
      <c r="D10" s="649" t="n">
        <v>0.23</v>
      </c>
      <c r="E10" s="649" t="n">
        <v>0.23</v>
      </c>
      <c r="F10" s="649"/>
      <c r="G10" s="649" t="n">
        <v>0.045</v>
      </c>
      <c r="H10" s="652"/>
      <c r="I10" s="652"/>
      <c r="J10" s="649" t="n">
        <v>0.045</v>
      </c>
      <c r="K10" s="652"/>
      <c r="L10" s="652"/>
      <c r="M10" s="649" t="n">
        <v>0.01</v>
      </c>
      <c r="N10" s="652"/>
      <c r="O10" s="652"/>
      <c r="P10" s="652"/>
      <c r="Q10" s="652"/>
      <c r="R10" s="652"/>
      <c r="S10" s="652"/>
      <c r="T10" s="652"/>
      <c r="U10" s="652"/>
      <c r="V10" s="652"/>
      <c r="W10" s="652"/>
      <c r="X10" s="652"/>
      <c r="Y10" s="652"/>
      <c r="Z10" s="652"/>
      <c r="AA10" s="652"/>
      <c r="AB10" s="502"/>
      <c r="AC10" s="642" t="s">
        <v>1172</v>
      </c>
      <c r="AD10" s="642" t="s">
        <v>1173</v>
      </c>
      <c r="AE10" s="530"/>
      <c r="AF10" s="742"/>
      <c r="AG10" s="742"/>
      <c r="AH10" s="530"/>
      <c r="AI10" s="530"/>
      <c r="AJ10" s="530"/>
      <c r="AK10" s="530"/>
      <c r="AL10" s="530"/>
      <c r="AM10" s="530"/>
      <c r="AN10" s="530"/>
      <c r="AO10" s="530"/>
      <c r="AP10" s="530"/>
      <c r="AQ10" s="530"/>
      <c r="AR10" s="530"/>
      <c r="AS10" s="530"/>
      <c r="AT10" s="530"/>
      <c r="AU10" s="530"/>
      <c r="AV10" s="530"/>
      <c r="AW10" s="530"/>
      <c r="AX10" s="530"/>
      <c r="AY10" s="530"/>
      <c r="AZ10" s="530"/>
      <c r="BA10" s="530"/>
      <c r="BB10" s="530"/>
      <c r="BC10" s="530"/>
      <c r="BD10" s="530"/>
      <c r="BE10" s="530"/>
      <c r="BF10" s="530"/>
      <c r="BG10" s="530"/>
      <c r="BH10" s="530"/>
      <c r="BI10" s="530"/>
      <c r="BJ10" s="530"/>
      <c r="BK10" s="530"/>
      <c r="BL10" s="530"/>
      <c r="BM10" s="530"/>
      <c r="BN10" s="530"/>
      <c r="BO10" s="530"/>
      <c r="BP10" s="530"/>
      <c r="BQ10" s="530"/>
      <c r="BR10" s="530"/>
      <c r="BS10" s="530"/>
      <c r="BT10" s="530"/>
      <c r="BU10" s="530"/>
      <c r="BV10" s="530"/>
      <c r="BW10" s="530"/>
      <c r="BX10" s="530"/>
      <c r="BY10" s="530"/>
      <c r="BZ10" s="530"/>
      <c r="CA10" s="530"/>
      <c r="CB10" s="530"/>
      <c r="CC10" s="530"/>
      <c r="CD10" s="530"/>
      <c r="CE10" s="530"/>
      <c r="CF10" s="530"/>
      <c r="CG10" s="530"/>
      <c r="CH10" s="530"/>
      <c r="CI10" s="530"/>
      <c r="CJ10" s="530"/>
      <c r="CK10" s="530"/>
      <c r="CL10" s="530"/>
      <c r="CM10" s="530"/>
      <c r="CN10" s="530"/>
      <c r="CO10" s="530"/>
      <c r="CP10" s="530"/>
      <c r="CQ10" s="530"/>
      <c r="CR10" s="530"/>
      <c r="CS10" s="530"/>
      <c r="CT10" s="530"/>
      <c r="CU10" s="530"/>
      <c r="CV10" s="530"/>
      <c r="CW10" s="530"/>
      <c r="CX10" s="530"/>
      <c r="CY10" s="530"/>
      <c r="CZ10" s="530"/>
      <c r="DA10" s="530"/>
      <c r="DB10" s="530"/>
      <c r="DC10" s="530"/>
      <c r="DD10" s="530"/>
      <c r="DE10" s="530"/>
      <c r="DF10" s="530"/>
      <c r="DG10" s="530"/>
      <c r="DH10" s="530"/>
      <c r="DI10" s="530"/>
      <c r="DJ10" s="530"/>
      <c r="DK10" s="530"/>
      <c r="DL10" s="530"/>
      <c r="DM10" s="530"/>
      <c r="DN10" s="530"/>
      <c r="DO10" s="530"/>
      <c r="DP10" s="530"/>
      <c r="DQ10" s="530"/>
      <c r="DR10" s="530"/>
      <c r="DS10" s="530"/>
      <c r="DT10" s="530"/>
      <c r="DU10" s="530"/>
      <c r="DV10" s="530"/>
      <c r="DW10" s="530"/>
      <c r="DX10" s="530"/>
      <c r="DY10" s="530"/>
      <c r="DZ10" s="530"/>
      <c r="EA10" s="530"/>
      <c r="EB10" s="530"/>
      <c r="EC10" s="530"/>
      <c r="ED10" s="530"/>
      <c r="EE10" s="530"/>
      <c r="EF10" s="530"/>
      <c r="EG10" s="530"/>
      <c r="EH10" s="530"/>
      <c r="EI10" s="530"/>
      <c r="EJ10" s="530"/>
      <c r="EK10" s="530"/>
      <c r="EL10" s="530"/>
      <c r="EM10" s="530"/>
      <c r="EN10" s="530"/>
      <c r="EO10" s="530"/>
      <c r="EP10" s="530"/>
      <c r="EQ10" s="530"/>
      <c r="ER10" s="530"/>
      <c r="ES10" s="530"/>
      <c r="ET10" s="530"/>
      <c r="EU10" s="530"/>
      <c r="EV10" s="530"/>
      <c r="EW10" s="530"/>
      <c r="EX10" s="530"/>
      <c r="EY10" s="530"/>
      <c r="EZ10" s="530"/>
      <c r="FA10" s="530"/>
      <c r="FB10" s="530"/>
      <c r="FC10" s="530"/>
      <c r="FD10" s="530"/>
      <c r="FE10" s="530"/>
      <c r="FF10" s="530"/>
      <c r="FG10" s="530"/>
      <c r="FH10" s="530"/>
      <c r="FI10" s="530"/>
      <c r="FJ10" s="530"/>
      <c r="FK10" s="530"/>
      <c r="FL10" s="530"/>
      <c r="FM10" s="530"/>
      <c r="FN10" s="530"/>
      <c r="FO10" s="530"/>
      <c r="FP10" s="530"/>
      <c r="FQ10" s="530"/>
      <c r="FR10" s="530"/>
      <c r="FS10" s="530"/>
    </row>
    <row r="11" customFormat="false" ht="13.8" hidden="false" customHeight="false" outlineLevel="0" collapsed="false">
      <c r="A11" s="162"/>
      <c r="B11" s="23"/>
      <c r="C11" s="454"/>
      <c r="D11" s="102"/>
      <c r="E11" s="102"/>
      <c r="F11" s="102"/>
      <c r="G11" s="102"/>
      <c r="H11" s="290"/>
      <c r="I11" s="290"/>
      <c r="J11" s="102"/>
      <c r="K11" s="290"/>
      <c r="L11" s="290"/>
      <c r="M11" s="102"/>
      <c r="N11" s="290"/>
      <c r="O11" s="290"/>
      <c r="P11" s="290"/>
      <c r="Q11" s="290"/>
      <c r="R11" s="290"/>
      <c r="S11" s="290"/>
      <c r="T11" s="290"/>
      <c r="U11" s="290"/>
      <c r="V11" s="290"/>
      <c r="W11" s="290"/>
      <c r="X11" s="290"/>
      <c r="Y11" s="290"/>
      <c r="Z11" s="290"/>
      <c r="AA11" s="290"/>
      <c r="AB11" s="500"/>
      <c r="AF11" s="742"/>
      <c r="AG11" s="742"/>
    </row>
    <row r="12" s="743" customFormat="true" ht="13.8" hidden="false" customHeight="false" outlineLevel="0" collapsed="false">
      <c r="A12" s="161" t="s">
        <v>1174</v>
      </c>
      <c r="B12" s="289" t="s">
        <v>137</v>
      </c>
      <c r="C12" s="498" t="n">
        <v>1</v>
      </c>
      <c r="D12" s="649" t="n">
        <v>0.512</v>
      </c>
      <c r="E12" s="649" t="n">
        <v>0.047</v>
      </c>
      <c r="F12" s="649"/>
      <c r="G12" s="649" t="n">
        <v>0.027</v>
      </c>
      <c r="H12" s="652"/>
      <c r="I12" s="652"/>
      <c r="J12" s="649" t="n">
        <v>0.11</v>
      </c>
      <c r="K12" s="652"/>
      <c r="L12" s="652"/>
      <c r="M12" s="652"/>
      <c r="N12" s="649" t="n">
        <v>0.216</v>
      </c>
      <c r="O12" s="652"/>
      <c r="P12" s="652"/>
      <c r="Q12" s="652"/>
      <c r="R12" s="652"/>
      <c r="S12" s="652"/>
      <c r="T12" s="652"/>
      <c r="U12" s="652"/>
      <c r="V12" s="652"/>
      <c r="W12" s="652"/>
      <c r="X12" s="652"/>
      <c r="Y12" s="652"/>
      <c r="Z12" s="652"/>
      <c r="AA12" s="652"/>
      <c r="AB12" s="502"/>
      <c r="AC12" s="642" t="s">
        <v>1172</v>
      </c>
      <c r="AD12" s="642" t="s">
        <v>1173</v>
      </c>
      <c r="AE12" s="530"/>
      <c r="AF12" s="742"/>
      <c r="AG12" s="742"/>
      <c r="AH12" s="530"/>
      <c r="AI12" s="530"/>
      <c r="AJ12" s="530"/>
      <c r="AK12" s="530"/>
      <c r="AL12" s="530"/>
      <c r="AM12" s="530"/>
      <c r="AN12" s="530"/>
      <c r="AO12" s="530"/>
      <c r="AP12" s="530"/>
      <c r="AQ12" s="530"/>
      <c r="AR12" s="530"/>
      <c r="AS12" s="530"/>
      <c r="AT12" s="530"/>
      <c r="AU12" s="530"/>
      <c r="AV12" s="530"/>
      <c r="AW12" s="530"/>
      <c r="AX12" s="530"/>
      <c r="AY12" s="530"/>
      <c r="AZ12" s="530"/>
      <c r="BA12" s="530"/>
      <c r="BB12" s="530"/>
      <c r="BC12" s="530"/>
      <c r="BD12" s="530"/>
      <c r="BE12" s="530"/>
      <c r="BF12" s="530"/>
      <c r="BG12" s="530"/>
      <c r="BH12" s="530"/>
      <c r="BI12" s="530"/>
      <c r="BJ12" s="530"/>
      <c r="BK12" s="530"/>
      <c r="BL12" s="530"/>
      <c r="BM12" s="530"/>
      <c r="BN12" s="530"/>
      <c r="BO12" s="530"/>
      <c r="BP12" s="530"/>
      <c r="BQ12" s="530"/>
      <c r="BR12" s="530"/>
      <c r="BS12" s="530"/>
      <c r="BT12" s="530"/>
      <c r="BU12" s="530"/>
      <c r="BV12" s="530"/>
      <c r="BW12" s="530"/>
      <c r="BX12" s="530"/>
      <c r="BY12" s="530"/>
      <c r="BZ12" s="530"/>
      <c r="CA12" s="530"/>
      <c r="CB12" s="530"/>
      <c r="CC12" s="530"/>
      <c r="CD12" s="530"/>
      <c r="CE12" s="530"/>
      <c r="CF12" s="530"/>
      <c r="CG12" s="530"/>
      <c r="CH12" s="530"/>
      <c r="CI12" s="530"/>
      <c r="CJ12" s="530"/>
      <c r="CK12" s="530"/>
      <c r="CL12" s="530"/>
      <c r="CM12" s="530"/>
      <c r="CN12" s="530"/>
      <c r="CO12" s="530"/>
      <c r="CP12" s="530"/>
      <c r="CQ12" s="530"/>
      <c r="CR12" s="530"/>
      <c r="CS12" s="530"/>
      <c r="CT12" s="530"/>
      <c r="CU12" s="530"/>
      <c r="CV12" s="530"/>
      <c r="CW12" s="530"/>
      <c r="CX12" s="530"/>
      <c r="CY12" s="530"/>
      <c r="CZ12" s="530"/>
      <c r="DA12" s="530"/>
      <c r="DB12" s="530"/>
      <c r="DC12" s="530"/>
      <c r="DD12" s="530"/>
      <c r="DE12" s="530"/>
      <c r="DF12" s="530"/>
      <c r="DG12" s="530"/>
      <c r="DH12" s="530"/>
      <c r="DI12" s="530"/>
      <c r="DJ12" s="530"/>
      <c r="DK12" s="530"/>
      <c r="DL12" s="530"/>
      <c r="DM12" s="530"/>
      <c r="DN12" s="530"/>
      <c r="DO12" s="530"/>
      <c r="DP12" s="530"/>
      <c r="DQ12" s="530"/>
      <c r="DR12" s="530"/>
      <c r="DS12" s="530"/>
      <c r="DT12" s="530"/>
      <c r="DU12" s="530"/>
      <c r="DV12" s="530"/>
      <c r="DW12" s="530"/>
      <c r="DX12" s="530"/>
      <c r="DY12" s="530"/>
      <c r="DZ12" s="530"/>
      <c r="EA12" s="530"/>
      <c r="EB12" s="530"/>
      <c r="EC12" s="530"/>
      <c r="ED12" s="530"/>
      <c r="EE12" s="530"/>
      <c r="EF12" s="530"/>
      <c r="EG12" s="530"/>
      <c r="EH12" s="530"/>
      <c r="EI12" s="530"/>
      <c r="EJ12" s="530"/>
      <c r="EK12" s="530"/>
      <c r="EL12" s="530"/>
      <c r="EM12" s="530"/>
      <c r="EN12" s="530"/>
      <c r="EO12" s="530"/>
      <c r="EP12" s="530"/>
      <c r="EQ12" s="530"/>
      <c r="ER12" s="530"/>
      <c r="ES12" s="530"/>
      <c r="ET12" s="530"/>
      <c r="EU12" s="530"/>
      <c r="EV12" s="530"/>
      <c r="EW12" s="530"/>
      <c r="EX12" s="530"/>
      <c r="EY12" s="530"/>
      <c r="EZ12" s="530"/>
      <c r="FA12" s="530"/>
      <c r="FB12" s="530"/>
      <c r="FC12" s="530"/>
      <c r="FD12" s="530"/>
      <c r="FE12" s="530"/>
      <c r="FF12" s="530"/>
      <c r="FG12" s="530"/>
      <c r="FH12" s="530"/>
      <c r="FI12" s="530"/>
      <c r="FJ12" s="530"/>
      <c r="FK12" s="530"/>
      <c r="FL12" s="530"/>
      <c r="FM12" s="530"/>
      <c r="FN12" s="530"/>
      <c r="FO12" s="530"/>
      <c r="FP12" s="530"/>
      <c r="FQ12" s="530"/>
      <c r="FR12" s="530"/>
      <c r="FS12" s="530"/>
    </row>
    <row r="13" customFormat="false" ht="13.8" hidden="false" customHeight="false" outlineLevel="0" collapsed="false">
      <c r="A13" s="162"/>
      <c r="B13" s="23"/>
      <c r="C13" s="454"/>
      <c r="D13" s="102"/>
      <c r="E13" s="102"/>
      <c r="F13" s="102"/>
      <c r="G13" s="102"/>
      <c r="H13" s="290"/>
      <c r="I13" s="290"/>
      <c r="J13" s="102"/>
      <c r="K13" s="290"/>
      <c r="L13" s="290"/>
      <c r="M13" s="290"/>
      <c r="N13" s="102"/>
      <c r="O13" s="290"/>
      <c r="P13" s="290"/>
      <c r="Q13" s="290"/>
      <c r="R13" s="290"/>
      <c r="S13" s="290"/>
      <c r="T13" s="290"/>
      <c r="U13" s="290"/>
      <c r="V13" s="290"/>
      <c r="W13" s="290"/>
      <c r="X13" s="290"/>
      <c r="Y13" s="290"/>
      <c r="Z13" s="290"/>
      <c r="AA13" s="290"/>
      <c r="AB13" s="500"/>
      <c r="AF13" s="742"/>
      <c r="AG13" s="742"/>
    </row>
    <row r="14" s="743" customFormat="true" ht="13.8" hidden="false" customHeight="false" outlineLevel="0" collapsed="false">
      <c r="A14" s="161" t="s">
        <v>56</v>
      </c>
      <c r="B14" s="289" t="s">
        <v>137</v>
      </c>
      <c r="C14" s="498" t="n">
        <v>1</v>
      </c>
      <c r="D14" s="649" t="n">
        <v>0.861</v>
      </c>
      <c r="E14" s="652"/>
      <c r="F14" s="652"/>
      <c r="G14" s="649" t="n">
        <v>0.04</v>
      </c>
      <c r="H14" s="652"/>
      <c r="I14" s="652"/>
      <c r="J14" s="652"/>
      <c r="K14" s="652"/>
      <c r="L14" s="652"/>
      <c r="M14" s="652"/>
      <c r="N14" s="652"/>
      <c r="O14" s="652"/>
      <c r="P14" s="652"/>
      <c r="Q14" s="652"/>
      <c r="R14" s="652"/>
      <c r="S14" s="652"/>
      <c r="T14" s="652"/>
      <c r="U14" s="652"/>
      <c r="V14" s="652"/>
      <c r="W14" s="652"/>
      <c r="X14" s="652"/>
      <c r="Y14" s="652"/>
      <c r="Z14" s="652"/>
      <c r="AA14" s="652"/>
      <c r="AB14" s="502"/>
      <c r="AC14" s="642" t="s">
        <v>1175</v>
      </c>
      <c r="AD14" s="642" t="s">
        <v>1173</v>
      </c>
      <c r="AE14" s="530"/>
      <c r="AF14" s="742"/>
      <c r="AG14" s="742"/>
      <c r="AH14" s="530"/>
      <c r="AI14" s="530"/>
      <c r="AJ14" s="530"/>
      <c r="AK14" s="530"/>
      <c r="AL14" s="530"/>
      <c r="AM14" s="530"/>
      <c r="AN14" s="530"/>
      <c r="AO14" s="530"/>
      <c r="AP14" s="530"/>
      <c r="AQ14" s="530"/>
      <c r="AR14" s="530"/>
      <c r="AS14" s="530"/>
      <c r="AT14" s="530"/>
      <c r="AU14" s="530"/>
      <c r="AV14" s="530"/>
      <c r="AW14" s="530"/>
      <c r="AX14" s="530"/>
      <c r="AY14" s="530"/>
      <c r="AZ14" s="530"/>
      <c r="BA14" s="530"/>
      <c r="BB14" s="530"/>
      <c r="BC14" s="530"/>
      <c r="BD14" s="530"/>
      <c r="BE14" s="530"/>
      <c r="BF14" s="530"/>
      <c r="BG14" s="530"/>
      <c r="BH14" s="530"/>
      <c r="BI14" s="530"/>
      <c r="BJ14" s="530"/>
      <c r="BK14" s="530"/>
      <c r="BL14" s="530"/>
      <c r="BM14" s="530"/>
      <c r="BN14" s="530"/>
      <c r="BO14" s="530"/>
      <c r="BP14" s="530"/>
      <c r="BQ14" s="530"/>
      <c r="BR14" s="530"/>
      <c r="BS14" s="530"/>
      <c r="BT14" s="530"/>
      <c r="BU14" s="530"/>
      <c r="BV14" s="530"/>
      <c r="BW14" s="530"/>
      <c r="BX14" s="530"/>
      <c r="BY14" s="530"/>
      <c r="BZ14" s="530"/>
      <c r="CA14" s="530"/>
      <c r="CB14" s="530"/>
      <c r="CC14" s="530"/>
      <c r="CD14" s="530"/>
      <c r="CE14" s="530"/>
      <c r="CF14" s="530"/>
      <c r="CG14" s="530"/>
      <c r="CH14" s="530"/>
      <c r="CI14" s="530"/>
      <c r="CJ14" s="530"/>
      <c r="CK14" s="530"/>
      <c r="CL14" s="530"/>
      <c r="CM14" s="530"/>
      <c r="CN14" s="530"/>
      <c r="CO14" s="530"/>
      <c r="CP14" s="530"/>
      <c r="CQ14" s="530"/>
      <c r="CR14" s="530"/>
      <c r="CS14" s="530"/>
      <c r="CT14" s="530"/>
      <c r="CU14" s="530"/>
      <c r="CV14" s="530"/>
      <c r="CW14" s="530"/>
      <c r="CX14" s="530"/>
      <c r="CY14" s="530"/>
      <c r="CZ14" s="530"/>
      <c r="DA14" s="530"/>
      <c r="DB14" s="530"/>
      <c r="DC14" s="530"/>
      <c r="DD14" s="530"/>
      <c r="DE14" s="530"/>
      <c r="DF14" s="530"/>
      <c r="DG14" s="530"/>
      <c r="DH14" s="530"/>
      <c r="DI14" s="530"/>
      <c r="DJ14" s="530"/>
      <c r="DK14" s="530"/>
      <c r="DL14" s="530"/>
      <c r="DM14" s="530"/>
      <c r="DN14" s="530"/>
      <c r="DO14" s="530"/>
      <c r="DP14" s="530"/>
      <c r="DQ14" s="530"/>
      <c r="DR14" s="530"/>
      <c r="DS14" s="530"/>
      <c r="DT14" s="530"/>
      <c r="DU14" s="530"/>
      <c r="DV14" s="530"/>
      <c r="DW14" s="530"/>
      <c r="DX14" s="530"/>
      <c r="DY14" s="530"/>
      <c r="DZ14" s="530"/>
      <c r="EA14" s="530"/>
      <c r="EB14" s="530"/>
      <c r="EC14" s="530"/>
      <c r="ED14" s="530"/>
      <c r="EE14" s="530"/>
      <c r="EF14" s="530"/>
      <c r="EG14" s="530"/>
      <c r="EH14" s="530"/>
      <c r="EI14" s="530"/>
      <c r="EJ14" s="530"/>
      <c r="EK14" s="530"/>
      <c r="EL14" s="530"/>
      <c r="EM14" s="530"/>
      <c r="EN14" s="530"/>
      <c r="EO14" s="530"/>
      <c r="EP14" s="530"/>
      <c r="EQ14" s="530"/>
      <c r="ER14" s="530"/>
      <c r="ES14" s="530"/>
      <c r="ET14" s="530"/>
      <c r="EU14" s="530"/>
      <c r="EV14" s="530"/>
      <c r="EW14" s="530"/>
      <c r="EX14" s="530"/>
      <c r="EY14" s="530"/>
      <c r="EZ14" s="530"/>
      <c r="FA14" s="530"/>
      <c r="FB14" s="530"/>
      <c r="FC14" s="530"/>
      <c r="FD14" s="530"/>
      <c r="FE14" s="530"/>
      <c r="FF14" s="530"/>
      <c r="FG14" s="530"/>
      <c r="FH14" s="530"/>
      <c r="FI14" s="530"/>
      <c r="FJ14" s="530"/>
      <c r="FK14" s="530"/>
      <c r="FL14" s="530"/>
      <c r="FM14" s="530"/>
      <c r="FN14" s="530"/>
      <c r="FO14" s="530"/>
      <c r="FP14" s="530"/>
      <c r="FQ14" s="530"/>
      <c r="FR14" s="530"/>
      <c r="FS14" s="530"/>
    </row>
    <row r="15" customFormat="false" ht="13.8" hidden="false" customHeight="false" outlineLevel="0" collapsed="false">
      <c r="A15" s="162"/>
      <c r="B15" s="23"/>
      <c r="C15" s="454"/>
      <c r="D15" s="102"/>
      <c r="E15" s="290"/>
      <c r="F15" s="290"/>
      <c r="G15" s="102"/>
      <c r="H15" s="290"/>
      <c r="I15" s="290"/>
      <c r="J15" s="290"/>
      <c r="K15" s="290"/>
      <c r="L15" s="290"/>
      <c r="M15" s="290"/>
      <c r="N15" s="290"/>
      <c r="O15" s="290"/>
      <c r="P15" s="290"/>
      <c r="Q15" s="290"/>
      <c r="R15" s="290"/>
      <c r="S15" s="290"/>
      <c r="T15" s="290"/>
      <c r="U15" s="290"/>
      <c r="V15" s="290"/>
      <c r="W15" s="290"/>
      <c r="X15" s="290"/>
      <c r="Y15" s="290"/>
      <c r="Z15" s="290"/>
      <c r="AA15" s="290"/>
      <c r="AB15" s="500"/>
      <c r="AF15" s="742"/>
      <c r="AG15" s="742"/>
    </row>
    <row r="16" s="743" customFormat="true" ht="13.8" hidden="false" customHeight="false" outlineLevel="0" collapsed="false">
      <c r="A16" s="161" t="s">
        <v>62</v>
      </c>
      <c r="B16" s="289" t="s">
        <v>137</v>
      </c>
      <c r="C16" s="498" t="n">
        <v>1</v>
      </c>
      <c r="D16" s="649" t="n">
        <v>0.541</v>
      </c>
      <c r="E16" s="652"/>
      <c r="F16" s="652"/>
      <c r="G16" s="649" t="n">
        <v>0.014</v>
      </c>
      <c r="H16" s="652"/>
      <c r="I16" s="652"/>
      <c r="J16" s="652"/>
      <c r="K16" s="652"/>
      <c r="L16" s="652"/>
      <c r="M16" s="652"/>
      <c r="N16" s="652"/>
      <c r="O16" s="652"/>
      <c r="P16" s="652"/>
      <c r="Q16" s="652"/>
      <c r="R16" s="652"/>
      <c r="S16" s="652"/>
      <c r="T16" s="652"/>
      <c r="U16" s="652"/>
      <c r="V16" s="652"/>
      <c r="W16" s="652"/>
      <c r="X16" s="652"/>
      <c r="Y16" s="652"/>
      <c r="Z16" s="652"/>
      <c r="AA16" s="652"/>
      <c r="AB16" s="502"/>
      <c r="AC16" s="642" t="s">
        <v>1175</v>
      </c>
      <c r="AD16" s="642" t="s">
        <v>1173</v>
      </c>
      <c r="AE16" s="530"/>
      <c r="AF16" s="742"/>
      <c r="AG16" s="742"/>
      <c r="AH16" s="530"/>
      <c r="AI16" s="530"/>
      <c r="AJ16" s="530"/>
      <c r="AK16" s="530"/>
      <c r="AL16" s="530"/>
      <c r="AM16" s="530"/>
      <c r="AN16" s="530"/>
      <c r="AO16" s="530"/>
      <c r="AP16" s="530"/>
      <c r="AQ16" s="530"/>
      <c r="AR16" s="530"/>
      <c r="AS16" s="530"/>
      <c r="AT16" s="530"/>
      <c r="AU16" s="530"/>
      <c r="AV16" s="530"/>
      <c r="AW16" s="530"/>
      <c r="AX16" s="530"/>
      <c r="AY16" s="530"/>
      <c r="AZ16" s="530"/>
      <c r="BA16" s="530"/>
      <c r="BB16" s="530"/>
      <c r="BC16" s="530"/>
      <c r="BD16" s="530"/>
      <c r="BE16" s="530"/>
      <c r="BF16" s="530"/>
      <c r="BG16" s="530"/>
      <c r="BH16" s="530"/>
      <c r="BI16" s="530"/>
      <c r="BJ16" s="530"/>
      <c r="BK16" s="530"/>
      <c r="BL16" s="530"/>
      <c r="BM16" s="530"/>
      <c r="BN16" s="530"/>
      <c r="BO16" s="530"/>
      <c r="BP16" s="530"/>
      <c r="BQ16" s="530"/>
      <c r="BR16" s="530"/>
      <c r="BS16" s="530"/>
      <c r="BT16" s="530"/>
      <c r="BU16" s="530"/>
      <c r="BV16" s="530"/>
      <c r="BW16" s="530"/>
      <c r="BX16" s="530"/>
      <c r="BY16" s="530"/>
      <c r="BZ16" s="530"/>
      <c r="CA16" s="530"/>
      <c r="CB16" s="530"/>
      <c r="CC16" s="530"/>
      <c r="CD16" s="530"/>
      <c r="CE16" s="530"/>
      <c r="CF16" s="530"/>
      <c r="CG16" s="530"/>
      <c r="CH16" s="530"/>
      <c r="CI16" s="530"/>
      <c r="CJ16" s="530"/>
      <c r="CK16" s="530"/>
      <c r="CL16" s="530"/>
      <c r="CM16" s="530"/>
      <c r="CN16" s="530"/>
      <c r="CO16" s="530"/>
      <c r="CP16" s="530"/>
      <c r="CQ16" s="530"/>
      <c r="CR16" s="530"/>
      <c r="CS16" s="530"/>
      <c r="CT16" s="530"/>
      <c r="CU16" s="530"/>
      <c r="CV16" s="530"/>
      <c r="CW16" s="530"/>
      <c r="CX16" s="530"/>
      <c r="CY16" s="530"/>
      <c r="CZ16" s="530"/>
      <c r="DA16" s="530"/>
      <c r="DB16" s="530"/>
      <c r="DC16" s="530"/>
      <c r="DD16" s="530"/>
      <c r="DE16" s="530"/>
      <c r="DF16" s="530"/>
      <c r="DG16" s="530"/>
      <c r="DH16" s="530"/>
      <c r="DI16" s="530"/>
      <c r="DJ16" s="530"/>
      <c r="DK16" s="530"/>
      <c r="DL16" s="530"/>
      <c r="DM16" s="530"/>
      <c r="DN16" s="530"/>
      <c r="DO16" s="530"/>
      <c r="DP16" s="530"/>
      <c r="DQ16" s="530"/>
      <c r="DR16" s="530"/>
      <c r="DS16" s="530"/>
      <c r="DT16" s="530"/>
      <c r="DU16" s="530"/>
      <c r="DV16" s="530"/>
      <c r="DW16" s="530"/>
      <c r="DX16" s="530"/>
      <c r="DY16" s="530"/>
      <c r="DZ16" s="530"/>
      <c r="EA16" s="530"/>
      <c r="EB16" s="530"/>
      <c r="EC16" s="530"/>
      <c r="ED16" s="530"/>
      <c r="EE16" s="530"/>
      <c r="EF16" s="530"/>
      <c r="EG16" s="530"/>
      <c r="EH16" s="530"/>
      <c r="EI16" s="530"/>
      <c r="EJ16" s="530"/>
      <c r="EK16" s="530"/>
      <c r="EL16" s="530"/>
      <c r="EM16" s="530"/>
      <c r="EN16" s="530"/>
      <c r="EO16" s="530"/>
      <c r="EP16" s="530"/>
      <c r="EQ16" s="530"/>
      <c r="ER16" s="530"/>
      <c r="ES16" s="530"/>
      <c r="ET16" s="530"/>
      <c r="EU16" s="530"/>
      <c r="EV16" s="530"/>
      <c r="EW16" s="530"/>
      <c r="EX16" s="530"/>
      <c r="EY16" s="530"/>
      <c r="EZ16" s="530"/>
      <c r="FA16" s="530"/>
      <c r="FB16" s="530"/>
      <c r="FC16" s="530"/>
      <c r="FD16" s="530"/>
      <c r="FE16" s="530"/>
      <c r="FF16" s="530"/>
      <c r="FG16" s="530"/>
      <c r="FH16" s="530"/>
      <c r="FI16" s="530"/>
      <c r="FJ16" s="530"/>
      <c r="FK16" s="530"/>
      <c r="FL16" s="530"/>
      <c r="FM16" s="530"/>
      <c r="FN16" s="530"/>
      <c r="FO16" s="530"/>
      <c r="FP16" s="530"/>
      <c r="FQ16" s="530"/>
      <c r="FR16" s="530"/>
      <c r="FS16" s="530"/>
    </row>
    <row r="17" customFormat="false" ht="13.8" hidden="false" customHeight="false" outlineLevel="0" collapsed="false">
      <c r="A17" s="162"/>
      <c r="B17" s="23"/>
      <c r="C17" s="454"/>
      <c r="D17" s="102"/>
      <c r="E17" s="290"/>
      <c r="F17" s="290"/>
      <c r="G17" s="102"/>
      <c r="H17" s="290"/>
      <c r="I17" s="290"/>
      <c r="J17" s="290"/>
      <c r="K17" s="290"/>
      <c r="L17" s="290"/>
      <c r="M17" s="290"/>
      <c r="N17" s="290"/>
      <c r="O17" s="290"/>
      <c r="P17" s="290"/>
      <c r="Q17" s="290"/>
      <c r="R17" s="290"/>
      <c r="S17" s="290"/>
      <c r="T17" s="290"/>
      <c r="U17" s="290"/>
      <c r="V17" s="290"/>
      <c r="W17" s="290"/>
      <c r="X17" s="290"/>
      <c r="Y17" s="290"/>
      <c r="Z17" s="290"/>
      <c r="AA17" s="290"/>
      <c r="AB17" s="500"/>
      <c r="AF17" s="742"/>
      <c r="AG17" s="742"/>
    </row>
    <row r="18" s="743" customFormat="true" ht="13.8" hidden="false" customHeight="false" outlineLevel="0" collapsed="false">
      <c r="A18" s="161" t="s">
        <v>68</v>
      </c>
      <c r="B18" s="289" t="s">
        <v>137</v>
      </c>
      <c r="C18" s="498" t="n">
        <v>1</v>
      </c>
      <c r="D18" s="649" t="n">
        <v>0.3</v>
      </c>
      <c r="E18" s="649" t="n">
        <v>0.3</v>
      </c>
      <c r="F18" s="649"/>
      <c r="G18" s="649" t="n">
        <v>0.009</v>
      </c>
      <c r="H18" s="652"/>
      <c r="I18" s="652"/>
      <c r="J18" s="652"/>
      <c r="K18" s="652"/>
      <c r="L18" s="652"/>
      <c r="M18" s="652"/>
      <c r="N18" s="652"/>
      <c r="O18" s="652"/>
      <c r="P18" s="652"/>
      <c r="Q18" s="652"/>
      <c r="R18" s="652"/>
      <c r="S18" s="652"/>
      <c r="T18" s="652"/>
      <c r="U18" s="652"/>
      <c r="V18" s="652"/>
      <c r="W18" s="652"/>
      <c r="X18" s="652"/>
      <c r="Y18" s="652"/>
      <c r="Z18" s="652"/>
      <c r="AA18" s="652"/>
      <c r="AB18" s="502"/>
      <c r="AC18" s="642" t="s">
        <v>1175</v>
      </c>
      <c r="AD18" s="642" t="s">
        <v>1173</v>
      </c>
      <c r="AE18" s="530"/>
      <c r="AF18" s="742"/>
      <c r="AG18" s="742"/>
      <c r="AH18" s="530"/>
      <c r="AI18" s="530"/>
      <c r="AJ18" s="530"/>
      <c r="AK18" s="530"/>
      <c r="AL18" s="530"/>
      <c r="AM18" s="530"/>
      <c r="AN18" s="530"/>
      <c r="AO18" s="530"/>
      <c r="AP18" s="530"/>
      <c r="AQ18" s="530"/>
      <c r="AR18" s="530"/>
      <c r="AS18" s="530"/>
      <c r="AT18" s="530"/>
      <c r="AU18" s="530"/>
      <c r="AV18" s="530"/>
      <c r="AW18" s="530"/>
      <c r="AX18" s="530"/>
      <c r="AY18" s="530"/>
      <c r="AZ18" s="530"/>
      <c r="BA18" s="530"/>
      <c r="BB18" s="530"/>
      <c r="BC18" s="530"/>
      <c r="BD18" s="530"/>
      <c r="BE18" s="530"/>
      <c r="BF18" s="530"/>
      <c r="BG18" s="530"/>
      <c r="BH18" s="530"/>
      <c r="BI18" s="530"/>
      <c r="BJ18" s="530"/>
      <c r="BK18" s="530"/>
      <c r="BL18" s="530"/>
      <c r="BM18" s="530"/>
      <c r="BN18" s="530"/>
      <c r="BO18" s="530"/>
      <c r="BP18" s="530"/>
      <c r="BQ18" s="530"/>
      <c r="BR18" s="530"/>
      <c r="BS18" s="530"/>
      <c r="BT18" s="530"/>
      <c r="BU18" s="530"/>
      <c r="BV18" s="530"/>
      <c r="BW18" s="530"/>
      <c r="BX18" s="530"/>
      <c r="BY18" s="530"/>
      <c r="BZ18" s="530"/>
      <c r="CA18" s="530"/>
      <c r="CB18" s="530"/>
      <c r="CC18" s="530"/>
      <c r="CD18" s="530"/>
      <c r="CE18" s="530"/>
      <c r="CF18" s="530"/>
      <c r="CG18" s="530"/>
      <c r="CH18" s="530"/>
      <c r="CI18" s="530"/>
      <c r="CJ18" s="530"/>
      <c r="CK18" s="530"/>
      <c r="CL18" s="530"/>
      <c r="CM18" s="530"/>
      <c r="CN18" s="530"/>
      <c r="CO18" s="530"/>
      <c r="CP18" s="530"/>
      <c r="CQ18" s="530"/>
      <c r="CR18" s="530"/>
      <c r="CS18" s="530"/>
      <c r="CT18" s="530"/>
      <c r="CU18" s="530"/>
      <c r="CV18" s="530"/>
      <c r="CW18" s="530"/>
      <c r="CX18" s="530"/>
      <c r="CY18" s="530"/>
      <c r="CZ18" s="530"/>
      <c r="DA18" s="530"/>
      <c r="DB18" s="530"/>
      <c r="DC18" s="530"/>
      <c r="DD18" s="530"/>
      <c r="DE18" s="530"/>
      <c r="DF18" s="530"/>
      <c r="DG18" s="530"/>
      <c r="DH18" s="530"/>
      <c r="DI18" s="530"/>
      <c r="DJ18" s="530"/>
      <c r="DK18" s="530"/>
      <c r="DL18" s="530"/>
      <c r="DM18" s="530"/>
      <c r="DN18" s="530"/>
      <c r="DO18" s="530"/>
      <c r="DP18" s="530"/>
      <c r="DQ18" s="530"/>
      <c r="DR18" s="530"/>
      <c r="DS18" s="530"/>
      <c r="DT18" s="530"/>
      <c r="DU18" s="530"/>
      <c r="DV18" s="530"/>
      <c r="DW18" s="530"/>
      <c r="DX18" s="530"/>
      <c r="DY18" s="530"/>
      <c r="DZ18" s="530"/>
      <c r="EA18" s="530"/>
      <c r="EB18" s="530"/>
      <c r="EC18" s="530"/>
      <c r="ED18" s="530"/>
      <c r="EE18" s="530"/>
      <c r="EF18" s="530"/>
      <c r="EG18" s="530"/>
      <c r="EH18" s="530"/>
      <c r="EI18" s="530"/>
      <c r="EJ18" s="530"/>
      <c r="EK18" s="530"/>
      <c r="EL18" s="530"/>
      <c r="EM18" s="530"/>
      <c r="EN18" s="530"/>
      <c r="EO18" s="530"/>
      <c r="EP18" s="530"/>
      <c r="EQ18" s="530"/>
      <c r="ER18" s="530"/>
      <c r="ES18" s="530"/>
      <c r="ET18" s="530"/>
      <c r="EU18" s="530"/>
      <c r="EV18" s="530"/>
      <c r="EW18" s="530"/>
      <c r="EX18" s="530"/>
      <c r="EY18" s="530"/>
      <c r="EZ18" s="530"/>
      <c r="FA18" s="530"/>
      <c r="FB18" s="530"/>
      <c r="FC18" s="530"/>
      <c r="FD18" s="530"/>
      <c r="FE18" s="530"/>
      <c r="FF18" s="530"/>
      <c r="FG18" s="530"/>
      <c r="FH18" s="530"/>
      <c r="FI18" s="530"/>
      <c r="FJ18" s="530"/>
      <c r="FK18" s="530"/>
      <c r="FL18" s="530"/>
      <c r="FM18" s="530"/>
      <c r="FN18" s="530"/>
      <c r="FO18" s="530"/>
      <c r="FP18" s="530"/>
      <c r="FQ18" s="530"/>
      <c r="FR18" s="530"/>
      <c r="FS18" s="530"/>
    </row>
    <row r="19" customFormat="false" ht="13.8" hidden="false" customHeight="false" outlineLevel="0" collapsed="false">
      <c r="A19" s="162"/>
      <c r="B19" s="23"/>
      <c r="C19" s="454"/>
      <c r="D19" s="102"/>
      <c r="E19" s="102"/>
      <c r="F19" s="102"/>
      <c r="G19" s="102"/>
      <c r="H19" s="290"/>
      <c r="I19" s="290"/>
      <c r="J19" s="290"/>
      <c r="K19" s="290"/>
      <c r="L19" s="290"/>
      <c r="M19" s="290"/>
      <c r="N19" s="290"/>
      <c r="O19" s="290"/>
      <c r="P19" s="290"/>
      <c r="Q19" s="290"/>
      <c r="R19" s="290"/>
      <c r="S19" s="290"/>
      <c r="T19" s="290"/>
      <c r="U19" s="290"/>
      <c r="V19" s="290"/>
      <c r="W19" s="290"/>
      <c r="X19" s="290"/>
      <c r="Y19" s="290"/>
      <c r="Z19" s="290"/>
      <c r="AA19" s="290"/>
      <c r="AB19" s="500"/>
      <c r="AF19" s="742"/>
      <c r="AG19" s="742"/>
    </row>
    <row r="20" s="743" customFormat="true" ht="13.8" hidden="false" customHeight="false" outlineLevel="0" collapsed="false">
      <c r="A20" s="161" t="s">
        <v>74</v>
      </c>
      <c r="B20" s="289" t="s">
        <v>137</v>
      </c>
      <c r="C20" s="498" t="n">
        <v>1</v>
      </c>
      <c r="D20" s="652"/>
      <c r="E20" s="649" t="n">
        <v>0.724</v>
      </c>
      <c r="F20" s="649"/>
      <c r="G20" s="652"/>
      <c r="H20" s="652"/>
      <c r="I20" s="652"/>
      <c r="J20" s="652"/>
      <c r="K20" s="652"/>
      <c r="L20" s="652"/>
      <c r="M20" s="652"/>
      <c r="N20" s="652"/>
      <c r="O20" s="652"/>
      <c r="P20" s="652"/>
      <c r="Q20" s="652"/>
      <c r="R20" s="652"/>
      <c r="S20" s="652"/>
      <c r="T20" s="652"/>
      <c r="U20" s="652"/>
      <c r="V20" s="652"/>
      <c r="W20" s="652"/>
      <c r="X20" s="652"/>
      <c r="Y20" s="652"/>
      <c r="Z20" s="652"/>
      <c r="AA20" s="652"/>
      <c r="AB20" s="502"/>
      <c r="AC20" s="642" t="s">
        <v>1175</v>
      </c>
      <c r="AD20" s="642" t="s">
        <v>1173</v>
      </c>
      <c r="AE20" s="530"/>
      <c r="AF20" s="742"/>
      <c r="AG20" s="742"/>
      <c r="AH20" s="530"/>
      <c r="AI20" s="530"/>
      <c r="AJ20" s="530"/>
      <c r="AK20" s="530"/>
      <c r="AL20" s="530"/>
      <c r="AM20" s="530"/>
      <c r="AN20" s="530"/>
      <c r="AO20" s="530"/>
      <c r="AP20" s="530"/>
      <c r="AQ20" s="530"/>
      <c r="AR20" s="530"/>
      <c r="AS20" s="530"/>
      <c r="AT20" s="530"/>
      <c r="AU20" s="530"/>
      <c r="AV20" s="530"/>
      <c r="AW20" s="530"/>
      <c r="AX20" s="530"/>
      <c r="AY20" s="530"/>
      <c r="AZ20" s="530"/>
      <c r="BA20" s="530"/>
      <c r="BB20" s="530"/>
      <c r="BC20" s="530"/>
      <c r="BD20" s="530"/>
      <c r="BE20" s="530"/>
      <c r="BF20" s="530"/>
      <c r="BG20" s="530"/>
      <c r="BH20" s="530"/>
      <c r="BI20" s="530"/>
      <c r="BJ20" s="530"/>
      <c r="BK20" s="530"/>
      <c r="BL20" s="530"/>
      <c r="BM20" s="530"/>
      <c r="BN20" s="530"/>
      <c r="BO20" s="530"/>
      <c r="BP20" s="530"/>
      <c r="BQ20" s="530"/>
      <c r="BR20" s="530"/>
      <c r="BS20" s="530"/>
      <c r="BT20" s="530"/>
      <c r="BU20" s="530"/>
      <c r="BV20" s="530"/>
      <c r="BW20" s="530"/>
      <c r="BX20" s="530"/>
      <c r="BY20" s="530"/>
      <c r="BZ20" s="530"/>
      <c r="CA20" s="530"/>
      <c r="CB20" s="530"/>
      <c r="CC20" s="530"/>
      <c r="CD20" s="530"/>
      <c r="CE20" s="530"/>
      <c r="CF20" s="530"/>
      <c r="CG20" s="530"/>
      <c r="CH20" s="530"/>
      <c r="CI20" s="530"/>
      <c r="CJ20" s="530"/>
      <c r="CK20" s="530"/>
      <c r="CL20" s="530"/>
      <c r="CM20" s="530"/>
      <c r="CN20" s="530"/>
      <c r="CO20" s="530"/>
      <c r="CP20" s="530"/>
      <c r="CQ20" s="530"/>
      <c r="CR20" s="530"/>
      <c r="CS20" s="530"/>
      <c r="CT20" s="530"/>
      <c r="CU20" s="530"/>
      <c r="CV20" s="530"/>
      <c r="CW20" s="530"/>
      <c r="CX20" s="530"/>
      <c r="CY20" s="530"/>
      <c r="CZ20" s="530"/>
      <c r="DA20" s="530"/>
      <c r="DB20" s="530"/>
      <c r="DC20" s="530"/>
      <c r="DD20" s="530"/>
      <c r="DE20" s="530"/>
      <c r="DF20" s="530"/>
      <c r="DG20" s="530"/>
      <c r="DH20" s="530"/>
      <c r="DI20" s="530"/>
      <c r="DJ20" s="530"/>
      <c r="DK20" s="530"/>
      <c r="DL20" s="530"/>
      <c r="DM20" s="530"/>
      <c r="DN20" s="530"/>
      <c r="DO20" s="530"/>
      <c r="DP20" s="530"/>
      <c r="DQ20" s="530"/>
      <c r="DR20" s="530"/>
      <c r="DS20" s="530"/>
      <c r="DT20" s="530"/>
      <c r="DU20" s="530"/>
      <c r="DV20" s="530"/>
      <c r="DW20" s="530"/>
      <c r="DX20" s="530"/>
      <c r="DY20" s="530"/>
      <c r="DZ20" s="530"/>
      <c r="EA20" s="530"/>
      <c r="EB20" s="530"/>
      <c r="EC20" s="530"/>
      <c r="ED20" s="530"/>
      <c r="EE20" s="530"/>
      <c r="EF20" s="530"/>
      <c r="EG20" s="530"/>
      <c r="EH20" s="530"/>
      <c r="EI20" s="530"/>
      <c r="EJ20" s="530"/>
      <c r="EK20" s="530"/>
      <c r="EL20" s="530"/>
      <c r="EM20" s="530"/>
      <c r="EN20" s="530"/>
      <c r="EO20" s="530"/>
      <c r="EP20" s="530"/>
      <c r="EQ20" s="530"/>
      <c r="ER20" s="530"/>
      <c r="ES20" s="530"/>
      <c r="ET20" s="530"/>
      <c r="EU20" s="530"/>
      <c r="EV20" s="530"/>
      <c r="EW20" s="530"/>
      <c r="EX20" s="530"/>
      <c r="EY20" s="530"/>
      <c r="EZ20" s="530"/>
      <c r="FA20" s="530"/>
      <c r="FB20" s="530"/>
      <c r="FC20" s="530"/>
      <c r="FD20" s="530"/>
      <c r="FE20" s="530"/>
      <c r="FF20" s="530"/>
      <c r="FG20" s="530"/>
      <c r="FH20" s="530"/>
      <c r="FI20" s="530"/>
      <c r="FJ20" s="530"/>
      <c r="FK20" s="530"/>
      <c r="FL20" s="530"/>
      <c r="FM20" s="530"/>
      <c r="FN20" s="530"/>
      <c r="FO20" s="530"/>
      <c r="FP20" s="530"/>
      <c r="FQ20" s="530"/>
      <c r="FR20" s="530"/>
      <c r="FS20" s="530"/>
    </row>
    <row r="21" customFormat="false" ht="13.8" hidden="false" customHeight="false" outlineLevel="0" collapsed="false">
      <c r="A21" s="162"/>
      <c r="B21" s="23"/>
      <c r="C21" s="454"/>
      <c r="D21" s="290"/>
      <c r="E21" s="102"/>
      <c r="F21" s="102"/>
      <c r="G21" s="290"/>
      <c r="H21" s="290"/>
      <c r="I21" s="290"/>
      <c r="J21" s="290"/>
      <c r="K21" s="290"/>
      <c r="L21" s="290"/>
      <c r="M21" s="290"/>
      <c r="N21" s="290"/>
      <c r="O21" s="290"/>
      <c r="P21" s="290"/>
      <c r="Q21" s="290"/>
      <c r="R21" s="290"/>
      <c r="S21" s="290"/>
      <c r="T21" s="290"/>
      <c r="U21" s="290"/>
      <c r="V21" s="290"/>
      <c r="W21" s="290"/>
      <c r="X21" s="290"/>
      <c r="Y21" s="290"/>
      <c r="Z21" s="290"/>
      <c r="AA21" s="290"/>
      <c r="AB21" s="500"/>
      <c r="AF21" s="742"/>
      <c r="AG21" s="742"/>
    </row>
    <row r="22" s="743" customFormat="true" ht="13.8" hidden="false" customHeight="false" outlineLevel="0" collapsed="false">
      <c r="A22" s="161" t="s">
        <v>80</v>
      </c>
      <c r="B22" s="289" t="s">
        <v>137</v>
      </c>
      <c r="C22" s="498" t="n">
        <v>1</v>
      </c>
      <c r="D22" s="652"/>
      <c r="E22" s="652"/>
      <c r="F22" s="652"/>
      <c r="G22" s="652"/>
      <c r="H22" s="652" t="n">
        <v>0.09</v>
      </c>
      <c r="I22" s="652" t="n">
        <v>0.09</v>
      </c>
      <c r="J22" s="652"/>
      <c r="K22" s="652"/>
      <c r="L22" s="652"/>
      <c r="M22" s="652"/>
      <c r="N22" s="652"/>
      <c r="O22" s="652"/>
      <c r="P22" s="652"/>
      <c r="Q22" s="652"/>
      <c r="R22" s="652"/>
      <c r="S22" s="652"/>
      <c r="T22" s="652" t="n">
        <v>0.34</v>
      </c>
      <c r="U22" s="652"/>
      <c r="V22" s="652" t="n">
        <v>0.34</v>
      </c>
      <c r="W22" s="652" t="n">
        <v>0.15</v>
      </c>
      <c r="X22" s="652"/>
      <c r="Y22" s="652"/>
      <c r="Z22" s="652"/>
      <c r="AA22" s="652"/>
      <c r="AB22" s="502"/>
      <c r="AC22" s="642" t="s">
        <v>1176</v>
      </c>
      <c r="AD22" s="467" t="s">
        <v>1177</v>
      </c>
      <c r="AE22" s="530"/>
      <c r="AF22" s="742"/>
      <c r="AG22" s="742"/>
      <c r="AH22" s="530"/>
      <c r="AI22" s="530"/>
      <c r="AJ22" s="530"/>
      <c r="AK22" s="530"/>
      <c r="AL22" s="530"/>
      <c r="AM22" s="530"/>
      <c r="AN22" s="530"/>
      <c r="AO22" s="530"/>
      <c r="AP22" s="530"/>
      <c r="AQ22" s="530"/>
      <c r="AR22" s="530"/>
      <c r="AS22" s="530"/>
      <c r="AT22" s="530"/>
      <c r="AU22" s="530"/>
      <c r="AV22" s="530"/>
      <c r="AW22" s="530"/>
      <c r="AX22" s="530"/>
      <c r="AY22" s="530"/>
      <c r="AZ22" s="530"/>
      <c r="BA22" s="530"/>
      <c r="BB22" s="530"/>
      <c r="BC22" s="530"/>
      <c r="BD22" s="530"/>
      <c r="BE22" s="530"/>
      <c r="BF22" s="530"/>
      <c r="BG22" s="530"/>
      <c r="BH22" s="530"/>
      <c r="BI22" s="530"/>
      <c r="BJ22" s="530"/>
      <c r="BK22" s="530"/>
      <c r="BL22" s="530"/>
      <c r="BM22" s="530"/>
      <c r="BN22" s="530"/>
      <c r="BO22" s="530"/>
      <c r="BP22" s="530"/>
      <c r="BQ22" s="530"/>
      <c r="BR22" s="530"/>
      <c r="BS22" s="530"/>
      <c r="BT22" s="530"/>
      <c r="BU22" s="530"/>
      <c r="BV22" s="530"/>
      <c r="BW22" s="530"/>
      <c r="BX22" s="530"/>
      <c r="BY22" s="530"/>
      <c r="BZ22" s="530"/>
      <c r="CA22" s="530"/>
      <c r="CB22" s="530"/>
      <c r="CC22" s="530"/>
      <c r="CD22" s="530"/>
      <c r="CE22" s="530"/>
      <c r="CF22" s="530"/>
      <c r="CG22" s="530"/>
      <c r="CH22" s="530"/>
      <c r="CI22" s="530"/>
      <c r="CJ22" s="530"/>
      <c r="CK22" s="530"/>
      <c r="CL22" s="530"/>
      <c r="CM22" s="530"/>
      <c r="CN22" s="530"/>
      <c r="CO22" s="530"/>
      <c r="CP22" s="530"/>
      <c r="CQ22" s="530"/>
      <c r="CR22" s="530"/>
      <c r="CS22" s="530"/>
      <c r="CT22" s="530"/>
      <c r="CU22" s="530"/>
      <c r="CV22" s="530"/>
      <c r="CW22" s="530"/>
      <c r="CX22" s="530"/>
      <c r="CY22" s="530"/>
      <c r="CZ22" s="530"/>
      <c r="DA22" s="530"/>
      <c r="DB22" s="530"/>
      <c r="DC22" s="530"/>
      <c r="DD22" s="530"/>
      <c r="DE22" s="530"/>
      <c r="DF22" s="530"/>
      <c r="DG22" s="530"/>
      <c r="DH22" s="530"/>
      <c r="DI22" s="530"/>
      <c r="DJ22" s="530"/>
      <c r="DK22" s="530"/>
      <c r="DL22" s="530"/>
      <c r="DM22" s="530"/>
      <c r="DN22" s="530"/>
      <c r="DO22" s="530"/>
      <c r="DP22" s="530"/>
      <c r="DQ22" s="530"/>
      <c r="DR22" s="530"/>
      <c r="DS22" s="530"/>
      <c r="DT22" s="530"/>
      <c r="DU22" s="530"/>
      <c r="DV22" s="530"/>
      <c r="DW22" s="530"/>
      <c r="DX22" s="530"/>
      <c r="DY22" s="530"/>
      <c r="DZ22" s="530"/>
      <c r="EA22" s="530"/>
      <c r="EB22" s="530"/>
      <c r="EC22" s="530"/>
      <c r="ED22" s="530"/>
      <c r="EE22" s="530"/>
      <c r="EF22" s="530"/>
      <c r="EG22" s="530"/>
      <c r="EH22" s="530"/>
      <c r="EI22" s="530"/>
      <c r="EJ22" s="530"/>
      <c r="EK22" s="530"/>
      <c r="EL22" s="530"/>
      <c r="EM22" s="530"/>
      <c r="EN22" s="530"/>
      <c r="EO22" s="530"/>
      <c r="EP22" s="530"/>
      <c r="EQ22" s="530"/>
      <c r="ER22" s="530"/>
      <c r="ES22" s="530"/>
      <c r="ET22" s="530"/>
      <c r="EU22" s="530"/>
      <c r="EV22" s="530"/>
      <c r="EW22" s="530"/>
      <c r="EX22" s="530"/>
      <c r="EY22" s="530"/>
      <c r="EZ22" s="530"/>
      <c r="FA22" s="530"/>
      <c r="FB22" s="530"/>
      <c r="FC22" s="530"/>
      <c r="FD22" s="530"/>
      <c r="FE22" s="530"/>
      <c r="FF22" s="530"/>
      <c r="FG22" s="530"/>
      <c r="FH22" s="530"/>
      <c r="FI22" s="530"/>
      <c r="FJ22" s="530"/>
      <c r="FK22" s="530"/>
      <c r="FL22" s="530"/>
      <c r="FM22" s="530"/>
      <c r="FN22" s="530"/>
      <c r="FO22" s="530"/>
      <c r="FP22" s="530"/>
      <c r="FQ22" s="530"/>
      <c r="FR22" s="530"/>
      <c r="FS22" s="530"/>
    </row>
    <row r="23" customFormat="false" ht="13.8" hidden="false" customHeight="false" outlineLevel="0" collapsed="false">
      <c r="A23" s="162"/>
      <c r="B23" s="23"/>
      <c r="C23" s="454"/>
      <c r="D23" s="290"/>
      <c r="E23" s="290"/>
      <c r="F23" s="290"/>
      <c r="G23" s="290"/>
      <c r="H23" s="290"/>
      <c r="I23" s="290"/>
      <c r="J23" s="290"/>
      <c r="K23" s="290"/>
      <c r="L23" s="290"/>
      <c r="M23" s="290"/>
      <c r="N23" s="290"/>
      <c r="O23" s="290"/>
      <c r="P23" s="290"/>
      <c r="Q23" s="290"/>
      <c r="R23" s="290"/>
      <c r="S23" s="290"/>
      <c r="T23" s="290"/>
      <c r="U23" s="290"/>
      <c r="V23" s="290"/>
      <c r="W23" s="290"/>
      <c r="X23" s="290"/>
      <c r="Y23" s="290"/>
      <c r="Z23" s="290"/>
      <c r="AA23" s="290"/>
      <c r="AB23" s="500"/>
      <c r="AF23" s="742"/>
      <c r="AG23" s="742"/>
    </row>
    <row r="24" s="743" customFormat="true" ht="13.8" hidden="false" customHeight="false" outlineLevel="0" collapsed="false">
      <c r="A24" s="161" t="s">
        <v>84</v>
      </c>
      <c r="B24" s="289" t="s">
        <v>137</v>
      </c>
      <c r="C24" s="498" t="n">
        <v>1</v>
      </c>
      <c r="D24" s="652"/>
      <c r="E24" s="652"/>
      <c r="F24" s="652"/>
      <c r="G24" s="652" t="n">
        <v>0.41</v>
      </c>
      <c r="H24" s="652" t="n">
        <v>0.41</v>
      </c>
      <c r="I24" s="652"/>
      <c r="J24" s="652"/>
      <c r="K24" s="652"/>
      <c r="L24" s="652"/>
      <c r="M24" s="652"/>
      <c r="N24" s="652"/>
      <c r="O24" s="652"/>
      <c r="P24" s="652"/>
      <c r="Q24" s="652"/>
      <c r="R24" s="652"/>
      <c r="S24" s="652"/>
      <c r="T24" s="652"/>
      <c r="U24" s="652"/>
      <c r="V24" s="652"/>
      <c r="W24" s="652"/>
      <c r="X24" s="652"/>
      <c r="Y24" s="652"/>
      <c r="Z24" s="652"/>
      <c r="AA24" s="652"/>
      <c r="AB24" s="502"/>
      <c r="AC24" s="744" t="s">
        <v>1178</v>
      </c>
      <c r="AD24" s="642" t="s">
        <v>1173</v>
      </c>
      <c r="AE24" s="530"/>
      <c r="AF24" s="742"/>
      <c r="AG24" s="742"/>
      <c r="AH24" s="530"/>
      <c r="AI24" s="530"/>
      <c r="AJ24" s="530"/>
      <c r="AK24" s="530"/>
      <c r="AL24" s="530"/>
      <c r="AM24" s="530"/>
      <c r="AN24" s="530"/>
      <c r="AO24" s="530"/>
      <c r="AP24" s="530"/>
      <c r="AQ24" s="530"/>
      <c r="AR24" s="530"/>
      <c r="AS24" s="530"/>
      <c r="AT24" s="530"/>
      <c r="AU24" s="530"/>
      <c r="AV24" s="530"/>
      <c r="AW24" s="530"/>
      <c r="AX24" s="530"/>
      <c r="AY24" s="530"/>
      <c r="AZ24" s="530"/>
      <c r="BA24" s="530"/>
      <c r="BB24" s="530"/>
      <c r="BC24" s="530"/>
      <c r="BD24" s="530"/>
      <c r="BE24" s="530"/>
      <c r="BF24" s="530"/>
      <c r="BG24" s="530"/>
      <c r="BH24" s="530"/>
      <c r="BI24" s="530"/>
      <c r="BJ24" s="530"/>
      <c r="BK24" s="530"/>
      <c r="BL24" s="530"/>
      <c r="BM24" s="530"/>
      <c r="BN24" s="530"/>
      <c r="BO24" s="530"/>
      <c r="BP24" s="530"/>
      <c r="BQ24" s="530"/>
      <c r="BR24" s="530"/>
      <c r="BS24" s="530"/>
      <c r="BT24" s="530"/>
      <c r="BU24" s="530"/>
      <c r="BV24" s="530"/>
      <c r="BW24" s="530"/>
      <c r="BX24" s="530"/>
      <c r="BY24" s="530"/>
      <c r="BZ24" s="530"/>
      <c r="CA24" s="530"/>
      <c r="CB24" s="530"/>
      <c r="CC24" s="530"/>
      <c r="CD24" s="530"/>
      <c r="CE24" s="530"/>
      <c r="CF24" s="530"/>
      <c r="CG24" s="530"/>
      <c r="CH24" s="530"/>
      <c r="CI24" s="530"/>
      <c r="CJ24" s="530"/>
      <c r="CK24" s="530"/>
      <c r="CL24" s="530"/>
      <c r="CM24" s="530"/>
      <c r="CN24" s="530"/>
      <c r="CO24" s="530"/>
      <c r="CP24" s="530"/>
      <c r="CQ24" s="530"/>
      <c r="CR24" s="530"/>
      <c r="CS24" s="530"/>
      <c r="CT24" s="530"/>
      <c r="CU24" s="530"/>
      <c r="CV24" s="530"/>
      <c r="CW24" s="530"/>
      <c r="CX24" s="530"/>
      <c r="CY24" s="530"/>
      <c r="CZ24" s="530"/>
      <c r="DA24" s="530"/>
      <c r="DB24" s="530"/>
      <c r="DC24" s="530"/>
      <c r="DD24" s="530"/>
      <c r="DE24" s="530"/>
      <c r="DF24" s="530"/>
      <c r="DG24" s="530"/>
      <c r="DH24" s="530"/>
      <c r="DI24" s="530"/>
      <c r="DJ24" s="530"/>
      <c r="DK24" s="530"/>
      <c r="DL24" s="530"/>
      <c r="DM24" s="530"/>
      <c r="DN24" s="530"/>
      <c r="DO24" s="530"/>
      <c r="DP24" s="530"/>
      <c r="DQ24" s="530"/>
      <c r="DR24" s="530"/>
      <c r="DS24" s="530"/>
      <c r="DT24" s="530"/>
      <c r="DU24" s="530"/>
      <c r="DV24" s="530"/>
      <c r="DW24" s="530"/>
      <c r="DX24" s="530"/>
      <c r="DY24" s="530"/>
      <c r="DZ24" s="530"/>
      <c r="EA24" s="530"/>
      <c r="EB24" s="530"/>
      <c r="EC24" s="530"/>
      <c r="ED24" s="530"/>
      <c r="EE24" s="530"/>
      <c r="EF24" s="530"/>
      <c r="EG24" s="530"/>
      <c r="EH24" s="530"/>
      <c r="EI24" s="530"/>
      <c r="EJ24" s="530"/>
      <c r="EK24" s="530"/>
      <c r="EL24" s="530"/>
      <c r="EM24" s="530"/>
      <c r="EN24" s="530"/>
      <c r="EO24" s="530"/>
      <c r="EP24" s="530"/>
      <c r="EQ24" s="530"/>
      <c r="ER24" s="530"/>
      <c r="ES24" s="530"/>
      <c r="ET24" s="530"/>
      <c r="EU24" s="530"/>
      <c r="EV24" s="530"/>
      <c r="EW24" s="530"/>
      <c r="EX24" s="530"/>
      <c r="EY24" s="530"/>
      <c r="EZ24" s="530"/>
      <c r="FA24" s="530"/>
      <c r="FB24" s="530"/>
      <c r="FC24" s="530"/>
      <c r="FD24" s="530"/>
      <c r="FE24" s="530"/>
      <c r="FF24" s="530"/>
      <c r="FG24" s="530"/>
      <c r="FH24" s="530"/>
      <c r="FI24" s="530"/>
      <c r="FJ24" s="530"/>
      <c r="FK24" s="530"/>
      <c r="FL24" s="530"/>
      <c r="FM24" s="530"/>
      <c r="FN24" s="530"/>
      <c r="FO24" s="530"/>
      <c r="FP24" s="530"/>
      <c r="FQ24" s="530"/>
      <c r="FR24" s="530"/>
      <c r="FS24" s="530"/>
    </row>
    <row r="25" customFormat="false" ht="13.8" hidden="false" customHeight="false" outlineLevel="0" collapsed="false">
      <c r="A25" s="162"/>
      <c r="B25" s="23"/>
      <c r="C25" s="454"/>
      <c r="D25" s="290"/>
      <c r="E25" s="290"/>
      <c r="F25" s="290"/>
      <c r="G25" s="290"/>
      <c r="H25" s="290"/>
      <c r="I25" s="290"/>
      <c r="J25" s="290"/>
      <c r="K25" s="290"/>
      <c r="L25" s="290"/>
      <c r="M25" s="290"/>
      <c r="N25" s="290"/>
      <c r="O25" s="290"/>
      <c r="P25" s="290"/>
      <c r="Q25" s="290"/>
      <c r="R25" s="290"/>
      <c r="S25" s="290"/>
      <c r="T25" s="290"/>
      <c r="U25" s="290"/>
      <c r="V25" s="290"/>
      <c r="W25" s="290"/>
      <c r="X25" s="290"/>
      <c r="Y25" s="290"/>
      <c r="Z25" s="290"/>
      <c r="AA25" s="290"/>
      <c r="AB25" s="500"/>
      <c r="AF25" s="742"/>
      <c r="AG25" s="742"/>
    </row>
    <row r="26" s="743" customFormat="true" ht="13.8" hidden="false" customHeight="false" outlineLevel="0" collapsed="false">
      <c r="A26" s="161" t="s">
        <v>88</v>
      </c>
      <c r="B26" s="289" t="s">
        <v>137</v>
      </c>
      <c r="C26" s="498" t="n">
        <v>1</v>
      </c>
      <c r="D26" s="652"/>
      <c r="E26" s="652"/>
      <c r="F26" s="652"/>
      <c r="G26" s="652" t="n">
        <v>0.2</v>
      </c>
      <c r="H26" s="652" t="n">
        <v>0.2</v>
      </c>
      <c r="I26" s="652"/>
      <c r="J26" s="652"/>
      <c r="K26" s="652"/>
      <c r="L26" s="652"/>
      <c r="M26" s="745"/>
      <c r="N26" s="652"/>
      <c r="O26" s="652"/>
      <c r="P26" s="652"/>
      <c r="Q26" s="652"/>
      <c r="R26" s="652"/>
      <c r="S26" s="652"/>
      <c r="T26" s="652"/>
      <c r="U26" s="652"/>
      <c r="V26" s="652"/>
      <c r="W26" s="652"/>
      <c r="X26" s="652"/>
      <c r="Y26" s="652"/>
      <c r="Z26" s="652"/>
      <c r="AA26" s="652"/>
      <c r="AB26" s="502"/>
      <c r="AC26" s="744" t="s">
        <v>1178</v>
      </c>
      <c r="AD26" s="642" t="s">
        <v>1173</v>
      </c>
      <c r="AE26" s="530"/>
      <c r="AF26" s="742"/>
      <c r="AG26" s="742"/>
      <c r="AH26" s="530"/>
      <c r="AI26" s="530"/>
      <c r="AJ26" s="530"/>
      <c r="AK26" s="530"/>
      <c r="AL26" s="530"/>
      <c r="AM26" s="530"/>
      <c r="AN26" s="530"/>
      <c r="AO26" s="530"/>
      <c r="AP26" s="530"/>
      <c r="AQ26" s="530"/>
      <c r="AR26" s="530"/>
      <c r="AS26" s="530"/>
      <c r="AT26" s="530"/>
      <c r="AU26" s="530"/>
      <c r="AV26" s="530"/>
      <c r="AW26" s="530"/>
      <c r="AX26" s="530"/>
      <c r="AY26" s="530"/>
      <c r="AZ26" s="530"/>
      <c r="BA26" s="530"/>
      <c r="BB26" s="530"/>
      <c r="BC26" s="530"/>
      <c r="BD26" s="530"/>
      <c r="BE26" s="530"/>
      <c r="BF26" s="530"/>
      <c r="BG26" s="530"/>
      <c r="BH26" s="530"/>
      <c r="BI26" s="530"/>
      <c r="BJ26" s="530"/>
      <c r="BK26" s="530"/>
      <c r="BL26" s="530"/>
      <c r="BM26" s="530"/>
      <c r="BN26" s="530"/>
      <c r="BO26" s="530"/>
      <c r="BP26" s="530"/>
      <c r="BQ26" s="530"/>
      <c r="BR26" s="530"/>
      <c r="BS26" s="530"/>
      <c r="BT26" s="530"/>
      <c r="BU26" s="530"/>
      <c r="BV26" s="530"/>
      <c r="BW26" s="530"/>
      <c r="BX26" s="530"/>
      <c r="BY26" s="530"/>
      <c r="BZ26" s="530"/>
      <c r="CA26" s="530"/>
      <c r="CB26" s="530"/>
      <c r="CC26" s="530"/>
      <c r="CD26" s="530"/>
      <c r="CE26" s="530"/>
      <c r="CF26" s="530"/>
      <c r="CG26" s="530"/>
      <c r="CH26" s="530"/>
      <c r="CI26" s="530"/>
      <c r="CJ26" s="530"/>
      <c r="CK26" s="530"/>
      <c r="CL26" s="530"/>
      <c r="CM26" s="530"/>
      <c r="CN26" s="530"/>
      <c r="CO26" s="530"/>
      <c r="CP26" s="530"/>
      <c r="CQ26" s="530"/>
      <c r="CR26" s="530"/>
      <c r="CS26" s="530"/>
      <c r="CT26" s="530"/>
      <c r="CU26" s="530"/>
      <c r="CV26" s="530"/>
      <c r="CW26" s="530"/>
      <c r="CX26" s="530"/>
      <c r="CY26" s="530"/>
      <c r="CZ26" s="530"/>
      <c r="DA26" s="530"/>
      <c r="DB26" s="530"/>
      <c r="DC26" s="530"/>
      <c r="DD26" s="530"/>
      <c r="DE26" s="530"/>
      <c r="DF26" s="530"/>
      <c r="DG26" s="530"/>
      <c r="DH26" s="530"/>
      <c r="DI26" s="530"/>
      <c r="DJ26" s="530"/>
      <c r="DK26" s="530"/>
      <c r="DL26" s="530"/>
      <c r="DM26" s="530"/>
      <c r="DN26" s="530"/>
      <c r="DO26" s="530"/>
      <c r="DP26" s="530"/>
      <c r="DQ26" s="530"/>
      <c r="DR26" s="530"/>
      <c r="DS26" s="530"/>
      <c r="DT26" s="530"/>
      <c r="DU26" s="530"/>
      <c r="DV26" s="530"/>
      <c r="DW26" s="530"/>
      <c r="DX26" s="530"/>
      <c r="DY26" s="530"/>
      <c r="DZ26" s="530"/>
      <c r="EA26" s="530"/>
      <c r="EB26" s="530"/>
      <c r="EC26" s="530"/>
      <c r="ED26" s="530"/>
      <c r="EE26" s="530"/>
      <c r="EF26" s="530"/>
      <c r="EG26" s="530"/>
      <c r="EH26" s="530"/>
      <c r="EI26" s="530"/>
      <c r="EJ26" s="530"/>
      <c r="EK26" s="530"/>
      <c r="EL26" s="530"/>
      <c r="EM26" s="530"/>
      <c r="EN26" s="530"/>
      <c r="EO26" s="530"/>
      <c r="EP26" s="530"/>
      <c r="EQ26" s="530"/>
      <c r="ER26" s="530"/>
      <c r="ES26" s="530"/>
      <c r="ET26" s="530"/>
      <c r="EU26" s="530"/>
      <c r="EV26" s="530"/>
      <c r="EW26" s="530"/>
      <c r="EX26" s="530"/>
      <c r="EY26" s="530"/>
      <c r="EZ26" s="530"/>
      <c r="FA26" s="530"/>
      <c r="FB26" s="530"/>
      <c r="FC26" s="530"/>
      <c r="FD26" s="530"/>
      <c r="FE26" s="530"/>
      <c r="FF26" s="530"/>
      <c r="FG26" s="530"/>
      <c r="FH26" s="530"/>
      <c r="FI26" s="530"/>
      <c r="FJ26" s="530"/>
      <c r="FK26" s="530"/>
      <c r="FL26" s="530"/>
      <c r="FM26" s="530"/>
      <c r="FN26" s="530"/>
      <c r="FO26" s="530"/>
      <c r="FP26" s="530"/>
      <c r="FQ26" s="530"/>
      <c r="FR26" s="530"/>
      <c r="FS26" s="530"/>
    </row>
    <row r="27" customFormat="false" ht="13.8" hidden="false" customHeight="false" outlineLevel="0" collapsed="false">
      <c r="A27" s="162"/>
      <c r="B27" s="23"/>
      <c r="C27" s="454"/>
      <c r="D27" s="290"/>
      <c r="E27" s="290"/>
      <c r="F27" s="290"/>
      <c r="G27" s="290"/>
      <c r="H27" s="290"/>
      <c r="I27" s="290"/>
      <c r="J27" s="290"/>
      <c r="K27" s="290"/>
      <c r="L27" s="290"/>
      <c r="M27" s="533"/>
      <c r="N27" s="290"/>
      <c r="O27" s="290"/>
      <c r="P27" s="290"/>
      <c r="Q27" s="290"/>
      <c r="R27" s="290"/>
      <c r="S27" s="290"/>
      <c r="T27" s="290"/>
      <c r="U27" s="290"/>
      <c r="V27" s="290"/>
      <c r="W27" s="290"/>
      <c r="X27" s="290"/>
      <c r="Y27" s="290"/>
      <c r="Z27" s="290"/>
      <c r="AA27" s="290"/>
      <c r="AB27" s="500"/>
      <c r="AF27" s="742"/>
      <c r="AG27" s="742"/>
    </row>
    <row r="28" s="743" customFormat="true" ht="13.8" hidden="false" customHeight="false" outlineLevel="0" collapsed="false">
      <c r="A28" s="161" t="s">
        <v>92</v>
      </c>
      <c r="B28" s="289" t="s">
        <v>137</v>
      </c>
      <c r="C28" s="498" t="n">
        <v>1</v>
      </c>
      <c r="D28" s="746"/>
      <c r="E28" s="652"/>
      <c r="F28" s="652"/>
      <c r="G28" s="652"/>
      <c r="H28" s="652"/>
      <c r="I28" s="652"/>
      <c r="J28" s="652"/>
      <c r="K28" s="652"/>
      <c r="L28" s="652"/>
      <c r="M28" s="652" t="n">
        <v>0.27</v>
      </c>
      <c r="N28" s="652"/>
      <c r="O28" s="652"/>
      <c r="P28" s="652"/>
      <c r="Q28" s="652"/>
      <c r="R28" s="652"/>
      <c r="S28" s="652"/>
      <c r="T28" s="652" t="n">
        <v>0.73</v>
      </c>
      <c r="U28" s="652"/>
      <c r="V28" s="652"/>
      <c r="W28" s="652"/>
      <c r="X28" s="652"/>
      <c r="Y28" s="652"/>
      <c r="Z28" s="652"/>
      <c r="AA28" s="652"/>
      <c r="AB28" s="502"/>
      <c r="AC28" s="744" t="s">
        <v>1178</v>
      </c>
      <c r="AD28" s="455" t="s">
        <v>1179</v>
      </c>
      <c r="AE28" s="530"/>
      <c r="AF28" s="742"/>
      <c r="AG28" s="742"/>
      <c r="AH28" s="530"/>
      <c r="AI28" s="530"/>
      <c r="AJ28" s="530"/>
      <c r="AK28" s="530"/>
      <c r="AL28" s="530"/>
      <c r="AM28" s="530"/>
      <c r="AN28" s="530"/>
      <c r="AO28" s="530"/>
      <c r="AP28" s="530"/>
      <c r="AQ28" s="530"/>
      <c r="AR28" s="530"/>
      <c r="AS28" s="530"/>
      <c r="AT28" s="530"/>
      <c r="AU28" s="530"/>
      <c r="AV28" s="530"/>
      <c r="AW28" s="530"/>
      <c r="AX28" s="530"/>
      <c r="AY28" s="530"/>
      <c r="AZ28" s="530"/>
      <c r="BA28" s="530"/>
      <c r="BB28" s="530"/>
      <c r="BC28" s="530"/>
      <c r="BD28" s="530"/>
      <c r="BE28" s="530"/>
      <c r="BF28" s="530"/>
      <c r="BG28" s="530"/>
      <c r="BH28" s="530"/>
      <c r="BI28" s="530"/>
      <c r="BJ28" s="530"/>
      <c r="BK28" s="530"/>
      <c r="BL28" s="530"/>
      <c r="BM28" s="530"/>
      <c r="BN28" s="530"/>
      <c r="BO28" s="530"/>
      <c r="BP28" s="530"/>
      <c r="BQ28" s="530"/>
      <c r="BR28" s="530"/>
      <c r="BS28" s="530"/>
      <c r="BT28" s="530"/>
      <c r="BU28" s="530"/>
      <c r="BV28" s="530"/>
      <c r="BW28" s="530"/>
      <c r="BX28" s="530"/>
      <c r="BY28" s="530"/>
      <c r="BZ28" s="530"/>
      <c r="CA28" s="530"/>
      <c r="CB28" s="530"/>
      <c r="CC28" s="530"/>
      <c r="CD28" s="530"/>
      <c r="CE28" s="530"/>
      <c r="CF28" s="530"/>
      <c r="CG28" s="530"/>
      <c r="CH28" s="530"/>
      <c r="CI28" s="530"/>
      <c r="CJ28" s="530"/>
      <c r="CK28" s="530"/>
      <c r="CL28" s="530"/>
      <c r="CM28" s="530"/>
      <c r="CN28" s="530"/>
      <c r="CO28" s="530"/>
      <c r="CP28" s="530"/>
      <c r="CQ28" s="530"/>
      <c r="CR28" s="530"/>
      <c r="CS28" s="530"/>
      <c r="CT28" s="530"/>
      <c r="CU28" s="530"/>
      <c r="CV28" s="530"/>
      <c r="CW28" s="530"/>
      <c r="CX28" s="530"/>
      <c r="CY28" s="530"/>
      <c r="CZ28" s="530"/>
      <c r="DA28" s="530"/>
      <c r="DB28" s="530"/>
      <c r="DC28" s="530"/>
      <c r="DD28" s="530"/>
      <c r="DE28" s="530"/>
      <c r="DF28" s="530"/>
      <c r="DG28" s="530"/>
      <c r="DH28" s="530"/>
      <c r="DI28" s="530"/>
      <c r="DJ28" s="530"/>
      <c r="DK28" s="530"/>
      <c r="DL28" s="530"/>
      <c r="DM28" s="530"/>
      <c r="DN28" s="530"/>
      <c r="DO28" s="530"/>
      <c r="DP28" s="530"/>
      <c r="DQ28" s="530"/>
      <c r="DR28" s="530"/>
      <c r="DS28" s="530"/>
      <c r="DT28" s="530"/>
      <c r="DU28" s="530"/>
      <c r="DV28" s="530"/>
      <c r="DW28" s="530"/>
      <c r="DX28" s="530"/>
      <c r="DY28" s="530"/>
      <c r="DZ28" s="530"/>
      <c r="EA28" s="530"/>
      <c r="EB28" s="530"/>
      <c r="EC28" s="530"/>
      <c r="ED28" s="530"/>
      <c r="EE28" s="530"/>
      <c r="EF28" s="530"/>
      <c r="EG28" s="530"/>
      <c r="EH28" s="530"/>
      <c r="EI28" s="530"/>
      <c r="EJ28" s="530"/>
      <c r="EK28" s="530"/>
      <c r="EL28" s="530"/>
      <c r="EM28" s="530"/>
      <c r="EN28" s="530"/>
      <c r="EO28" s="530"/>
      <c r="EP28" s="530"/>
      <c r="EQ28" s="530"/>
      <c r="ER28" s="530"/>
      <c r="ES28" s="530"/>
      <c r="ET28" s="530"/>
      <c r="EU28" s="530"/>
      <c r="EV28" s="530"/>
      <c r="EW28" s="530"/>
      <c r="EX28" s="530"/>
      <c r="EY28" s="530"/>
      <c r="EZ28" s="530"/>
      <c r="FA28" s="530"/>
      <c r="FB28" s="530"/>
      <c r="FC28" s="530"/>
      <c r="FD28" s="530"/>
      <c r="FE28" s="530"/>
      <c r="FF28" s="530"/>
      <c r="FG28" s="530"/>
      <c r="FH28" s="530"/>
      <c r="FI28" s="530"/>
      <c r="FJ28" s="530"/>
      <c r="FK28" s="530"/>
      <c r="FL28" s="530"/>
      <c r="FM28" s="530"/>
      <c r="FN28" s="530"/>
      <c r="FO28" s="530"/>
      <c r="FP28" s="530"/>
      <c r="FQ28" s="530"/>
      <c r="FR28" s="530"/>
      <c r="FS28" s="530"/>
    </row>
    <row r="29" customFormat="false" ht="13.8" hidden="false" customHeight="false" outlineLevel="0" collapsed="false">
      <c r="A29" s="162"/>
      <c r="B29" s="23"/>
      <c r="C29" s="454"/>
      <c r="D29" s="747"/>
      <c r="E29" s="290"/>
      <c r="F29" s="290"/>
      <c r="G29" s="290"/>
      <c r="H29" s="290"/>
      <c r="I29" s="290"/>
      <c r="J29" s="290"/>
      <c r="K29" s="290"/>
      <c r="L29" s="290"/>
      <c r="M29" s="290"/>
      <c r="N29" s="290"/>
      <c r="O29" s="290"/>
      <c r="P29" s="290"/>
      <c r="Q29" s="290"/>
      <c r="R29" s="290"/>
      <c r="S29" s="290"/>
      <c r="T29" s="290"/>
      <c r="U29" s="290"/>
      <c r="V29" s="290"/>
      <c r="W29" s="290"/>
      <c r="X29" s="290"/>
      <c r="Y29" s="290"/>
      <c r="Z29" s="290"/>
      <c r="AA29" s="290"/>
      <c r="AB29" s="500"/>
      <c r="AF29" s="742"/>
      <c r="AG29" s="742"/>
    </row>
    <row r="30" s="743" customFormat="true" ht="13.8" hidden="false" customHeight="false" outlineLevel="0" collapsed="false">
      <c r="A30" s="161" t="s">
        <v>95</v>
      </c>
      <c r="B30" s="289" t="s">
        <v>137</v>
      </c>
      <c r="C30" s="498" t="n">
        <v>1</v>
      </c>
      <c r="D30" s="746"/>
      <c r="E30" s="649"/>
      <c r="F30" s="649"/>
      <c r="G30" s="649"/>
      <c r="H30" s="649"/>
      <c r="I30" s="649"/>
      <c r="J30" s="649"/>
      <c r="K30" s="649"/>
      <c r="L30" s="652"/>
      <c r="M30" s="652"/>
      <c r="N30" s="652"/>
      <c r="O30" s="652"/>
      <c r="P30" s="652"/>
      <c r="Q30" s="652"/>
      <c r="R30" s="652"/>
      <c r="S30" s="652"/>
      <c r="T30" s="652" t="n">
        <v>0.1</v>
      </c>
      <c r="U30" s="652"/>
      <c r="V30" s="652"/>
      <c r="W30" s="652"/>
      <c r="X30" s="652"/>
      <c r="Y30" s="652"/>
      <c r="Z30" s="652"/>
      <c r="AA30" s="652"/>
      <c r="AB30" s="502"/>
      <c r="AC30" s="744" t="s">
        <v>1178</v>
      </c>
      <c r="AD30" s="748" t="s">
        <v>1180</v>
      </c>
      <c r="AE30" s="530"/>
      <c r="AF30" s="742"/>
      <c r="AG30" s="742"/>
      <c r="AH30" s="530"/>
      <c r="AI30" s="530"/>
      <c r="AJ30" s="530"/>
      <c r="AK30" s="530"/>
      <c r="AL30" s="530"/>
      <c r="AM30" s="530"/>
      <c r="AN30" s="530"/>
      <c r="AO30" s="530"/>
      <c r="AP30" s="530"/>
      <c r="AQ30" s="530"/>
      <c r="AR30" s="530"/>
      <c r="AS30" s="530"/>
      <c r="AT30" s="530"/>
      <c r="AU30" s="530"/>
      <c r="AV30" s="530"/>
      <c r="AW30" s="530"/>
      <c r="AX30" s="530"/>
      <c r="AY30" s="530"/>
      <c r="AZ30" s="530"/>
      <c r="BA30" s="530"/>
      <c r="BB30" s="530"/>
      <c r="BC30" s="530"/>
      <c r="BD30" s="530"/>
      <c r="BE30" s="530"/>
      <c r="BF30" s="530"/>
      <c r="BG30" s="530"/>
      <c r="BH30" s="530"/>
      <c r="BI30" s="530"/>
      <c r="BJ30" s="530"/>
      <c r="BK30" s="530"/>
      <c r="BL30" s="530"/>
      <c r="BM30" s="530"/>
      <c r="BN30" s="530"/>
      <c r="BO30" s="530"/>
      <c r="BP30" s="530"/>
      <c r="BQ30" s="530"/>
      <c r="BR30" s="530"/>
      <c r="BS30" s="530"/>
      <c r="BT30" s="530"/>
      <c r="BU30" s="530"/>
      <c r="BV30" s="530"/>
      <c r="BW30" s="530"/>
      <c r="BX30" s="530"/>
      <c r="BY30" s="530"/>
      <c r="BZ30" s="530"/>
      <c r="CA30" s="530"/>
      <c r="CB30" s="530"/>
      <c r="CC30" s="530"/>
      <c r="CD30" s="530"/>
      <c r="CE30" s="530"/>
      <c r="CF30" s="530"/>
      <c r="CG30" s="530"/>
      <c r="CH30" s="530"/>
      <c r="CI30" s="530"/>
      <c r="CJ30" s="530"/>
      <c r="CK30" s="530"/>
      <c r="CL30" s="530"/>
      <c r="CM30" s="530"/>
      <c r="CN30" s="530"/>
      <c r="CO30" s="530"/>
      <c r="CP30" s="530"/>
      <c r="CQ30" s="530"/>
      <c r="CR30" s="530"/>
      <c r="CS30" s="530"/>
      <c r="CT30" s="530"/>
      <c r="CU30" s="530"/>
      <c r="CV30" s="530"/>
      <c r="CW30" s="530"/>
      <c r="CX30" s="530"/>
      <c r="CY30" s="530"/>
      <c r="CZ30" s="530"/>
      <c r="DA30" s="530"/>
      <c r="DB30" s="530"/>
      <c r="DC30" s="530"/>
      <c r="DD30" s="530"/>
      <c r="DE30" s="530"/>
      <c r="DF30" s="530"/>
      <c r="DG30" s="530"/>
      <c r="DH30" s="530"/>
      <c r="DI30" s="530"/>
      <c r="DJ30" s="530"/>
      <c r="DK30" s="530"/>
      <c r="DL30" s="530"/>
      <c r="DM30" s="530"/>
      <c r="DN30" s="530"/>
      <c r="DO30" s="530"/>
      <c r="DP30" s="530"/>
      <c r="DQ30" s="530"/>
      <c r="DR30" s="530"/>
      <c r="DS30" s="530"/>
      <c r="DT30" s="530"/>
      <c r="DU30" s="530"/>
      <c r="DV30" s="530"/>
      <c r="DW30" s="530"/>
      <c r="DX30" s="530"/>
      <c r="DY30" s="530"/>
      <c r="DZ30" s="530"/>
      <c r="EA30" s="530"/>
      <c r="EB30" s="530"/>
      <c r="EC30" s="530"/>
      <c r="ED30" s="530"/>
      <c r="EE30" s="530"/>
      <c r="EF30" s="530"/>
      <c r="EG30" s="530"/>
      <c r="EH30" s="530"/>
      <c r="EI30" s="530"/>
      <c r="EJ30" s="530"/>
      <c r="EK30" s="530"/>
      <c r="EL30" s="530"/>
      <c r="EM30" s="530"/>
      <c r="EN30" s="530"/>
      <c r="EO30" s="530"/>
      <c r="EP30" s="530"/>
      <c r="EQ30" s="530"/>
      <c r="ER30" s="530"/>
      <c r="ES30" s="530"/>
      <c r="ET30" s="530"/>
      <c r="EU30" s="530"/>
      <c r="EV30" s="530"/>
      <c r="EW30" s="530"/>
      <c r="EX30" s="530"/>
      <c r="EY30" s="530"/>
      <c r="EZ30" s="530"/>
      <c r="FA30" s="530"/>
      <c r="FB30" s="530"/>
      <c r="FC30" s="530"/>
      <c r="FD30" s="530"/>
      <c r="FE30" s="530"/>
      <c r="FF30" s="530"/>
      <c r="FG30" s="530"/>
      <c r="FH30" s="530"/>
      <c r="FI30" s="530"/>
      <c r="FJ30" s="530"/>
      <c r="FK30" s="530"/>
      <c r="FL30" s="530"/>
      <c r="FM30" s="530"/>
      <c r="FN30" s="530"/>
      <c r="FO30" s="530"/>
      <c r="FP30" s="530"/>
      <c r="FQ30" s="530"/>
      <c r="FR30" s="530"/>
      <c r="FS30" s="530"/>
    </row>
    <row r="31" customFormat="false" ht="13.8" hidden="false" customHeight="false" outlineLevel="0" collapsed="false">
      <c r="A31" s="162"/>
      <c r="B31" s="23"/>
      <c r="C31" s="454"/>
      <c r="D31" s="747"/>
      <c r="E31" s="102"/>
      <c r="F31" s="102"/>
      <c r="G31" s="102"/>
      <c r="H31" s="102"/>
      <c r="I31" s="102"/>
      <c r="J31" s="102"/>
      <c r="K31" s="102"/>
      <c r="L31" s="290"/>
      <c r="M31" s="290"/>
      <c r="N31" s="290"/>
      <c r="O31" s="290"/>
      <c r="P31" s="290"/>
      <c r="Q31" s="290"/>
      <c r="R31" s="290"/>
      <c r="S31" s="290"/>
      <c r="T31" s="290"/>
      <c r="U31" s="290"/>
      <c r="V31" s="290"/>
      <c r="W31" s="290"/>
      <c r="X31" s="290"/>
      <c r="Y31" s="290"/>
      <c r="Z31" s="290"/>
      <c r="AA31" s="290"/>
      <c r="AB31" s="500"/>
      <c r="AC31" s="744"/>
      <c r="AD31" s="748"/>
      <c r="AF31" s="742"/>
      <c r="AG31" s="742"/>
    </row>
    <row r="32" s="743" customFormat="true" ht="13.8" hidden="false" customHeight="false" outlineLevel="0" collapsed="false">
      <c r="A32" s="161" t="s">
        <v>96</v>
      </c>
      <c r="B32" s="289" t="s">
        <v>137</v>
      </c>
      <c r="C32" s="498" t="n">
        <v>1</v>
      </c>
      <c r="D32" s="649"/>
      <c r="E32" s="652"/>
      <c r="F32" s="652"/>
      <c r="G32" s="652"/>
      <c r="H32" s="652"/>
      <c r="I32" s="652"/>
      <c r="J32" s="652"/>
      <c r="K32" s="652"/>
      <c r="L32" s="652"/>
      <c r="M32" s="652"/>
      <c r="N32" s="652"/>
      <c r="O32" s="652"/>
      <c r="P32" s="652"/>
      <c r="Q32" s="652" t="n">
        <v>0.15</v>
      </c>
      <c r="R32" s="652"/>
      <c r="S32" s="652"/>
      <c r="T32" s="652" t="n">
        <v>0.1</v>
      </c>
      <c r="U32" s="652"/>
      <c r="V32" s="652"/>
      <c r="W32" s="652"/>
      <c r="X32" s="652"/>
      <c r="Y32" s="652"/>
      <c r="Z32" s="652"/>
      <c r="AA32" s="652"/>
      <c r="AB32" s="502"/>
      <c r="AC32" s="744" t="s">
        <v>1178</v>
      </c>
      <c r="AD32" s="748" t="s">
        <v>1181</v>
      </c>
      <c r="AE32" s="530"/>
      <c r="AF32" s="742"/>
      <c r="AG32" s="742"/>
      <c r="AH32" s="530"/>
      <c r="AI32" s="530"/>
      <c r="AJ32" s="530"/>
      <c r="AK32" s="530"/>
      <c r="AL32" s="530"/>
      <c r="AM32" s="530"/>
      <c r="AN32" s="530"/>
      <c r="AO32" s="530"/>
      <c r="AP32" s="530"/>
      <c r="AQ32" s="530"/>
      <c r="AR32" s="530"/>
      <c r="AS32" s="530"/>
      <c r="AT32" s="530"/>
      <c r="AU32" s="530"/>
      <c r="AV32" s="530"/>
      <c r="AW32" s="530"/>
      <c r="AX32" s="530"/>
      <c r="AY32" s="530"/>
      <c r="AZ32" s="530"/>
      <c r="BA32" s="530"/>
      <c r="BB32" s="530"/>
      <c r="BC32" s="530"/>
      <c r="BD32" s="530"/>
      <c r="BE32" s="530"/>
      <c r="BF32" s="530"/>
      <c r="BG32" s="530"/>
      <c r="BH32" s="530"/>
      <c r="BI32" s="530"/>
      <c r="BJ32" s="530"/>
      <c r="BK32" s="530"/>
      <c r="BL32" s="530"/>
      <c r="BM32" s="530"/>
      <c r="BN32" s="530"/>
      <c r="BO32" s="530"/>
      <c r="BP32" s="530"/>
      <c r="BQ32" s="530"/>
      <c r="BR32" s="530"/>
      <c r="BS32" s="530"/>
      <c r="BT32" s="530"/>
      <c r="BU32" s="530"/>
      <c r="BV32" s="530"/>
      <c r="BW32" s="530"/>
      <c r="BX32" s="530"/>
      <c r="BY32" s="530"/>
      <c r="BZ32" s="530"/>
      <c r="CA32" s="530"/>
      <c r="CB32" s="530"/>
      <c r="CC32" s="530"/>
      <c r="CD32" s="530"/>
      <c r="CE32" s="530"/>
      <c r="CF32" s="530"/>
      <c r="CG32" s="530"/>
      <c r="CH32" s="530"/>
      <c r="CI32" s="530"/>
      <c r="CJ32" s="530"/>
      <c r="CK32" s="530"/>
      <c r="CL32" s="530"/>
      <c r="CM32" s="530"/>
      <c r="CN32" s="530"/>
      <c r="CO32" s="530"/>
      <c r="CP32" s="530"/>
      <c r="CQ32" s="530"/>
      <c r="CR32" s="530"/>
      <c r="CS32" s="530"/>
      <c r="CT32" s="530"/>
      <c r="CU32" s="530"/>
      <c r="CV32" s="530"/>
      <c r="CW32" s="530"/>
      <c r="CX32" s="530"/>
      <c r="CY32" s="530"/>
      <c r="CZ32" s="530"/>
      <c r="DA32" s="530"/>
      <c r="DB32" s="530"/>
      <c r="DC32" s="530"/>
      <c r="DD32" s="530"/>
      <c r="DE32" s="530"/>
      <c r="DF32" s="530"/>
      <c r="DG32" s="530"/>
      <c r="DH32" s="530"/>
      <c r="DI32" s="530"/>
      <c r="DJ32" s="530"/>
      <c r="DK32" s="530"/>
      <c r="DL32" s="530"/>
      <c r="DM32" s="530"/>
      <c r="DN32" s="530"/>
      <c r="DO32" s="530"/>
      <c r="DP32" s="530"/>
      <c r="DQ32" s="530"/>
      <c r="DR32" s="530"/>
      <c r="DS32" s="530"/>
      <c r="DT32" s="530"/>
      <c r="DU32" s="530"/>
      <c r="DV32" s="530"/>
      <c r="DW32" s="530"/>
      <c r="DX32" s="530"/>
      <c r="DY32" s="530"/>
      <c r="DZ32" s="530"/>
      <c r="EA32" s="530"/>
      <c r="EB32" s="530"/>
      <c r="EC32" s="530"/>
      <c r="ED32" s="530"/>
      <c r="EE32" s="530"/>
      <c r="EF32" s="530"/>
      <c r="EG32" s="530"/>
      <c r="EH32" s="530"/>
      <c r="EI32" s="530"/>
      <c r="EJ32" s="530"/>
      <c r="EK32" s="530"/>
      <c r="EL32" s="530"/>
      <c r="EM32" s="530"/>
      <c r="EN32" s="530"/>
      <c r="EO32" s="530"/>
      <c r="EP32" s="530"/>
      <c r="EQ32" s="530"/>
      <c r="ER32" s="530"/>
      <c r="ES32" s="530"/>
      <c r="ET32" s="530"/>
      <c r="EU32" s="530"/>
      <c r="EV32" s="530"/>
      <c r="EW32" s="530"/>
      <c r="EX32" s="530"/>
      <c r="EY32" s="530"/>
      <c r="EZ32" s="530"/>
      <c r="FA32" s="530"/>
      <c r="FB32" s="530"/>
      <c r="FC32" s="530"/>
      <c r="FD32" s="530"/>
      <c r="FE32" s="530"/>
      <c r="FF32" s="530"/>
      <c r="FG32" s="530"/>
      <c r="FH32" s="530"/>
      <c r="FI32" s="530"/>
      <c r="FJ32" s="530"/>
      <c r="FK32" s="530"/>
      <c r="FL32" s="530"/>
      <c r="FM32" s="530"/>
      <c r="FN32" s="530"/>
      <c r="FO32" s="530"/>
      <c r="FP32" s="530"/>
      <c r="FQ32" s="530"/>
      <c r="FR32" s="530"/>
      <c r="FS32" s="530"/>
    </row>
    <row r="33" customFormat="false" ht="13.8" hidden="false" customHeight="false" outlineLevel="0" collapsed="false">
      <c r="A33" s="162"/>
      <c r="B33" s="23"/>
      <c r="C33" s="454"/>
      <c r="D33" s="102"/>
      <c r="E33" s="290"/>
      <c r="F33" s="290"/>
      <c r="G33" s="290"/>
      <c r="H33" s="290"/>
      <c r="I33" s="290"/>
      <c r="J33" s="290"/>
      <c r="K33" s="290"/>
      <c r="L33" s="290"/>
      <c r="M33" s="290"/>
      <c r="N33" s="290"/>
      <c r="O33" s="290"/>
      <c r="P33" s="290"/>
      <c r="Q33" s="290"/>
      <c r="R33" s="290"/>
      <c r="S33" s="290"/>
      <c r="T33" s="290"/>
      <c r="U33" s="290"/>
      <c r="V33" s="290"/>
      <c r="W33" s="290"/>
      <c r="X33" s="290"/>
      <c r="Y33" s="290"/>
      <c r="Z33" s="290"/>
      <c r="AA33" s="290"/>
      <c r="AB33" s="500"/>
      <c r="AC33" s="744"/>
      <c r="AD33" s="748"/>
      <c r="AF33" s="742"/>
      <c r="AG33" s="742"/>
    </row>
    <row r="34" s="743" customFormat="true" ht="13.8" hidden="false" customHeight="false" outlineLevel="0" collapsed="false">
      <c r="A34" s="161" t="s">
        <v>97</v>
      </c>
      <c r="B34" s="289" t="s">
        <v>137</v>
      </c>
      <c r="C34" s="498" t="n">
        <v>0.76</v>
      </c>
      <c r="D34" s="649"/>
      <c r="E34" s="652"/>
      <c r="F34" s="652" t="n">
        <v>0.19</v>
      </c>
      <c r="G34" s="652"/>
      <c r="H34" s="652"/>
      <c r="I34" s="652"/>
      <c r="J34" s="652"/>
      <c r="K34" s="652"/>
      <c r="L34" s="652"/>
      <c r="M34" s="652"/>
      <c r="N34" s="652"/>
      <c r="O34" s="652"/>
      <c r="P34" s="652"/>
      <c r="Q34" s="652"/>
      <c r="R34" s="652"/>
      <c r="S34" s="652"/>
      <c r="T34" s="652"/>
      <c r="U34" s="652"/>
      <c r="V34" s="652"/>
      <c r="W34" s="652"/>
      <c r="X34" s="652"/>
      <c r="Y34" s="652"/>
      <c r="Z34" s="652"/>
      <c r="AA34" s="652"/>
      <c r="AB34" s="502"/>
      <c r="AC34" s="744" t="s">
        <v>1182</v>
      </c>
      <c r="AD34" s="642" t="s">
        <v>1173</v>
      </c>
      <c r="AE34" s="530"/>
      <c r="AF34" s="742"/>
      <c r="AG34" s="742"/>
      <c r="AH34" s="530"/>
      <c r="AI34" s="530"/>
      <c r="AJ34" s="530"/>
      <c r="AK34" s="530"/>
      <c r="AL34" s="530"/>
      <c r="AM34" s="530"/>
      <c r="AN34" s="530"/>
      <c r="AO34" s="530"/>
      <c r="AP34" s="530"/>
      <c r="AQ34" s="530"/>
      <c r="AR34" s="530"/>
      <c r="AS34" s="530"/>
      <c r="AT34" s="530"/>
      <c r="AU34" s="530"/>
      <c r="AV34" s="530"/>
      <c r="AW34" s="530"/>
      <c r="AX34" s="530"/>
      <c r="AY34" s="530"/>
      <c r="AZ34" s="530"/>
      <c r="BA34" s="530"/>
      <c r="BB34" s="530"/>
      <c r="BC34" s="530"/>
      <c r="BD34" s="530"/>
      <c r="BE34" s="530"/>
      <c r="BF34" s="530"/>
      <c r="BG34" s="530"/>
      <c r="BH34" s="530"/>
      <c r="BI34" s="530"/>
      <c r="BJ34" s="530"/>
      <c r="BK34" s="530"/>
      <c r="BL34" s="530"/>
      <c r="BM34" s="530"/>
      <c r="BN34" s="530"/>
      <c r="BO34" s="530"/>
      <c r="BP34" s="530"/>
      <c r="BQ34" s="530"/>
      <c r="BR34" s="530"/>
      <c r="BS34" s="530"/>
      <c r="BT34" s="530"/>
      <c r="BU34" s="530"/>
      <c r="BV34" s="530"/>
      <c r="BW34" s="530"/>
      <c r="BX34" s="530"/>
      <c r="BY34" s="530"/>
      <c r="BZ34" s="530"/>
      <c r="CA34" s="530"/>
      <c r="CB34" s="530"/>
      <c r="CC34" s="530"/>
      <c r="CD34" s="530"/>
      <c r="CE34" s="530"/>
      <c r="CF34" s="530"/>
      <c r="CG34" s="530"/>
      <c r="CH34" s="530"/>
      <c r="CI34" s="530"/>
      <c r="CJ34" s="530"/>
      <c r="CK34" s="530"/>
      <c r="CL34" s="530"/>
      <c r="CM34" s="530"/>
      <c r="CN34" s="530"/>
      <c r="CO34" s="530"/>
      <c r="CP34" s="530"/>
      <c r="CQ34" s="530"/>
      <c r="CR34" s="530"/>
      <c r="CS34" s="530"/>
      <c r="CT34" s="530"/>
      <c r="CU34" s="530"/>
      <c r="CV34" s="530"/>
      <c r="CW34" s="530"/>
      <c r="CX34" s="530"/>
      <c r="CY34" s="530"/>
      <c r="CZ34" s="530"/>
      <c r="DA34" s="530"/>
      <c r="DB34" s="530"/>
      <c r="DC34" s="530"/>
      <c r="DD34" s="530"/>
      <c r="DE34" s="530"/>
      <c r="DF34" s="530"/>
      <c r="DG34" s="530"/>
      <c r="DH34" s="530"/>
      <c r="DI34" s="530"/>
      <c r="DJ34" s="530"/>
      <c r="DK34" s="530"/>
      <c r="DL34" s="530"/>
      <c r="DM34" s="530"/>
      <c r="DN34" s="530"/>
      <c r="DO34" s="530"/>
      <c r="DP34" s="530"/>
      <c r="DQ34" s="530"/>
      <c r="DR34" s="530"/>
      <c r="DS34" s="530"/>
      <c r="DT34" s="530"/>
      <c r="DU34" s="530"/>
      <c r="DV34" s="530"/>
      <c r="DW34" s="530"/>
      <c r="DX34" s="530"/>
      <c r="DY34" s="530"/>
      <c r="DZ34" s="530"/>
      <c r="EA34" s="530"/>
      <c r="EB34" s="530"/>
      <c r="EC34" s="530"/>
      <c r="ED34" s="530"/>
      <c r="EE34" s="530"/>
      <c r="EF34" s="530"/>
      <c r="EG34" s="530"/>
      <c r="EH34" s="530"/>
      <c r="EI34" s="530"/>
      <c r="EJ34" s="530"/>
      <c r="EK34" s="530"/>
      <c r="EL34" s="530"/>
      <c r="EM34" s="530"/>
      <c r="EN34" s="530"/>
      <c r="EO34" s="530"/>
      <c r="EP34" s="530"/>
      <c r="EQ34" s="530"/>
      <c r="ER34" s="530"/>
      <c r="ES34" s="530"/>
      <c r="ET34" s="530"/>
      <c r="EU34" s="530"/>
      <c r="EV34" s="530"/>
      <c r="EW34" s="530"/>
      <c r="EX34" s="530"/>
      <c r="EY34" s="530"/>
      <c r="EZ34" s="530"/>
      <c r="FA34" s="530"/>
      <c r="FB34" s="530"/>
      <c r="FC34" s="530"/>
      <c r="FD34" s="530"/>
      <c r="FE34" s="530"/>
      <c r="FF34" s="530"/>
      <c r="FG34" s="530"/>
      <c r="FH34" s="530"/>
      <c r="FI34" s="530"/>
      <c r="FJ34" s="530"/>
      <c r="FK34" s="530"/>
      <c r="FL34" s="530"/>
      <c r="FM34" s="530"/>
      <c r="FN34" s="530"/>
      <c r="FO34" s="530"/>
      <c r="FP34" s="530"/>
      <c r="FQ34" s="530"/>
      <c r="FR34" s="530"/>
      <c r="FS34" s="530"/>
    </row>
    <row r="35" customFormat="false" ht="13.8" hidden="false" customHeight="false" outlineLevel="0" collapsed="false">
      <c r="A35" s="162"/>
      <c r="B35" s="23" t="s">
        <v>139</v>
      </c>
      <c r="C35" s="454" t="n">
        <v>0.09</v>
      </c>
      <c r="D35" s="102"/>
      <c r="E35" s="290"/>
      <c r="F35" s="290" t="n">
        <v>0.19</v>
      </c>
      <c r="G35" s="290"/>
      <c r="H35" s="290"/>
      <c r="I35" s="290"/>
      <c r="J35" s="290"/>
      <c r="K35" s="290"/>
      <c r="L35" s="290"/>
      <c r="M35" s="290"/>
      <c r="N35" s="290"/>
      <c r="O35" s="290"/>
      <c r="P35" s="290"/>
      <c r="Q35" s="290"/>
      <c r="R35" s="290"/>
      <c r="S35" s="290"/>
      <c r="T35" s="290"/>
      <c r="U35" s="290"/>
      <c r="V35" s="290"/>
      <c r="W35" s="290"/>
      <c r="X35" s="290"/>
      <c r="Y35" s="290"/>
      <c r="Z35" s="290"/>
      <c r="AA35" s="290"/>
      <c r="AB35" s="500"/>
      <c r="AC35" s="744"/>
      <c r="AD35" s="748"/>
      <c r="AF35" s="742"/>
      <c r="AG35" s="742"/>
    </row>
    <row r="36" customFormat="false" ht="13.8" hidden="false" customHeight="false" outlineLevel="0" collapsed="false">
      <c r="A36" s="162"/>
      <c r="B36" s="23" t="s">
        <v>141</v>
      </c>
      <c r="C36" s="454" t="n">
        <v>0.15</v>
      </c>
      <c r="D36" s="102"/>
      <c r="E36" s="290"/>
      <c r="F36" s="290" t="n">
        <v>0.19</v>
      </c>
      <c r="G36" s="290"/>
      <c r="H36" s="290"/>
      <c r="I36" s="290"/>
      <c r="J36" s="290"/>
      <c r="K36" s="290"/>
      <c r="L36" s="290"/>
      <c r="M36" s="290"/>
      <c r="N36" s="290"/>
      <c r="O36" s="290"/>
      <c r="P36" s="290"/>
      <c r="Q36" s="290"/>
      <c r="R36" s="290"/>
      <c r="S36" s="290"/>
      <c r="T36" s="290"/>
      <c r="U36" s="290"/>
      <c r="V36" s="290"/>
      <c r="W36" s="290"/>
      <c r="X36" s="290"/>
      <c r="Y36" s="290"/>
      <c r="Z36" s="290"/>
      <c r="AA36" s="290"/>
      <c r="AB36" s="500"/>
      <c r="AC36" s="744"/>
      <c r="AD36" s="748"/>
      <c r="AF36" s="742"/>
      <c r="AG36" s="742"/>
    </row>
    <row r="37" s="743" customFormat="true" ht="13.8" hidden="false" customHeight="false" outlineLevel="0" collapsed="false">
      <c r="A37" s="161" t="s">
        <v>1183</v>
      </c>
      <c r="B37" s="289" t="s">
        <v>137</v>
      </c>
      <c r="C37" s="502" t="n">
        <v>0.62424968014597</v>
      </c>
      <c r="D37" s="649"/>
      <c r="E37" s="652"/>
      <c r="F37" s="652"/>
      <c r="G37" s="652"/>
      <c r="H37" s="652"/>
      <c r="I37" s="652"/>
      <c r="J37" s="652"/>
      <c r="K37" s="652"/>
      <c r="L37" s="652"/>
      <c r="M37" s="652"/>
      <c r="N37" s="652"/>
      <c r="O37" s="652"/>
      <c r="P37" s="652"/>
      <c r="Q37" s="652"/>
      <c r="R37" s="652"/>
      <c r="S37" s="652"/>
      <c r="T37" s="652"/>
      <c r="U37" s="652"/>
      <c r="V37" s="652"/>
      <c r="W37" s="652"/>
      <c r="X37" s="652"/>
      <c r="Y37" s="652"/>
      <c r="Z37" s="652"/>
      <c r="AA37" s="652"/>
      <c r="AB37" s="502"/>
      <c r="AC37" s="744" t="s">
        <v>607</v>
      </c>
      <c r="AD37" s="748"/>
      <c r="AE37" s="530"/>
      <c r="AF37" s="742"/>
      <c r="AG37" s="742"/>
      <c r="AH37" s="530"/>
      <c r="AI37" s="530"/>
      <c r="AJ37" s="530"/>
      <c r="AK37" s="530"/>
      <c r="AL37" s="530"/>
      <c r="AM37" s="530"/>
      <c r="AN37" s="530"/>
      <c r="AO37" s="530"/>
      <c r="AP37" s="530"/>
      <c r="AQ37" s="530"/>
      <c r="AR37" s="530"/>
      <c r="AS37" s="530"/>
      <c r="AT37" s="530"/>
      <c r="AU37" s="530"/>
      <c r="AV37" s="530"/>
      <c r="AW37" s="530"/>
      <c r="AX37" s="530"/>
      <c r="AY37" s="530"/>
      <c r="AZ37" s="530"/>
      <c r="BA37" s="530"/>
      <c r="BB37" s="530"/>
      <c r="BC37" s="530"/>
      <c r="BD37" s="530"/>
      <c r="BE37" s="530"/>
      <c r="BF37" s="530"/>
      <c r="BG37" s="530"/>
      <c r="BH37" s="530"/>
      <c r="BI37" s="530"/>
      <c r="BJ37" s="530"/>
      <c r="BK37" s="530"/>
      <c r="BL37" s="530"/>
      <c r="BM37" s="530"/>
      <c r="BN37" s="530"/>
      <c r="BO37" s="530"/>
      <c r="BP37" s="530"/>
      <c r="BQ37" s="530"/>
      <c r="BR37" s="530"/>
      <c r="BS37" s="530"/>
      <c r="BT37" s="530"/>
      <c r="BU37" s="530"/>
      <c r="BV37" s="530"/>
      <c r="BW37" s="530"/>
      <c r="BX37" s="530"/>
      <c r="BY37" s="530"/>
      <c r="BZ37" s="530"/>
      <c r="CA37" s="530"/>
      <c r="CB37" s="530"/>
      <c r="CC37" s="530"/>
      <c r="CD37" s="530"/>
      <c r="CE37" s="530"/>
      <c r="CF37" s="530"/>
      <c r="CG37" s="530"/>
      <c r="CH37" s="530"/>
      <c r="CI37" s="530"/>
      <c r="CJ37" s="530"/>
      <c r="CK37" s="530"/>
      <c r="CL37" s="530"/>
      <c r="CM37" s="530"/>
      <c r="CN37" s="530"/>
      <c r="CO37" s="530"/>
      <c r="CP37" s="530"/>
      <c r="CQ37" s="530"/>
      <c r="CR37" s="530"/>
      <c r="CS37" s="530"/>
      <c r="CT37" s="530"/>
      <c r="CU37" s="530"/>
      <c r="CV37" s="530"/>
      <c r="CW37" s="530"/>
      <c r="CX37" s="530"/>
      <c r="CY37" s="530"/>
      <c r="CZ37" s="530"/>
      <c r="DA37" s="530"/>
      <c r="DB37" s="530"/>
      <c r="DC37" s="530"/>
      <c r="DD37" s="530"/>
      <c r="DE37" s="530"/>
      <c r="DF37" s="530"/>
      <c r="DG37" s="530"/>
      <c r="DH37" s="530"/>
      <c r="DI37" s="530"/>
      <c r="DJ37" s="530"/>
      <c r="DK37" s="530"/>
      <c r="DL37" s="530"/>
      <c r="DM37" s="530"/>
      <c r="DN37" s="530"/>
      <c r="DO37" s="530"/>
      <c r="DP37" s="530"/>
      <c r="DQ37" s="530"/>
      <c r="DR37" s="530"/>
      <c r="DS37" s="530"/>
      <c r="DT37" s="530"/>
      <c r="DU37" s="530"/>
      <c r="DV37" s="530"/>
      <c r="DW37" s="530"/>
      <c r="DX37" s="530"/>
      <c r="DY37" s="530"/>
      <c r="DZ37" s="530"/>
      <c r="EA37" s="530"/>
      <c r="EB37" s="530"/>
      <c r="EC37" s="530"/>
      <c r="ED37" s="530"/>
      <c r="EE37" s="530"/>
      <c r="EF37" s="530"/>
      <c r="EG37" s="530"/>
      <c r="EH37" s="530"/>
      <c r="EI37" s="530"/>
      <c r="EJ37" s="530"/>
      <c r="EK37" s="530"/>
      <c r="EL37" s="530"/>
      <c r="EM37" s="530"/>
      <c r="EN37" s="530"/>
      <c r="EO37" s="530"/>
      <c r="EP37" s="530"/>
      <c r="EQ37" s="530"/>
      <c r="ER37" s="530"/>
      <c r="ES37" s="530"/>
      <c r="ET37" s="530"/>
      <c r="EU37" s="530"/>
      <c r="EV37" s="530"/>
      <c r="EW37" s="530"/>
      <c r="EX37" s="530"/>
      <c r="EY37" s="530"/>
      <c r="EZ37" s="530"/>
      <c r="FA37" s="530"/>
      <c r="FB37" s="530"/>
      <c r="FC37" s="530"/>
      <c r="FD37" s="530"/>
      <c r="FE37" s="530"/>
      <c r="FF37" s="530"/>
      <c r="FG37" s="530"/>
      <c r="FH37" s="530"/>
      <c r="FI37" s="530"/>
      <c r="FJ37" s="530"/>
      <c r="FK37" s="530"/>
      <c r="FL37" s="530"/>
      <c r="FM37" s="530"/>
      <c r="FN37" s="530"/>
      <c r="FO37" s="530"/>
      <c r="FP37" s="530"/>
      <c r="FQ37" s="530"/>
      <c r="FR37" s="530"/>
      <c r="FS37" s="530"/>
    </row>
    <row r="38" customFormat="false" ht="13.8" hidden="false" customHeight="false" outlineLevel="0" collapsed="false">
      <c r="A38" s="162"/>
      <c r="B38" s="23" t="s">
        <v>209</v>
      </c>
      <c r="C38" s="500" t="n">
        <v>0.217677754695859</v>
      </c>
      <c r="D38" s="102"/>
      <c r="E38" s="290"/>
      <c r="F38" s="290"/>
      <c r="G38" s="290"/>
      <c r="H38" s="290"/>
      <c r="I38" s="290"/>
      <c r="J38" s="290"/>
      <c r="K38" s="290"/>
      <c r="L38" s="290"/>
      <c r="M38" s="290"/>
      <c r="N38" s="290"/>
      <c r="O38" s="290"/>
      <c r="P38" s="290"/>
      <c r="Q38" s="290"/>
      <c r="R38" s="290"/>
      <c r="S38" s="290"/>
      <c r="T38" s="290"/>
      <c r="U38" s="290"/>
      <c r="V38" s="290"/>
      <c r="W38" s="290"/>
      <c r="X38" s="290"/>
      <c r="Y38" s="290"/>
      <c r="Z38" s="290"/>
      <c r="AA38" s="290"/>
      <c r="AB38" s="500"/>
      <c r="AC38" s="744"/>
      <c r="AD38" s="748"/>
      <c r="AF38" s="742"/>
      <c r="AG38" s="742"/>
    </row>
    <row r="39" customFormat="false" ht="13.8" hidden="false" customHeight="false" outlineLevel="0" collapsed="false">
      <c r="A39" s="162"/>
      <c r="B39" s="23" t="s">
        <v>141</v>
      </c>
      <c r="C39" s="500" t="n">
        <v>0.158072565158171</v>
      </c>
      <c r="D39" s="102"/>
      <c r="E39" s="290"/>
      <c r="F39" s="290"/>
      <c r="G39" s="290"/>
      <c r="H39" s="290"/>
      <c r="I39" s="290"/>
      <c r="J39" s="290"/>
      <c r="K39" s="290"/>
      <c r="L39" s="290"/>
      <c r="M39" s="290"/>
      <c r="N39" s="290"/>
      <c r="O39" s="290"/>
      <c r="P39" s="290"/>
      <c r="Q39" s="290"/>
      <c r="R39" s="290"/>
      <c r="S39" s="290"/>
      <c r="T39" s="290"/>
      <c r="U39" s="290"/>
      <c r="V39" s="290"/>
      <c r="W39" s="290"/>
      <c r="X39" s="290"/>
      <c r="Y39" s="290"/>
      <c r="Z39" s="290"/>
      <c r="AA39" s="290"/>
      <c r="AB39" s="500"/>
      <c r="AC39" s="744"/>
      <c r="AD39" s="748"/>
      <c r="AF39" s="742"/>
      <c r="AG39" s="742"/>
    </row>
    <row r="40" s="743" customFormat="true" ht="13.8" hidden="false" customHeight="false" outlineLevel="0" collapsed="false">
      <c r="A40" s="161" t="s">
        <v>1184</v>
      </c>
      <c r="B40" s="289" t="s">
        <v>137</v>
      </c>
      <c r="C40" s="498" t="n">
        <f aca="false">SUM(C41:C42)</f>
        <v>1</v>
      </c>
      <c r="D40" s="649"/>
      <c r="E40" s="652"/>
      <c r="F40" s="652"/>
      <c r="G40" s="652"/>
      <c r="H40" s="652"/>
      <c r="I40" s="652"/>
      <c r="J40" s="652"/>
      <c r="K40" s="652"/>
      <c r="L40" s="652"/>
      <c r="M40" s="652"/>
      <c r="N40" s="652"/>
      <c r="O40" s="652"/>
      <c r="P40" s="652"/>
      <c r="Q40" s="652"/>
      <c r="R40" s="652"/>
      <c r="S40" s="652"/>
      <c r="T40" s="652"/>
      <c r="U40" s="652"/>
      <c r="V40" s="652"/>
      <c r="W40" s="652"/>
      <c r="X40" s="652"/>
      <c r="Y40" s="652"/>
      <c r="Z40" s="652"/>
      <c r="AA40" s="652"/>
      <c r="AB40" s="502"/>
      <c r="AC40" s="744"/>
      <c r="AD40" s="748"/>
      <c r="AE40" s="530"/>
      <c r="AF40" s="742"/>
      <c r="AG40" s="742"/>
      <c r="AH40" s="530"/>
      <c r="AI40" s="530"/>
      <c r="AJ40" s="530"/>
      <c r="AK40" s="530"/>
      <c r="AL40" s="530"/>
      <c r="AM40" s="530"/>
      <c r="AN40" s="530"/>
      <c r="AO40" s="530"/>
      <c r="AP40" s="530"/>
      <c r="AQ40" s="530"/>
      <c r="AR40" s="530"/>
      <c r="AS40" s="530"/>
      <c r="AT40" s="530"/>
      <c r="AU40" s="530"/>
      <c r="AV40" s="530"/>
      <c r="AW40" s="530"/>
      <c r="AX40" s="530"/>
      <c r="AY40" s="530"/>
      <c r="AZ40" s="530"/>
      <c r="BA40" s="530"/>
      <c r="BB40" s="530"/>
      <c r="BC40" s="530"/>
      <c r="BD40" s="530"/>
      <c r="BE40" s="530"/>
      <c r="BF40" s="530"/>
      <c r="BG40" s="530"/>
      <c r="BH40" s="530"/>
      <c r="BI40" s="530"/>
      <c r="BJ40" s="530"/>
      <c r="BK40" s="530"/>
      <c r="BL40" s="530"/>
      <c r="BM40" s="530"/>
      <c r="BN40" s="530"/>
      <c r="BO40" s="530"/>
      <c r="BP40" s="530"/>
      <c r="BQ40" s="530"/>
      <c r="BR40" s="530"/>
      <c r="BS40" s="530"/>
      <c r="BT40" s="530"/>
      <c r="BU40" s="530"/>
      <c r="BV40" s="530"/>
      <c r="BW40" s="530"/>
      <c r="BX40" s="530"/>
      <c r="BY40" s="530"/>
      <c r="BZ40" s="530"/>
      <c r="CA40" s="530"/>
      <c r="CB40" s="530"/>
      <c r="CC40" s="530"/>
      <c r="CD40" s="530"/>
      <c r="CE40" s="530"/>
      <c r="CF40" s="530"/>
      <c r="CG40" s="530"/>
      <c r="CH40" s="530"/>
      <c r="CI40" s="530"/>
      <c r="CJ40" s="530"/>
      <c r="CK40" s="530"/>
      <c r="CL40" s="530"/>
      <c r="CM40" s="530"/>
      <c r="CN40" s="530"/>
      <c r="CO40" s="530"/>
      <c r="CP40" s="530"/>
      <c r="CQ40" s="530"/>
      <c r="CR40" s="530"/>
      <c r="CS40" s="530"/>
      <c r="CT40" s="530"/>
      <c r="CU40" s="530"/>
      <c r="CV40" s="530"/>
      <c r="CW40" s="530"/>
      <c r="CX40" s="530"/>
      <c r="CY40" s="530"/>
      <c r="CZ40" s="530"/>
      <c r="DA40" s="530"/>
      <c r="DB40" s="530"/>
      <c r="DC40" s="530"/>
      <c r="DD40" s="530"/>
      <c r="DE40" s="530"/>
      <c r="DF40" s="530"/>
      <c r="DG40" s="530"/>
      <c r="DH40" s="530"/>
      <c r="DI40" s="530"/>
      <c r="DJ40" s="530"/>
      <c r="DK40" s="530"/>
      <c r="DL40" s="530"/>
      <c r="DM40" s="530"/>
      <c r="DN40" s="530"/>
      <c r="DO40" s="530"/>
      <c r="DP40" s="530"/>
      <c r="DQ40" s="530"/>
      <c r="DR40" s="530"/>
      <c r="DS40" s="530"/>
      <c r="DT40" s="530"/>
      <c r="DU40" s="530"/>
      <c r="DV40" s="530"/>
      <c r="DW40" s="530"/>
      <c r="DX40" s="530"/>
      <c r="DY40" s="530"/>
      <c r="DZ40" s="530"/>
      <c r="EA40" s="530"/>
      <c r="EB40" s="530"/>
      <c r="EC40" s="530"/>
      <c r="ED40" s="530"/>
      <c r="EE40" s="530"/>
      <c r="EF40" s="530"/>
      <c r="EG40" s="530"/>
      <c r="EH40" s="530"/>
      <c r="EI40" s="530"/>
      <c r="EJ40" s="530"/>
      <c r="EK40" s="530"/>
      <c r="EL40" s="530"/>
      <c r="EM40" s="530"/>
      <c r="EN40" s="530"/>
      <c r="EO40" s="530"/>
      <c r="EP40" s="530"/>
      <c r="EQ40" s="530"/>
      <c r="ER40" s="530"/>
      <c r="ES40" s="530"/>
      <c r="ET40" s="530"/>
      <c r="EU40" s="530"/>
      <c r="EV40" s="530"/>
      <c r="EW40" s="530"/>
      <c r="EX40" s="530"/>
      <c r="EY40" s="530"/>
      <c r="EZ40" s="530"/>
      <c r="FA40" s="530"/>
      <c r="FB40" s="530"/>
      <c r="FC40" s="530"/>
      <c r="FD40" s="530"/>
      <c r="FE40" s="530"/>
      <c r="FF40" s="530"/>
      <c r="FG40" s="530"/>
      <c r="FH40" s="530"/>
      <c r="FI40" s="530"/>
      <c r="FJ40" s="530"/>
      <c r="FK40" s="530"/>
      <c r="FL40" s="530"/>
      <c r="FM40" s="530"/>
      <c r="FN40" s="530"/>
      <c r="FO40" s="530"/>
      <c r="FP40" s="530"/>
      <c r="FQ40" s="530"/>
      <c r="FR40" s="530"/>
      <c r="FS40" s="530"/>
    </row>
    <row r="41" customFormat="false" ht="13.8" hidden="false" customHeight="false" outlineLevel="0" collapsed="false">
      <c r="A41" s="162" t="s">
        <v>1185</v>
      </c>
      <c r="B41" s="23" t="s">
        <v>137</v>
      </c>
      <c r="C41" s="454" t="n">
        <v>0.5</v>
      </c>
      <c r="D41" s="102"/>
      <c r="E41" s="290"/>
      <c r="F41" s="290"/>
      <c r="G41" s="290"/>
      <c r="H41" s="290"/>
      <c r="I41" s="290"/>
      <c r="J41" s="290"/>
      <c r="K41" s="290"/>
      <c r="L41" s="290"/>
      <c r="M41" s="290"/>
      <c r="N41" s="290"/>
      <c r="O41" s="290" t="n">
        <v>2</v>
      </c>
      <c r="P41" s="290"/>
      <c r="Q41" s="290"/>
      <c r="R41" s="290"/>
      <c r="S41" s="290"/>
      <c r="T41" s="290"/>
      <c r="U41" s="290"/>
      <c r="V41" s="290"/>
      <c r="W41" s="290"/>
      <c r="X41" s="290"/>
      <c r="Y41" s="290"/>
      <c r="Z41" s="290"/>
      <c r="AA41" s="290"/>
      <c r="AB41" s="500"/>
      <c r="AC41" s="744" t="s">
        <v>1178</v>
      </c>
      <c r="AD41" s="748" t="s">
        <v>1186</v>
      </c>
      <c r="AF41" s="742"/>
      <c r="AG41" s="742"/>
    </row>
    <row r="42" customFormat="false" ht="13.8" hidden="false" customHeight="false" outlineLevel="0" collapsed="false">
      <c r="A42" s="162" t="s">
        <v>1163</v>
      </c>
      <c r="B42" s="23" t="s">
        <v>137</v>
      </c>
      <c r="C42" s="454" t="n">
        <v>0.5</v>
      </c>
      <c r="D42" s="102"/>
      <c r="E42" s="290"/>
      <c r="F42" s="290"/>
      <c r="G42" s="290"/>
      <c r="H42" s="290"/>
      <c r="I42" s="290"/>
      <c r="J42" s="290"/>
      <c r="K42" s="290"/>
      <c r="L42" s="290"/>
      <c r="M42" s="290"/>
      <c r="N42" s="290"/>
      <c r="O42" s="290"/>
      <c r="P42" s="290" t="n">
        <v>1.3</v>
      </c>
      <c r="Q42" s="290"/>
      <c r="R42" s="290"/>
      <c r="S42" s="290"/>
      <c r="T42" s="290"/>
      <c r="U42" s="290"/>
      <c r="V42" s="290"/>
      <c r="W42" s="290"/>
      <c r="X42" s="290"/>
      <c r="Y42" s="290"/>
      <c r="Z42" s="290"/>
      <c r="AA42" s="290"/>
      <c r="AB42" s="500"/>
      <c r="AC42" s="744" t="s">
        <v>1178</v>
      </c>
      <c r="AD42" s="748" t="s">
        <v>1186</v>
      </c>
      <c r="AF42" s="742"/>
      <c r="AG42" s="742"/>
    </row>
    <row r="43" s="743" customFormat="true" ht="13.8" hidden="false" customHeight="false" outlineLevel="0" collapsed="false">
      <c r="A43" s="161" t="s">
        <v>1187</v>
      </c>
      <c r="B43" s="289" t="s">
        <v>137</v>
      </c>
      <c r="C43" s="498" t="n">
        <f aca="false">SUM(C44:C45)</f>
        <v>1</v>
      </c>
      <c r="D43" s="649"/>
      <c r="E43" s="652"/>
      <c r="F43" s="652"/>
      <c r="G43" s="652"/>
      <c r="H43" s="652"/>
      <c r="I43" s="652"/>
      <c r="J43" s="652"/>
      <c r="K43" s="652"/>
      <c r="L43" s="652"/>
      <c r="M43" s="652"/>
      <c r="N43" s="652"/>
      <c r="O43" s="652"/>
      <c r="P43" s="652"/>
      <c r="Q43" s="652"/>
      <c r="R43" s="652"/>
      <c r="S43" s="652"/>
      <c r="T43" s="652"/>
      <c r="U43" s="652"/>
      <c r="V43" s="652"/>
      <c r="W43" s="652"/>
      <c r="X43" s="652"/>
      <c r="Y43" s="652"/>
      <c r="Z43" s="652"/>
      <c r="AA43" s="652"/>
      <c r="AB43" s="502"/>
      <c r="AC43" s="744"/>
      <c r="AD43" s="748"/>
      <c r="AE43" s="530"/>
      <c r="AF43" s="742"/>
      <c r="AG43" s="742"/>
      <c r="AH43" s="530"/>
      <c r="AI43" s="530"/>
      <c r="AJ43" s="530"/>
      <c r="AK43" s="530"/>
      <c r="AL43" s="530"/>
      <c r="AM43" s="530"/>
      <c r="AN43" s="530"/>
      <c r="AO43" s="530"/>
      <c r="AP43" s="530"/>
      <c r="AQ43" s="530"/>
      <c r="AR43" s="530"/>
      <c r="AS43" s="530"/>
      <c r="AT43" s="530"/>
      <c r="AU43" s="530"/>
      <c r="AV43" s="530"/>
      <c r="AW43" s="530"/>
      <c r="AX43" s="530"/>
      <c r="AY43" s="530"/>
      <c r="AZ43" s="530"/>
      <c r="BA43" s="530"/>
      <c r="BB43" s="530"/>
      <c r="BC43" s="530"/>
      <c r="BD43" s="530"/>
      <c r="BE43" s="530"/>
      <c r="BF43" s="530"/>
      <c r="BG43" s="530"/>
      <c r="BH43" s="530"/>
      <c r="BI43" s="530"/>
      <c r="BJ43" s="530"/>
      <c r="BK43" s="530"/>
      <c r="BL43" s="530"/>
      <c r="BM43" s="530"/>
      <c r="BN43" s="530"/>
      <c r="BO43" s="530"/>
      <c r="BP43" s="530"/>
      <c r="BQ43" s="530"/>
      <c r="BR43" s="530"/>
      <c r="BS43" s="530"/>
      <c r="BT43" s="530"/>
      <c r="BU43" s="530"/>
      <c r="BV43" s="530"/>
      <c r="BW43" s="530"/>
      <c r="BX43" s="530"/>
      <c r="BY43" s="530"/>
      <c r="BZ43" s="530"/>
      <c r="CA43" s="530"/>
      <c r="CB43" s="530"/>
      <c r="CC43" s="530"/>
      <c r="CD43" s="530"/>
      <c r="CE43" s="530"/>
      <c r="CF43" s="530"/>
      <c r="CG43" s="530"/>
      <c r="CH43" s="530"/>
      <c r="CI43" s="530"/>
      <c r="CJ43" s="530"/>
      <c r="CK43" s="530"/>
      <c r="CL43" s="530"/>
      <c r="CM43" s="530"/>
      <c r="CN43" s="530"/>
      <c r="CO43" s="530"/>
      <c r="CP43" s="530"/>
      <c r="CQ43" s="530"/>
      <c r="CR43" s="530"/>
      <c r="CS43" s="530"/>
      <c r="CT43" s="530"/>
      <c r="CU43" s="530"/>
      <c r="CV43" s="530"/>
      <c r="CW43" s="530"/>
      <c r="CX43" s="530"/>
      <c r="CY43" s="530"/>
      <c r="CZ43" s="530"/>
      <c r="DA43" s="530"/>
      <c r="DB43" s="530"/>
      <c r="DC43" s="530"/>
      <c r="DD43" s="530"/>
      <c r="DE43" s="530"/>
      <c r="DF43" s="530"/>
      <c r="DG43" s="530"/>
      <c r="DH43" s="530"/>
      <c r="DI43" s="530"/>
      <c r="DJ43" s="530"/>
      <c r="DK43" s="530"/>
      <c r="DL43" s="530"/>
      <c r="DM43" s="530"/>
      <c r="DN43" s="530"/>
      <c r="DO43" s="530"/>
      <c r="DP43" s="530"/>
      <c r="DQ43" s="530"/>
      <c r="DR43" s="530"/>
      <c r="DS43" s="530"/>
      <c r="DT43" s="530"/>
      <c r="DU43" s="530"/>
      <c r="DV43" s="530"/>
      <c r="DW43" s="530"/>
      <c r="DX43" s="530"/>
      <c r="DY43" s="530"/>
      <c r="DZ43" s="530"/>
      <c r="EA43" s="530"/>
      <c r="EB43" s="530"/>
      <c r="EC43" s="530"/>
      <c r="ED43" s="530"/>
      <c r="EE43" s="530"/>
      <c r="EF43" s="530"/>
      <c r="EG43" s="530"/>
      <c r="EH43" s="530"/>
      <c r="EI43" s="530"/>
      <c r="EJ43" s="530"/>
      <c r="EK43" s="530"/>
      <c r="EL43" s="530"/>
      <c r="EM43" s="530"/>
      <c r="EN43" s="530"/>
      <c r="EO43" s="530"/>
      <c r="EP43" s="530"/>
      <c r="EQ43" s="530"/>
      <c r="ER43" s="530"/>
      <c r="ES43" s="530"/>
      <c r="ET43" s="530"/>
      <c r="EU43" s="530"/>
      <c r="EV43" s="530"/>
      <c r="EW43" s="530"/>
      <c r="EX43" s="530"/>
      <c r="EY43" s="530"/>
      <c r="EZ43" s="530"/>
      <c r="FA43" s="530"/>
      <c r="FB43" s="530"/>
      <c r="FC43" s="530"/>
      <c r="FD43" s="530"/>
      <c r="FE43" s="530"/>
      <c r="FF43" s="530"/>
      <c r="FG43" s="530"/>
      <c r="FH43" s="530"/>
      <c r="FI43" s="530"/>
      <c r="FJ43" s="530"/>
      <c r="FK43" s="530"/>
      <c r="FL43" s="530"/>
      <c r="FM43" s="530"/>
      <c r="FN43" s="530"/>
      <c r="FO43" s="530"/>
      <c r="FP43" s="530"/>
      <c r="FQ43" s="530"/>
      <c r="FR43" s="530"/>
      <c r="FS43" s="530"/>
    </row>
    <row r="44" customFormat="false" ht="13.8" hidden="false" customHeight="false" outlineLevel="0" collapsed="false">
      <c r="A44" s="162" t="s">
        <v>1188</v>
      </c>
      <c r="B44" s="23" t="s">
        <v>137</v>
      </c>
      <c r="C44" s="454" t="n">
        <v>0.5</v>
      </c>
      <c r="D44" s="102"/>
      <c r="E44" s="290"/>
      <c r="F44" s="290"/>
      <c r="G44" s="290"/>
      <c r="H44" s="290"/>
      <c r="I44" s="290"/>
      <c r="J44" s="290"/>
      <c r="K44" s="290"/>
      <c r="L44" s="290"/>
      <c r="M44" s="290"/>
      <c r="N44" s="290"/>
      <c r="O44" s="290"/>
      <c r="P44" s="290"/>
      <c r="Q44" s="290"/>
      <c r="R44" s="290" t="n">
        <v>1.3</v>
      </c>
      <c r="S44" s="290"/>
      <c r="T44" s="290" t="n">
        <v>0.06</v>
      </c>
      <c r="U44" s="290"/>
      <c r="V44" s="290"/>
      <c r="W44" s="290"/>
      <c r="X44" s="290"/>
      <c r="Y44" s="290"/>
      <c r="Z44" s="290"/>
      <c r="AA44" s="290"/>
      <c r="AB44" s="500"/>
      <c r="AC44" s="744" t="s">
        <v>1178</v>
      </c>
      <c r="AD44" s="748" t="s">
        <v>1189</v>
      </c>
      <c r="AF44" s="742"/>
      <c r="AG44" s="742"/>
    </row>
    <row r="45" customFormat="false" ht="13.8" hidden="false" customHeight="false" outlineLevel="0" collapsed="false">
      <c r="A45" s="162" t="s">
        <v>1190</v>
      </c>
      <c r="B45" s="23" t="s">
        <v>137</v>
      </c>
      <c r="C45" s="454" t="n">
        <v>0.5</v>
      </c>
      <c r="D45" s="102"/>
      <c r="E45" s="290"/>
      <c r="F45" s="290"/>
      <c r="G45" s="290"/>
      <c r="H45" s="290"/>
      <c r="I45" s="290"/>
      <c r="J45" s="290"/>
      <c r="K45" s="290"/>
      <c r="L45" s="290"/>
      <c r="M45" s="290"/>
      <c r="N45" s="290"/>
      <c r="O45" s="290"/>
      <c r="P45" s="290"/>
      <c r="Q45" s="290"/>
      <c r="R45" s="290"/>
      <c r="S45" s="290" t="n">
        <v>1.3</v>
      </c>
      <c r="T45" s="290" t="n">
        <v>0.06</v>
      </c>
      <c r="U45" s="290"/>
      <c r="V45" s="290"/>
      <c r="W45" s="290"/>
      <c r="X45" s="290"/>
      <c r="Y45" s="290"/>
      <c r="Z45" s="290"/>
      <c r="AA45" s="290"/>
      <c r="AB45" s="500"/>
      <c r="AC45" s="744" t="s">
        <v>1178</v>
      </c>
      <c r="AD45" s="748" t="s">
        <v>1189</v>
      </c>
      <c r="AF45" s="742"/>
      <c r="AG45" s="742"/>
    </row>
    <row r="46" s="743" customFormat="true" ht="13.8" hidden="false" customHeight="false" outlineLevel="0" collapsed="false">
      <c r="A46" s="497" t="s">
        <v>101</v>
      </c>
      <c r="B46" s="289" t="s">
        <v>137</v>
      </c>
      <c r="C46" s="498" t="n">
        <v>1</v>
      </c>
      <c r="D46" s="649"/>
      <c r="E46" s="652"/>
      <c r="F46" s="652"/>
      <c r="G46" s="652"/>
      <c r="H46" s="652"/>
      <c r="I46" s="652"/>
      <c r="J46" s="746"/>
      <c r="K46" s="652"/>
      <c r="L46" s="652" t="n">
        <v>0.2</v>
      </c>
      <c r="M46" s="652" t="n">
        <v>0.1</v>
      </c>
      <c r="N46" s="652"/>
      <c r="O46" s="652"/>
      <c r="P46" s="652"/>
      <c r="Q46" s="652"/>
      <c r="R46" s="652"/>
      <c r="S46" s="652"/>
      <c r="T46" s="652" t="n">
        <v>0.45</v>
      </c>
      <c r="U46" s="652"/>
      <c r="V46" s="652"/>
      <c r="W46" s="652" t="n">
        <v>0.25</v>
      </c>
      <c r="X46" s="652" t="n">
        <v>0.005</v>
      </c>
      <c r="Y46" s="652"/>
      <c r="Z46" s="652"/>
      <c r="AA46" s="652"/>
      <c r="AB46" s="502"/>
      <c r="AC46" s="744" t="s">
        <v>1178</v>
      </c>
      <c r="AD46" s="748" t="s">
        <v>1191</v>
      </c>
      <c r="AE46" s="530"/>
      <c r="AF46" s="742"/>
      <c r="AG46" s="742"/>
      <c r="AH46" s="530"/>
      <c r="AI46" s="530"/>
      <c r="AJ46" s="530"/>
      <c r="AK46" s="530"/>
      <c r="AL46" s="530"/>
      <c r="AM46" s="530"/>
      <c r="AN46" s="530"/>
      <c r="AO46" s="530"/>
      <c r="AP46" s="530"/>
      <c r="AQ46" s="530"/>
      <c r="AR46" s="530"/>
      <c r="AS46" s="530"/>
      <c r="AT46" s="530"/>
      <c r="AU46" s="530"/>
      <c r="AV46" s="530"/>
      <c r="AW46" s="530"/>
      <c r="AX46" s="530"/>
      <c r="AY46" s="530"/>
      <c r="AZ46" s="530"/>
      <c r="BA46" s="530"/>
      <c r="BB46" s="530"/>
      <c r="BC46" s="530"/>
      <c r="BD46" s="530"/>
      <c r="BE46" s="530"/>
      <c r="BF46" s="530"/>
      <c r="BG46" s="530"/>
      <c r="BH46" s="530"/>
      <c r="BI46" s="530"/>
      <c r="BJ46" s="530"/>
      <c r="BK46" s="530"/>
      <c r="BL46" s="530"/>
      <c r="BM46" s="530"/>
      <c r="BN46" s="530"/>
      <c r="BO46" s="530"/>
      <c r="BP46" s="530"/>
      <c r="BQ46" s="530"/>
      <c r="BR46" s="530"/>
      <c r="BS46" s="530"/>
      <c r="BT46" s="530"/>
      <c r="BU46" s="530"/>
      <c r="BV46" s="530"/>
      <c r="BW46" s="530"/>
      <c r="BX46" s="530"/>
      <c r="BY46" s="530"/>
      <c r="BZ46" s="530"/>
      <c r="CA46" s="530"/>
      <c r="CB46" s="530"/>
      <c r="CC46" s="530"/>
      <c r="CD46" s="530"/>
      <c r="CE46" s="530"/>
      <c r="CF46" s="530"/>
      <c r="CG46" s="530"/>
      <c r="CH46" s="530"/>
      <c r="CI46" s="530"/>
      <c r="CJ46" s="530"/>
      <c r="CK46" s="530"/>
      <c r="CL46" s="530"/>
      <c r="CM46" s="530"/>
      <c r="CN46" s="530"/>
      <c r="CO46" s="530"/>
      <c r="CP46" s="530"/>
      <c r="CQ46" s="530"/>
      <c r="CR46" s="530"/>
      <c r="CS46" s="530"/>
      <c r="CT46" s="530"/>
      <c r="CU46" s="530"/>
      <c r="CV46" s="530"/>
      <c r="CW46" s="530"/>
      <c r="CX46" s="530"/>
      <c r="CY46" s="530"/>
      <c r="CZ46" s="530"/>
      <c r="DA46" s="530"/>
      <c r="DB46" s="530"/>
      <c r="DC46" s="530"/>
      <c r="DD46" s="530"/>
      <c r="DE46" s="530"/>
      <c r="DF46" s="530"/>
      <c r="DG46" s="530"/>
      <c r="DH46" s="530"/>
      <c r="DI46" s="530"/>
      <c r="DJ46" s="530"/>
      <c r="DK46" s="530"/>
      <c r="DL46" s="530"/>
      <c r="DM46" s="530"/>
      <c r="DN46" s="530"/>
      <c r="DO46" s="530"/>
      <c r="DP46" s="530"/>
      <c r="DQ46" s="530"/>
      <c r="DR46" s="530"/>
      <c r="DS46" s="530"/>
      <c r="DT46" s="530"/>
      <c r="DU46" s="530"/>
      <c r="DV46" s="530"/>
      <c r="DW46" s="530"/>
      <c r="DX46" s="530"/>
      <c r="DY46" s="530"/>
      <c r="DZ46" s="530"/>
      <c r="EA46" s="530"/>
      <c r="EB46" s="530"/>
      <c r="EC46" s="530"/>
      <c r="ED46" s="530"/>
      <c r="EE46" s="530"/>
      <c r="EF46" s="530"/>
      <c r="EG46" s="530"/>
      <c r="EH46" s="530"/>
      <c r="EI46" s="530"/>
      <c r="EJ46" s="530"/>
      <c r="EK46" s="530"/>
      <c r="EL46" s="530"/>
      <c r="EM46" s="530"/>
      <c r="EN46" s="530"/>
      <c r="EO46" s="530"/>
      <c r="EP46" s="530"/>
      <c r="EQ46" s="530"/>
      <c r="ER46" s="530"/>
      <c r="ES46" s="530"/>
      <c r="ET46" s="530"/>
      <c r="EU46" s="530"/>
      <c r="EV46" s="530"/>
      <c r="EW46" s="530"/>
      <c r="EX46" s="530"/>
      <c r="EY46" s="530"/>
      <c r="EZ46" s="530"/>
      <c r="FA46" s="530"/>
      <c r="FB46" s="530"/>
      <c r="FC46" s="530"/>
      <c r="FD46" s="530"/>
      <c r="FE46" s="530"/>
      <c r="FF46" s="530"/>
      <c r="FG46" s="530"/>
      <c r="FH46" s="530"/>
      <c r="FI46" s="530"/>
      <c r="FJ46" s="530"/>
      <c r="FK46" s="530"/>
      <c r="FL46" s="530"/>
      <c r="FM46" s="530"/>
      <c r="FN46" s="530"/>
      <c r="FO46" s="530"/>
      <c r="FP46" s="530"/>
      <c r="FQ46" s="530"/>
      <c r="FR46" s="530"/>
      <c r="FS46" s="530"/>
    </row>
    <row r="47" customFormat="false" ht="13.8" hidden="false" customHeight="false" outlineLevel="0" collapsed="false">
      <c r="A47" s="499"/>
      <c r="B47" s="23"/>
      <c r="C47" s="454"/>
      <c r="D47" s="102"/>
      <c r="E47" s="290"/>
      <c r="F47" s="290"/>
      <c r="G47" s="290"/>
      <c r="H47" s="290"/>
      <c r="I47" s="290"/>
      <c r="J47" s="747"/>
      <c r="K47" s="290"/>
      <c r="L47" s="290"/>
      <c r="M47" s="290"/>
      <c r="N47" s="290"/>
      <c r="O47" s="290"/>
      <c r="P47" s="290"/>
      <c r="Q47" s="290"/>
      <c r="R47" s="290"/>
      <c r="S47" s="290"/>
      <c r="T47" s="290"/>
      <c r="U47" s="290"/>
      <c r="V47" s="290"/>
      <c r="W47" s="290"/>
      <c r="X47" s="290"/>
      <c r="Y47" s="290"/>
      <c r="Z47" s="290"/>
      <c r="AA47" s="290"/>
      <c r="AB47" s="500"/>
      <c r="AC47" s="744"/>
      <c r="AD47" s="748"/>
      <c r="AF47" s="742"/>
      <c r="AG47" s="742"/>
    </row>
    <row r="48" s="743" customFormat="true" ht="13.8" hidden="false" customHeight="false" outlineLevel="0" collapsed="false">
      <c r="A48" s="161" t="s">
        <v>102</v>
      </c>
      <c r="B48" s="289" t="s">
        <v>137</v>
      </c>
      <c r="C48" s="498" t="n">
        <v>1</v>
      </c>
      <c r="D48" s="649"/>
      <c r="E48" s="652"/>
      <c r="F48" s="652"/>
      <c r="G48" s="652"/>
      <c r="H48" s="652" t="n">
        <v>0.28</v>
      </c>
      <c r="I48" s="652"/>
      <c r="J48" s="649"/>
      <c r="K48" s="652"/>
      <c r="L48" s="652"/>
      <c r="M48" s="652"/>
      <c r="N48" s="652"/>
      <c r="O48" s="652"/>
      <c r="P48" s="652"/>
      <c r="Q48" s="652"/>
      <c r="R48" s="652"/>
      <c r="S48" s="652"/>
      <c r="T48" s="652"/>
      <c r="U48" s="649" t="n">
        <v>3</v>
      </c>
      <c r="V48" s="652"/>
      <c r="W48" s="652"/>
      <c r="X48" s="652"/>
      <c r="Y48" s="652"/>
      <c r="Z48" s="652"/>
      <c r="AA48" s="652"/>
      <c r="AB48" s="502"/>
      <c r="AC48" s="744" t="s">
        <v>1192</v>
      </c>
      <c r="AD48" s="748" t="s">
        <v>1193</v>
      </c>
      <c r="AE48" s="530"/>
      <c r="AF48" s="742"/>
      <c r="AG48" s="742"/>
      <c r="AH48" s="530"/>
      <c r="AI48" s="530"/>
      <c r="AJ48" s="530"/>
      <c r="AK48" s="749"/>
      <c r="AL48" s="481"/>
      <c r="AM48" s="750"/>
      <c r="AN48" s="530"/>
      <c r="AO48" s="530"/>
      <c r="AP48" s="530"/>
      <c r="AQ48" s="530"/>
      <c r="AR48" s="530"/>
      <c r="AS48" s="530"/>
      <c r="AT48" s="530"/>
      <c r="AU48" s="530"/>
      <c r="AV48" s="530"/>
      <c r="AW48" s="530"/>
      <c r="AX48" s="530"/>
      <c r="AY48" s="530"/>
      <c r="AZ48" s="530"/>
      <c r="BA48" s="530"/>
      <c r="BB48" s="530"/>
      <c r="BC48" s="530"/>
      <c r="BD48" s="530"/>
      <c r="BE48" s="530"/>
      <c r="BF48" s="530"/>
      <c r="BG48" s="530"/>
      <c r="BH48" s="530"/>
      <c r="BI48" s="530"/>
      <c r="BJ48" s="530"/>
      <c r="BK48" s="530"/>
      <c r="BL48" s="530"/>
      <c r="BM48" s="530"/>
      <c r="BN48" s="530"/>
      <c r="BO48" s="530"/>
      <c r="BP48" s="530"/>
      <c r="BQ48" s="530"/>
      <c r="BR48" s="530"/>
      <c r="BS48" s="530"/>
      <c r="BT48" s="530"/>
      <c r="BU48" s="530"/>
      <c r="BV48" s="530"/>
      <c r="BW48" s="530"/>
      <c r="BX48" s="530"/>
      <c r="BY48" s="530"/>
      <c r="BZ48" s="530"/>
      <c r="CA48" s="530"/>
      <c r="CB48" s="530"/>
      <c r="CC48" s="530"/>
      <c r="CD48" s="530"/>
      <c r="CE48" s="530"/>
      <c r="CF48" s="530"/>
      <c r="CG48" s="530"/>
      <c r="CH48" s="530"/>
      <c r="CI48" s="530"/>
      <c r="CJ48" s="530"/>
      <c r="CK48" s="530"/>
      <c r="CL48" s="530"/>
      <c r="CM48" s="530"/>
      <c r="CN48" s="530"/>
      <c r="CO48" s="530"/>
      <c r="CP48" s="530"/>
      <c r="CQ48" s="530"/>
      <c r="CR48" s="530"/>
      <c r="CS48" s="530"/>
      <c r="CT48" s="530"/>
      <c r="CU48" s="530"/>
      <c r="CV48" s="530"/>
      <c r="CW48" s="530"/>
      <c r="CX48" s="530"/>
      <c r="CY48" s="530"/>
      <c r="CZ48" s="530"/>
      <c r="DA48" s="530"/>
      <c r="DB48" s="530"/>
      <c r="DC48" s="530"/>
      <c r="DD48" s="530"/>
      <c r="DE48" s="530"/>
      <c r="DF48" s="530"/>
      <c r="DG48" s="530"/>
      <c r="DH48" s="530"/>
      <c r="DI48" s="530"/>
      <c r="DJ48" s="530"/>
      <c r="DK48" s="530"/>
      <c r="DL48" s="530"/>
      <c r="DM48" s="530"/>
      <c r="DN48" s="530"/>
      <c r="DO48" s="530"/>
      <c r="DP48" s="530"/>
      <c r="DQ48" s="530"/>
      <c r="DR48" s="530"/>
      <c r="DS48" s="530"/>
      <c r="DT48" s="530"/>
      <c r="DU48" s="530"/>
      <c r="DV48" s="530"/>
      <c r="DW48" s="530"/>
      <c r="DX48" s="530"/>
      <c r="DY48" s="530"/>
      <c r="DZ48" s="530"/>
      <c r="EA48" s="530"/>
      <c r="EB48" s="530"/>
      <c r="EC48" s="530"/>
      <c r="ED48" s="530"/>
      <c r="EE48" s="530"/>
      <c r="EF48" s="530"/>
      <c r="EG48" s="530"/>
      <c r="EH48" s="530"/>
      <c r="EI48" s="530"/>
      <c r="EJ48" s="530"/>
      <c r="EK48" s="530"/>
      <c r="EL48" s="530"/>
      <c r="EM48" s="530"/>
      <c r="EN48" s="530"/>
      <c r="EO48" s="530"/>
      <c r="EP48" s="530"/>
      <c r="EQ48" s="530"/>
      <c r="ER48" s="530"/>
      <c r="ES48" s="530"/>
      <c r="ET48" s="530"/>
      <c r="EU48" s="530"/>
      <c r="EV48" s="530"/>
      <c r="EW48" s="530"/>
      <c r="EX48" s="530"/>
      <c r="EY48" s="530"/>
      <c r="EZ48" s="530"/>
      <c r="FA48" s="530"/>
      <c r="FB48" s="530"/>
      <c r="FC48" s="530"/>
      <c r="FD48" s="530"/>
      <c r="FE48" s="530"/>
      <c r="FF48" s="530"/>
      <c r="FG48" s="530"/>
      <c r="FH48" s="530"/>
      <c r="FI48" s="530"/>
      <c r="FJ48" s="530"/>
      <c r="FK48" s="530"/>
      <c r="FL48" s="530"/>
      <c r="FM48" s="530"/>
      <c r="FN48" s="530"/>
      <c r="FO48" s="530"/>
      <c r="FP48" s="530"/>
      <c r="FQ48" s="530"/>
      <c r="FR48" s="530"/>
      <c r="FS48" s="530"/>
    </row>
    <row r="49" customFormat="false" ht="13.8" hidden="false" customHeight="false" outlineLevel="0" collapsed="false">
      <c r="A49" s="162"/>
      <c r="B49" s="23"/>
      <c r="C49" s="454"/>
      <c r="D49" s="102"/>
      <c r="E49" s="290"/>
      <c r="F49" s="290"/>
      <c r="G49" s="290"/>
      <c r="H49" s="290"/>
      <c r="I49" s="290"/>
      <c r="J49" s="102"/>
      <c r="K49" s="290"/>
      <c r="L49" s="290"/>
      <c r="M49" s="290"/>
      <c r="N49" s="290"/>
      <c r="O49" s="290"/>
      <c r="P49" s="290"/>
      <c r="Q49" s="290"/>
      <c r="R49" s="290"/>
      <c r="S49" s="290"/>
      <c r="T49" s="290"/>
      <c r="U49" s="102"/>
      <c r="V49" s="290"/>
      <c r="W49" s="290"/>
      <c r="X49" s="290"/>
      <c r="Y49" s="290"/>
      <c r="Z49" s="290"/>
      <c r="AA49" s="290"/>
      <c r="AB49" s="500"/>
      <c r="AC49" s="744"/>
      <c r="AD49" s="748"/>
      <c r="AF49" s="742"/>
      <c r="AG49" s="742"/>
      <c r="AK49" s="749"/>
      <c r="AL49" s="481"/>
      <c r="AM49" s="750"/>
    </row>
    <row r="50" s="743" customFormat="true" ht="13.8" hidden="false" customHeight="false" outlineLevel="0" collapsed="false">
      <c r="A50" s="751" t="s">
        <v>103</v>
      </c>
      <c r="B50" s="671" t="s">
        <v>137</v>
      </c>
      <c r="C50" s="752" t="n">
        <v>1</v>
      </c>
      <c r="D50" s="753"/>
      <c r="E50" s="754"/>
      <c r="F50" s="754"/>
      <c r="G50" s="754"/>
      <c r="H50" s="754"/>
      <c r="I50" s="754"/>
      <c r="J50" s="753"/>
      <c r="K50" s="754"/>
      <c r="L50" s="754"/>
      <c r="M50" s="754"/>
      <c r="N50" s="754"/>
      <c r="O50" s="754"/>
      <c r="P50" s="754"/>
      <c r="Q50" s="754"/>
      <c r="R50" s="754"/>
      <c r="S50" s="754"/>
      <c r="T50" s="753" t="n">
        <v>0.04</v>
      </c>
      <c r="U50" s="754"/>
      <c r="V50" s="754"/>
      <c r="W50" s="754" t="n">
        <v>0.03</v>
      </c>
      <c r="X50" s="754"/>
      <c r="Y50" s="754" t="n">
        <v>0.29</v>
      </c>
      <c r="Z50" s="754" t="n">
        <v>0.07</v>
      </c>
      <c r="AA50" s="754" t="n">
        <v>0.11</v>
      </c>
      <c r="AB50" s="755" t="n">
        <v>0.03</v>
      </c>
      <c r="AC50" s="744" t="s">
        <v>1178</v>
      </c>
      <c r="AD50" s="748" t="s">
        <v>1194</v>
      </c>
      <c r="AE50" s="530"/>
      <c r="AF50" s="742"/>
      <c r="AG50" s="742"/>
      <c r="AH50" s="530"/>
      <c r="AI50" s="530"/>
      <c r="AJ50" s="530"/>
      <c r="AK50" s="749"/>
      <c r="AL50" s="481"/>
      <c r="AM50" s="750"/>
      <c r="AN50" s="530"/>
      <c r="AO50" s="530"/>
      <c r="AP50" s="530"/>
      <c r="AQ50" s="530"/>
      <c r="AR50" s="530"/>
      <c r="AS50" s="530"/>
      <c r="AT50" s="530"/>
      <c r="AU50" s="530"/>
      <c r="AV50" s="530"/>
      <c r="AW50" s="530"/>
      <c r="AX50" s="530"/>
      <c r="AY50" s="530"/>
      <c r="AZ50" s="530"/>
      <c r="BA50" s="530"/>
      <c r="BB50" s="530"/>
      <c r="BC50" s="530"/>
      <c r="BD50" s="530"/>
      <c r="BE50" s="530"/>
      <c r="BF50" s="530"/>
      <c r="BG50" s="530"/>
      <c r="BH50" s="530"/>
      <c r="BI50" s="530"/>
      <c r="BJ50" s="530"/>
      <c r="BK50" s="530"/>
      <c r="BL50" s="530"/>
      <c r="BM50" s="530"/>
      <c r="BN50" s="530"/>
      <c r="BO50" s="530"/>
      <c r="BP50" s="530"/>
      <c r="BQ50" s="530"/>
      <c r="BR50" s="530"/>
      <c r="BS50" s="530"/>
      <c r="BT50" s="530"/>
      <c r="BU50" s="530"/>
      <c r="BV50" s="530"/>
      <c r="BW50" s="530"/>
      <c r="BX50" s="530"/>
      <c r="BY50" s="530"/>
      <c r="BZ50" s="530"/>
      <c r="CA50" s="530"/>
      <c r="CB50" s="530"/>
      <c r="CC50" s="530"/>
      <c r="CD50" s="530"/>
      <c r="CE50" s="530"/>
      <c r="CF50" s="530"/>
      <c r="CG50" s="530"/>
      <c r="CH50" s="530"/>
      <c r="CI50" s="530"/>
      <c r="CJ50" s="530"/>
      <c r="CK50" s="530"/>
      <c r="CL50" s="530"/>
      <c r="CM50" s="530"/>
      <c r="CN50" s="530"/>
      <c r="CO50" s="530"/>
      <c r="CP50" s="530"/>
      <c r="CQ50" s="530"/>
      <c r="CR50" s="530"/>
      <c r="CS50" s="530"/>
      <c r="CT50" s="530"/>
      <c r="CU50" s="530"/>
      <c r="CV50" s="530"/>
      <c r="CW50" s="530"/>
      <c r="CX50" s="530"/>
      <c r="CY50" s="530"/>
      <c r="CZ50" s="530"/>
      <c r="DA50" s="530"/>
      <c r="DB50" s="530"/>
      <c r="DC50" s="530"/>
      <c r="DD50" s="530"/>
      <c r="DE50" s="530"/>
      <c r="DF50" s="530"/>
      <c r="DG50" s="530"/>
      <c r="DH50" s="530"/>
      <c r="DI50" s="530"/>
      <c r="DJ50" s="530"/>
      <c r="DK50" s="530"/>
      <c r="DL50" s="530"/>
      <c r="DM50" s="530"/>
      <c r="DN50" s="530"/>
      <c r="DO50" s="530"/>
      <c r="DP50" s="530"/>
      <c r="DQ50" s="530"/>
      <c r="DR50" s="530"/>
      <c r="DS50" s="530"/>
      <c r="DT50" s="530"/>
      <c r="DU50" s="530"/>
      <c r="DV50" s="530"/>
      <c r="DW50" s="530"/>
      <c r="DX50" s="530"/>
      <c r="DY50" s="530"/>
      <c r="DZ50" s="530"/>
      <c r="EA50" s="530"/>
      <c r="EB50" s="530"/>
      <c r="EC50" s="530"/>
      <c r="ED50" s="530"/>
      <c r="EE50" s="530"/>
      <c r="EF50" s="530"/>
      <c r="EG50" s="530"/>
      <c r="EH50" s="530"/>
      <c r="EI50" s="530"/>
      <c r="EJ50" s="530"/>
      <c r="EK50" s="530"/>
      <c r="EL50" s="530"/>
      <c r="EM50" s="530"/>
      <c r="EN50" s="530"/>
      <c r="EO50" s="530"/>
      <c r="EP50" s="530"/>
      <c r="EQ50" s="530"/>
      <c r="ER50" s="530"/>
      <c r="ES50" s="530"/>
      <c r="ET50" s="530"/>
      <c r="EU50" s="530"/>
      <c r="EV50" s="530"/>
      <c r="EW50" s="530"/>
      <c r="EX50" s="530"/>
      <c r="EY50" s="530"/>
      <c r="EZ50" s="530"/>
      <c r="FA50" s="530"/>
      <c r="FB50" s="530"/>
      <c r="FC50" s="530"/>
      <c r="FD50" s="530"/>
      <c r="FE50" s="530"/>
      <c r="FF50" s="530"/>
      <c r="FG50" s="530"/>
      <c r="FH50" s="530"/>
      <c r="FI50" s="530"/>
      <c r="FJ50" s="530"/>
      <c r="FK50" s="530"/>
      <c r="FL50" s="530"/>
      <c r="FM50" s="530"/>
      <c r="FN50" s="530"/>
      <c r="FO50" s="530"/>
      <c r="FP50" s="530"/>
      <c r="FQ50" s="530"/>
      <c r="FR50" s="530"/>
      <c r="FS50" s="530"/>
    </row>
    <row r="51" customFormat="false" ht="13.8" hidden="false" customHeight="false" outlineLevel="0" collapsed="false">
      <c r="A51" s="481" t="s">
        <v>1195</v>
      </c>
      <c r="B51" s="23"/>
      <c r="I51" s="742"/>
      <c r="J51" s="742"/>
      <c r="K51" s="102"/>
      <c r="L51" s="290"/>
      <c r="M51" s="742"/>
      <c r="N51" s="290"/>
      <c r="O51" s="290"/>
      <c r="P51" s="290"/>
      <c r="Q51" s="290"/>
      <c r="R51" s="742"/>
      <c r="S51" s="290"/>
      <c r="T51" s="290"/>
      <c r="U51" s="290"/>
      <c r="V51" s="290"/>
      <c r="W51" s="290"/>
      <c r="X51" s="290"/>
      <c r="Y51" s="290"/>
      <c r="Z51" s="290"/>
      <c r="AA51" s="742"/>
      <c r="AB51" s="742"/>
      <c r="AC51" s="744"/>
      <c r="AD51" s="744"/>
      <c r="AF51" s="742"/>
      <c r="AG51" s="742"/>
      <c r="AK51" s="749"/>
      <c r="AL51" s="481"/>
      <c r="AM51" s="481"/>
    </row>
    <row r="52" customFormat="false" ht="13.8" hidden="false" customHeight="false" outlineLevel="0" collapsed="false">
      <c r="A52" s="481"/>
      <c r="I52" s="742"/>
      <c r="J52" s="742"/>
      <c r="K52" s="742"/>
      <c r="L52" s="290"/>
      <c r="M52" s="290"/>
      <c r="N52" s="290"/>
      <c r="O52" s="290"/>
      <c r="P52" s="290"/>
      <c r="Q52" s="290"/>
      <c r="R52" s="290"/>
      <c r="S52" s="290"/>
      <c r="T52" s="290"/>
      <c r="U52" s="290"/>
      <c r="V52" s="290"/>
      <c r="W52" s="290"/>
      <c r="X52" s="290"/>
      <c r="Y52" s="290"/>
      <c r="Z52" s="290"/>
      <c r="AA52" s="290"/>
      <c r="AB52" s="742"/>
      <c r="AC52" s="744"/>
      <c r="AD52" s="744"/>
      <c r="AF52" s="742"/>
      <c r="AG52" s="742"/>
      <c r="AK52" s="749"/>
      <c r="AL52" s="481"/>
      <c r="AM52" s="481"/>
    </row>
    <row r="53" customFormat="false" ht="13.8" hidden="false" customHeight="false" outlineLevel="0" collapsed="false">
      <c r="A53" s="25" t="s">
        <v>1196</v>
      </c>
      <c r="B53" s="673"/>
      <c r="C53" s="481"/>
      <c r="D53" s="481"/>
      <c r="AK53" s="749"/>
      <c r="AL53" s="481"/>
      <c r="AM53" s="481"/>
    </row>
    <row r="54" customFormat="false" ht="27.6" hidden="false" customHeight="false" outlineLevel="0" collapsed="false">
      <c r="A54" s="472"/>
      <c r="B54" s="561"/>
      <c r="C54" s="561"/>
      <c r="D54" s="476" t="s">
        <v>953</v>
      </c>
      <c r="E54" s="476" t="s">
        <v>1157</v>
      </c>
      <c r="F54" s="476" t="s">
        <v>1158</v>
      </c>
      <c r="G54" s="476" t="s">
        <v>443</v>
      </c>
      <c r="H54" s="476" t="s">
        <v>460</v>
      </c>
      <c r="I54" s="476" t="s">
        <v>1197</v>
      </c>
      <c r="J54" s="476" t="s">
        <v>84</v>
      </c>
      <c r="K54" s="476" t="s">
        <v>38</v>
      </c>
      <c r="L54" s="476" t="s">
        <v>1198</v>
      </c>
      <c r="M54" s="476" t="s">
        <v>464</v>
      </c>
      <c r="N54" s="476" t="s">
        <v>1199</v>
      </c>
      <c r="O54" s="476" t="s">
        <v>55</v>
      </c>
      <c r="P54" s="476" t="s">
        <v>28</v>
      </c>
      <c r="Q54" s="476" t="s">
        <v>1163</v>
      </c>
      <c r="R54" s="476" t="s">
        <v>79</v>
      </c>
      <c r="S54" s="476" t="s">
        <v>83</v>
      </c>
      <c r="T54" s="476" t="s">
        <v>453</v>
      </c>
      <c r="U54" s="476" t="s">
        <v>54</v>
      </c>
      <c r="V54" s="476" t="s">
        <v>1200</v>
      </c>
      <c r="W54" s="476" t="s">
        <v>75</v>
      </c>
      <c r="X54" s="476" t="s">
        <v>1201</v>
      </c>
      <c r="Y54" s="476" t="s">
        <v>51</v>
      </c>
      <c r="Z54" s="476" t="s">
        <v>1202</v>
      </c>
      <c r="AA54" s="463" t="s">
        <v>1169</v>
      </c>
      <c r="AB54" s="464" t="s">
        <v>37</v>
      </c>
      <c r="AC54" s="756" t="s">
        <v>411</v>
      </c>
      <c r="AK54" s="749"/>
      <c r="AL54" s="481"/>
      <c r="AM54" s="481"/>
    </row>
    <row r="55" customFormat="false" ht="13.8" hidden="false" customHeight="false" outlineLevel="0" collapsed="false">
      <c r="A55" s="499" t="s">
        <v>635</v>
      </c>
      <c r="B55" s="282"/>
      <c r="C55" s="282"/>
      <c r="D55" s="505" t="n">
        <v>0.629058736994062</v>
      </c>
      <c r="E55" s="505" t="n">
        <v>0.609334580336363</v>
      </c>
      <c r="F55" s="505" t="n">
        <v>0.628086511884585</v>
      </c>
      <c r="G55" s="505" t="n">
        <v>0.896682567475667</v>
      </c>
      <c r="H55" s="505" t="n">
        <v>0.926383399209486</v>
      </c>
      <c r="I55" s="505" t="n">
        <v>0.896682567475667</v>
      </c>
      <c r="J55" s="757" t="n">
        <v>0.705498042470342</v>
      </c>
      <c r="K55" s="505" t="n">
        <v>2.70026140865044</v>
      </c>
      <c r="L55" s="505" t="n">
        <v>4.61498552526148</v>
      </c>
      <c r="M55" s="505" t="n">
        <v>2.37613253330018</v>
      </c>
      <c r="N55" s="505" t="n">
        <v>0.406435740733954</v>
      </c>
      <c r="O55" s="505" t="n">
        <v>0.51739309385386</v>
      </c>
      <c r="P55" s="505" t="n">
        <v>0.313855219239844</v>
      </c>
      <c r="Q55" s="758" t="n">
        <v>0.408011785011797</v>
      </c>
      <c r="R55" s="505" t="n">
        <v>0.485414676808094</v>
      </c>
      <c r="S55" s="505" t="n">
        <v>0.39428014604679</v>
      </c>
      <c r="T55" s="505" t="n">
        <v>1.08605814672553</v>
      </c>
      <c r="U55" s="505" t="n">
        <v>0.217835624168966</v>
      </c>
      <c r="V55" s="505" t="n">
        <v>0.266200136646465</v>
      </c>
      <c r="W55" s="505" t="n">
        <v>2.61967696119902</v>
      </c>
      <c r="X55" s="505" t="n">
        <v>1.4007171671896</v>
      </c>
      <c r="Y55" s="505" t="n">
        <v>1.37485671787041</v>
      </c>
      <c r="Z55" s="505" t="n">
        <v>2.61967696119902</v>
      </c>
      <c r="AA55" s="505" t="n">
        <v>1.16354234001293</v>
      </c>
      <c r="AB55" s="556" t="n">
        <v>1.42728206257611</v>
      </c>
      <c r="AC55" s="756" t="s">
        <v>1203</v>
      </c>
      <c r="AK55" s="749"/>
      <c r="AL55" s="481"/>
      <c r="AM55" s="481"/>
    </row>
    <row r="56" customFormat="false" ht="13.8" hidden="false" customHeight="false" outlineLevel="0" collapsed="false">
      <c r="A56" s="499" t="s">
        <v>636</v>
      </c>
      <c r="B56" s="282"/>
      <c r="C56" s="282"/>
      <c r="D56" s="505" t="n">
        <v>5.14797033296E-005</v>
      </c>
      <c r="E56" s="505" t="n">
        <v>5.20368404930329E-005</v>
      </c>
      <c r="F56" s="505" t="n">
        <v>5.68526695487536E-005</v>
      </c>
      <c r="G56" s="505" t="n">
        <v>0.00019206980584394</v>
      </c>
      <c r="H56" s="505" t="n">
        <v>0.0444664031620553</v>
      </c>
      <c r="I56" s="505" t="n">
        <v>0.00019206980584394</v>
      </c>
      <c r="J56" s="757" t="n">
        <v>0.0157863142085441</v>
      </c>
      <c r="K56" s="505" t="n">
        <v>0.268400018808975</v>
      </c>
      <c r="L56" s="505" t="n">
        <v>3.99283038990826E-009</v>
      </c>
      <c r="M56" s="505" t="n">
        <v>1.84221497825569E-009</v>
      </c>
      <c r="N56" s="505" t="n">
        <v>0.000206286293339929</v>
      </c>
      <c r="O56" s="505" t="n">
        <v>1.44670071676678E-005</v>
      </c>
      <c r="P56" s="505" t="n">
        <v>2.88196755521109E-005</v>
      </c>
      <c r="Q56" s="758" t="n">
        <v>3.74655782177442E-005</v>
      </c>
      <c r="R56" s="505" t="n">
        <v>0.00109008492447468</v>
      </c>
      <c r="S56" s="505" t="n">
        <v>7.77001314288414E-005</v>
      </c>
      <c r="T56" s="505" t="n">
        <v>0.000251727933581139</v>
      </c>
      <c r="U56" s="505" t="n">
        <v>7.05186873374231E-006</v>
      </c>
      <c r="V56" s="505" t="n">
        <v>0.0272764246757088</v>
      </c>
      <c r="W56" s="505" t="n">
        <v>0.245487822081379</v>
      </c>
      <c r="X56" s="505" t="n">
        <v>0</v>
      </c>
      <c r="Y56" s="505" t="n">
        <v>0.136382123378544</v>
      </c>
      <c r="Z56" s="505" t="n">
        <v>0.245487822081379</v>
      </c>
      <c r="AA56" s="505" t="n">
        <v>0</v>
      </c>
      <c r="AB56" s="556" t="n">
        <v>0.00327472652999187</v>
      </c>
      <c r="AC56" s="759" t="s">
        <v>1204</v>
      </c>
      <c r="AK56" s="749"/>
      <c r="AL56" s="481"/>
      <c r="AM56" s="481"/>
    </row>
    <row r="57" customFormat="false" ht="13.8" hidden="false" customHeight="false" outlineLevel="0" collapsed="false">
      <c r="A57" s="503" t="s">
        <v>637</v>
      </c>
      <c r="B57" s="469"/>
      <c r="C57" s="469"/>
      <c r="D57" s="760" t="n">
        <v>0.00156171157587623</v>
      </c>
      <c r="E57" s="760" t="n">
        <v>0.00124968127317211</v>
      </c>
      <c r="F57" s="760" t="n">
        <v>0.00147530785200552</v>
      </c>
      <c r="G57" s="760" t="n">
        <v>0.00379192635669879</v>
      </c>
      <c r="H57" s="760" t="n">
        <v>0.00310866912486404</v>
      </c>
      <c r="I57" s="760" t="n">
        <v>0.00379192635669879</v>
      </c>
      <c r="J57" s="761" t="n">
        <v>0.00292401305183117</v>
      </c>
      <c r="K57" s="760" t="n">
        <v>0.011025108615958</v>
      </c>
      <c r="L57" s="760" t="n">
        <v>0.00981120375639176</v>
      </c>
      <c r="M57" s="760" t="n">
        <v>0.00452670029772005</v>
      </c>
      <c r="N57" s="760" t="n">
        <v>0.000271644780189526</v>
      </c>
      <c r="O57" s="760" t="n">
        <v>0.000341007086177309</v>
      </c>
      <c r="P57" s="760" t="n">
        <v>6.02860276879234E-005</v>
      </c>
      <c r="Q57" s="760" t="n">
        <v>7.83718359943004E-005</v>
      </c>
      <c r="R57" s="760" t="n">
        <v>0.000204945091133086</v>
      </c>
      <c r="S57" s="760" t="n">
        <v>0.000763039819527091</v>
      </c>
      <c r="T57" s="760" t="n">
        <v>0.000865142364291302</v>
      </c>
      <c r="U57" s="760" t="n">
        <v>0.000239472815742131</v>
      </c>
      <c r="V57" s="760" t="n">
        <v>0.0011204378674754</v>
      </c>
      <c r="W57" s="760" t="n">
        <v>0.0100839408072786</v>
      </c>
      <c r="X57" s="760" t="n">
        <v>0.00169214154425589</v>
      </c>
      <c r="Y57" s="760" t="n">
        <v>0.00560218933737702</v>
      </c>
      <c r="Z57" s="760" t="n">
        <v>0.0100839408072786</v>
      </c>
      <c r="AA57" s="760" t="n">
        <v>0</v>
      </c>
      <c r="AB57" s="654" t="n">
        <v>0.00303116844688109</v>
      </c>
      <c r="AK57" s="749"/>
      <c r="AL57" s="481"/>
      <c r="AM57" s="481"/>
    </row>
    <row r="58" customFormat="false" ht="27.6" hidden="false" customHeight="false" outlineLevel="0" collapsed="false">
      <c r="A58" s="697" t="s">
        <v>1205</v>
      </c>
      <c r="B58" s="23"/>
      <c r="C58" s="23"/>
      <c r="D58" s="23"/>
      <c r="E58" s="23"/>
      <c r="F58" s="23"/>
      <c r="G58" s="23"/>
      <c r="K58" s="23"/>
      <c r="N58" s="25"/>
      <c r="AC58" s="282"/>
      <c r="AK58" s="749"/>
      <c r="AL58" s="481"/>
      <c r="AM58" s="481"/>
    </row>
    <row r="59" customFormat="false" ht="13.8" hidden="false" customHeight="false" outlineLevel="0" collapsed="false">
      <c r="A59" s="530" t="s">
        <v>1206</v>
      </c>
      <c r="J59" s="762"/>
      <c r="N59" s="102"/>
      <c r="AK59" s="749"/>
      <c r="AL59" s="481"/>
      <c r="AM59" s="481"/>
    </row>
    <row r="60" customFormat="false" ht="13.8" hidden="false" customHeight="false" outlineLevel="0" collapsed="false">
      <c r="A60" s="530" t="s">
        <v>1207</v>
      </c>
      <c r="J60" s="762"/>
      <c r="N60" s="102"/>
      <c r="AK60" s="749"/>
      <c r="AL60" s="481"/>
      <c r="AM60" s="481"/>
    </row>
    <row r="61" customFormat="false" ht="13.8" hidden="false" customHeight="false" outlineLevel="0" collapsed="false">
      <c r="A61" s="530" t="s">
        <v>1208</v>
      </c>
      <c r="C61" s="23"/>
      <c r="D61" s="23"/>
      <c r="E61" s="102"/>
      <c r="F61" s="102"/>
      <c r="G61" s="23"/>
      <c r="J61" s="762"/>
      <c r="N61" s="102"/>
      <c r="Q61" s="719"/>
      <c r="AK61" s="749"/>
      <c r="AL61" s="481"/>
      <c r="AM61" s="481"/>
    </row>
    <row r="62" customFormat="false" ht="13.8" hidden="false" customHeight="false" outlineLevel="0" collapsed="false">
      <c r="A62" s="530" t="s">
        <v>1209</v>
      </c>
      <c r="J62" s="762"/>
      <c r="M62" s="762"/>
      <c r="N62" s="102"/>
      <c r="Q62" s="749"/>
      <c r="AK62" s="749"/>
      <c r="AL62" s="481"/>
      <c r="AM62" s="481"/>
    </row>
    <row r="63" customFormat="false" ht="13.8" hidden="false" customHeight="false" outlineLevel="0" collapsed="false">
      <c r="A63" s="697" t="s">
        <v>1210</v>
      </c>
      <c r="M63" s="762"/>
      <c r="Q63" s="749"/>
      <c r="AK63" s="749"/>
      <c r="AL63" s="481"/>
      <c r="AM63" s="481"/>
    </row>
    <row r="64" customFormat="false" ht="13.8" hidden="false" customHeight="false" outlineLevel="0" collapsed="false">
      <c r="A64" s="23"/>
      <c r="M64" s="762"/>
    </row>
    <row r="65" customFormat="false" ht="13.8" hidden="false" customHeight="false" outlineLevel="0" collapsed="false">
      <c r="A65" s="716" t="s">
        <v>1211</v>
      </c>
    </row>
    <row r="66" customFormat="false" ht="41.4" hidden="false" customHeight="false" outlineLevel="0" collapsed="false">
      <c r="A66" s="472"/>
      <c r="B66" s="561"/>
      <c r="C66" s="705" t="s">
        <v>1212</v>
      </c>
      <c r="D66" s="705" t="s">
        <v>1213</v>
      </c>
      <c r="E66" s="705" t="s">
        <v>1214</v>
      </c>
      <c r="F66" s="705" t="s">
        <v>1215</v>
      </c>
      <c r="G66" s="705" t="s">
        <v>1216</v>
      </c>
      <c r="H66" s="705" t="s">
        <v>1217</v>
      </c>
      <c r="I66" s="705" t="s">
        <v>1218</v>
      </c>
      <c r="J66" s="706" t="s">
        <v>1219</v>
      </c>
      <c r="K66" s="763" t="s">
        <v>411</v>
      </c>
      <c r="S66" s="655"/>
    </row>
    <row r="67" customFormat="false" ht="27.6" hidden="false" customHeight="false" outlineLevel="0" collapsed="false">
      <c r="A67" s="499" t="s">
        <v>1220</v>
      </c>
      <c r="B67" s="282" t="s">
        <v>176</v>
      </c>
      <c r="C67" s="693" t="n">
        <v>0.06</v>
      </c>
      <c r="D67" s="693" t="n">
        <v>0.3</v>
      </c>
      <c r="E67" s="693" t="n">
        <v>0.1</v>
      </c>
      <c r="F67" s="693" t="n">
        <v>0.05</v>
      </c>
      <c r="G67" s="693" t="n">
        <v>0.1</v>
      </c>
      <c r="H67" s="693" t="n">
        <v>0.1</v>
      </c>
      <c r="I67" s="693" t="n">
        <v>0.8</v>
      </c>
      <c r="J67" s="764" t="n">
        <v>0.3</v>
      </c>
      <c r="K67" s="765" t="s">
        <v>1221</v>
      </c>
    </row>
    <row r="68" customFormat="false" ht="13.8" hidden="false" customHeight="false" outlineLevel="0" collapsed="false">
      <c r="A68" s="162"/>
      <c r="B68" s="282" t="s">
        <v>274</v>
      </c>
      <c r="C68" s="505" t="n">
        <v>0.18</v>
      </c>
      <c r="D68" s="505"/>
      <c r="E68" s="505"/>
      <c r="F68" s="766"/>
      <c r="G68" s="505"/>
      <c r="H68" s="505"/>
      <c r="I68" s="505"/>
      <c r="J68" s="556"/>
      <c r="K68" s="547" t="s">
        <v>1222</v>
      </c>
      <c r="S68" s="655"/>
      <c r="T68" s="655"/>
      <c r="U68" s="655"/>
      <c r="V68" s="655"/>
      <c r="W68" s="766"/>
    </row>
    <row r="69" customFormat="false" ht="13.8" hidden="false" customHeight="false" outlineLevel="0" collapsed="false">
      <c r="A69" s="162"/>
      <c r="B69" s="282" t="s">
        <v>141</v>
      </c>
      <c r="C69" s="505"/>
      <c r="D69" s="505"/>
      <c r="E69" s="505"/>
      <c r="F69" s="505" t="n">
        <v>0.08</v>
      </c>
      <c r="G69" s="505"/>
      <c r="H69" s="505"/>
      <c r="I69" s="505"/>
      <c r="J69" s="556"/>
      <c r="K69" s="481"/>
      <c r="S69" s="655"/>
      <c r="T69" s="655"/>
      <c r="U69" s="655"/>
      <c r="V69" s="655"/>
      <c r="W69" s="766"/>
    </row>
    <row r="70" customFormat="false" ht="13.8" hidden="false" customHeight="false" outlineLevel="0" collapsed="false">
      <c r="A70" s="513"/>
      <c r="B70" s="469" t="s">
        <v>171</v>
      </c>
      <c r="C70" s="760" t="n">
        <v>0.35</v>
      </c>
      <c r="D70" s="760"/>
      <c r="E70" s="760"/>
      <c r="F70" s="760"/>
      <c r="G70" s="760"/>
      <c r="H70" s="760"/>
      <c r="I70" s="760"/>
      <c r="J70" s="654"/>
      <c r="K70" s="481"/>
      <c r="S70" s="655"/>
      <c r="T70" s="767"/>
      <c r="V70" s="767"/>
      <c r="W70" s="766"/>
    </row>
    <row r="71" customFormat="false" ht="13.8" hidden="false" customHeight="false" outlineLevel="0" collapsed="false">
      <c r="K71" s="481"/>
      <c r="S71" s="655"/>
      <c r="T71" s="767"/>
      <c r="V71" s="767"/>
      <c r="W71" s="766"/>
    </row>
    <row r="72" customFormat="false" ht="13.8" hidden="false" customHeight="false" outlineLevel="0" collapsed="false">
      <c r="K72" s="481"/>
      <c r="S72" s="655"/>
      <c r="T72" s="767"/>
      <c r="V72" s="767"/>
      <c r="W72" s="76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9DC3E6"/>
    <pageSetUpPr fitToPage="false"/>
  </sheetPr>
  <dimension ref="A1:X12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4609375" defaultRowHeight="14.4" zeroHeight="false" outlineLevelRow="0" outlineLevelCol="0"/>
  <cols>
    <col collapsed="false" customWidth="true" hidden="false" outlineLevel="0" max="1" min="1" style="0" width="12.56"/>
    <col collapsed="false" customWidth="true" hidden="false" outlineLevel="0" max="2" min="2" style="699" width="18.66"/>
    <col collapsed="false" customWidth="true" hidden="false" outlineLevel="0" max="3" min="3" style="0" width="15"/>
    <col collapsed="false" customWidth="true" hidden="false" outlineLevel="0" max="4" min="4" style="0" width="17.33"/>
  </cols>
  <sheetData>
    <row r="1" customFormat="false" ht="21" hidden="false" customHeight="false" outlineLevel="0" collapsed="false">
      <c r="A1" s="768" t="s">
        <v>1223</v>
      </c>
    </row>
    <row r="2" customFormat="false" ht="14.4" hidden="false" customHeight="false" outlineLevel="0" collapsed="false">
      <c r="A2" s="370"/>
      <c r="B2" s="467"/>
      <c r="C2" s="401"/>
      <c r="D2" s="401"/>
      <c r="E2" s="401"/>
    </row>
    <row r="3" customFormat="false" ht="14.4" hidden="false" customHeight="false" outlineLevel="0" collapsed="false">
      <c r="A3" s="372" t="s">
        <v>1224</v>
      </c>
      <c r="B3" s="416"/>
      <c r="C3" s="401"/>
      <c r="D3" s="401"/>
      <c r="E3" s="401"/>
      <c r="F3" s="401"/>
      <c r="G3" s="401"/>
      <c r="H3" s="401"/>
      <c r="I3" s="401"/>
      <c r="J3" s="401"/>
      <c r="K3" s="401"/>
      <c r="L3" s="401"/>
      <c r="M3" s="401"/>
      <c r="N3" s="401"/>
      <c r="O3" s="401"/>
      <c r="P3" s="401"/>
      <c r="Q3" s="401"/>
      <c r="R3" s="401"/>
      <c r="S3" s="401"/>
      <c r="T3" s="401"/>
      <c r="U3" s="401"/>
      <c r="V3" s="401"/>
      <c r="W3" s="401"/>
      <c r="X3" s="401"/>
    </row>
    <row r="4" customFormat="false" ht="14.4" hidden="false" customHeight="false" outlineLevel="0" collapsed="false">
      <c r="A4" s="416" t="s">
        <v>1225</v>
      </c>
      <c r="B4" s="467"/>
      <c r="C4" s="401"/>
      <c r="D4" s="401"/>
      <c r="E4" s="401"/>
      <c r="F4" s="401"/>
      <c r="G4" s="401"/>
      <c r="H4" s="401"/>
      <c r="I4" s="401"/>
      <c r="J4" s="401"/>
      <c r="K4" s="401"/>
      <c r="L4" s="401"/>
      <c r="M4" s="401"/>
      <c r="N4" s="401"/>
      <c r="O4" s="401"/>
      <c r="P4" s="401"/>
      <c r="Q4" s="401"/>
      <c r="R4" s="401"/>
      <c r="S4" s="401"/>
      <c r="T4" s="401"/>
      <c r="U4" s="401"/>
      <c r="V4" s="401"/>
      <c r="W4" s="401"/>
      <c r="X4" s="401"/>
    </row>
    <row r="5" customFormat="false" ht="14.4" hidden="false" customHeight="false" outlineLevel="0" collapsed="false">
      <c r="A5" s="401"/>
      <c r="B5" s="467"/>
      <c r="C5" s="401"/>
      <c r="D5" s="401"/>
      <c r="E5" s="401"/>
      <c r="F5" s="401"/>
      <c r="G5" s="401"/>
      <c r="H5" s="401"/>
      <c r="I5" s="401"/>
      <c r="J5" s="401"/>
      <c r="K5" s="401"/>
      <c r="L5" s="401"/>
      <c r="M5" s="401"/>
      <c r="N5" s="401"/>
      <c r="O5" s="401"/>
      <c r="P5" s="401"/>
      <c r="Q5" s="401"/>
      <c r="R5" s="401"/>
      <c r="S5" s="401"/>
      <c r="T5" s="401"/>
      <c r="U5" s="401"/>
      <c r="V5" s="401"/>
      <c r="W5" s="401"/>
      <c r="X5" s="401"/>
    </row>
    <row r="6" customFormat="false" ht="14.4" hidden="false" customHeight="false" outlineLevel="0" collapsed="false">
      <c r="A6" s="728" t="s">
        <v>1226</v>
      </c>
      <c r="B6" s="467"/>
      <c r="C6" s="401"/>
      <c r="D6" s="401"/>
      <c r="E6" s="401"/>
      <c r="F6" s="401"/>
      <c r="G6" s="401"/>
      <c r="H6" s="401"/>
      <c r="I6" s="401"/>
      <c r="J6" s="401"/>
      <c r="K6" s="401"/>
      <c r="L6" s="401"/>
      <c r="M6" s="401"/>
      <c r="N6" s="401"/>
      <c r="O6" s="401"/>
      <c r="P6" s="401"/>
      <c r="Q6" s="401"/>
      <c r="R6" s="401"/>
      <c r="S6" s="401"/>
      <c r="T6" s="401"/>
      <c r="U6" s="401"/>
      <c r="V6" s="401"/>
      <c r="W6" s="401"/>
      <c r="X6" s="401"/>
    </row>
    <row r="7" customFormat="false" ht="14.4" hidden="false" customHeight="false" outlineLevel="0" collapsed="false">
      <c r="A7" s="416" t="s">
        <v>1227</v>
      </c>
      <c r="B7" s="467"/>
      <c r="C7" s="401"/>
      <c r="D7" s="401"/>
      <c r="E7" s="401"/>
      <c r="F7" s="401"/>
      <c r="G7" s="401"/>
      <c r="H7" s="401"/>
      <c r="I7" s="401"/>
      <c r="J7" s="401"/>
      <c r="K7" s="401"/>
      <c r="L7" s="401"/>
      <c r="M7" s="401"/>
      <c r="N7" s="401"/>
      <c r="O7" s="401"/>
      <c r="P7" s="401"/>
      <c r="Q7" s="401"/>
      <c r="R7" s="401"/>
      <c r="S7" s="401"/>
      <c r="T7" s="401"/>
      <c r="U7" s="401"/>
      <c r="V7" s="401"/>
      <c r="W7" s="401"/>
      <c r="X7" s="401"/>
    </row>
    <row r="8" customFormat="false" ht="14.4" hidden="false" customHeight="false" outlineLevel="0" collapsed="false">
      <c r="A8" s="416" t="s">
        <v>1228</v>
      </c>
      <c r="B8" s="467"/>
      <c r="C8" s="401"/>
      <c r="D8" s="401"/>
      <c r="E8" s="401"/>
      <c r="F8" s="401"/>
      <c r="G8" s="401"/>
      <c r="H8" s="401"/>
      <c r="I8" s="401"/>
      <c r="J8" s="401"/>
      <c r="K8" s="401"/>
      <c r="L8" s="401"/>
      <c r="M8" s="401"/>
      <c r="N8" s="401"/>
      <c r="O8" s="401"/>
      <c r="P8" s="401"/>
      <c r="Q8" s="401"/>
      <c r="R8" s="401"/>
      <c r="S8" s="401"/>
      <c r="T8" s="401"/>
      <c r="U8" s="401"/>
      <c r="V8" s="401"/>
      <c r="W8" s="401"/>
      <c r="X8" s="401"/>
    </row>
    <row r="9" customFormat="false" ht="14.4" hidden="false" customHeight="false" outlineLevel="0" collapsed="false">
      <c r="A9" s="416"/>
      <c r="B9" s="467"/>
      <c r="C9" s="401"/>
      <c r="D9" s="401"/>
      <c r="E9" s="401"/>
      <c r="F9" s="401"/>
      <c r="G9" s="401"/>
      <c r="H9" s="401"/>
      <c r="I9" s="401"/>
      <c r="J9" s="401"/>
      <c r="K9" s="401"/>
      <c r="L9" s="401"/>
      <c r="M9" s="401"/>
      <c r="N9" s="401"/>
      <c r="O9" s="401"/>
      <c r="P9" s="401"/>
      <c r="Q9" s="401"/>
      <c r="R9" s="401"/>
      <c r="S9" s="401"/>
      <c r="T9" s="401"/>
      <c r="U9" s="401"/>
      <c r="V9" s="401"/>
      <c r="W9" s="401"/>
      <c r="X9" s="401"/>
    </row>
    <row r="10" customFormat="false" ht="14.4" hidden="false" customHeight="false" outlineLevel="0" collapsed="false">
      <c r="A10" s="728" t="s">
        <v>1229</v>
      </c>
      <c r="B10" s="467"/>
      <c r="C10" s="401"/>
      <c r="D10" s="401"/>
      <c r="E10" s="401"/>
      <c r="F10" s="401"/>
      <c r="G10" s="401"/>
      <c r="H10" s="401"/>
      <c r="I10" s="401"/>
      <c r="J10" s="401"/>
      <c r="K10" s="401"/>
      <c r="L10" s="401"/>
      <c r="M10" s="401"/>
      <c r="N10" s="401"/>
      <c r="O10" s="401"/>
      <c r="P10" s="401"/>
      <c r="Q10" s="401"/>
      <c r="R10" s="401"/>
      <c r="S10" s="401"/>
      <c r="T10" s="401"/>
      <c r="U10" s="401"/>
      <c r="V10" s="401"/>
      <c r="W10" s="401"/>
      <c r="X10" s="401"/>
    </row>
    <row r="11" customFormat="false" ht="14.4" hidden="false" customHeight="true" outlineLevel="0" collapsed="false">
      <c r="A11" s="769"/>
      <c r="B11" s="770" t="s">
        <v>285</v>
      </c>
      <c r="C11" s="771" t="s">
        <v>187</v>
      </c>
      <c r="D11" s="657" t="s">
        <v>171</v>
      </c>
      <c r="E11" s="564" t="s">
        <v>411</v>
      </c>
      <c r="F11" s="481"/>
      <c r="G11" s="401"/>
      <c r="H11" s="401"/>
      <c r="I11" s="401"/>
      <c r="J11" s="401"/>
      <c r="K11" s="401"/>
      <c r="L11" s="401"/>
      <c r="M11" s="401"/>
      <c r="N11" s="401"/>
      <c r="O11" s="401"/>
      <c r="P11" s="401"/>
      <c r="Q11" s="401"/>
      <c r="R11" s="401"/>
      <c r="S11" s="401"/>
      <c r="T11" s="401"/>
      <c r="U11" s="401"/>
      <c r="V11" s="401"/>
      <c r="W11" s="401"/>
      <c r="X11" s="401"/>
    </row>
    <row r="12" customFormat="false" ht="14.4" hidden="false" customHeight="false" outlineLevel="0" collapsed="false">
      <c r="A12" s="772" t="s">
        <v>1230</v>
      </c>
      <c r="B12" s="709" t="n">
        <v>0.003</v>
      </c>
      <c r="C12" s="709" t="n">
        <v>0.007</v>
      </c>
      <c r="D12" s="773" t="n">
        <v>0.008</v>
      </c>
      <c r="E12" s="484" t="s">
        <v>1231</v>
      </c>
      <c r="F12" s="481"/>
      <c r="G12" s="401"/>
      <c r="H12" s="401"/>
      <c r="I12" s="401"/>
      <c r="J12" s="401"/>
      <c r="K12" s="401"/>
      <c r="L12" s="401"/>
      <c r="M12" s="401"/>
      <c r="N12" s="401"/>
      <c r="O12" s="401"/>
      <c r="P12" s="401"/>
      <c r="Q12" s="401"/>
      <c r="R12" s="401"/>
      <c r="S12" s="401"/>
      <c r="T12" s="401"/>
      <c r="U12" s="401"/>
      <c r="V12" s="401"/>
      <c r="W12" s="401"/>
      <c r="X12" s="401"/>
    </row>
    <row r="13" customFormat="false" ht="14.4" hidden="false" customHeight="false" outlineLevel="0" collapsed="false">
      <c r="A13" s="401"/>
      <c r="B13" s="467"/>
      <c r="C13" s="401"/>
      <c r="D13" s="401"/>
      <c r="E13" s="401"/>
      <c r="F13" s="401"/>
      <c r="G13" s="401"/>
      <c r="H13" s="401"/>
      <c r="I13" s="401"/>
      <c r="J13" s="401"/>
      <c r="K13" s="401"/>
      <c r="L13" s="401"/>
      <c r="M13" s="401"/>
      <c r="N13" s="401"/>
      <c r="O13" s="401"/>
      <c r="P13" s="401"/>
      <c r="Q13" s="401"/>
      <c r="R13" s="401"/>
      <c r="S13" s="401"/>
      <c r="T13" s="401"/>
      <c r="U13" s="401"/>
      <c r="V13" s="401"/>
      <c r="W13" s="401"/>
      <c r="X13" s="401"/>
    </row>
    <row r="14" customFormat="false" ht="14.4" hidden="false" customHeight="false" outlineLevel="0" collapsed="false">
      <c r="A14" s="522" t="s">
        <v>1232</v>
      </c>
      <c r="B14" s="467"/>
      <c r="C14" s="401"/>
      <c r="D14" s="401"/>
      <c r="E14" s="401"/>
      <c r="F14" s="401"/>
      <c r="G14" s="401"/>
      <c r="H14" s="401"/>
      <c r="I14" s="401"/>
      <c r="J14" s="401"/>
      <c r="K14" s="401"/>
      <c r="L14" s="401"/>
      <c r="M14" s="401"/>
      <c r="N14" s="401"/>
      <c r="O14" s="401"/>
      <c r="P14" s="401"/>
      <c r="Q14" s="401"/>
      <c r="R14" s="401"/>
      <c r="S14" s="401"/>
      <c r="T14" s="401"/>
      <c r="U14" s="401"/>
      <c r="V14" s="401"/>
      <c r="W14" s="401"/>
      <c r="X14" s="401"/>
    </row>
    <row r="15" customFormat="false" ht="14.4" hidden="false" customHeight="false" outlineLevel="0" collapsed="false">
      <c r="A15" s="416" t="s">
        <v>1233</v>
      </c>
      <c r="B15" s="467"/>
      <c r="C15" s="401"/>
      <c r="D15" s="401"/>
      <c r="E15" s="401"/>
      <c r="F15" s="401"/>
      <c r="G15" s="401"/>
      <c r="H15" s="401"/>
      <c r="I15" s="401"/>
      <c r="J15" s="401"/>
      <c r="K15" s="401"/>
      <c r="L15" s="401"/>
      <c r="M15" s="401"/>
      <c r="N15" s="401"/>
      <c r="O15" s="401"/>
      <c r="P15" s="401"/>
      <c r="Q15" s="401"/>
      <c r="R15" s="401"/>
      <c r="S15" s="401"/>
      <c r="T15" s="401"/>
      <c r="U15" s="401"/>
      <c r="V15" s="401"/>
      <c r="W15" s="401"/>
      <c r="X15" s="401"/>
    </row>
    <row r="16" customFormat="false" ht="14.4" hidden="false" customHeight="false" outlineLevel="0" collapsed="false">
      <c r="A16" s="416" t="s">
        <v>1234</v>
      </c>
      <c r="B16" s="467"/>
      <c r="C16" s="401"/>
      <c r="D16" s="401"/>
      <c r="E16" s="401"/>
      <c r="F16" s="401"/>
      <c r="G16" s="401"/>
      <c r="H16" s="401"/>
      <c r="I16" s="401"/>
      <c r="J16" s="401"/>
      <c r="K16" s="401"/>
      <c r="L16" s="401"/>
      <c r="M16" s="401"/>
      <c r="N16" s="401"/>
      <c r="O16" s="401"/>
      <c r="P16" s="401"/>
      <c r="Q16" s="401"/>
      <c r="R16" s="401"/>
      <c r="S16" s="401"/>
      <c r="T16" s="401"/>
      <c r="U16" s="401"/>
      <c r="V16" s="401"/>
      <c r="W16" s="401"/>
      <c r="X16" s="401"/>
    </row>
    <row r="17" customFormat="false" ht="14.4" hidden="false" customHeight="false" outlineLevel="0" collapsed="false">
      <c r="A17" s="401" t="s">
        <v>1235</v>
      </c>
      <c r="B17" s="467"/>
      <c r="C17" s="401"/>
      <c r="D17" s="401"/>
      <c r="E17" s="401"/>
      <c r="F17" s="401"/>
      <c r="G17" s="401"/>
      <c r="H17" s="401"/>
      <c r="I17" s="401"/>
      <c r="J17" s="401"/>
      <c r="K17" s="401"/>
      <c r="L17" s="401"/>
      <c r="M17" s="401"/>
      <c r="N17" s="401"/>
      <c r="O17" s="401"/>
      <c r="P17" s="401"/>
      <c r="Q17" s="401"/>
      <c r="R17" s="401"/>
      <c r="S17" s="401"/>
      <c r="T17" s="401"/>
      <c r="U17" s="401"/>
      <c r="V17" s="401"/>
      <c r="W17" s="401"/>
      <c r="X17" s="401"/>
    </row>
    <row r="18" customFormat="false" ht="14.4" hidden="false" customHeight="false" outlineLevel="0" collapsed="false">
      <c r="A18" s="401"/>
      <c r="B18" s="467"/>
      <c r="C18" s="401"/>
      <c r="D18" s="401"/>
      <c r="E18" s="401"/>
      <c r="F18" s="401"/>
      <c r="G18" s="401"/>
      <c r="H18" s="401"/>
      <c r="I18" s="401"/>
      <c r="J18" s="401"/>
      <c r="K18" s="401"/>
      <c r="L18" s="401"/>
      <c r="M18" s="401"/>
      <c r="N18" s="401"/>
      <c r="O18" s="401"/>
      <c r="P18" s="401"/>
      <c r="Q18" s="401"/>
      <c r="R18" s="401"/>
      <c r="S18" s="401"/>
      <c r="T18" s="401"/>
      <c r="U18" s="401"/>
      <c r="V18" s="401"/>
      <c r="W18" s="401"/>
      <c r="X18" s="401"/>
    </row>
    <row r="19" customFormat="false" ht="14.4" hidden="false" customHeight="false" outlineLevel="0" collapsed="false">
      <c r="A19" s="372" t="s">
        <v>1236</v>
      </c>
      <c r="B19" s="774"/>
      <c r="C19" s="402" t="s">
        <v>411</v>
      </c>
      <c r="D19" s="401"/>
      <c r="E19" s="401"/>
      <c r="F19" s="401"/>
      <c r="G19" s="401"/>
      <c r="H19" s="401"/>
      <c r="I19" s="401"/>
      <c r="J19" s="401"/>
      <c r="K19" s="401"/>
      <c r="L19" s="401"/>
      <c r="M19" s="401"/>
      <c r="N19" s="401"/>
      <c r="O19" s="401"/>
      <c r="P19" s="401"/>
      <c r="Q19" s="401"/>
      <c r="R19" s="401"/>
      <c r="S19" s="401"/>
      <c r="T19" s="401"/>
      <c r="U19" s="401"/>
      <c r="V19" s="401"/>
      <c r="W19" s="401"/>
      <c r="X19" s="401"/>
    </row>
    <row r="20" customFormat="false" ht="14.4" hidden="false" customHeight="false" outlineLevel="0" collapsed="false">
      <c r="A20" s="775" t="s">
        <v>1237</v>
      </c>
      <c r="B20" s="776" t="n">
        <v>3.5</v>
      </c>
      <c r="C20" s="484" t="s">
        <v>1238</v>
      </c>
      <c r="D20" s="401"/>
      <c r="E20" s="401"/>
      <c r="F20" s="401"/>
      <c r="G20" s="401"/>
      <c r="H20" s="401"/>
      <c r="I20" s="401"/>
      <c r="J20" s="401"/>
      <c r="K20" s="401"/>
      <c r="L20" s="401"/>
      <c r="M20" s="401"/>
      <c r="N20" s="401"/>
      <c r="O20" s="401"/>
      <c r="P20" s="401"/>
      <c r="Q20" s="401"/>
      <c r="R20" s="401"/>
      <c r="S20" s="401"/>
      <c r="T20" s="401"/>
      <c r="U20" s="401"/>
      <c r="V20" s="401"/>
      <c r="W20" s="401"/>
      <c r="X20" s="401"/>
    </row>
    <row r="21" customFormat="false" ht="14.4" hidden="false" customHeight="false" outlineLevel="0" collapsed="false">
      <c r="A21" s="401"/>
      <c r="B21" s="467"/>
      <c r="C21" s="401"/>
      <c r="D21" s="401"/>
      <c r="E21" s="401"/>
      <c r="F21" s="401"/>
      <c r="G21" s="401"/>
      <c r="H21" s="401"/>
      <c r="I21" s="401"/>
      <c r="J21" s="401"/>
      <c r="K21" s="401"/>
      <c r="L21" s="401"/>
      <c r="M21" s="401"/>
      <c r="N21" s="401"/>
      <c r="O21" s="401"/>
      <c r="P21" s="401"/>
      <c r="Q21" s="401"/>
      <c r="R21" s="401"/>
      <c r="S21" s="401"/>
      <c r="T21" s="401"/>
      <c r="U21" s="401"/>
      <c r="V21" s="401"/>
      <c r="W21" s="401"/>
      <c r="X21" s="401"/>
    </row>
    <row r="22" customFormat="false" ht="14.4" hidden="false" customHeight="false" outlineLevel="0" collapsed="false">
      <c r="A22" s="777" t="s">
        <v>1239</v>
      </c>
      <c r="B22" s="467"/>
      <c r="C22" s="401"/>
      <c r="D22" s="420" t="s">
        <v>411</v>
      </c>
      <c r="E22" s="401"/>
      <c r="F22" s="401"/>
      <c r="G22" s="401"/>
      <c r="H22" s="401"/>
      <c r="I22" s="401"/>
      <c r="J22" s="401"/>
      <c r="K22" s="401"/>
      <c r="L22" s="401"/>
      <c r="M22" s="401"/>
      <c r="N22" s="401"/>
      <c r="O22" s="401"/>
      <c r="P22" s="401"/>
      <c r="Q22" s="401"/>
      <c r="R22" s="401"/>
      <c r="S22" s="401"/>
      <c r="T22" s="401"/>
      <c r="U22" s="401"/>
      <c r="V22" s="401"/>
      <c r="W22" s="401"/>
      <c r="X22" s="401"/>
    </row>
    <row r="23" customFormat="false" ht="41.4" hidden="false" customHeight="false" outlineLevel="0" collapsed="false">
      <c r="A23" s="778"/>
      <c r="B23" s="463" t="s">
        <v>604</v>
      </c>
      <c r="C23" s="477" t="s">
        <v>1240</v>
      </c>
      <c r="D23" s="401"/>
      <c r="E23" s="401"/>
      <c r="F23" s="401"/>
      <c r="G23" s="401"/>
      <c r="H23" s="401"/>
      <c r="I23" s="401"/>
      <c r="J23" s="401"/>
      <c r="K23" s="401"/>
      <c r="L23" s="401"/>
      <c r="M23" s="401"/>
      <c r="N23" s="401"/>
      <c r="O23" s="401"/>
      <c r="P23" s="401"/>
      <c r="Q23" s="401"/>
      <c r="R23" s="401"/>
      <c r="S23" s="401"/>
      <c r="T23" s="401"/>
      <c r="U23" s="401"/>
      <c r="V23" s="401"/>
      <c r="W23" s="401"/>
      <c r="X23" s="401"/>
    </row>
    <row r="24" customFormat="false" ht="14.4" hidden="false" customHeight="false" outlineLevel="0" collapsed="false">
      <c r="A24" s="778" t="s">
        <v>255</v>
      </c>
      <c r="B24" s="282" t="s">
        <v>137</v>
      </c>
      <c r="C24" s="478" t="n">
        <v>1.3</v>
      </c>
      <c r="D24" s="401" t="s">
        <v>1241</v>
      </c>
      <c r="E24" s="401"/>
      <c r="F24" s="401"/>
      <c r="G24" s="401"/>
      <c r="H24" s="401"/>
      <c r="I24" s="401"/>
      <c r="J24" s="401"/>
      <c r="K24" s="401"/>
      <c r="L24" s="401"/>
      <c r="M24" s="401"/>
      <c r="N24" s="401"/>
      <c r="O24" s="401"/>
      <c r="P24" s="401"/>
      <c r="Q24" s="401"/>
      <c r="R24" s="401"/>
      <c r="S24" s="401"/>
      <c r="T24" s="401"/>
      <c r="U24" s="401"/>
      <c r="V24" s="401"/>
      <c r="W24" s="401"/>
      <c r="X24" s="401"/>
    </row>
    <row r="25" customFormat="false" ht="14.4" hidden="false" customHeight="false" outlineLevel="0" collapsed="false">
      <c r="A25" s="778" t="s">
        <v>256</v>
      </c>
      <c r="B25" s="282" t="s">
        <v>137</v>
      </c>
      <c r="C25" s="478" t="n">
        <v>1</v>
      </c>
      <c r="D25" s="401" t="s">
        <v>1241</v>
      </c>
      <c r="E25" s="401"/>
      <c r="F25" s="401"/>
      <c r="G25" s="401"/>
      <c r="H25" s="401"/>
      <c r="I25" s="401"/>
      <c r="J25" s="401"/>
      <c r="K25" s="401"/>
      <c r="L25" s="401"/>
      <c r="M25" s="401"/>
      <c r="N25" s="401"/>
      <c r="O25" s="401"/>
      <c r="P25" s="401"/>
      <c r="Q25" s="401"/>
      <c r="R25" s="401"/>
      <c r="S25" s="401"/>
      <c r="T25" s="401"/>
      <c r="U25" s="401"/>
      <c r="V25" s="401"/>
      <c r="W25" s="401"/>
      <c r="X25" s="401"/>
    </row>
    <row r="26" customFormat="false" ht="14.4" hidden="false" customHeight="false" outlineLevel="0" collapsed="false">
      <c r="A26" s="778" t="s">
        <v>40</v>
      </c>
      <c r="B26" s="282" t="s">
        <v>137</v>
      </c>
      <c r="C26" s="478" t="n">
        <v>2</v>
      </c>
      <c r="D26" s="401" t="s">
        <v>1241</v>
      </c>
      <c r="E26" s="401"/>
      <c r="F26" s="401"/>
      <c r="G26" s="401"/>
      <c r="H26" s="401"/>
      <c r="I26" s="401"/>
      <c r="J26" s="401"/>
      <c r="K26" s="401"/>
      <c r="L26" s="401"/>
      <c r="M26" s="401"/>
      <c r="N26" s="401"/>
      <c r="O26" s="401"/>
      <c r="P26" s="401"/>
      <c r="Q26" s="401"/>
      <c r="R26" s="401"/>
      <c r="S26" s="401"/>
      <c r="T26" s="401"/>
      <c r="U26" s="401"/>
      <c r="V26" s="401"/>
      <c r="W26" s="401"/>
      <c r="X26" s="401"/>
    </row>
    <row r="27" customFormat="false" ht="14.4" hidden="false" customHeight="false" outlineLevel="0" collapsed="false">
      <c r="A27" s="778" t="s">
        <v>264</v>
      </c>
      <c r="B27" s="282" t="s">
        <v>137</v>
      </c>
      <c r="C27" s="478" t="n">
        <v>1.6</v>
      </c>
      <c r="D27" s="401" t="s">
        <v>1241</v>
      </c>
      <c r="E27" s="401"/>
      <c r="F27" s="401"/>
      <c r="G27" s="401"/>
      <c r="H27" s="401"/>
      <c r="I27" s="401"/>
      <c r="J27" s="401"/>
      <c r="K27" s="401"/>
      <c r="L27" s="401"/>
      <c r="M27" s="401"/>
      <c r="N27" s="401"/>
      <c r="O27" s="401"/>
      <c r="P27" s="401"/>
      <c r="Q27" s="401"/>
      <c r="R27" s="401"/>
      <c r="S27" s="401"/>
      <c r="T27" s="401"/>
      <c r="U27" s="401"/>
      <c r="V27" s="401"/>
      <c r="W27" s="401"/>
      <c r="X27" s="401"/>
    </row>
    <row r="28" customFormat="false" ht="14.4" hidden="false" customHeight="false" outlineLevel="0" collapsed="false">
      <c r="A28" s="778" t="s">
        <v>265</v>
      </c>
      <c r="B28" s="282" t="s">
        <v>137</v>
      </c>
      <c r="C28" s="478" t="n">
        <v>1.1</v>
      </c>
      <c r="D28" s="401" t="s">
        <v>1241</v>
      </c>
      <c r="E28" s="401"/>
      <c r="F28" s="401"/>
      <c r="G28" s="401"/>
      <c r="H28" s="401"/>
      <c r="I28" s="401"/>
      <c r="J28" s="401"/>
      <c r="K28" s="401"/>
      <c r="L28" s="401"/>
      <c r="M28" s="401"/>
      <c r="N28" s="401"/>
      <c r="O28" s="401"/>
      <c r="P28" s="401"/>
      <c r="Q28" s="401"/>
      <c r="R28" s="401"/>
      <c r="S28" s="401"/>
      <c r="T28" s="401"/>
      <c r="U28" s="401"/>
      <c r="V28" s="401"/>
      <c r="W28" s="401"/>
      <c r="X28" s="401"/>
    </row>
    <row r="29" customFormat="false" ht="14.4" hidden="false" customHeight="false" outlineLevel="0" collapsed="false">
      <c r="A29" s="778" t="s">
        <v>53</v>
      </c>
      <c r="B29" s="282" t="s">
        <v>137</v>
      </c>
      <c r="C29" s="478" t="n">
        <v>0.8</v>
      </c>
      <c r="D29" s="401" t="s">
        <v>1241</v>
      </c>
      <c r="E29" s="401"/>
      <c r="F29" s="401"/>
      <c r="G29" s="401"/>
      <c r="H29" s="401"/>
      <c r="I29" s="401"/>
      <c r="J29" s="401"/>
      <c r="K29" s="401"/>
      <c r="L29" s="401"/>
      <c r="M29" s="401"/>
      <c r="N29" s="401"/>
      <c r="O29" s="401"/>
      <c r="P29" s="401"/>
      <c r="Q29" s="401"/>
      <c r="R29" s="401"/>
      <c r="S29" s="401"/>
      <c r="T29" s="401"/>
      <c r="U29" s="401"/>
      <c r="V29" s="401"/>
      <c r="W29" s="401"/>
      <c r="X29" s="401"/>
    </row>
    <row r="30" customFormat="false" ht="14.4" hidden="false" customHeight="false" outlineLevel="0" collapsed="false">
      <c r="A30" s="778" t="s">
        <v>59</v>
      </c>
      <c r="B30" s="282" t="s">
        <v>273</v>
      </c>
      <c r="C30" s="478" t="n">
        <v>1.6</v>
      </c>
      <c r="D30" s="401" t="s">
        <v>1242</v>
      </c>
      <c r="E30" s="401"/>
      <c r="F30" s="401"/>
      <c r="G30" s="401"/>
      <c r="H30" s="401"/>
      <c r="I30" s="401"/>
      <c r="J30" s="401"/>
      <c r="K30" s="401"/>
      <c r="L30" s="401"/>
      <c r="M30" s="401"/>
      <c r="N30" s="401"/>
      <c r="O30" s="401"/>
      <c r="P30" s="401"/>
      <c r="Q30" s="401"/>
      <c r="R30" s="401"/>
      <c r="S30" s="401"/>
      <c r="T30" s="401"/>
      <c r="U30" s="401"/>
      <c r="V30" s="401"/>
      <c r="W30" s="401"/>
      <c r="X30" s="401"/>
    </row>
    <row r="31" customFormat="false" ht="14.4" hidden="false" customHeight="false" outlineLevel="0" collapsed="false">
      <c r="A31" s="778"/>
      <c r="B31" s="282" t="s">
        <v>274</v>
      </c>
      <c r="C31" s="478" t="n">
        <v>3.2</v>
      </c>
      <c r="D31" s="401" t="s">
        <v>1242</v>
      </c>
      <c r="E31" s="401"/>
      <c r="F31" s="401"/>
      <c r="G31" s="401"/>
      <c r="H31" s="401"/>
      <c r="I31" s="401"/>
      <c r="J31" s="401"/>
      <c r="K31" s="401"/>
      <c r="L31" s="401"/>
      <c r="M31" s="401"/>
      <c r="N31" s="401"/>
      <c r="O31" s="401"/>
      <c r="P31" s="401"/>
      <c r="Q31" s="401"/>
      <c r="R31" s="401"/>
      <c r="S31" s="401"/>
      <c r="T31" s="401"/>
      <c r="U31" s="401"/>
      <c r="V31" s="401"/>
      <c r="W31" s="401"/>
      <c r="X31" s="401"/>
    </row>
    <row r="32" customFormat="false" ht="14.4" hidden="false" customHeight="false" outlineLevel="0" collapsed="false">
      <c r="A32" s="778"/>
      <c r="B32" s="282" t="s">
        <v>171</v>
      </c>
      <c r="C32" s="478" t="n">
        <v>2.3</v>
      </c>
      <c r="D32" s="401" t="s">
        <v>1242</v>
      </c>
      <c r="E32" s="401"/>
      <c r="F32" s="401"/>
      <c r="G32" s="401"/>
      <c r="H32" s="401"/>
      <c r="I32" s="401"/>
      <c r="J32" s="401"/>
      <c r="K32" s="401"/>
      <c r="L32" s="401"/>
      <c r="M32" s="401"/>
      <c r="N32" s="401"/>
      <c r="O32" s="401"/>
      <c r="P32" s="401"/>
      <c r="Q32" s="401"/>
      <c r="R32" s="401"/>
      <c r="S32" s="401"/>
      <c r="T32" s="401"/>
      <c r="U32" s="401"/>
      <c r="V32" s="401"/>
      <c r="W32" s="401"/>
      <c r="X32" s="401"/>
    </row>
    <row r="33" customFormat="false" ht="14.4" hidden="false" customHeight="false" outlineLevel="0" collapsed="false">
      <c r="A33" s="778" t="s">
        <v>54</v>
      </c>
      <c r="B33" s="282" t="s">
        <v>137</v>
      </c>
      <c r="C33" s="478" t="n">
        <v>7</v>
      </c>
      <c r="D33" s="401" t="s">
        <v>1241</v>
      </c>
      <c r="E33" s="401"/>
      <c r="F33" s="401"/>
      <c r="G33" s="401"/>
      <c r="H33" s="401"/>
      <c r="I33" s="401"/>
      <c r="J33" s="401"/>
      <c r="K33" s="401"/>
      <c r="L33" s="401"/>
      <c r="M33" s="401"/>
      <c r="N33" s="401"/>
      <c r="O33" s="401"/>
      <c r="P33" s="401"/>
      <c r="Q33" s="401"/>
      <c r="R33" s="401"/>
      <c r="S33" s="401"/>
      <c r="T33" s="401"/>
      <c r="U33" s="401"/>
      <c r="V33" s="401"/>
      <c r="W33" s="401"/>
      <c r="X33" s="401"/>
    </row>
    <row r="34" customFormat="false" ht="14.4" hidden="false" customHeight="false" outlineLevel="0" collapsed="false">
      <c r="A34" s="778"/>
      <c r="B34" s="282" t="s">
        <v>139</v>
      </c>
      <c r="C34" s="478" t="n">
        <v>2.1</v>
      </c>
      <c r="D34" s="530" t="s">
        <v>1243</v>
      </c>
      <c r="E34" s="401"/>
      <c r="F34" s="401"/>
      <c r="G34" s="401"/>
      <c r="H34" s="401"/>
      <c r="I34" s="401"/>
      <c r="J34" s="401"/>
      <c r="K34" s="401"/>
      <c r="L34" s="401"/>
      <c r="M34" s="401"/>
      <c r="N34" s="401"/>
      <c r="O34" s="401"/>
      <c r="P34" s="401"/>
      <c r="Q34" s="401"/>
      <c r="R34" s="401"/>
      <c r="S34" s="401"/>
      <c r="T34" s="401"/>
      <c r="U34" s="401"/>
      <c r="V34" s="401"/>
      <c r="W34" s="401"/>
      <c r="X34" s="401"/>
    </row>
    <row r="35" customFormat="false" ht="14.4" hidden="false" customHeight="false" outlineLevel="0" collapsed="false">
      <c r="A35" s="778"/>
      <c r="B35" s="282" t="s">
        <v>141</v>
      </c>
      <c r="C35" s="478" t="n">
        <v>37.5</v>
      </c>
      <c r="D35" s="401" t="s">
        <v>1242</v>
      </c>
      <c r="E35" s="401"/>
      <c r="F35" s="401"/>
      <c r="G35" s="401"/>
      <c r="H35" s="401"/>
      <c r="I35" s="401"/>
      <c r="J35" s="401"/>
      <c r="K35" s="401"/>
      <c r="L35" s="401"/>
      <c r="M35" s="401"/>
      <c r="N35" s="401"/>
      <c r="O35" s="401"/>
      <c r="P35" s="401"/>
      <c r="Q35" s="401"/>
      <c r="R35" s="401"/>
      <c r="S35" s="401"/>
      <c r="T35" s="401"/>
      <c r="U35" s="401"/>
      <c r="V35" s="401"/>
      <c r="W35" s="401"/>
      <c r="X35" s="401"/>
    </row>
    <row r="36" customFormat="false" ht="27.6" hidden="false" customHeight="false" outlineLevel="0" collapsed="false">
      <c r="A36" s="778" t="s">
        <v>278</v>
      </c>
      <c r="B36" s="282" t="s">
        <v>137</v>
      </c>
      <c r="C36" s="478" t="n">
        <v>2.2</v>
      </c>
      <c r="D36" s="401" t="s">
        <v>1241</v>
      </c>
      <c r="E36" s="401"/>
      <c r="F36" s="401"/>
      <c r="G36" s="401"/>
      <c r="H36" s="401"/>
      <c r="I36" s="401"/>
      <c r="J36" s="401"/>
      <c r="K36" s="401"/>
      <c r="L36" s="401"/>
      <c r="M36" s="401"/>
      <c r="N36" s="401"/>
      <c r="O36" s="401"/>
      <c r="P36" s="401"/>
      <c r="Q36" s="401"/>
      <c r="R36" s="401"/>
      <c r="S36" s="401"/>
      <c r="T36" s="401"/>
      <c r="U36" s="401"/>
      <c r="V36" s="401"/>
      <c r="W36" s="401"/>
      <c r="X36" s="401"/>
    </row>
    <row r="37" customFormat="false" ht="27.6" hidden="false" customHeight="false" outlineLevel="0" collapsed="false">
      <c r="A37" s="778" t="s">
        <v>279</v>
      </c>
      <c r="B37" s="282" t="s">
        <v>137</v>
      </c>
      <c r="C37" s="478" t="n">
        <v>0.9</v>
      </c>
      <c r="D37" s="401" t="s">
        <v>1241</v>
      </c>
      <c r="E37" s="401"/>
      <c r="F37" s="401"/>
      <c r="G37" s="401"/>
      <c r="H37" s="401"/>
      <c r="I37" s="401"/>
      <c r="J37" s="401"/>
      <c r="K37" s="401"/>
      <c r="L37" s="401"/>
      <c r="M37" s="401"/>
      <c r="N37" s="401"/>
      <c r="O37" s="401"/>
      <c r="P37" s="401"/>
      <c r="Q37" s="401"/>
      <c r="R37" s="401"/>
      <c r="S37" s="401"/>
      <c r="T37" s="401"/>
      <c r="U37" s="401"/>
      <c r="V37" s="401"/>
      <c r="W37" s="401"/>
      <c r="X37" s="401"/>
    </row>
    <row r="38" customFormat="false" ht="14.4" hidden="false" customHeight="false" outlineLevel="0" collapsed="false">
      <c r="A38" s="778" t="s">
        <v>986</v>
      </c>
      <c r="B38" s="282" t="s">
        <v>137</v>
      </c>
      <c r="C38" s="478" t="n">
        <v>7.7</v>
      </c>
      <c r="D38" s="401" t="s">
        <v>1241</v>
      </c>
      <c r="E38" s="401"/>
      <c r="F38" s="401"/>
      <c r="G38" s="401"/>
      <c r="H38" s="401"/>
      <c r="I38" s="401"/>
      <c r="J38" s="401"/>
      <c r="K38" s="401"/>
      <c r="L38" s="401"/>
      <c r="M38" s="401"/>
      <c r="N38" s="401"/>
      <c r="O38" s="401"/>
      <c r="P38" s="401"/>
      <c r="Q38" s="401"/>
      <c r="R38" s="401"/>
      <c r="S38" s="401"/>
      <c r="T38" s="401"/>
      <c r="U38" s="401"/>
      <c r="V38" s="401"/>
      <c r="W38" s="401"/>
      <c r="X38" s="401"/>
    </row>
    <row r="39" customFormat="false" ht="14.4" hidden="false" customHeight="false" outlineLevel="0" collapsed="false">
      <c r="A39" s="778" t="s">
        <v>27</v>
      </c>
      <c r="B39" s="282" t="s">
        <v>1244</v>
      </c>
      <c r="C39" s="478" t="n">
        <v>7.5</v>
      </c>
      <c r="D39" s="401" t="s">
        <v>1241</v>
      </c>
      <c r="E39" s="401"/>
      <c r="F39" s="401"/>
      <c r="G39" s="401"/>
      <c r="H39" s="401"/>
      <c r="I39" s="401"/>
      <c r="J39" s="401"/>
      <c r="K39" s="401"/>
      <c r="L39" s="401"/>
      <c r="M39" s="401"/>
      <c r="N39" s="401"/>
      <c r="O39" s="401"/>
      <c r="P39" s="401"/>
      <c r="Q39" s="401"/>
      <c r="R39" s="401"/>
      <c r="S39" s="401"/>
      <c r="T39" s="401"/>
      <c r="U39" s="401"/>
      <c r="V39" s="401"/>
      <c r="W39" s="401"/>
      <c r="X39" s="401"/>
    </row>
    <row r="40" customFormat="false" ht="14.4" hidden="false" customHeight="false" outlineLevel="0" collapsed="false">
      <c r="A40" s="778"/>
      <c r="B40" s="282" t="s">
        <v>1245</v>
      </c>
      <c r="C40" s="478" t="n">
        <v>46</v>
      </c>
      <c r="D40" s="401" t="s">
        <v>1242</v>
      </c>
      <c r="E40" s="401"/>
      <c r="F40" s="401"/>
      <c r="G40" s="401"/>
      <c r="H40" s="401"/>
      <c r="I40" s="401"/>
      <c r="J40" s="401"/>
      <c r="K40" s="401"/>
      <c r="L40" s="401"/>
      <c r="M40" s="401"/>
      <c r="N40" s="401"/>
      <c r="O40" s="401"/>
      <c r="P40" s="401"/>
      <c r="Q40" s="401"/>
      <c r="R40" s="401"/>
      <c r="S40" s="401"/>
      <c r="T40" s="401"/>
      <c r="U40" s="401"/>
      <c r="V40" s="401"/>
      <c r="W40" s="401"/>
      <c r="X40" s="401"/>
    </row>
    <row r="41" customFormat="false" ht="14.4" hidden="false" customHeight="false" outlineLevel="0" collapsed="false">
      <c r="A41" s="778"/>
      <c r="B41" s="282" t="s">
        <v>1246</v>
      </c>
      <c r="C41" s="478" t="n">
        <v>19.2</v>
      </c>
      <c r="D41" s="401" t="s">
        <v>1242</v>
      </c>
      <c r="E41" s="401"/>
      <c r="F41" s="401"/>
      <c r="G41" s="401"/>
      <c r="H41" s="401"/>
      <c r="I41" s="401"/>
      <c r="J41" s="401"/>
      <c r="K41" s="401"/>
      <c r="L41" s="401"/>
      <c r="M41" s="401"/>
      <c r="N41" s="401"/>
      <c r="O41" s="401"/>
      <c r="P41" s="401"/>
      <c r="Q41" s="401"/>
      <c r="R41" s="401"/>
      <c r="S41" s="401"/>
      <c r="T41" s="401"/>
      <c r="U41" s="401"/>
      <c r="V41" s="401"/>
      <c r="W41" s="401"/>
      <c r="X41" s="401"/>
    </row>
    <row r="42" customFormat="false" ht="14.4" hidden="false" customHeight="false" outlineLevel="0" collapsed="false">
      <c r="A42" s="778"/>
      <c r="B42" s="282" t="s">
        <v>1247</v>
      </c>
      <c r="C42" s="478" t="n">
        <v>8.4</v>
      </c>
      <c r="D42" s="401" t="s">
        <v>1242</v>
      </c>
      <c r="E42" s="401"/>
      <c r="F42" s="401"/>
      <c r="G42" s="401"/>
      <c r="H42" s="401"/>
      <c r="I42" s="401"/>
      <c r="J42" s="401"/>
      <c r="K42" s="401"/>
      <c r="L42" s="401"/>
      <c r="M42" s="401"/>
      <c r="N42" s="401"/>
      <c r="O42" s="401"/>
      <c r="P42" s="401"/>
      <c r="Q42" s="401"/>
      <c r="R42" s="401"/>
      <c r="S42" s="401"/>
      <c r="T42" s="401"/>
      <c r="U42" s="401"/>
      <c r="V42" s="401"/>
      <c r="W42" s="401"/>
      <c r="X42" s="401"/>
    </row>
    <row r="43" customFormat="false" ht="14.4" hidden="false" customHeight="false" outlineLevel="0" collapsed="false">
      <c r="A43" s="778" t="s">
        <v>34</v>
      </c>
      <c r="B43" s="282" t="s">
        <v>1248</v>
      </c>
      <c r="C43" s="478" t="n">
        <v>7.5</v>
      </c>
      <c r="D43" s="401" t="s">
        <v>1241</v>
      </c>
      <c r="E43" s="401"/>
      <c r="F43" s="401"/>
      <c r="G43" s="401"/>
      <c r="H43" s="401"/>
      <c r="I43" s="401"/>
      <c r="J43" s="401"/>
      <c r="K43" s="401"/>
      <c r="L43" s="401"/>
      <c r="M43" s="401"/>
      <c r="N43" s="401"/>
      <c r="O43" s="401"/>
      <c r="P43" s="401"/>
      <c r="Q43" s="401"/>
      <c r="R43" s="401"/>
      <c r="S43" s="401"/>
      <c r="T43" s="401"/>
      <c r="U43" s="401"/>
      <c r="V43" s="401"/>
      <c r="W43" s="401"/>
      <c r="X43" s="401"/>
    </row>
    <row r="44" customFormat="false" ht="14.4" hidden="false" customHeight="false" outlineLevel="0" collapsed="false">
      <c r="A44" s="778"/>
      <c r="B44" s="282" t="s">
        <v>1245</v>
      </c>
      <c r="C44" s="478" t="n">
        <v>5.3</v>
      </c>
      <c r="D44" s="401" t="s">
        <v>1242</v>
      </c>
      <c r="E44" s="401"/>
      <c r="F44" s="401"/>
      <c r="G44" s="401"/>
      <c r="H44" s="401"/>
      <c r="I44" s="401"/>
      <c r="J44" s="401"/>
      <c r="K44" s="401"/>
      <c r="L44" s="401"/>
      <c r="M44" s="401"/>
      <c r="N44" s="401"/>
      <c r="O44" s="401"/>
      <c r="P44" s="401"/>
      <c r="Q44" s="401"/>
      <c r="R44" s="401"/>
      <c r="S44" s="401"/>
      <c r="T44" s="401"/>
      <c r="U44" s="401"/>
      <c r="V44" s="401"/>
      <c r="W44" s="401"/>
      <c r="X44" s="401"/>
    </row>
    <row r="45" customFormat="false" ht="14.4" hidden="false" customHeight="false" outlineLevel="0" collapsed="false">
      <c r="A45" s="778"/>
      <c r="B45" s="282" t="s">
        <v>1246</v>
      </c>
      <c r="C45" s="478" t="n">
        <v>0.7</v>
      </c>
      <c r="D45" s="401" t="s">
        <v>1242</v>
      </c>
      <c r="E45" s="401"/>
      <c r="F45" s="401"/>
      <c r="G45" s="401"/>
      <c r="H45" s="401"/>
      <c r="I45" s="401"/>
      <c r="J45" s="401"/>
      <c r="K45" s="401"/>
      <c r="L45" s="401"/>
      <c r="M45" s="401"/>
      <c r="N45" s="401"/>
      <c r="O45" s="401"/>
      <c r="P45" s="401"/>
      <c r="Q45" s="401"/>
      <c r="R45" s="401"/>
      <c r="S45" s="401"/>
      <c r="T45" s="401"/>
      <c r="U45" s="401"/>
      <c r="V45" s="401"/>
      <c r="W45" s="401"/>
      <c r="X45" s="401"/>
    </row>
    <row r="46" customFormat="false" ht="14.4" hidden="false" customHeight="false" outlineLevel="0" collapsed="false">
      <c r="A46" s="778"/>
      <c r="B46" s="282" t="s">
        <v>1247</v>
      </c>
      <c r="C46" s="478" t="n">
        <v>0.2</v>
      </c>
      <c r="D46" s="401" t="s">
        <v>1242</v>
      </c>
      <c r="E46" s="401"/>
      <c r="F46" s="401"/>
      <c r="G46" s="401"/>
      <c r="H46" s="401"/>
      <c r="I46" s="401"/>
      <c r="J46" s="401"/>
      <c r="K46" s="401"/>
      <c r="L46" s="401"/>
      <c r="M46" s="401"/>
      <c r="N46" s="401"/>
      <c r="O46" s="401"/>
      <c r="P46" s="401"/>
      <c r="Q46" s="401"/>
      <c r="R46" s="401"/>
      <c r="S46" s="401"/>
      <c r="T46" s="401"/>
      <c r="U46" s="401"/>
      <c r="V46" s="401"/>
      <c r="W46" s="401"/>
      <c r="X46" s="401"/>
    </row>
    <row r="47" customFormat="false" ht="27.6" hidden="false" customHeight="false" outlineLevel="0" collapsed="false">
      <c r="A47" s="778" t="s">
        <v>48</v>
      </c>
      <c r="B47" s="282" t="s">
        <v>137</v>
      </c>
      <c r="C47" s="478" t="n">
        <v>7.5</v>
      </c>
      <c r="D47" s="401" t="s">
        <v>1241</v>
      </c>
      <c r="E47" s="401"/>
      <c r="F47" s="401"/>
      <c r="G47" s="401"/>
      <c r="H47" s="401"/>
      <c r="I47" s="401"/>
      <c r="J47" s="401"/>
      <c r="K47" s="401"/>
      <c r="L47" s="401"/>
      <c r="M47" s="401"/>
      <c r="N47" s="401"/>
      <c r="O47" s="401"/>
      <c r="P47" s="401"/>
      <c r="Q47" s="401"/>
      <c r="R47" s="401"/>
      <c r="S47" s="401"/>
      <c r="T47" s="401"/>
      <c r="U47" s="401"/>
      <c r="V47" s="401"/>
      <c r="W47" s="401"/>
      <c r="X47" s="401"/>
    </row>
    <row r="48" customFormat="false" ht="14.4" hidden="false" customHeight="false" outlineLevel="0" collapsed="false">
      <c r="A48" s="778"/>
      <c r="B48" s="282" t="s">
        <v>285</v>
      </c>
      <c r="C48" s="478" t="n">
        <v>0.8</v>
      </c>
      <c r="D48" s="401" t="s">
        <v>1242</v>
      </c>
      <c r="E48" s="401"/>
      <c r="F48" s="401"/>
      <c r="G48" s="401"/>
      <c r="H48" s="401"/>
      <c r="I48" s="401"/>
      <c r="J48" s="401"/>
      <c r="K48" s="401"/>
      <c r="L48" s="401"/>
      <c r="M48" s="401"/>
      <c r="N48" s="401"/>
      <c r="O48" s="401"/>
      <c r="P48" s="401"/>
      <c r="Q48" s="401"/>
      <c r="R48" s="401"/>
      <c r="S48" s="401"/>
      <c r="T48" s="401"/>
      <c r="U48" s="401"/>
      <c r="V48" s="401"/>
      <c r="W48" s="401"/>
      <c r="X48" s="401"/>
    </row>
    <row r="49" customFormat="false" ht="14.4" hidden="false" customHeight="false" outlineLevel="0" collapsed="false">
      <c r="A49" s="778"/>
      <c r="B49" s="282" t="s">
        <v>141</v>
      </c>
      <c r="C49" s="478" t="n">
        <v>0.7</v>
      </c>
      <c r="D49" s="401" t="s">
        <v>1242</v>
      </c>
      <c r="E49" s="401"/>
      <c r="F49" s="401"/>
      <c r="G49" s="401"/>
      <c r="H49" s="401"/>
      <c r="I49" s="401"/>
      <c r="J49" s="401"/>
      <c r="K49" s="401"/>
      <c r="L49" s="401"/>
      <c r="M49" s="401"/>
      <c r="N49" s="401"/>
      <c r="O49" s="401"/>
      <c r="P49" s="401"/>
      <c r="Q49" s="401"/>
      <c r="R49" s="401"/>
      <c r="S49" s="401"/>
      <c r="T49" s="401"/>
      <c r="U49" s="401"/>
      <c r="V49" s="401"/>
      <c r="W49" s="401"/>
      <c r="X49" s="401"/>
    </row>
    <row r="50" customFormat="false" ht="14.4" hidden="false" customHeight="false" outlineLevel="0" collapsed="false">
      <c r="A50" s="778" t="s">
        <v>90</v>
      </c>
      <c r="B50" s="282" t="s">
        <v>137</v>
      </c>
      <c r="C50" s="478" t="n">
        <v>1.8</v>
      </c>
      <c r="D50" s="401" t="s">
        <v>1241</v>
      </c>
      <c r="E50" s="401"/>
      <c r="F50" s="401"/>
      <c r="G50" s="401"/>
      <c r="H50" s="401"/>
      <c r="I50" s="401"/>
      <c r="J50" s="401"/>
      <c r="K50" s="401"/>
      <c r="L50" s="401"/>
      <c r="M50" s="401"/>
      <c r="N50" s="401"/>
      <c r="O50" s="401"/>
      <c r="P50" s="401"/>
      <c r="Q50" s="401"/>
      <c r="R50" s="401"/>
      <c r="S50" s="401"/>
      <c r="T50" s="401"/>
      <c r="U50" s="401"/>
      <c r="V50" s="401"/>
      <c r="W50" s="401"/>
      <c r="X50" s="401"/>
    </row>
    <row r="51" customFormat="false" ht="14.4" hidden="false" customHeight="false" outlineLevel="0" collapsed="false">
      <c r="A51" s="778" t="s">
        <v>94</v>
      </c>
      <c r="B51" s="282" t="s">
        <v>137</v>
      </c>
      <c r="C51" s="478" t="n">
        <v>7.5</v>
      </c>
      <c r="D51" s="401" t="s">
        <v>1241</v>
      </c>
      <c r="E51" s="401"/>
      <c r="F51" s="401"/>
      <c r="G51" s="401"/>
      <c r="H51" s="401"/>
      <c r="I51" s="401"/>
      <c r="J51" s="401"/>
      <c r="K51" s="401"/>
      <c r="L51" s="401"/>
      <c r="M51" s="401"/>
      <c r="N51" s="401"/>
      <c r="O51" s="401"/>
      <c r="P51" s="401"/>
      <c r="Q51" s="401"/>
      <c r="R51" s="401"/>
      <c r="S51" s="401"/>
      <c r="T51" s="401"/>
      <c r="U51" s="401"/>
      <c r="V51" s="401"/>
      <c r="W51" s="401"/>
      <c r="X51" s="401"/>
    </row>
    <row r="52" customFormat="false" ht="14.4" hidden="false" customHeight="false" outlineLevel="0" collapsed="false">
      <c r="A52" s="778"/>
      <c r="B52" s="282" t="s">
        <v>317</v>
      </c>
      <c r="C52" s="478" t="n">
        <v>0.8</v>
      </c>
      <c r="D52" s="481" t="s">
        <v>1008</v>
      </c>
      <c r="E52" s="401"/>
      <c r="F52" s="401"/>
      <c r="G52" s="401"/>
      <c r="H52" s="401"/>
      <c r="I52" s="401"/>
      <c r="J52" s="401"/>
      <c r="K52" s="401"/>
      <c r="L52" s="401"/>
      <c r="M52" s="401"/>
      <c r="N52" s="401"/>
      <c r="O52" s="401"/>
      <c r="P52" s="401"/>
      <c r="Q52" s="401"/>
      <c r="R52" s="401"/>
      <c r="S52" s="401"/>
      <c r="T52" s="401"/>
      <c r="U52" s="401"/>
      <c r="V52" s="401"/>
      <c r="W52" s="401"/>
      <c r="X52" s="401"/>
    </row>
    <row r="53" customFormat="false" ht="14.4" hidden="false" customHeight="false" outlineLevel="0" collapsed="false">
      <c r="A53" s="778"/>
      <c r="B53" s="282" t="s">
        <v>171</v>
      </c>
      <c r="C53" s="478" t="n">
        <v>3.7</v>
      </c>
      <c r="D53" s="530" t="s">
        <v>1249</v>
      </c>
      <c r="E53" s="401"/>
      <c r="F53" s="401"/>
      <c r="G53" s="401"/>
      <c r="H53" s="401"/>
      <c r="I53" s="401"/>
      <c r="J53" s="401"/>
      <c r="K53" s="401"/>
      <c r="L53" s="401"/>
      <c r="M53" s="401"/>
      <c r="N53" s="401"/>
      <c r="O53" s="401"/>
      <c r="P53" s="401"/>
      <c r="Q53" s="401"/>
      <c r="R53" s="401"/>
      <c r="S53" s="401"/>
      <c r="T53" s="401"/>
      <c r="U53" s="401"/>
      <c r="V53" s="401"/>
      <c r="W53" s="401"/>
      <c r="X53" s="401"/>
    </row>
    <row r="54" customFormat="false" ht="14.4" hidden="false" customHeight="false" outlineLevel="0" collapsed="false">
      <c r="A54" s="778" t="s">
        <v>60</v>
      </c>
      <c r="B54" s="282" t="s">
        <v>137</v>
      </c>
      <c r="C54" s="478" t="n">
        <v>5</v>
      </c>
      <c r="D54" s="401" t="s">
        <v>1241</v>
      </c>
      <c r="E54" s="401"/>
      <c r="F54" s="401"/>
      <c r="G54" s="401"/>
      <c r="H54" s="401"/>
      <c r="I54" s="401"/>
      <c r="J54" s="401"/>
      <c r="K54" s="401"/>
      <c r="L54" s="401"/>
      <c r="M54" s="401"/>
      <c r="N54" s="401"/>
      <c r="O54" s="401"/>
      <c r="P54" s="401"/>
      <c r="Q54" s="401"/>
      <c r="R54" s="401"/>
      <c r="S54" s="401"/>
      <c r="T54" s="401"/>
      <c r="U54" s="401"/>
      <c r="V54" s="401"/>
      <c r="W54" s="401"/>
      <c r="X54" s="401"/>
    </row>
    <row r="55" customFormat="false" ht="14.4" hidden="false" customHeight="false" outlineLevel="0" collapsed="false">
      <c r="A55" s="778"/>
      <c r="B55" s="282" t="s">
        <v>141</v>
      </c>
      <c r="C55" s="478" t="n">
        <v>3.9</v>
      </c>
      <c r="D55" s="401" t="s">
        <v>1242</v>
      </c>
      <c r="E55" s="401"/>
      <c r="F55" s="401"/>
      <c r="G55" s="401"/>
      <c r="H55" s="401"/>
      <c r="I55" s="401"/>
      <c r="J55" s="401"/>
      <c r="K55" s="401"/>
      <c r="L55" s="401"/>
      <c r="M55" s="401"/>
      <c r="N55" s="401"/>
      <c r="O55" s="401"/>
      <c r="P55" s="401"/>
      <c r="Q55" s="401"/>
      <c r="R55" s="401"/>
      <c r="S55" s="401"/>
      <c r="T55" s="401"/>
      <c r="U55" s="401"/>
      <c r="V55" s="401"/>
      <c r="W55" s="401"/>
      <c r="X55" s="401"/>
    </row>
    <row r="56" customFormat="false" ht="14.4" hidden="false" customHeight="false" outlineLevel="0" collapsed="false">
      <c r="A56" s="778" t="s">
        <v>66</v>
      </c>
      <c r="B56" s="282" t="s">
        <v>137</v>
      </c>
      <c r="C56" s="478" t="n">
        <v>11.7</v>
      </c>
      <c r="D56" s="401" t="s">
        <v>1241</v>
      </c>
      <c r="E56" s="401"/>
      <c r="F56" s="401"/>
      <c r="G56" s="401"/>
      <c r="H56" s="401"/>
      <c r="I56" s="401"/>
      <c r="J56" s="401"/>
      <c r="K56" s="401"/>
      <c r="L56" s="401"/>
      <c r="M56" s="401"/>
      <c r="N56" s="401"/>
      <c r="O56" s="401"/>
      <c r="P56" s="401"/>
      <c r="Q56" s="401"/>
      <c r="R56" s="401"/>
      <c r="S56" s="401"/>
      <c r="T56" s="401"/>
      <c r="U56" s="401"/>
      <c r="V56" s="401"/>
      <c r="W56" s="401"/>
      <c r="X56" s="401"/>
    </row>
    <row r="57" customFormat="false" ht="14.4" hidden="false" customHeight="false" outlineLevel="0" collapsed="false">
      <c r="A57" s="778"/>
      <c r="B57" s="282" t="s">
        <v>187</v>
      </c>
      <c r="C57" s="478" t="n">
        <v>37.7</v>
      </c>
      <c r="D57" s="530" t="s">
        <v>1011</v>
      </c>
      <c r="E57" s="401"/>
      <c r="F57" s="401"/>
      <c r="G57" s="401"/>
      <c r="H57" s="401"/>
      <c r="I57" s="401"/>
      <c r="J57" s="401"/>
      <c r="K57" s="401"/>
      <c r="L57" s="401"/>
      <c r="M57" s="401"/>
      <c r="N57" s="401"/>
      <c r="O57" s="401"/>
      <c r="P57" s="401"/>
      <c r="Q57" s="401"/>
      <c r="R57" s="401"/>
      <c r="S57" s="401"/>
      <c r="T57" s="401"/>
      <c r="U57" s="401"/>
      <c r="V57" s="401"/>
      <c r="W57" s="401"/>
      <c r="X57" s="401"/>
    </row>
    <row r="58" customFormat="false" ht="14.4" hidden="false" customHeight="false" outlineLevel="0" collapsed="false">
      <c r="A58" s="778"/>
      <c r="B58" s="282" t="s">
        <v>141</v>
      </c>
      <c r="C58" s="478" t="n">
        <v>4.3</v>
      </c>
      <c r="D58" s="530" t="s">
        <v>1242</v>
      </c>
      <c r="E58" s="401"/>
      <c r="F58" s="401"/>
      <c r="G58" s="401"/>
      <c r="H58" s="401"/>
      <c r="I58" s="401"/>
      <c r="J58" s="401"/>
      <c r="K58" s="401"/>
      <c r="L58" s="401"/>
      <c r="M58" s="401"/>
      <c r="N58" s="401"/>
      <c r="O58" s="401"/>
      <c r="P58" s="401"/>
      <c r="Q58" s="401"/>
      <c r="R58" s="401"/>
      <c r="S58" s="401"/>
      <c r="T58" s="401"/>
      <c r="U58" s="401"/>
      <c r="V58" s="401"/>
      <c r="W58" s="401"/>
      <c r="X58" s="401"/>
    </row>
    <row r="59" customFormat="false" ht="14.4" hidden="false" customHeight="false" outlineLevel="0" collapsed="false">
      <c r="A59" s="778" t="s">
        <v>72</v>
      </c>
      <c r="B59" s="282" t="s">
        <v>137</v>
      </c>
      <c r="C59" s="478" t="n">
        <v>7.5</v>
      </c>
      <c r="D59" s="530" t="s">
        <v>1241</v>
      </c>
      <c r="E59" s="401"/>
      <c r="F59" s="401"/>
      <c r="G59" s="401"/>
      <c r="H59" s="401"/>
      <c r="I59" s="401"/>
      <c r="J59" s="401"/>
      <c r="K59" s="401"/>
      <c r="L59" s="401"/>
      <c r="M59" s="401"/>
      <c r="N59" s="401"/>
      <c r="O59" s="401"/>
      <c r="P59" s="401"/>
      <c r="Q59" s="401"/>
      <c r="R59" s="401"/>
      <c r="S59" s="401"/>
      <c r="T59" s="401"/>
      <c r="U59" s="401"/>
      <c r="V59" s="401"/>
      <c r="W59" s="401"/>
      <c r="X59" s="401"/>
    </row>
    <row r="60" customFormat="false" ht="14.4" hidden="false" customHeight="false" outlineLevel="0" collapsed="false">
      <c r="A60" s="778"/>
      <c r="B60" s="282" t="s">
        <v>187</v>
      </c>
      <c r="C60" s="478" t="n">
        <v>10.9</v>
      </c>
      <c r="D60" s="530" t="s">
        <v>1011</v>
      </c>
      <c r="E60" s="401"/>
      <c r="F60" s="401"/>
      <c r="G60" s="401"/>
      <c r="H60" s="401"/>
      <c r="I60" s="401"/>
      <c r="J60" s="401"/>
      <c r="K60" s="401"/>
      <c r="L60" s="401"/>
      <c r="M60" s="401"/>
      <c r="N60" s="401"/>
      <c r="O60" s="401"/>
      <c r="P60" s="401"/>
      <c r="Q60" s="401"/>
      <c r="R60" s="401"/>
      <c r="S60" s="401"/>
      <c r="T60" s="401"/>
      <c r="U60" s="401"/>
      <c r="V60" s="401"/>
      <c r="W60" s="401"/>
      <c r="X60" s="401"/>
    </row>
    <row r="61" customFormat="false" ht="14.4" hidden="false" customHeight="false" outlineLevel="0" collapsed="false">
      <c r="A61" s="778"/>
      <c r="B61" s="282" t="s">
        <v>141</v>
      </c>
      <c r="C61" s="478" t="n">
        <v>8.1</v>
      </c>
      <c r="D61" s="530" t="s">
        <v>1250</v>
      </c>
      <c r="E61" s="401"/>
      <c r="F61" s="401"/>
      <c r="G61" s="401"/>
      <c r="H61" s="401"/>
      <c r="I61" s="401"/>
      <c r="J61" s="401"/>
      <c r="K61" s="401"/>
      <c r="L61" s="401"/>
      <c r="M61" s="401"/>
      <c r="N61" s="401"/>
      <c r="O61" s="401"/>
      <c r="P61" s="401"/>
      <c r="Q61" s="401"/>
      <c r="R61" s="401"/>
      <c r="S61" s="401"/>
      <c r="T61" s="401"/>
      <c r="U61" s="401"/>
      <c r="V61" s="401"/>
      <c r="W61" s="401"/>
      <c r="X61" s="401"/>
    </row>
    <row r="62" customFormat="false" ht="27.6" hidden="false" customHeight="false" outlineLevel="0" collapsed="false">
      <c r="A62" s="778" t="s">
        <v>82</v>
      </c>
      <c r="B62" s="282" t="s">
        <v>137</v>
      </c>
      <c r="C62" s="478" t="n">
        <v>7.5</v>
      </c>
      <c r="D62" s="530" t="s">
        <v>1241</v>
      </c>
      <c r="E62" s="401"/>
      <c r="F62" s="401"/>
      <c r="G62" s="401"/>
      <c r="H62" s="401"/>
      <c r="I62" s="401"/>
      <c r="J62" s="401"/>
      <c r="K62" s="401"/>
      <c r="L62" s="401"/>
      <c r="M62" s="401"/>
      <c r="N62" s="401"/>
      <c r="O62" s="401"/>
      <c r="P62" s="401"/>
      <c r="Q62" s="401"/>
      <c r="R62" s="401"/>
      <c r="S62" s="401"/>
      <c r="T62" s="401"/>
      <c r="U62" s="401"/>
      <c r="V62" s="401"/>
      <c r="W62" s="401"/>
      <c r="X62" s="401"/>
    </row>
    <row r="63" customFormat="false" ht="14.4" hidden="false" customHeight="false" outlineLevel="0" collapsed="false">
      <c r="A63" s="778"/>
      <c r="B63" s="282" t="s">
        <v>140</v>
      </c>
      <c r="C63" s="478" t="n">
        <v>7.1</v>
      </c>
      <c r="D63" s="401" t="s">
        <v>1242</v>
      </c>
      <c r="E63" s="401"/>
      <c r="F63" s="401"/>
      <c r="G63" s="401"/>
      <c r="H63" s="401"/>
      <c r="I63" s="401"/>
      <c r="J63" s="401"/>
      <c r="K63" s="401"/>
      <c r="L63" s="401"/>
      <c r="M63" s="401"/>
      <c r="N63" s="401"/>
      <c r="O63" s="401"/>
      <c r="P63" s="401"/>
      <c r="Q63" s="401"/>
      <c r="R63" s="401"/>
      <c r="S63" s="401"/>
      <c r="T63" s="401"/>
      <c r="U63" s="401"/>
      <c r="V63" s="401"/>
      <c r="W63" s="401"/>
      <c r="X63" s="401"/>
    </row>
    <row r="64" customFormat="false" ht="14.4" hidden="false" customHeight="false" outlineLevel="0" collapsed="false">
      <c r="A64" s="778"/>
      <c r="B64" s="282" t="s">
        <v>141</v>
      </c>
      <c r="C64" s="478" t="n">
        <v>3.6</v>
      </c>
      <c r="D64" s="401" t="s">
        <v>1242</v>
      </c>
      <c r="E64" s="401"/>
      <c r="F64" s="401"/>
      <c r="G64" s="401"/>
      <c r="H64" s="401"/>
      <c r="I64" s="401"/>
      <c r="J64" s="401"/>
      <c r="K64" s="401"/>
      <c r="L64" s="401"/>
      <c r="M64" s="401"/>
      <c r="N64" s="401"/>
      <c r="O64" s="401"/>
      <c r="P64" s="401"/>
      <c r="Q64" s="401"/>
      <c r="R64" s="401"/>
      <c r="S64" s="401"/>
      <c r="T64" s="401"/>
      <c r="U64" s="401"/>
      <c r="V64" s="401"/>
      <c r="W64" s="401"/>
      <c r="X64" s="401"/>
    </row>
    <row r="65" customFormat="false" ht="14.4" hidden="false" customHeight="false" outlineLevel="0" collapsed="false">
      <c r="A65" s="778" t="s">
        <v>86</v>
      </c>
      <c r="B65" s="282" t="s">
        <v>137</v>
      </c>
      <c r="C65" s="478" t="n">
        <v>7.5</v>
      </c>
      <c r="D65" s="401" t="s">
        <v>1241</v>
      </c>
      <c r="E65" s="401"/>
      <c r="F65" s="401"/>
      <c r="G65" s="401"/>
      <c r="H65" s="401"/>
      <c r="I65" s="401"/>
      <c r="J65" s="401"/>
      <c r="K65" s="401"/>
      <c r="L65" s="401"/>
      <c r="M65" s="401"/>
      <c r="N65" s="401"/>
      <c r="O65" s="401"/>
      <c r="P65" s="401"/>
      <c r="Q65" s="401"/>
      <c r="R65" s="401"/>
      <c r="S65" s="401"/>
      <c r="T65" s="401"/>
      <c r="U65" s="401"/>
      <c r="V65" s="401"/>
      <c r="W65" s="401"/>
      <c r="X65" s="401"/>
    </row>
    <row r="66" customFormat="false" ht="14.4" hidden="false" customHeight="false" outlineLevel="0" collapsed="false">
      <c r="A66" s="778"/>
      <c r="B66" s="282" t="s">
        <v>285</v>
      </c>
      <c r="C66" s="478" t="n">
        <v>2</v>
      </c>
      <c r="D66" s="401" t="s">
        <v>1242</v>
      </c>
      <c r="E66" s="401"/>
      <c r="F66" s="401"/>
      <c r="G66" s="401"/>
      <c r="H66" s="401"/>
      <c r="I66" s="401"/>
      <c r="J66" s="401"/>
      <c r="K66" s="401"/>
      <c r="L66" s="401"/>
      <c r="M66" s="401"/>
      <c r="N66" s="401"/>
      <c r="O66" s="401"/>
      <c r="P66" s="401"/>
      <c r="Q66" s="401"/>
      <c r="R66" s="401"/>
      <c r="S66" s="401"/>
      <c r="T66" s="401"/>
      <c r="U66" s="401"/>
      <c r="V66" s="401"/>
      <c r="W66" s="401"/>
      <c r="X66" s="401"/>
    </row>
    <row r="67" customFormat="false" ht="14.4" hidden="false" customHeight="false" outlineLevel="0" collapsed="false">
      <c r="A67" s="778"/>
      <c r="B67" s="282" t="s">
        <v>312</v>
      </c>
      <c r="C67" s="478" t="n">
        <v>2</v>
      </c>
      <c r="D67" s="401" t="s">
        <v>1242</v>
      </c>
      <c r="E67" s="401"/>
      <c r="F67" s="401"/>
      <c r="G67" s="401"/>
      <c r="H67" s="401"/>
      <c r="I67" s="401"/>
      <c r="J67" s="401"/>
      <c r="K67" s="401"/>
      <c r="L67" s="401"/>
      <c r="M67" s="401"/>
      <c r="N67" s="401"/>
      <c r="O67" s="401"/>
      <c r="P67" s="401"/>
      <c r="Q67" s="401"/>
      <c r="R67" s="401"/>
      <c r="S67" s="401"/>
      <c r="T67" s="401"/>
      <c r="U67" s="401"/>
      <c r="V67" s="401"/>
      <c r="W67" s="401"/>
      <c r="X67" s="401"/>
    </row>
    <row r="68" customFormat="false" ht="14.4" hidden="false" customHeight="false" outlineLevel="0" collapsed="false">
      <c r="A68" s="778"/>
      <c r="B68" s="282" t="s">
        <v>141</v>
      </c>
      <c r="C68" s="478" t="n">
        <v>2</v>
      </c>
      <c r="D68" s="401" t="s">
        <v>1242</v>
      </c>
      <c r="E68" s="401"/>
      <c r="F68" s="401"/>
      <c r="G68" s="401"/>
      <c r="H68" s="401"/>
      <c r="I68" s="401"/>
      <c r="J68" s="401"/>
      <c r="K68" s="401"/>
      <c r="L68" s="401"/>
      <c r="M68" s="401"/>
      <c r="N68" s="401"/>
      <c r="O68" s="401"/>
      <c r="P68" s="401"/>
      <c r="Q68" s="401"/>
      <c r="R68" s="401"/>
      <c r="S68" s="401"/>
      <c r="T68" s="401"/>
      <c r="U68" s="401"/>
      <c r="V68" s="401"/>
      <c r="W68" s="401"/>
      <c r="X68" s="401"/>
    </row>
    <row r="69" customFormat="false" ht="14.4" hidden="false" customHeight="false" outlineLevel="0" collapsed="false">
      <c r="A69" s="778" t="s">
        <v>78</v>
      </c>
      <c r="B69" s="282" t="s">
        <v>137</v>
      </c>
      <c r="C69" s="478" t="n">
        <v>7.5</v>
      </c>
      <c r="D69" s="401" t="s">
        <v>1241</v>
      </c>
      <c r="E69" s="401"/>
      <c r="F69" s="401"/>
      <c r="G69" s="401"/>
      <c r="H69" s="401"/>
      <c r="I69" s="401"/>
      <c r="J69" s="401"/>
      <c r="K69" s="401"/>
      <c r="L69" s="401"/>
      <c r="M69" s="401"/>
      <c r="N69" s="401"/>
      <c r="O69" s="401"/>
      <c r="P69" s="401"/>
      <c r="Q69" s="401"/>
      <c r="R69" s="401"/>
      <c r="S69" s="401"/>
      <c r="T69" s="401"/>
      <c r="U69" s="401"/>
      <c r="V69" s="401"/>
      <c r="W69" s="401"/>
      <c r="X69" s="401"/>
    </row>
    <row r="70" customFormat="false" ht="14.4" hidden="false" customHeight="false" outlineLevel="0" collapsed="false">
      <c r="A70" s="778"/>
      <c r="B70" s="282" t="s">
        <v>285</v>
      </c>
      <c r="C70" s="478" t="n">
        <v>2.7</v>
      </c>
      <c r="D70" s="401" t="s">
        <v>1242</v>
      </c>
      <c r="E70" s="401"/>
      <c r="F70" s="401"/>
      <c r="G70" s="401"/>
      <c r="H70" s="401"/>
      <c r="I70" s="401"/>
      <c r="J70" s="401"/>
      <c r="K70" s="401"/>
      <c r="L70" s="401"/>
      <c r="M70" s="401"/>
      <c r="N70" s="401"/>
      <c r="O70" s="401"/>
      <c r="P70" s="401"/>
      <c r="Q70" s="401"/>
      <c r="R70" s="401"/>
      <c r="S70" s="401"/>
      <c r="T70" s="401"/>
      <c r="U70" s="401"/>
      <c r="V70" s="401"/>
      <c r="W70" s="401"/>
      <c r="X70" s="401"/>
    </row>
    <row r="71" customFormat="false" ht="14.4" hidden="false" customHeight="false" outlineLevel="0" collapsed="false">
      <c r="A71" s="778"/>
      <c r="B71" s="282" t="s">
        <v>141</v>
      </c>
      <c r="C71" s="478" t="n">
        <v>2.8</v>
      </c>
      <c r="D71" s="401" t="s">
        <v>1242</v>
      </c>
      <c r="E71" s="401"/>
      <c r="F71" s="401"/>
      <c r="G71" s="401"/>
      <c r="H71" s="401"/>
      <c r="I71" s="401"/>
      <c r="J71" s="401"/>
      <c r="K71" s="401"/>
      <c r="L71" s="401"/>
      <c r="M71" s="401"/>
      <c r="N71" s="401"/>
      <c r="O71" s="401"/>
      <c r="P71" s="401"/>
      <c r="Q71" s="401"/>
      <c r="R71" s="401"/>
      <c r="S71" s="401"/>
      <c r="T71" s="401"/>
      <c r="U71" s="401"/>
      <c r="V71" s="401"/>
      <c r="W71" s="401"/>
      <c r="X71" s="401"/>
    </row>
    <row r="72" customFormat="false" ht="14.4" hidden="false" customHeight="false" outlineLevel="0" collapsed="false">
      <c r="A72" s="778" t="s">
        <v>41</v>
      </c>
      <c r="B72" s="282" t="s">
        <v>1245</v>
      </c>
      <c r="C72" s="478" t="n">
        <v>53.4</v>
      </c>
      <c r="D72" s="530" t="s">
        <v>1251</v>
      </c>
      <c r="E72" s="401"/>
      <c r="F72" s="401"/>
      <c r="G72" s="401"/>
      <c r="H72" s="401"/>
      <c r="I72" s="401"/>
      <c r="J72" s="401"/>
      <c r="K72" s="401"/>
      <c r="L72" s="401"/>
      <c r="M72" s="401"/>
      <c r="N72" s="401"/>
      <c r="O72" s="401"/>
      <c r="P72" s="401"/>
      <c r="Q72" s="401"/>
      <c r="R72" s="401"/>
      <c r="S72" s="401"/>
      <c r="T72" s="401"/>
      <c r="U72" s="401"/>
      <c r="V72" s="401"/>
      <c r="W72" s="401"/>
      <c r="X72" s="401"/>
    </row>
    <row r="73" customFormat="false" ht="14.4" hidden="false" customHeight="false" outlineLevel="0" collapsed="false">
      <c r="A73" s="778"/>
      <c r="B73" s="282" t="s">
        <v>1246</v>
      </c>
      <c r="C73" s="478" t="n">
        <v>12.7</v>
      </c>
      <c r="D73" s="530" t="s">
        <v>1251</v>
      </c>
      <c r="E73" s="401"/>
      <c r="F73" s="401"/>
      <c r="G73" s="401"/>
      <c r="H73" s="401"/>
      <c r="I73" s="401"/>
      <c r="J73" s="401"/>
      <c r="K73" s="401"/>
      <c r="L73" s="401"/>
      <c r="M73" s="401"/>
      <c r="N73" s="401"/>
      <c r="O73" s="401"/>
      <c r="P73" s="401"/>
      <c r="Q73" s="401"/>
      <c r="R73" s="401"/>
      <c r="S73" s="401"/>
      <c r="T73" s="401"/>
      <c r="U73" s="401"/>
      <c r="V73" s="401"/>
      <c r="W73" s="401"/>
      <c r="X73" s="401"/>
    </row>
    <row r="74" customFormat="false" ht="14.4" hidden="false" customHeight="false" outlineLevel="0" collapsed="false">
      <c r="A74" s="778"/>
      <c r="B74" s="282" t="s">
        <v>1252</v>
      </c>
      <c r="C74" s="478" t="n">
        <v>7.8</v>
      </c>
      <c r="D74" s="530" t="s">
        <v>1251</v>
      </c>
      <c r="E74" s="401"/>
      <c r="F74" s="401"/>
      <c r="G74" s="401"/>
      <c r="H74" s="401"/>
      <c r="I74" s="401"/>
      <c r="J74" s="401"/>
      <c r="K74" s="401"/>
      <c r="L74" s="401"/>
      <c r="M74" s="401"/>
      <c r="N74" s="401"/>
      <c r="O74" s="401"/>
      <c r="P74" s="401"/>
      <c r="Q74" s="401"/>
      <c r="R74" s="401"/>
      <c r="S74" s="401"/>
      <c r="T74" s="401"/>
      <c r="U74" s="401"/>
      <c r="V74" s="401"/>
      <c r="W74" s="401"/>
      <c r="X74" s="401"/>
    </row>
    <row r="75" customFormat="false" ht="14.4" hidden="false" customHeight="false" outlineLevel="0" collapsed="false">
      <c r="A75" s="778" t="s">
        <v>28</v>
      </c>
      <c r="B75" s="282" t="s">
        <v>137</v>
      </c>
      <c r="C75" s="478" t="n">
        <v>13.3</v>
      </c>
      <c r="D75" s="401" t="s">
        <v>1241</v>
      </c>
      <c r="E75" s="401"/>
      <c r="F75" s="401"/>
      <c r="G75" s="401"/>
      <c r="H75" s="401"/>
      <c r="I75" s="401"/>
      <c r="J75" s="401"/>
      <c r="K75" s="401"/>
      <c r="L75" s="401"/>
      <c r="M75" s="401"/>
      <c r="N75" s="401"/>
      <c r="O75" s="401"/>
      <c r="P75" s="401"/>
      <c r="Q75" s="401"/>
      <c r="R75" s="401"/>
      <c r="S75" s="401"/>
      <c r="T75" s="401"/>
      <c r="U75" s="401"/>
      <c r="V75" s="401"/>
      <c r="W75" s="401"/>
      <c r="X75" s="401"/>
    </row>
    <row r="76" customFormat="false" ht="14.4" hidden="false" customHeight="false" outlineLevel="0" collapsed="false">
      <c r="A76" s="778"/>
      <c r="B76" s="282" t="s">
        <v>274</v>
      </c>
      <c r="C76" s="478" t="n">
        <v>15.7</v>
      </c>
      <c r="D76" s="401" t="s">
        <v>1242</v>
      </c>
      <c r="E76" s="401"/>
      <c r="F76" s="401"/>
      <c r="G76" s="401"/>
      <c r="H76" s="401"/>
      <c r="I76" s="401"/>
      <c r="J76" s="401"/>
      <c r="K76" s="401"/>
      <c r="L76" s="401"/>
      <c r="M76" s="401"/>
      <c r="N76" s="401"/>
      <c r="O76" s="401"/>
      <c r="P76" s="401"/>
      <c r="Q76" s="401"/>
      <c r="R76" s="401"/>
      <c r="S76" s="401"/>
      <c r="T76" s="401"/>
      <c r="U76" s="401"/>
      <c r="V76" s="401"/>
      <c r="W76" s="401"/>
      <c r="X76" s="401"/>
    </row>
    <row r="77" customFormat="false" ht="14.4" hidden="false" customHeight="false" outlineLevel="0" collapsed="false">
      <c r="A77" s="778"/>
      <c r="B77" s="282" t="s">
        <v>141</v>
      </c>
      <c r="C77" s="478" t="n">
        <v>11.2</v>
      </c>
      <c r="D77" s="401" t="s">
        <v>1242</v>
      </c>
      <c r="E77" s="401"/>
      <c r="F77" s="401"/>
      <c r="G77" s="401"/>
      <c r="H77" s="401"/>
      <c r="I77" s="401"/>
      <c r="J77" s="401"/>
      <c r="K77" s="401"/>
      <c r="L77" s="401"/>
      <c r="M77" s="401"/>
      <c r="N77" s="401"/>
      <c r="O77" s="401"/>
      <c r="P77" s="401"/>
      <c r="Q77" s="401"/>
      <c r="R77" s="401"/>
      <c r="S77" s="401"/>
      <c r="T77" s="401"/>
      <c r="U77" s="401"/>
      <c r="V77" s="401"/>
      <c r="W77" s="401"/>
      <c r="X77" s="401"/>
    </row>
    <row r="78" customFormat="false" ht="14.4" hidden="false" customHeight="false" outlineLevel="0" collapsed="false">
      <c r="A78" s="778" t="s">
        <v>49</v>
      </c>
      <c r="B78" s="282" t="s">
        <v>327</v>
      </c>
      <c r="C78" s="478" t="n">
        <v>63.6</v>
      </c>
      <c r="D78" s="401" t="s">
        <v>1242</v>
      </c>
      <c r="E78" s="401"/>
      <c r="F78" s="401"/>
      <c r="G78" s="401"/>
      <c r="H78" s="401"/>
      <c r="I78" s="401"/>
      <c r="J78" s="401"/>
      <c r="K78" s="401"/>
      <c r="L78" s="401"/>
      <c r="M78" s="401"/>
      <c r="N78" s="401"/>
      <c r="O78" s="401"/>
      <c r="P78" s="401"/>
      <c r="Q78" s="401"/>
      <c r="R78" s="401"/>
      <c r="S78" s="401"/>
      <c r="T78" s="401"/>
      <c r="U78" s="401"/>
      <c r="V78" s="401"/>
      <c r="W78" s="401"/>
      <c r="X78" s="401"/>
    </row>
    <row r="79" customFormat="false" ht="14.4" hidden="false" customHeight="false" outlineLevel="0" collapsed="false">
      <c r="A79" s="778"/>
      <c r="B79" s="282" t="s">
        <v>328</v>
      </c>
      <c r="C79" s="478" t="n">
        <v>16.4</v>
      </c>
      <c r="D79" s="401" t="s">
        <v>1242</v>
      </c>
      <c r="E79" s="401"/>
      <c r="F79" s="401"/>
      <c r="G79" s="401"/>
      <c r="H79" s="401"/>
      <c r="I79" s="401"/>
      <c r="J79" s="401"/>
      <c r="K79" s="401"/>
      <c r="L79" s="401"/>
      <c r="M79" s="401"/>
      <c r="N79" s="401"/>
      <c r="O79" s="401"/>
      <c r="P79" s="401"/>
      <c r="Q79" s="401"/>
      <c r="R79" s="401"/>
      <c r="S79" s="401"/>
      <c r="T79" s="401"/>
      <c r="U79" s="401"/>
      <c r="V79" s="401"/>
      <c r="W79" s="401"/>
      <c r="X79" s="401"/>
    </row>
    <row r="80" customFormat="false" ht="14.4" hidden="false" customHeight="false" outlineLevel="0" collapsed="false">
      <c r="A80" s="778"/>
      <c r="B80" s="282" t="s">
        <v>329</v>
      </c>
      <c r="C80" s="478" t="n">
        <v>4.4</v>
      </c>
      <c r="D80" s="401" t="s">
        <v>1242</v>
      </c>
      <c r="E80" s="401"/>
      <c r="F80" s="401"/>
      <c r="G80" s="401"/>
      <c r="H80" s="401"/>
      <c r="I80" s="401"/>
      <c r="J80" s="401"/>
      <c r="K80" s="401"/>
      <c r="L80" s="401"/>
      <c r="M80" s="401"/>
      <c r="N80" s="401"/>
      <c r="O80" s="401"/>
      <c r="P80" s="401"/>
      <c r="Q80" s="401"/>
      <c r="R80" s="401"/>
      <c r="S80" s="401"/>
      <c r="T80" s="401"/>
      <c r="U80" s="401"/>
      <c r="V80" s="401"/>
      <c r="W80" s="401"/>
      <c r="X80" s="401"/>
    </row>
    <row r="81" customFormat="false" ht="14.4" hidden="false" customHeight="false" outlineLevel="0" collapsed="false">
      <c r="A81" s="778"/>
      <c r="B81" s="282" t="s">
        <v>171</v>
      </c>
      <c r="C81" s="478" t="n">
        <v>2.5</v>
      </c>
      <c r="D81" s="401" t="s">
        <v>1242</v>
      </c>
      <c r="E81" s="401"/>
      <c r="F81" s="401"/>
      <c r="G81" s="401"/>
      <c r="H81" s="401"/>
      <c r="I81" s="401"/>
      <c r="J81" s="401"/>
      <c r="K81" s="401"/>
      <c r="L81" s="401"/>
      <c r="M81" s="401"/>
      <c r="N81" s="401"/>
      <c r="O81" s="401"/>
      <c r="P81" s="401"/>
      <c r="Q81" s="401"/>
      <c r="R81" s="401"/>
      <c r="S81" s="401"/>
      <c r="T81" s="401"/>
      <c r="U81" s="401"/>
      <c r="V81" s="401"/>
      <c r="W81" s="401"/>
      <c r="X81" s="401"/>
    </row>
    <row r="82" customFormat="false" ht="14.4" hidden="false" customHeight="false" outlineLevel="0" collapsed="false">
      <c r="A82" s="778" t="s">
        <v>42</v>
      </c>
      <c r="B82" s="282" t="s">
        <v>1244</v>
      </c>
      <c r="C82" s="478" t="n">
        <v>7.5</v>
      </c>
      <c r="D82" s="401" t="s">
        <v>1241</v>
      </c>
      <c r="E82" s="401"/>
      <c r="F82" s="401"/>
      <c r="G82" s="401"/>
      <c r="H82" s="401"/>
      <c r="I82" s="401"/>
      <c r="J82" s="401"/>
      <c r="K82" s="401"/>
      <c r="L82" s="401"/>
      <c r="M82" s="401"/>
      <c r="N82" s="401"/>
      <c r="O82" s="401"/>
      <c r="P82" s="401"/>
      <c r="Q82" s="401"/>
      <c r="R82" s="401"/>
      <c r="S82" s="401"/>
      <c r="T82" s="401"/>
      <c r="U82" s="401"/>
      <c r="V82" s="401"/>
      <c r="W82" s="401"/>
      <c r="X82" s="401"/>
    </row>
    <row r="83" customFormat="false" ht="14.4" hidden="false" customHeight="false" outlineLevel="0" collapsed="false">
      <c r="A83" s="778"/>
      <c r="B83" s="282" t="s">
        <v>285</v>
      </c>
      <c r="C83" s="478" t="n">
        <v>7.2</v>
      </c>
      <c r="D83" s="401" t="s">
        <v>1242</v>
      </c>
      <c r="E83" s="401"/>
      <c r="F83" s="401"/>
      <c r="G83" s="401"/>
      <c r="H83" s="401"/>
      <c r="I83" s="401"/>
      <c r="J83" s="401"/>
      <c r="K83" s="401"/>
      <c r="L83" s="401"/>
      <c r="M83" s="401"/>
      <c r="N83" s="401"/>
      <c r="O83" s="401"/>
      <c r="P83" s="401"/>
      <c r="Q83" s="401"/>
      <c r="R83" s="401"/>
      <c r="S83" s="401"/>
      <c r="T83" s="401"/>
      <c r="U83" s="401"/>
      <c r="V83" s="401"/>
      <c r="W83" s="401"/>
      <c r="X83" s="401"/>
    </row>
    <row r="84" customFormat="false" ht="14.4" hidden="false" customHeight="false" outlineLevel="0" collapsed="false">
      <c r="A84" s="778"/>
      <c r="B84" s="282" t="s">
        <v>187</v>
      </c>
      <c r="C84" s="478" t="n">
        <v>6.8</v>
      </c>
      <c r="D84" s="401" t="s">
        <v>1242</v>
      </c>
      <c r="E84" s="401"/>
      <c r="F84" s="401"/>
      <c r="G84" s="401"/>
      <c r="H84" s="401"/>
      <c r="I84" s="401"/>
      <c r="J84" s="401"/>
      <c r="K84" s="401"/>
      <c r="L84" s="401"/>
      <c r="M84" s="401"/>
      <c r="N84" s="401"/>
      <c r="O84" s="401"/>
      <c r="P84" s="401"/>
      <c r="Q84" s="401"/>
      <c r="R84" s="401"/>
      <c r="S84" s="401"/>
      <c r="T84" s="401"/>
      <c r="U84" s="401"/>
      <c r="V84" s="401"/>
      <c r="W84" s="401"/>
      <c r="X84" s="401"/>
    </row>
    <row r="85" customFormat="false" ht="14.4" hidden="false" customHeight="false" outlineLevel="0" collapsed="false">
      <c r="A85" s="778"/>
      <c r="B85" s="282" t="s">
        <v>141</v>
      </c>
      <c r="C85" s="478" t="n">
        <v>4.7</v>
      </c>
      <c r="D85" s="401" t="s">
        <v>1242</v>
      </c>
      <c r="E85" s="401"/>
      <c r="F85" s="401"/>
      <c r="G85" s="401"/>
      <c r="H85" s="401"/>
      <c r="I85" s="401"/>
      <c r="J85" s="401"/>
      <c r="K85" s="401"/>
      <c r="L85" s="401"/>
      <c r="M85" s="401"/>
      <c r="N85" s="401"/>
      <c r="O85" s="401"/>
      <c r="P85" s="401"/>
      <c r="Q85" s="401"/>
      <c r="R85" s="401"/>
      <c r="S85" s="401"/>
      <c r="T85" s="401"/>
      <c r="U85" s="401"/>
      <c r="V85" s="401"/>
      <c r="W85" s="401"/>
      <c r="X85" s="401"/>
    </row>
    <row r="86" customFormat="false" ht="14.4" hidden="false" customHeight="false" outlineLevel="0" collapsed="false">
      <c r="A86" s="778" t="s">
        <v>1028</v>
      </c>
      <c r="B86" s="282" t="s">
        <v>137</v>
      </c>
      <c r="C86" s="478" t="n">
        <v>7.5</v>
      </c>
      <c r="D86" s="401" t="s">
        <v>1241</v>
      </c>
      <c r="E86" s="401"/>
      <c r="F86" s="401"/>
      <c r="G86" s="401"/>
      <c r="H86" s="401"/>
      <c r="I86" s="401"/>
      <c r="J86" s="401"/>
      <c r="K86" s="401"/>
      <c r="L86" s="401"/>
      <c r="M86" s="401"/>
      <c r="N86" s="401"/>
      <c r="O86" s="401"/>
      <c r="P86" s="401"/>
      <c r="Q86" s="401"/>
      <c r="R86" s="401"/>
      <c r="S86" s="401"/>
      <c r="T86" s="401"/>
      <c r="U86" s="401"/>
      <c r="V86" s="401"/>
      <c r="W86" s="401"/>
      <c r="X86" s="401"/>
    </row>
    <row r="87" customFormat="false" ht="14.4" hidden="false" customHeight="false" outlineLevel="0" collapsed="false">
      <c r="A87" s="778"/>
      <c r="B87" s="282" t="s">
        <v>322</v>
      </c>
      <c r="C87" s="478" t="n">
        <v>18.7</v>
      </c>
      <c r="D87" s="401" t="s">
        <v>1242</v>
      </c>
      <c r="E87" s="401"/>
      <c r="F87" s="401"/>
      <c r="G87" s="401"/>
      <c r="H87" s="401"/>
      <c r="I87" s="401"/>
      <c r="J87" s="401"/>
      <c r="K87" s="401"/>
      <c r="L87" s="401"/>
      <c r="M87" s="401"/>
      <c r="N87" s="401"/>
      <c r="O87" s="401"/>
      <c r="P87" s="401"/>
      <c r="Q87" s="401"/>
      <c r="R87" s="401"/>
      <c r="S87" s="401"/>
      <c r="T87" s="401"/>
      <c r="U87" s="401"/>
      <c r="V87" s="401"/>
      <c r="W87" s="401"/>
      <c r="X87" s="401"/>
    </row>
    <row r="88" customFormat="false" ht="14.4" hidden="false" customHeight="false" outlineLevel="0" collapsed="false">
      <c r="A88" s="778"/>
      <c r="B88" s="282" t="s">
        <v>187</v>
      </c>
      <c r="C88" s="478" t="n">
        <v>15.2</v>
      </c>
      <c r="D88" s="401" t="s">
        <v>1242</v>
      </c>
      <c r="E88" s="401"/>
      <c r="F88" s="401"/>
      <c r="G88" s="401"/>
      <c r="H88" s="401"/>
      <c r="I88" s="401"/>
      <c r="J88" s="401"/>
      <c r="K88" s="401"/>
      <c r="L88" s="401"/>
      <c r="M88" s="401"/>
      <c r="N88" s="401"/>
      <c r="O88" s="401"/>
      <c r="P88" s="401"/>
      <c r="Q88" s="401"/>
      <c r="R88" s="401"/>
      <c r="S88" s="401"/>
      <c r="T88" s="401"/>
      <c r="U88" s="401"/>
      <c r="V88" s="401"/>
      <c r="W88" s="401"/>
      <c r="X88" s="401"/>
    </row>
    <row r="89" customFormat="false" ht="14.4" hidden="false" customHeight="false" outlineLevel="0" collapsed="false">
      <c r="A89" s="778"/>
      <c r="B89" s="282" t="s">
        <v>141</v>
      </c>
      <c r="C89" s="478" t="n">
        <v>6.6</v>
      </c>
      <c r="D89" s="401" t="s">
        <v>1242</v>
      </c>
      <c r="E89" s="401"/>
      <c r="F89" s="401"/>
      <c r="G89" s="401"/>
      <c r="H89" s="401"/>
      <c r="I89" s="401"/>
      <c r="J89" s="401"/>
      <c r="K89" s="401"/>
      <c r="L89" s="401"/>
      <c r="M89" s="401"/>
      <c r="N89" s="401"/>
      <c r="O89" s="401"/>
      <c r="P89" s="401"/>
      <c r="Q89" s="401"/>
      <c r="R89" s="401"/>
      <c r="S89" s="401"/>
      <c r="T89" s="401"/>
      <c r="U89" s="401"/>
      <c r="V89" s="401"/>
      <c r="W89" s="401"/>
      <c r="X89" s="401"/>
    </row>
    <row r="90" customFormat="false" ht="14.4" hidden="false" customHeight="false" outlineLevel="0" collapsed="false">
      <c r="A90" s="778" t="s">
        <v>61</v>
      </c>
      <c r="B90" s="282" t="s">
        <v>285</v>
      </c>
      <c r="C90" s="478" t="n">
        <v>8.1</v>
      </c>
      <c r="D90" s="401" t="s">
        <v>1242</v>
      </c>
      <c r="E90" s="401"/>
      <c r="F90" s="401"/>
      <c r="G90" s="401"/>
      <c r="H90" s="401"/>
      <c r="I90" s="401"/>
      <c r="J90" s="401"/>
      <c r="K90" s="401"/>
      <c r="L90" s="401"/>
      <c r="M90" s="401"/>
      <c r="N90" s="401"/>
      <c r="O90" s="401"/>
      <c r="P90" s="401"/>
      <c r="Q90" s="401"/>
      <c r="R90" s="401"/>
      <c r="S90" s="401"/>
      <c r="T90" s="401"/>
      <c r="U90" s="401"/>
      <c r="V90" s="401"/>
      <c r="W90" s="401"/>
      <c r="X90" s="401"/>
    </row>
    <row r="91" customFormat="false" ht="14.4" hidden="false" customHeight="false" outlineLevel="0" collapsed="false">
      <c r="A91" s="778"/>
      <c r="B91" s="282" t="s">
        <v>141</v>
      </c>
      <c r="C91" s="478" t="n">
        <v>31.9</v>
      </c>
      <c r="D91" s="401" t="s">
        <v>1242</v>
      </c>
      <c r="E91" s="401"/>
      <c r="F91" s="401"/>
      <c r="G91" s="401"/>
      <c r="H91" s="401"/>
      <c r="I91" s="401"/>
      <c r="J91" s="401"/>
      <c r="K91" s="401"/>
      <c r="L91" s="401"/>
      <c r="M91" s="401"/>
      <c r="N91" s="401"/>
      <c r="O91" s="401"/>
      <c r="P91" s="401"/>
      <c r="Q91" s="401"/>
      <c r="R91" s="401"/>
      <c r="S91" s="401"/>
      <c r="T91" s="401"/>
      <c r="U91" s="401"/>
      <c r="V91" s="401"/>
      <c r="W91" s="401"/>
      <c r="X91" s="401"/>
    </row>
    <row r="92" customFormat="false" ht="14.4" hidden="false" customHeight="false" outlineLevel="0" collapsed="false">
      <c r="A92" s="778" t="s">
        <v>79</v>
      </c>
      <c r="B92" s="282" t="s">
        <v>137</v>
      </c>
      <c r="C92" s="478" t="n">
        <v>12</v>
      </c>
      <c r="D92" s="401" t="s">
        <v>1241</v>
      </c>
      <c r="E92" s="401"/>
      <c r="F92" s="401"/>
      <c r="G92" s="401"/>
      <c r="H92" s="401"/>
      <c r="I92" s="401"/>
      <c r="J92" s="401"/>
      <c r="K92" s="401"/>
      <c r="L92" s="401"/>
      <c r="M92" s="401"/>
      <c r="N92" s="401"/>
      <c r="O92" s="401"/>
      <c r="P92" s="401"/>
      <c r="Q92" s="401"/>
      <c r="R92" s="401"/>
      <c r="S92" s="401"/>
      <c r="T92" s="401"/>
      <c r="U92" s="401"/>
      <c r="V92" s="401"/>
      <c r="W92" s="401"/>
      <c r="X92" s="401"/>
    </row>
    <row r="93" customFormat="false" ht="14.4" hidden="false" customHeight="false" outlineLevel="0" collapsed="false">
      <c r="A93" s="778"/>
      <c r="B93" s="282" t="s">
        <v>1253</v>
      </c>
      <c r="C93" s="478" t="n">
        <v>10.9</v>
      </c>
      <c r="D93" s="401" t="s">
        <v>1242</v>
      </c>
      <c r="E93" s="401"/>
      <c r="F93" s="401"/>
      <c r="G93" s="401"/>
      <c r="H93" s="401"/>
      <c r="I93" s="401"/>
      <c r="J93" s="401"/>
      <c r="K93" s="401"/>
      <c r="L93" s="401"/>
      <c r="M93" s="401"/>
      <c r="N93" s="401"/>
      <c r="O93" s="401"/>
      <c r="P93" s="401"/>
      <c r="Q93" s="401"/>
      <c r="R93" s="401"/>
      <c r="S93" s="401"/>
      <c r="T93" s="401"/>
      <c r="U93" s="401"/>
      <c r="V93" s="401"/>
      <c r="W93" s="401"/>
      <c r="X93" s="401"/>
    </row>
    <row r="94" customFormat="false" ht="14.4" hidden="false" customHeight="false" outlineLevel="0" collapsed="false">
      <c r="A94" s="778"/>
      <c r="B94" s="282" t="s">
        <v>1247</v>
      </c>
      <c r="C94" s="478" t="n">
        <v>4.3</v>
      </c>
      <c r="D94" s="401" t="s">
        <v>1242</v>
      </c>
      <c r="E94" s="401"/>
      <c r="F94" s="401"/>
      <c r="G94" s="401"/>
      <c r="H94" s="401"/>
      <c r="I94" s="401"/>
      <c r="J94" s="401"/>
      <c r="K94" s="401"/>
      <c r="L94" s="401"/>
      <c r="M94" s="401"/>
      <c r="N94" s="401"/>
      <c r="O94" s="401"/>
      <c r="P94" s="401"/>
      <c r="Q94" s="401"/>
      <c r="R94" s="401"/>
      <c r="S94" s="401"/>
      <c r="T94" s="401"/>
      <c r="U94" s="401"/>
      <c r="V94" s="401"/>
      <c r="W94" s="401"/>
      <c r="X94" s="401"/>
    </row>
    <row r="95" customFormat="false" ht="14.4" hidden="false" customHeight="false" outlineLevel="0" collapsed="false">
      <c r="A95" s="778" t="s">
        <v>83</v>
      </c>
      <c r="B95" s="282" t="s">
        <v>137</v>
      </c>
      <c r="C95" s="478" t="n">
        <v>7.5</v>
      </c>
      <c r="D95" s="401" t="s">
        <v>1241</v>
      </c>
      <c r="E95" s="401"/>
      <c r="F95" s="401"/>
      <c r="G95" s="401"/>
      <c r="H95" s="401"/>
      <c r="I95" s="401"/>
      <c r="J95" s="401"/>
      <c r="K95" s="401"/>
      <c r="L95" s="401"/>
      <c r="M95" s="401"/>
      <c r="N95" s="401"/>
      <c r="O95" s="401"/>
      <c r="P95" s="401"/>
      <c r="Q95" s="401"/>
      <c r="R95" s="401"/>
      <c r="S95" s="401"/>
      <c r="T95" s="401"/>
      <c r="U95" s="401"/>
      <c r="V95" s="401"/>
      <c r="W95" s="401"/>
      <c r="X95" s="401"/>
    </row>
    <row r="96" customFormat="false" ht="14.4" hidden="false" customHeight="false" outlineLevel="0" collapsed="false">
      <c r="A96" s="778"/>
      <c r="B96" s="282" t="s">
        <v>1253</v>
      </c>
      <c r="C96" s="478" t="n">
        <v>7.5</v>
      </c>
      <c r="D96" s="401" t="s">
        <v>1241</v>
      </c>
      <c r="E96" s="401"/>
      <c r="F96" s="401"/>
      <c r="G96" s="401"/>
      <c r="H96" s="401"/>
      <c r="I96" s="401"/>
      <c r="J96" s="401"/>
      <c r="K96" s="401"/>
      <c r="L96" s="401"/>
      <c r="M96" s="401"/>
      <c r="N96" s="401"/>
      <c r="O96" s="401"/>
      <c r="P96" s="401"/>
      <c r="Q96" s="401"/>
      <c r="R96" s="401"/>
      <c r="S96" s="401"/>
      <c r="T96" s="401"/>
      <c r="U96" s="401"/>
      <c r="V96" s="401"/>
      <c r="W96" s="401"/>
      <c r="X96" s="401"/>
    </row>
    <row r="97" customFormat="false" ht="14.4" hidden="false" customHeight="false" outlineLevel="0" collapsed="false">
      <c r="A97" s="778"/>
      <c r="B97" s="282" t="s">
        <v>187</v>
      </c>
      <c r="C97" s="478" t="n">
        <v>7.5</v>
      </c>
      <c r="D97" s="401" t="s">
        <v>1241</v>
      </c>
      <c r="E97" s="401"/>
      <c r="F97" s="401"/>
      <c r="G97" s="401"/>
      <c r="H97" s="401"/>
      <c r="I97" s="401"/>
      <c r="J97" s="401"/>
      <c r="K97" s="401"/>
      <c r="L97" s="401"/>
      <c r="M97" s="401"/>
      <c r="N97" s="401"/>
      <c r="O97" s="401"/>
      <c r="P97" s="401"/>
      <c r="Q97" s="401"/>
      <c r="R97" s="401"/>
      <c r="S97" s="401"/>
      <c r="T97" s="401"/>
      <c r="U97" s="401"/>
      <c r="V97" s="401"/>
      <c r="W97" s="401"/>
      <c r="X97" s="401"/>
    </row>
    <row r="98" customFormat="false" ht="14.4" hidden="false" customHeight="false" outlineLevel="0" collapsed="false">
      <c r="A98" s="778"/>
      <c r="B98" s="282" t="s">
        <v>1247</v>
      </c>
      <c r="C98" s="478" t="n">
        <v>7.5</v>
      </c>
      <c r="D98" s="401" t="s">
        <v>1241</v>
      </c>
      <c r="E98" s="401"/>
      <c r="F98" s="401"/>
      <c r="G98" s="401"/>
      <c r="H98" s="401"/>
      <c r="I98" s="401"/>
      <c r="J98" s="401"/>
      <c r="K98" s="401"/>
      <c r="L98" s="401"/>
      <c r="M98" s="401"/>
      <c r="N98" s="401"/>
      <c r="O98" s="401"/>
      <c r="P98" s="401"/>
      <c r="Q98" s="401"/>
      <c r="R98" s="401"/>
      <c r="S98" s="401"/>
      <c r="T98" s="401"/>
      <c r="U98" s="401"/>
      <c r="V98" s="401"/>
      <c r="W98" s="401"/>
      <c r="X98" s="401"/>
    </row>
    <row r="99" customFormat="false" ht="14.4" hidden="false" customHeight="false" outlineLevel="0" collapsed="false">
      <c r="A99" s="778" t="s">
        <v>67</v>
      </c>
      <c r="B99" s="282" t="s">
        <v>336</v>
      </c>
      <c r="C99" s="478" t="n">
        <v>7.7</v>
      </c>
      <c r="D99" s="401" t="s">
        <v>1242</v>
      </c>
      <c r="E99" s="401"/>
      <c r="F99" s="401"/>
      <c r="G99" s="401"/>
      <c r="H99" s="401"/>
      <c r="I99" s="401"/>
      <c r="J99" s="401"/>
      <c r="K99" s="401"/>
      <c r="L99" s="401"/>
      <c r="M99" s="401"/>
      <c r="N99" s="401"/>
      <c r="O99" s="401"/>
      <c r="P99" s="401"/>
      <c r="Q99" s="401"/>
      <c r="R99" s="401"/>
      <c r="S99" s="401"/>
      <c r="T99" s="401"/>
      <c r="U99" s="401"/>
      <c r="V99" s="401"/>
      <c r="W99" s="401"/>
      <c r="X99" s="401"/>
    </row>
    <row r="100" customFormat="false" ht="14.4" hidden="false" customHeight="false" outlineLevel="0" collapsed="false">
      <c r="A100" s="778" t="s">
        <v>1254</v>
      </c>
      <c r="B100" s="282" t="s">
        <v>274</v>
      </c>
      <c r="C100" s="478" t="n">
        <v>1.6</v>
      </c>
      <c r="D100" s="401" t="s">
        <v>1242</v>
      </c>
      <c r="E100" s="401"/>
      <c r="F100" s="401"/>
      <c r="G100" s="401"/>
      <c r="H100" s="401"/>
      <c r="I100" s="401"/>
      <c r="J100" s="401"/>
      <c r="K100" s="401"/>
      <c r="L100" s="401"/>
      <c r="M100" s="401"/>
      <c r="N100" s="401"/>
      <c r="O100" s="401"/>
      <c r="P100" s="401"/>
      <c r="Q100" s="401"/>
      <c r="R100" s="401"/>
      <c r="S100" s="401"/>
      <c r="T100" s="401"/>
      <c r="U100" s="401"/>
      <c r="V100" s="401"/>
      <c r="W100" s="401"/>
      <c r="X100" s="401"/>
    </row>
    <row r="101" customFormat="false" ht="14.4" hidden="false" customHeight="false" outlineLevel="0" collapsed="false">
      <c r="A101" s="778"/>
      <c r="B101" s="282" t="s">
        <v>171</v>
      </c>
      <c r="C101" s="478" t="n">
        <v>1.4</v>
      </c>
      <c r="D101" s="401" t="s">
        <v>1242</v>
      </c>
      <c r="E101" s="401"/>
      <c r="F101" s="401"/>
      <c r="G101" s="401"/>
      <c r="H101" s="401"/>
      <c r="I101" s="401"/>
      <c r="J101" s="401"/>
      <c r="K101" s="401"/>
      <c r="L101" s="401"/>
      <c r="M101" s="401"/>
      <c r="N101" s="401"/>
      <c r="O101" s="401"/>
      <c r="P101" s="401"/>
      <c r="Q101" s="401"/>
      <c r="R101" s="401"/>
      <c r="S101" s="401"/>
      <c r="T101" s="401"/>
      <c r="U101" s="401"/>
      <c r="V101" s="401"/>
      <c r="W101" s="401"/>
      <c r="X101" s="401"/>
    </row>
    <row r="102" customFormat="false" ht="14.4" hidden="false" customHeight="false" outlineLevel="0" collapsed="false">
      <c r="A102" s="778" t="s">
        <v>55</v>
      </c>
      <c r="B102" s="282" t="s">
        <v>285</v>
      </c>
      <c r="C102" s="478" t="n">
        <v>10</v>
      </c>
      <c r="D102" s="401" t="s">
        <v>1242</v>
      </c>
      <c r="E102" s="401"/>
      <c r="F102" s="401"/>
      <c r="G102" s="401"/>
      <c r="H102" s="401"/>
      <c r="I102" s="401"/>
      <c r="J102" s="401"/>
      <c r="K102" s="401"/>
      <c r="L102" s="401"/>
      <c r="M102" s="401"/>
      <c r="N102" s="401"/>
      <c r="O102" s="401"/>
      <c r="P102" s="401"/>
      <c r="Q102" s="401"/>
      <c r="R102" s="401"/>
      <c r="S102" s="401"/>
      <c r="T102" s="401"/>
      <c r="U102" s="401"/>
      <c r="V102" s="401"/>
      <c r="W102" s="401"/>
      <c r="X102" s="401"/>
    </row>
    <row r="103" customFormat="false" ht="14.4" hidden="false" customHeight="false" outlineLevel="0" collapsed="false">
      <c r="A103" s="778"/>
      <c r="B103" s="282" t="s">
        <v>171</v>
      </c>
      <c r="C103" s="478" t="n">
        <v>8.3</v>
      </c>
      <c r="D103" s="401" t="s">
        <v>1242</v>
      </c>
      <c r="E103" s="401"/>
      <c r="F103" s="401"/>
      <c r="G103" s="401"/>
      <c r="H103" s="401"/>
      <c r="I103" s="401"/>
      <c r="J103" s="401"/>
      <c r="K103" s="401"/>
      <c r="L103" s="401"/>
      <c r="M103" s="401"/>
      <c r="N103" s="401"/>
      <c r="O103" s="401"/>
      <c r="P103" s="401"/>
      <c r="Q103" s="401"/>
      <c r="R103" s="401"/>
      <c r="S103" s="401"/>
      <c r="T103" s="401"/>
      <c r="U103" s="401"/>
      <c r="V103" s="401"/>
      <c r="W103" s="401"/>
      <c r="X103" s="401"/>
    </row>
    <row r="104" customFormat="false" ht="14.4" hidden="false" customHeight="false" outlineLevel="0" collapsed="false">
      <c r="A104" s="778" t="s">
        <v>1041</v>
      </c>
      <c r="B104" s="282" t="s">
        <v>345</v>
      </c>
      <c r="C104" s="478" t="n">
        <v>8.5</v>
      </c>
      <c r="D104" s="401" t="s">
        <v>1242</v>
      </c>
      <c r="E104" s="401"/>
      <c r="F104" s="401"/>
      <c r="G104" s="401"/>
      <c r="H104" s="401"/>
      <c r="I104" s="401"/>
      <c r="J104" s="401"/>
      <c r="K104" s="401"/>
      <c r="L104" s="401"/>
      <c r="M104" s="401"/>
      <c r="N104" s="401"/>
      <c r="O104" s="401"/>
      <c r="P104" s="401"/>
      <c r="Q104" s="401"/>
      <c r="R104" s="401"/>
      <c r="S104" s="401"/>
      <c r="T104" s="401"/>
      <c r="U104" s="401"/>
      <c r="V104" s="401"/>
      <c r="W104" s="401"/>
      <c r="X104" s="401"/>
    </row>
    <row r="105" customFormat="false" ht="14.4" hidden="false" customHeight="false" outlineLevel="0" collapsed="false">
      <c r="A105" s="778" t="s">
        <v>91</v>
      </c>
      <c r="B105" s="282" t="s">
        <v>353</v>
      </c>
      <c r="C105" s="478" t="n">
        <v>5.9</v>
      </c>
      <c r="D105" s="401" t="s">
        <v>1242</v>
      </c>
      <c r="E105" s="401"/>
      <c r="F105" s="401"/>
      <c r="G105" s="401"/>
      <c r="H105" s="401"/>
      <c r="I105" s="401"/>
      <c r="J105" s="401"/>
      <c r="K105" s="401"/>
      <c r="L105" s="401"/>
      <c r="M105" s="401"/>
      <c r="N105" s="401"/>
      <c r="O105" s="401"/>
      <c r="P105" s="401"/>
      <c r="Q105" s="401"/>
      <c r="R105" s="401"/>
      <c r="S105" s="401"/>
      <c r="T105" s="401"/>
      <c r="U105" s="401"/>
      <c r="V105" s="401"/>
      <c r="W105" s="401"/>
      <c r="X105" s="401"/>
    </row>
    <row r="106" customFormat="false" ht="14.4" hidden="false" customHeight="false" outlineLevel="0" collapsed="false">
      <c r="A106" s="778"/>
      <c r="B106" s="282" t="s">
        <v>171</v>
      </c>
      <c r="C106" s="478" t="n">
        <v>3.6</v>
      </c>
      <c r="D106" s="401" t="s">
        <v>1242</v>
      </c>
      <c r="E106" s="401"/>
      <c r="F106" s="401"/>
      <c r="G106" s="401"/>
      <c r="H106" s="401"/>
      <c r="I106" s="401"/>
      <c r="J106" s="401"/>
      <c r="K106" s="401"/>
      <c r="L106" s="401"/>
      <c r="M106" s="401"/>
      <c r="N106" s="401"/>
      <c r="O106" s="401"/>
      <c r="P106" s="401"/>
      <c r="Q106" s="401"/>
      <c r="R106" s="401"/>
      <c r="S106" s="401"/>
      <c r="T106" s="401"/>
      <c r="U106" s="401"/>
      <c r="V106" s="401"/>
      <c r="W106" s="401"/>
      <c r="X106" s="401"/>
    </row>
    <row r="107" customFormat="false" ht="14.4" hidden="false" customHeight="false" outlineLevel="0" collapsed="false">
      <c r="A107" s="778" t="s">
        <v>1091</v>
      </c>
      <c r="B107" s="282" t="s">
        <v>284</v>
      </c>
      <c r="C107" s="478" t="n">
        <v>1.2</v>
      </c>
      <c r="D107" s="401" t="s">
        <v>1242</v>
      </c>
      <c r="E107" s="401"/>
      <c r="F107" s="401"/>
      <c r="G107" s="401"/>
      <c r="H107" s="401"/>
      <c r="I107" s="401"/>
      <c r="J107" s="401"/>
      <c r="K107" s="401"/>
      <c r="L107" s="401"/>
      <c r="M107" s="401"/>
      <c r="N107" s="401"/>
      <c r="O107" s="401"/>
      <c r="P107" s="401"/>
      <c r="Q107" s="401"/>
      <c r="R107" s="401"/>
      <c r="S107" s="401"/>
      <c r="T107" s="401"/>
      <c r="U107" s="401"/>
      <c r="V107" s="401"/>
      <c r="W107" s="401"/>
      <c r="X107" s="401"/>
    </row>
    <row r="108" customFormat="false" ht="14.4" hidden="false" customHeight="false" outlineLevel="0" collapsed="false">
      <c r="A108" s="778"/>
      <c r="B108" s="282" t="s">
        <v>274</v>
      </c>
      <c r="C108" s="478" t="n">
        <v>9</v>
      </c>
      <c r="D108" s="401" t="s">
        <v>1242</v>
      </c>
      <c r="E108" s="401"/>
      <c r="F108" s="401"/>
      <c r="G108" s="401"/>
      <c r="H108" s="401"/>
      <c r="I108" s="401"/>
      <c r="J108" s="401"/>
      <c r="K108" s="401"/>
      <c r="L108" s="401"/>
      <c r="M108" s="401"/>
      <c r="N108" s="401"/>
      <c r="O108" s="401"/>
      <c r="P108" s="401"/>
      <c r="Q108" s="401"/>
      <c r="R108" s="401"/>
      <c r="S108" s="401"/>
      <c r="T108" s="401"/>
      <c r="U108" s="401"/>
      <c r="V108" s="401"/>
      <c r="W108" s="401"/>
      <c r="X108" s="401"/>
    </row>
    <row r="109" customFormat="false" ht="14.4" hidden="false" customHeight="false" outlineLevel="0" collapsed="false">
      <c r="A109" s="778"/>
      <c r="B109" s="282" t="s">
        <v>285</v>
      </c>
      <c r="C109" s="478" t="n">
        <v>1.2</v>
      </c>
      <c r="D109" s="401" t="s">
        <v>1242</v>
      </c>
      <c r="E109" s="401"/>
      <c r="F109" s="401"/>
      <c r="G109" s="401"/>
      <c r="H109" s="401"/>
      <c r="I109" s="401"/>
      <c r="J109" s="401"/>
      <c r="K109" s="401"/>
      <c r="L109" s="401"/>
      <c r="M109" s="401"/>
      <c r="N109" s="401"/>
      <c r="O109" s="401"/>
      <c r="P109" s="401"/>
      <c r="Q109" s="401"/>
      <c r="R109" s="401"/>
      <c r="S109" s="401"/>
      <c r="T109" s="401"/>
      <c r="U109" s="401"/>
      <c r="V109" s="401"/>
      <c r="W109" s="401"/>
      <c r="X109" s="401"/>
    </row>
    <row r="110" customFormat="false" ht="14.4" hidden="false" customHeight="false" outlineLevel="0" collapsed="false">
      <c r="A110" s="779"/>
      <c r="B110" s="469" t="s">
        <v>141</v>
      </c>
      <c r="C110" s="662" t="n">
        <v>1.1</v>
      </c>
      <c r="D110" s="401" t="s">
        <v>1242</v>
      </c>
      <c r="E110" s="401"/>
      <c r="F110" s="401"/>
      <c r="G110" s="401"/>
      <c r="H110" s="401"/>
      <c r="I110" s="401"/>
      <c r="J110" s="401"/>
      <c r="K110" s="401"/>
      <c r="L110" s="401"/>
      <c r="M110" s="401"/>
      <c r="N110" s="401"/>
      <c r="O110" s="401"/>
      <c r="P110" s="401"/>
      <c r="Q110" s="401"/>
      <c r="R110" s="401"/>
      <c r="S110" s="401"/>
      <c r="T110" s="401"/>
      <c r="U110" s="401"/>
      <c r="V110" s="401"/>
      <c r="W110" s="401"/>
      <c r="X110" s="401"/>
    </row>
    <row r="111" customFormat="false" ht="14.4" hidden="false" customHeight="false" outlineLevel="0" collapsed="false">
      <c r="A111" s="416" t="s">
        <v>1255</v>
      </c>
      <c r="B111" s="467"/>
      <c r="C111" s="401"/>
      <c r="D111" s="401"/>
      <c r="E111" s="401"/>
      <c r="F111" s="401"/>
      <c r="G111" s="401"/>
      <c r="H111" s="401"/>
      <c r="I111" s="401"/>
      <c r="J111" s="401"/>
      <c r="K111" s="401"/>
      <c r="L111" s="401"/>
      <c r="M111" s="401"/>
      <c r="N111" s="401"/>
      <c r="O111" s="401"/>
      <c r="P111" s="401"/>
      <c r="Q111" s="401"/>
      <c r="R111" s="401"/>
      <c r="S111" s="401"/>
      <c r="T111" s="401"/>
      <c r="U111" s="401"/>
      <c r="V111" s="401"/>
      <c r="W111" s="401"/>
      <c r="X111" s="401"/>
    </row>
    <row r="112" customFormat="false" ht="14.4" hidden="false" customHeight="false" outlineLevel="0" collapsed="false">
      <c r="A112" s="416"/>
      <c r="B112" s="467"/>
      <c r="C112" s="401"/>
      <c r="D112" s="401"/>
      <c r="E112" s="401"/>
      <c r="F112" s="401"/>
      <c r="G112" s="401"/>
      <c r="H112" s="401"/>
      <c r="I112" s="401"/>
      <c r="J112" s="401"/>
      <c r="K112" s="401"/>
      <c r="L112" s="401"/>
      <c r="M112" s="401"/>
      <c r="N112" s="401"/>
      <c r="O112" s="401"/>
      <c r="P112" s="401"/>
      <c r="Q112" s="401"/>
      <c r="R112" s="401"/>
      <c r="S112" s="401"/>
      <c r="T112" s="401"/>
      <c r="U112" s="401"/>
      <c r="V112" s="401"/>
      <c r="W112" s="401"/>
      <c r="X112" s="401"/>
    </row>
    <row r="113" customFormat="false" ht="14.4" hidden="false" customHeight="false" outlineLevel="0" collapsed="false">
      <c r="A113" s="728" t="s">
        <v>1256</v>
      </c>
      <c r="B113" s="467"/>
      <c r="C113" s="401"/>
      <c r="D113" s="401"/>
      <c r="E113" s="401"/>
      <c r="F113" s="401"/>
      <c r="G113" s="401"/>
      <c r="H113" s="401"/>
      <c r="I113" s="401"/>
      <c r="J113" s="401"/>
      <c r="K113" s="401"/>
      <c r="L113" s="401"/>
      <c r="M113" s="401"/>
      <c r="N113" s="401"/>
      <c r="O113" s="401"/>
      <c r="P113" s="401"/>
      <c r="Q113" s="401"/>
      <c r="R113" s="401"/>
      <c r="S113" s="401"/>
      <c r="T113" s="401"/>
      <c r="U113" s="401"/>
      <c r="V113" s="401"/>
      <c r="W113" s="401"/>
      <c r="X113" s="401"/>
    </row>
    <row r="114" customFormat="false" ht="14.4" hidden="false" customHeight="false" outlineLevel="0" collapsed="false">
      <c r="A114" s="416" t="s">
        <v>1257</v>
      </c>
      <c r="B114" s="401"/>
      <c r="C114" s="401"/>
      <c r="D114" s="401"/>
      <c r="E114" s="401"/>
      <c r="F114" s="401"/>
      <c r="G114" s="401"/>
      <c r="H114" s="401"/>
      <c r="I114" s="401"/>
      <c r="J114" s="401"/>
      <c r="K114" s="401"/>
      <c r="L114" s="401"/>
      <c r="M114" s="401"/>
      <c r="N114" s="401"/>
      <c r="O114" s="401"/>
      <c r="P114" s="401"/>
      <c r="Q114" s="401"/>
      <c r="R114" s="401"/>
      <c r="S114" s="401"/>
      <c r="T114" s="401"/>
      <c r="U114" s="401"/>
      <c r="V114" s="401"/>
      <c r="W114" s="401"/>
      <c r="X114" s="401"/>
    </row>
    <row r="115" customFormat="false" ht="14.4" hidden="false" customHeight="false" outlineLevel="0" collapsed="false">
      <c r="A115" s="780" t="s">
        <v>1258</v>
      </c>
      <c r="B115" s="401"/>
      <c r="C115" s="401"/>
      <c r="D115" s="401"/>
      <c r="E115" s="401"/>
      <c r="F115" s="401"/>
      <c r="G115" s="401"/>
      <c r="H115" s="401"/>
      <c r="I115" s="401"/>
      <c r="J115" s="401"/>
      <c r="K115" s="401"/>
      <c r="L115" s="401"/>
      <c r="M115" s="401"/>
      <c r="N115" s="401"/>
      <c r="O115" s="401"/>
      <c r="P115" s="401"/>
      <c r="Q115" s="401"/>
      <c r="R115" s="401"/>
      <c r="S115" s="401"/>
      <c r="T115" s="401"/>
      <c r="U115" s="401"/>
      <c r="V115" s="401"/>
      <c r="W115" s="401"/>
      <c r="X115" s="401"/>
    </row>
    <row r="116" customFormat="false" ht="14.4" hidden="false" customHeight="false" outlineLevel="0" collapsed="false">
      <c r="A116" s="416"/>
      <c r="B116" s="401"/>
      <c r="C116" s="401"/>
      <c r="D116" s="401"/>
      <c r="E116" s="401"/>
      <c r="F116" s="401"/>
      <c r="G116" s="401"/>
      <c r="H116" s="401"/>
      <c r="I116" s="401"/>
      <c r="J116" s="401"/>
      <c r="K116" s="401"/>
      <c r="L116" s="401"/>
      <c r="M116" s="401"/>
      <c r="N116" s="401"/>
      <c r="O116" s="401"/>
      <c r="P116" s="401"/>
      <c r="Q116" s="401"/>
      <c r="R116" s="401"/>
      <c r="S116" s="401"/>
      <c r="T116" s="401"/>
      <c r="U116" s="401"/>
      <c r="V116" s="401"/>
      <c r="W116" s="401"/>
      <c r="X116" s="401"/>
    </row>
    <row r="117" customFormat="false" ht="14.4" hidden="false" customHeight="false" outlineLevel="0" collapsed="false">
      <c r="A117" s="728" t="s">
        <v>1259</v>
      </c>
      <c r="B117" s="401"/>
      <c r="C117" s="401"/>
      <c r="D117" s="401"/>
      <c r="E117" s="401"/>
      <c r="F117" s="401"/>
      <c r="G117" s="401"/>
      <c r="H117" s="401"/>
      <c r="I117" s="401"/>
      <c r="J117" s="401"/>
      <c r="K117" s="401"/>
      <c r="L117" s="401"/>
      <c r="M117" s="401"/>
      <c r="N117" s="401"/>
      <c r="O117" s="401"/>
      <c r="P117" s="401"/>
      <c r="Q117" s="401"/>
      <c r="R117" s="401"/>
      <c r="S117" s="401"/>
      <c r="T117" s="401"/>
      <c r="U117" s="401"/>
      <c r="V117" s="401"/>
      <c r="W117" s="401"/>
      <c r="X117" s="401"/>
    </row>
    <row r="118" customFormat="false" ht="45" hidden="false" customHeight="false" outlineLevel="0" collapsed="false">
      <c r="A118" s="485"/>
      <c r="B118" s="781" t="s">
        <v>1260</v>
      </c>
      <c r="C118" s="420" t="s">
        <v>411</v>
      </c>
      <c r="D118" s="401"/>
      <c r="E118" s="401"/>
      <c r="F118" s="401"/>
      <c r="G118" s="401"/>
      <c r="H118" s="401"/>
      <c r="I118" s="401"/>
      <c r="J118" s="401"/>
      <c r="K118" s="401"/>
      <c r="L118" s="401"/>
      <c r="M118" s="401"/>
      <c r="N118" s="401"/>
      <c r="O118" s="401"/>
      <c r="P118" s="401"/>
      <c r="Q118" s="401"/>
      <c r="R118" s="401"/>
      <c r="S118" s="401"/>
      <c r="T118" s="401"/>
      <c r="U118" s="401"/>
      <c r="V118" s="401"/>
      <c r="W118" s="401"/>
      <c r="X118" s="401"/>
    </row>
    <row r="119" customFormat="false" ht="14.4" hidden="false" customHeight="false" outlineLevel="0" collapsed="false">
      <c r="A119" s="782" t="s">
        <v>1230</v>
      </c>
      <c r="B119" s="731" t="n">
        <v>0.01</v>
      </c>
      <c r="C119" s="401" t="s">
        <v>1261</v>
      </c>
      <c r="D119" s="401"/>
      <c r="E119" s="401"/>
      <c r="F119" s="401"/>
      <c r="G119" s="401"/>
      <c r="H119" s="401"/>
      <c r="I119" s="401"/>
      <c r="J119" s="401"/>
      <c r="K119" s="401"/>
      <c r="L119" s="401"/>
      <c r="M119" s="401"/>
      <c r="N119" s="401"/>
      <c r="O119" s="401"/>
      <c r="P119" s="401"/>
      <c r="Q119" s="401"/>
      <c r="R119" s="401"/>
      <c r="S119" s="401"/>
      <c r="T119" s="401"/>
      <c r="U119" s="401"/>
      <c r="V119" s="401"/>
      <c r="W119" s="401"/>
      <c r="X119" s="401"/>
    </row>
    <row r="120" customFormat="false" ht="15" hidden="false" customHeight="false" outlineLevel="0" collapsed="false">
      <c r="A120" s="783" t="s">
        <v>1262</v>
      </c>
      <c r="B120" s="401"/>
      <c r="C120" s="401"/>
      <c r="D120" s="401"/>
      <c r="E120" s="401"/>
      <c r="F120" s="401"/>
      <c r="G120" s="401"/>
      <c r="H120" s="401"/>
      <c r="I120" s="401"/>
      <c r="J120" s="401"/>
      <c r="K120" s="401"/>
      <c r="L120" s="401"/>
      <c r="M120" s="401"/>
      <c r="N120" s="401"/>
      <c r="O120" s="401"/>
      <c r="P120" s="401"/>
      <c r="Q120" s="401"/>
      <c r="R120" s="401"/>
      <c r="S120" s="401"/>
      <c r="T120" s="401"/>
      <c r="U120" s="401"/>
      <c r="V120" s="401"/>
      <c r="W120" s="401"/>
      <c r="X120" s="401"/>
    </row>
    <row r="121" customFormat="false" ht="15" hidden="false" customHeight="false" outlineLevel="0" collapsed="false">
      <c r="A121" s="783" t="s">
        <v>1263</v>
      </c>
      <c r="B121" s="401"/>
      <c r="C121" s="401"/>
      <c r="D121" s="401"/>
      <c r="E121" s="401"/>
      <c r="F121" s="401"/>
      <c r="G121" s="401"/>
      <c r="H121" s="401"/>
      <c r="I121" s="401"/>
      <c r="J121" s="401"/>
      <c r="K121" s="401"/>
      <c r="L121" s="401"/>
      <c r="M121" s="401"/>
      <c r="N121" s="401"/>
      <c r="O121" s="401"/>
      <c r="P121" s="401"/>
      <c r="Q121" s="401"/>
      <c r="R121" s="401"/>
      <c r="S121" s="401"/>
      <c r="T121" s="401"/>
      <c r="U121" s="401"/>
      <c r="V121" s="401"/>
      <c r="W121" s="401"/>
      <c r="X121" s="401"/>
    </row>
    <row r="122" customFormat="false" ht="15" hidden="false" customHeight="false" outlineLevel="0" collapsed="false">
      <c r="A122" s="783" t="s">
        <v>1264</v>
      </c>
      <c r="B122" s="401"/>
      <c r="C122" s="401"/>
      <c r="D122" s="401"/>
      <c r="E122" s="401"/>
      <c r="F122" s="401"/>
      <c r="G122" s="401"/>
      <c r="H122" s="401"/>
      <c r="I122" s="401"/>
      <c r="J122" s="401"/>
      <c r="K122" s="401"/>
      <c r="L122" s="401"/>
      <c r="M122" s="401"/>
      <c r="N122" s="401"/>
      <c r="O122" s="401"/>
      <c r="P122" s="401"/>
      <c r="Q122" s="401"/>
      <c r="R122" s="401"/>
      <c r="S122" s="401"/>
      <c r="T122" s="401"/>
      <c r="U122" s="401"/>
      <c r="V122" s="401"/>
      <c r="W122" s="401"/>
      <c r="X122" s="401"/>
    </row>
    <row r="123" customFormat="false" ht="15" hidden="false" customHeight="false" outlineLevel="0" collapsed="false">
      <c r="A123" s="783" t="s">
        <v>1265</v>
      </c>
      <c r="B123" s="401"/>
      <c r="C123" s="401"/>
      <c r="D123" s="401"/>
      <c r="E123" s="401"/>
      <c r="F123" s="401"/>
      <c r="G123" s="401"/>
      <c r="H123" s="401"/>
      <c r="I123" s="401"/>
      <c r="J123" s="401"/>
      <c r="K123" s="401"/>
      <c r="L123" s="401"/>
      <c r="M123" s="401"/>
      <c r="N123" s="401"/>
      <c r="O123" s="401"/>
      <c r="P123" s="401"/>
      <c r="Q123" s="401"/>
      <c r="R123" s="401"/>
      <c r="S123" s="401"/>
      <c r="T123" s="401"/>
      <c r="U123" s="401"/>
      <c r="V123" s="401"/>
      <c r="W123" s="401"/>
      <c r="X123" s="401"/>
    </row>
    <row r="124" customFormat="false" ht="14.4" hidden="false" customHeight="false" outlineLevel="0" collapsed="false">
      <c r="A124" s="784"/>
      <c r="B124" s="401"/>
      <c r="C124" s="401"/>
      <c r="D124" s="401"/>
      <c r="E124" s="401"/>
      <c r="F124" s="401"/>
      <c r="G124" s="401"/>
      <c r="H124" s="401"/>
      <c r="I124" s="401"/>
      <c r="J124" s="401"/>
      <c r="K124" s="401"/>
      <c r="L124" s="401"/>
      <c r="M124" s="401"/>
      <c r="N124" s="401"/>
      <c r="O124" s="401"/>
      <c r="P124" s="401"/>
      <c r="Q124" s="401"/>
      <c r="R124" s="401"/>
      <c r="S124" s="401"/>
      <c r="T124" s="401"/>
      <c r="U124" s="401"/>
      <c r="V124" s="401"/>
      <c r="W124" s="401"/>
      <c r="X124" s="4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7030A0"/>
    <pageSetUpPr fitToPage="false"/>
  </sheetPr>
  <dimension ref="A1:D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0234375" defaultRowHeight="13.8" zeroHeight="false" outlineLevelRow="0" outlineLevelCol="0"/>
  <cols>
    <col collapsed="false" customWidth="true" hidden="false" outlineLevel="0" max="1" min="1" style="700" width="25.44"/>
    <col collapsed="false" customWidth="true" hidden="false" outlineLevel="0" max="2" min="2" style="401" width="23.66"/>
    <col collapsed="false" customWidth="true" hidden="false" outlineLevel="0" max="3" min="3" style="401" width="28.89"/>
    <col collapsed="false" customWidth="true" hidden="false" outlineLevel="0" max="4" min="4" style="401" width="22.55"/>
    <col collapsed="false" customWidth="false" hidden="false" outlineLevel="0" max="1025" min="5" style="401" width="8.89"/>
  </cols>
  <sheetData>
    <row r="1" customFormat="false" ht="21" hidden="false" customHeight="false" outlineLevel="0" collapsed="false">
      <c r="A1" s="785" t="s">
        <v>22</v>
      </c>
    </row>
    <row r="3" customFormat="false" ht="13.8" hidden="false" customHeight="false" outlineLevel="0" collapsed="false">
      <c r="A3" s="440" t="s">
        <v>1266</v>
      </c>
    </row>
    <row r="4" customFormat="false" ht="13.8" hidden="false" customHeight="false" outlineLevel="0" collapsed="false">
      <c r="A4" s="416" t="s">
        <v>1267</v>
      </c>
    </row>
    <row r="6" customFormat="false" ht="13.8" hidden="false" customHeight="false" outlineLevel="0" collapsed="false">
      <c r="A6" s="416"/>
    </row>
    <row r="7" customFormat="false" ht="14.4" hidden="false" customHeight="false" outlineLevel="0" collapsed="false">
      <c r="A7" s="416" t="s">
        <v>1268</v>
      </c>
    </row>
    <row r="8" customFormat="false" ht="28.2" hidden="false" customHeight="false" outlineLevel="0" collapsed="false">
      <c r="A8" s="786"/>
      <c r="B8" s="787" t="s">
        <v>1269</v>
      </c>
      <c r="C8" s="787" t="s">
        <v>1270</v>
      </c>
      <c r="D8" s="787" t="s">
        <v>1271</v>
      </c>
    </row>
    <row r="9" customFormat="false" ht="28.2" hidden="false" customHeight="false" outlineLevel="0" collapsed="false">
      <c r="A9" s="788" t="s">
        <v>1272</v>
      </c>
      <c r="B9" s="789"/>
      <c r="C9" s="789"/>
      <c r="D9" s="789"/>
    </row>
    <row r="10" customFormat="false" ht="55.8" hidden="false" customHeight="false" outlineLevel="0" collapsed="false">
      <c r="A10" s="790" t="s">
        <v>437</v>
      </c>
      <c r="B10" s="791" t="s">
        <v>1273</v>
      </c>
      <c r="C10" s="791" t="s">
        <v>1274</v>
      </c>
      <c r="D10" s="791" t="s">
        <v>1275</v>
      </c>
    </row>
    <row r="11" customFormat="false" ht="14.4" hidden="false" customHeight="false" outlineLevel="0" collapsed="false">
      <c r="A11" s="790" t="s">
        <v>1276</v>
      </c>
      <c r="B11" s="791" t="s">
        <v>1277</v>
      </c>
      <c r="C11" s="791" t="s">
        <v>1278</v>
      </c>
      <c r="D11" s="791"/>
    </row>
    <row r="12" customFormat="false" ht="42" hidden="false" customHeight="false" outlineLevel="0" collapsed="false">
      <c r="A12" s="790" t="s">
        <v>1279</v>
      </c>
      <c r="B12" s="791" t="s">
        <v>1280</v>
      </c>
      <c r="C12" s="791" t="s">
        <v>1281</v>
      </c>
      <c r="D12" s="791" t="s">
        <v>1282</v>
      </c>
    </row>
    <row r="13" customFormat="false" ht="83.4" hidden="false" customHeight="false" outlineLevel="0" collapsed="false">
      <c r="A13" s="790" t="s">
        <v>1283</v>
      </c>
      <c r="B13" s="791" t="s">
        <v>1284</v>
      </c>
      <c r="C13" s="791" t="s">
        <v>1281</v>
      </c>
      <c r="D13" s="791" t="s">
        <v>1285</v>
      </c>
    </row>
    <row r="14" customFormat="false" ht="83.4" hidden="false" customHeight="false" outlineLevel="0" collapsed="false">
      <c r="A14" s="790" t="s">
        <v>1286</v>
      </c>
      <c r="B14" s="791" t="s">
        <v>1287</v>
      </c>
      <c r="C14" s="791" t="s">
        <v>1281</v>
      </c>
      <c r="D14" s="791" t="s">
        <v>1288</v>
      </c>
    </row>
    <row r="15" customFormat="false" ht="42" hidden="false" customHeight="false" outlineLevel="0" collapsed="false">
      <c r="A15" s="790" t="s">
        <v>1289</v>
      </c>
      <c r="B15" s="791" t="s">
        <v>1290</v>
      </c>
      <c r="C15" s="791" t="s">
        <v>1281</v>
      </c>
      <c r="D15" s="791"/>
    </row>
    <row r="16" customFormat="false" ht="28.2" hidden="false" customHeight="false" outlineLevel="0" collapsed="false">
      <c r="A16" s="790" t="s">
        <v>1291</v>
      </c>
      <c r="B16" s="791" t="s">
        <v>1292</v>
      </c>
      <c r="C16" s="791" t="s">
        <v>1274</v>
      </c>
      <c r="D16" s="791" t="s">
        <v>1293</v>
      </c>
    </row>
    <row r="17" customFormat="false" ht="28.2" hidden="false" customHeight="false" outlineLevel="0" collapsed="false">
      <c r="A17" s="790" t="s">
        <v>1294</v>
      </c>
      <c r="B17" s="791" t="s">
        <v>1295</v>
      </c>
      <c r="C17" s="791" t="s">
        <v>1281</v>
      </c>
      <c r="D17" s="791"/>
    </row>
    <row r="18" customFormat="false" ht="28.2" hidden="false" customHeight="false" outlineLevel="0" collapsed="false">
      <c r="A18" s="790" t="s">
        <v>1296</v>
      </c>
      <c r="B18" s="791" t="s">
        <v>1297</v>
      </c>
      <c r="C18" s="791" t="s">
        <v>1281</v>
      </c>
      <c r="D18" s="791"/>
    </row>
    <row r="19" customFormat="false" ht="55.8" hidden="false" customHeight="false" outlineLevel="0" collapsed="false">
      <c r="A19" s="790" t="s">
        <v>1298</v>
      </c>
      <c r="B19" s="791" t="s">
        <v>1299</v>
      </c>
      <c r="C19" s="791" t="s">
        <v>1281</v>
      </c>
      <c r="D19" s="791"/>
    </row>
    <row r="20" customFormat="false" ht="55.8" hidden="false" customHeight="false" outlineLevel="0" collapsed="false">
      <c r="A20" s="790" t="s">
        <v>1300</v>
      </c>
      <c r="B20" s="791" t="s">
        <v>1301</v>
      </c>
      <c r="C20" s="791" t="s">
        <v>1281</v>
      </c>
      <c r="D20" s="791" t="s">
        <v>1302</v>
      </c>
    </row>
    <row r="21" customFormat="false" ht="28.2" hidden="false" customHeight="false" outlineLevel="0" collapsed="false">
      <c r="A21" s="790" t="s">
        <v>1303</v>
      </c>
      <c r="B21" s="791" t="s">
        <v>1304</v>
      </c>
      <c r="C21" s="791" t="s">
        <v>1305</v>
      </c>
      <c r="D21" s="791" t="s">
        <v>1306</v>
      </c>
    </row>
    <row r="22" customFormat="false" ht="14.4" hidden="false" customHeight="false" outlineLevel="0" collapsed="false">
      <c r="A22" s="788" t="s">
        <v>1307</v>
      </c>
      <c r="B22" s="789"/>
      <c r="C22" s="789"/>
      <c r="D22" s="789"/>
    </row>
    <row r="23" customFormat="false" ht="32.4" hidden="false" customHeight="true" outlineLevel="0" collapsed="false">
      <c r="A23" s="792" t="s">
        <v>1308</v>
      </c>
      <c r="B23" s="792" t="s">
        <v>1309</v>
      </c>
      <c r="C23" s="792" t="s">
        <v>1274</v>
      </c>
      <c r="D23" s="792"/>
    </row>
    <row r="24" customFormat="false" ht="14.4" hidden="false" customHeight="false" outlineLevel="0" collapsed="false">
      <c r="A24" s="792"/>
      <c r="B24" s="792"/>
      <c r="C24" s="792"/>
      <c r="D24" s="792"/>
    </row>
    <row r="25" customFormat="false" ht="55.8" hidden="false" customHeight="false" outlineLevel="0" collapsed="false">
      <c r="A25" s="790" t="s">
        <v>1310</v>
      </c>
      <c r="B25" s="791" t="s">
        <v>1311</v>
      </c>
      <c r="C25" s="791" t="s">
        <v>1274</v>
      </c>
      <c r="D25" s="791" t="s">
        <v>1312</v>
      </c>
    </row>
    <row r="26" customFormat="false" ht="55.2" hidden="false" customHeight="true" outlineLevel="0" collapsed="false">
      <c r="A26" s="792" t="s">
        <v>1313</v>
      </c>
      <c r="B26" s="792" t="s">
        <v>1314</v>
      </c>
      <c r="C26" s="792" t="s">
        <v>1281</v>
      </c>
      <c r="D26" s="793" t="s">
        <v>1315</v>
      </c>
    </row>
    <row r="27" customFormat="false" ht="28.2" hidden="false" customHeight="false" outlineLevel="0" collapsed="false">
      <c r="A27" s="792"/>
      <c r="B27" s="792"/>
      <c r="C27" s="792"/>
      <c r="D27" s="791" t="s">
        <v>1316</v>
      </c>
    </row>
    <row r="28" customFormat="false" ht="55.8" hidden="false" customHeight="false" outlineLevel="0" collapsed="false">
      <c r="A28" s="790" t="s">
        <v>714</v>
      </c>
      <c r="B28" s="791" t="s">
        <v>1317</v>
      </c>
      <c r="C28" s="791" t="s">
        <v>1281</v>
      </c>
      <c r="D28" s="791" t="s">
        <v>1318</v>
      </c>
    </row>
    <row r="29" customFormat="false" ht="55.8" hidden="false" customHeight="false" outlineLevel="0" collapsed="false">
      <c r="A29" s="790" t="s">
        <v>1319</v>
      </c>
      <c r="B29" s="791" t="s">
        <v>1320</v>
      </c>
      <c r="C29" s="791" t="s">
        <v>1281</v>
      </c>
      <c r="D29" s="791" t="s">
        <v>1318</v>
      </c>
    </row>
    <row r="30" customFormat="false" ht="63.6" hidden="false" customHeight="true" outlineLevel="0" collapsed="false">
      <c r="A30" s="792" t="s">
        <v>1321</v>
      </c>
      <c r="B30" s="792" t="s">
        <v>1322</v>
      </c>
      <c r="C30" s="792" t="s">
        <v>1281</v>
      </c>
      <c r="D30" s="792" t="s">
        <v>1318</v>
      </c>
    </row>
    <row r="31" customFormat="false" ht="14.4" hidden="false" customHeight="false" outlineLevel="0" collapsed="false">
      <c r="A31" s="792"/>
      <c r="B31" s="792"/>
      <c r="C31" s="792"/>
      <c r="D31" s="792"/>
    </row>
    <row r="32" customFormat="false" ht="79.2" hidden="false" customHeight="true" outlineLevel="0" collapsed="false">
      <c r="A32" s="792" t="s">
        <v>1323</v>
      </c>
      <c r="B32" s="792" t="s">
        <v>1324</v>
      </c>
      <c r="C32" s="792" t="s">
        <v>1274</v>
      </c>
      <c r="D32" s="792" t="s">
        <v>1325</v>
      </c>
    </row>
    <row r="33" customFormat="false" ht="14.4" hidden="false" customHeight="false" outlineLevel="0" collapsed="false">
      <c r="A33" s="792"/>
      <c r="B33" s="792"/>
      <c r="C33" s="792"/>
      <c r="D33" s="792"/>
    </row>
    <row r="34" customFormat="false" ht="13.8" hidden="false" customHeight="true" outlineLevel="0" collapsed="false">
      <c r="A34" s="792" t="s">
        <v>721</v>
      </c>
      <c r="B34" s="792" t="s">
        <v>1326</v>
      </c>
      <c r="C34" s="792" t="s">
        <v>1327</v>
      </c>
      <c r="D34" s="792"/>
    </row>
    <row r="35" customFormat="false" ht="14.4" hidden="false" customHeight="false" outlineLevel="0" collapsed="false">
      <c r="A35" s="792"/>
      <c r="B35" s="792"/>
      <c r="C35" s="792"/>
      <c r="D35" s="792"/>
    </row>
    <row r="36" customFormat="false" ht="16.8" hidden="false" customHeight="true" outlineLevel="0" collapsed="false">
      <c r="A36" s="792" t="s">
        <v>729</v>
      </c>
      <c r="B36" s="792" t="s">
        <v>1326</v>
      </c>
      <c r="C36" s="792" t="s">
        <v>1327</v>
      </c>
      <c r="D36" s="792"/>
    </row>
    <row r="37" customFormat="false" ht="14.4" hidden="false" customHeight="false" outlineLevel="0" collapsed="false">
      <c r="A37" s="792"/>
      <c r="B37" s="792"/>
      <c r="C37" s="792"/>
      <c r="D37" s="792"/>
    </row>
    <row r="38" customFormat="false" ht="13.8" hidden="false" customHeight="true" outlineLevel="0" collapsed="false">
      <c r="A38" s="792" t="s">
        <v>1328</v>
      </c>
      <c r="B38" s="792" t="s">
        <v>1326</v>
      </c>
      <c r="C38" s="792" t="s">
        <v>1327</v>
      </c>
      <c r="D38" s="792"/>
    </row>
    <row r="39" customFormat="false" ht="14.4" hidden="false" customHeight="false" outlineLevel="0" collapsed="false">
      <c r="A39" s="792"/>
      <c r="B39" s="792"/>
      <c r="C39" s="792"/>
      <c r="D39" s="792"/>
    </row>
    <row r="40" customFormat="false" ht="16.8" hidden="false" customHeight="true" outlineLevel="0" collapsed="false">
      <c r="A40" s="792" t="s">
        <v>1329</v>
      </c>
      <c r="B40" s="792" t="s">
        <v>1326</v>
      </c>
      <c r="C40" s="792" t="s">
        <v>1327</v>
      </c>
      <c r="D40" s="792"/>
    </row>
    <row r="41" customFormat="false" ht="14.4" hidden="false" customHeight="false" outlineLevel="0" collapsed="false">
      <c r="A41" s="792"/>
      <c r="B41" s="792"/>
      <c r="C41" s="792"/>
      <c r="D41" s="792"/>
    </row>
    <row r="42" customFormat="false" ht="16.8" hidden="false" customHeight="true" outlineLevel="0" collapsed="false">
      <c r="A42" s="792" t="s">
        <v>1330</v>
      </c>
      <c r="B42" s="792" t="s">
        <v>1326</v>
      </c>
      <c r="C42" s="792" t="s">
        <v>1327</v>
      </c>
      <c r="D42" s="792"/>
    </row>
    <row r="43" customFormat="false" ht="14.4" hidden="false" customHeight="false" outlineLevel="0" collapsed="false">
      <c r="A43" s="792"/>
      <c r="B43" s="792"/>
      <c r="C43" s="792"/>
      <c r="D43" s="792"/>
    </row>
    <row r="44" customFormat="false" ht="42" hidden="false" customHeight="false" outlineLevel="0" collapsed="false">
      <c r="A44" s="788" t="s">
        <v>1331</v>
      </c>
      <c r="B44" s="789"/>
      <c r="C44" s="789"/>
      <c r="D44" s="789"/>
    </row>
    <row r="45" customFormat="false" ht="48" hidden="false" customHeight="true" outlineLevel="0" collapsed="false">
      <c r="A45" s="792" t="s">
        <v>1332</v>
      </c>
      <c r="B45" s="792" t="s">
        <v>1333</v>
      </c>
      <c r="C45" s="792" t="s">
        <v>1281</v>
      </c>
      <c r="D45" s="792" t="s">
        <v>1334</v>
      </c>
    </row>
    <row r="46" customFormat="false" ht="14.4" hidden="false" customHeight="false" outlineLevel="0" collapsed="false">
      <c r="A46" s="792"/>
      <c r="B46" s="792"/>
      <c r="C46" s="792"/>
      <c r="D46" s="792"/>
    </row>
    <row r="47" customFormat="false" ht="55.8" hidden="false" customHeight="false" outlineLevel="0" collapsed="false">
      <c r="A47" s="790" t="s">
        <v>1335</v>
      </c>
      <c r="B47" s="791" t="s">
        <v>1336</v>
      </c>
      <c r="C47" s="791" t="s">
        <v>1281</v>
      </c>
      <c r="D47" s="791" t="s">
        <v>1337</v>
      </c>
    </row>
    <row r="48" customFormat="false" ht="14.4" hidden="false" customHeight="false" outlineLevel="0" collapsed="false">
      <c r="A48" s="788" t="s">
        <v>1338</v>
      </c>
      <c r="B48" s="789"/>
      <c r="C48" s="789"/>
      <c r="D48" s="789"/>
    </row>
    <row r="49" customFormat="false" ht="55.8" hidden="false" customHeight="false" outlineLevel="0" collapsed="false">
      <c r="A49" s="790" t="s">
        <v>1339</v>
      </c>
      <c r="B49" s="791" t="s">
        <v>1340</v>
      </c>
      <c r="C49" s="791" t="s">
        <v>1281</v>
      </c>
      <c r="D49" s="791" t="s">
        <v>1341</v>
      </c>
    </row>
    <row r="50" customFormat="false" ht="42" hidden="false" customHeight="false" outlineLevel="0" collapsed="false">
      <c r="A50" s="790" t="s">
        <v>1342</v>
      </c>
      <c r="B50" s="791" t="s">
        <v>1340</v>
      </c>
      <c r="C50" s="791" t="s">
        <v>1281</v>
      </c>
      <c r="D50" s="791" t="s">
        <v>1343</v>
      </c>
    </row>
    <row r="51" customFormat="false" ht="42" hidden="false" customHeight="false" outlineLevel="0" collapsed="false">
      <c r="A51" s="790" t="s">
        <v>1344</v>
      </c>
      <c r="B51" s="791" t="s">
        <v>1345</v>
      </c>
      <c r="C51" s="791" t="s">
        <v>1281</v>
      </c>
      <c r="D51" s="791" t="s">
        <v>1343</v>
      </c>
    </row>
    <row r="52" customFormat="false" ht="55.8" hidden="false" customHeight="false" outlineLevel="0" collapsed="false">
      <c r="A52" s="790" t="s">
        <v>1346</v>
      </c>
      <c r="B52" s="791" t="s">
        <v>1347</v>
      </c>
      <c r="C52" s="791" t="s">
        <v>1281</v>
      </c>
      <c r="D52" s="791" t="s">
        <v>1341</v>
      </c>
    </row>
    <row r="53" customFormat="false" ht="42" hidden="false" customHeight="false" outlineLevel="0" collapsed="false">
      <c r="A53" s="790" t="s">
        <v>1348</v>
      </c>
      <c r="B53" s="791" t="s">
        <v>1349</v>
      </c>
      <c r="C53" s="791" t="s">
        <v>1281</v>
      </c>
      <c r="D53" s="791" t="s">
        <v>1343</v>
      </c>
    </row>
    <row r="54" customFormat="false" ht="42" hidden="false" customHeight="false" outlineLevel="0" collapsed="false">
      <c r="A54" s="790" t="s">
        <v>1350</v>
      </c>
      <c r="B54" s="791" t="s">
        <v>1351</v>
      </c>
      <c r="C54" s="791" t="s">
        <v>1281</v>
      </c>
      <c r="D54" s="791" t="s">
        <v>1343</v>
      </c>
    </row>
    <row r="55" customFormat="false" ht="42" hidden="false" customHeight="false" outlineLevel="0" collapsed="false">
      <c r="A55" s="790" t="s">
        <v>1352</v>
      </c>
      <c r="B55" s="791" t="s">
        <v>1349</v>
      </c>
      <c r="C55" s="791" t="s">
        <v>1281</v>
      </c>
      <c r="D55" s="791" t="s">
        <v>1343</v>
      </c>
    </row>
    <row r="56" customFormat="false" ht="14.4" hidden="false" customHeight="false" outlineLevel="0" collapsed="false">
      <c r="A56" s="788" t="s">
        <v>1353</v>
      </c>
      <c r="B56" s="789"/>
      <c r="C56" s="789"/>
      <c r="D56" s="789"/>
    </row>
    <row r="57" customFormat="false" ht="69.6" hidden="false" customHeight="false" outlineLevel="0" collapsed="false">
      <c r="A57" s="790" t="s">
        <v>1310</v>
      </c>
      <c r="B57" s="791" t="s">
        <v>1309</v>
      </c>
      <c r="C57" s="791" t="s">
        <v>1274</v>
      </c>
      <c r="D57" s="791" t="s">
        <v>1325</v>
      </c>
    </row>
    <row r="58" customFormat="false" ht="28.2" hidden="false" customHeight="false" outlineLevel="0" collapsed="false">
      <c r="A58" s="790" t="s">
        <v>972</v>
      </c>
      <c r="B58" s="791" t="s">
        <v>1354</v>
      </c>
      <c r="C58" s="791" t="s">
        <v>1274</v>
      </c>
      <c r="D58" s="791"/>
    </row>
    <row r="59" customFormat="false" ht="69.6" hidden="false" customHeight="false" outlineLevel="0" collapsed="false">
      <c r="A59" s="790" t="s">
        <v>1355</v>
      </c>
      <c r="B59" s="791" t="s">
        <v>1356</v>
      </c>
      <c r="C59" s="791" t="s">
        <v>1274</v>
      </c>
      <c r="D59" s="791" t="s">
        <v>1357</v>
      </c>
    </row>
    <row r="60" customFormat="false" ht="79.2" hidden="false" customHeight="true" outlineLevel="0" collapsed="false">
      <c r="A60" s="792" t="s">
        <v>974</v>
      </c>
      <c r="B60" s="792" t="s">
        <v>1358</v>
      </c>
      <c r="C60" s="792" t="s">
        <v>1274</v>
      </c>
      <c r="D60" s="792" t="s">
        <v>1359</v>
      </c>
    </row>
    <row r="61" customFormat="false" ht="14.4" hidden="false" customHeight="false" outlineLevel="0" collapsed="false">
      <c r="A61" s="792"/>
      <c r="B61" s="792"/>
      <c r="C61" s="792"/>
      <c r="D61" s="792"/>
    </row>
    <row r="62" customFormat="false" ht="63.6" hidden="false" customHeight="true" outlineLevel="0" collapsed="false">
      <c r="A62" s="792" t="s">
        <v>1360</v>
      </c>
      <c r="B62" s="792" t="s">
        <v>1361</v>
      </c>
      <c r="C62" s="792" t="s">
        <v>1281</v>
      </c>
      <c r="D62" s="792" t="s">
        <v>1362</v>
      </c>
    </row>
    <row r="63" customFormat="false" ht="14.4" hidden="false" customHeight="false" outlineLevel="0" collapsed="false">
      <c r="A63" s="792"/>
      <c r="B63" s="792"/>
      <c r="C63" s="792"/>
      <c r="D63" s="792"/>
    </row>
    <row r="64" customFormat="false" ht="16.8" hidden="false" customHeight="true" outlineLevel="0" collapsed="false">
      <c r="A64" s="792" t="s">
        <v>1363</v>
      </c>
      <c r="B64" s="792" t="s">
        <v>1364</v>
      </c>
      <c r="C64" s="792" t="s">
        <v>1278</v>
      </c>
      <c r="D64" s="792"/>
    </row>
    <row r="65" customFormat="false" ht="14.4" hidden="false" customHeight="false" outlineLevel="0" collapsed="false">
      <c r="A65" s="792"/>
      <c r="B65" s="792"/>
      <c r="C65" s="792"/>
      <c r="D65" s="792"/>
    </row>
    <row r="66" customFormat="false" ht="48" hidden="false" customHeight="true" outlineLevel="0" collapsed="false">
      <c r="A66" s="792" t="s">
        <v>1365</v>
      </c>
      <c r="B66" s="792" t="s">
        <v>1366</v>
      </c>
      <c r="C66" s="792" t="s">
        <v>1274</v>
      </c>
      <c r="D66" s="792" t="s">
        <v>1362</v>
      </c>
    </row>
    <row r="67" customFormat="false" ht="14.4" hidden="false" customHeight="false" outlineLevel="0" collapsed="false">
      <c r="A67" s="792"/>
      <c r="B67" s="792"/>
      <c r="C67" s="792"/>
      <c r="D67" s="792"/>
    </row>
    <row r="68" customFormat="false" ht="48" hidden="false" customHeight="true" outlineLevel="0" collapsed="false">
      <c r="A68" s="792" t="s">
        <v>1367</v>
      </c>
      <c r="B68" s="792" t="s">
        <v>1368</v>
      </c>
      <c r="C68" s="792" t="s">
        <v>1281</v>
      </c>
      <c r="D68" s="792" t="s">
        <v>1362</v>
      </c>
    </row>
    <row r="69" customFormat="false" ht="14.4" hidden="false" customHeight="false" outlineLevel="0" collapsed="false">
      <c r="A69" s="792"/>
      <c r="B69" s="792"/>
      <c r="C69" s="792"/>
      <c r="D69" s="792"/>
    </row>
    <row r="70" customFormat="false" ht="55.8" hidden="false" customHeight="false" outlineLevel="0" collapsed="false">
      <c r="A70" s="790" t="s">
        <v>1369</v>
      </c>
      <c r="B70" s="791" t="s">
        <v>1370</v>
      </c>
      <c r="C70" s="791" t="s">
        <v>1281</v>
      </c>
      <c r="D70" s="791" t="s">
        <v>1362</v>
      </c>
    </row>
    <row r="71" customFormat="false" ht="48" hidden="false" customHeight="true" outlineLevel="0" collapsed="false">
      <c r="A71" s="792" t="s">
        <v>1371</v>
      </c>
      <c r="B71" s="792" t="s">
        <v>1372</v>
      </c>
      <c r="C71" s="792" t="s">
        <v>1281</v>
      </c>
      <c r="D71" s="792" t="s">
        <v>1373</v>
      </c>
    </row>
    <row r="72" customFormat="false" ht="14.4" hidden="false" customHeight="false" outlineLevel="0" collapsed="false">
      <c r="A72" s="792"/>
      <c r="B72" s="792"/>
      <c r="C72" s="792"/>
      <c r="D72" s="792"/>
    </row>
    <row r="73" customFormat="false" ht="13.8" hidden="false" customHeight="false" outlineLevel="0" collapsed="false">
      <c r="A73" s="416"/>
    </row>
    <row r="74" customFormat="false" ht="13.8" hidden="false" customHeight="false" outlineLevel="0" collapsed="false">
      <c r="A74" s="416"/>
    </row>
    <row r="75" customFormat="false" ht="13.8" hidden="false" customHeight="false" outlineLevel="0" collapsed="false">
      <c r="A75" s="416"/>
    </row>
    <row r="76" customFormat="false" ht="13.8" hidden="false" customHeight="false" outlineLevel="0" collapsed="false">
      <c r="A76" s="416"/>
    </row>
  </sheetData>
  <mergeCells count="63">
    <mergeCell ref="A23:A24"/>
    <mergeCell ref="B23:B24"/>
    <mergeCell ref="C23:C24"/>
    <mergeCell ref="D23:D24"/>
    <mergeCell ref="A26:A27"/>
    <mergeCell ref="B26:B27"/>
    <mergeCell ref="C26:C27"/>
    <mergeCell ref="A30:A31"/>
    <mergeCell ref="B30:B31"/>
    <mergeCell ref="C30:C31"/>
    <mergeCell ref="D30:D31"/>
    <mergeCell ref="A32:A33"/>
    <mergeCell ref="B32:B33"/>
    <mergeCell ref="C32:C33"/>
    <mergeCell ref="D32:D33"/>
    <mergeCell ref="A34:A35"/>
    <mergeCell ref="B34:B35"/>
    <mergeCell ref="C34:C35"/>
    <mergeCell ref="D34:D35"/>
    <mergeCell ref="A36:A37"/>
    <mergeCell ref="B36:B37"/>
    <mergeCell ref="C36:C37"/>
    <mergeCell ref="D36:D37"/>
    <mergeCell ref="A38:A39"/>
    <mergeCell ref="B38:B39"/>
    <mergeCell ref="C38:C39"/>
    <mergeCell ref="D38:D39"/>
    <mergeCell ref="A40:A41"/>
    <mergeCell ref="B40:B41"/>
    <mergeCell ref="C40:C41"/>
    <mergeCell ref="D40:D41"/>
    <mergeCell ref="A42:A43"/>
    <mergeCell ref="B42:B43"/>
    <mergeCell ref="C42:C43"/>
    <mergeCell ref="D42:D43"/>
    <mergeCell ref="A45:A46"/>
    <mergeCell ref="B45:B46"/>
    <mergeCell ref="C45:C46"/>
    <mergeCell ref="D45:D46"/>
    <mergeCell ref="A60:A61"/>
    <mergeCell ref="B60:B61"/>
    <mergeCell ref="C60:C61"/>
    <mergeCell ref="D60:D61"/>
    <mergeCell ref="A62:A63"/>
    <mergeCell ref="B62:B63"/>
    <mergeCell ref="C62:C63"/>
    <mergeCell ref="D62:D63"/>
    <mergeCell ref="A64:A65"/>
    <mergeCell ref="B64:B65"/>
    <mergeCell ref="C64:C65"/>
    <mergeCell ref="D64:D65"/>
    <mergeCell ref="A66:A67"/>
    <mergeCell ref="B66:B67"/>
    <mergeCell ref="C66:C67"/>
    <mergeCell ref="D66:D67"/>
    <mergeCell ref="A68:A69"/>
    <mergeCell ref="B68:B69"/>
    <mergeCell ref="C68:C69"/>
    <mergeCell ref="D68:D69"/>
    <mergeCell ref="A71:A72"/>
    <mergeCell ref="B71:B72"/>
    <mergeCell ref="C71:C72"/>
    <mergeCell ref="D71:D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548235"/>
    <pageSetUpPr fitToPage="false"/>
  </sheetPr>
  <dimension ref="A1:B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0234375" defaultRowHeight="13.8" zeroHeight="false" outlineLevelRow="0" outlineLevelCol="0"/>
  <cols>
    <col collapsed="false" customWidth="true" hidden="false" outlineLevel="0" max="1" min="1" style="794" width="5.1"/>
    <col collapsed="false" customWidth="false" hidden="false" outlineLevel="0" max="1025" min="2" style="794" width="8.89"/>
  </cols>
  <sheetData>
    <row r="1" customFormat="false" ht="23.4" hidden="false" customHeight="false" outlineLevel="0" collapsed="false">
      <c r="A1" s="795" t="s">
        <v>10</v>
      </c>
    </row>
    <row r="2" customFormat="false" ht="13.8" hidden="false" customHeight="false" outlineLevel="0" collapsed="false">
      <c r="A2" s="796"/>
    </row>
    <row r="3" customFormat="false" ht="13.8" hidden="false" customHeight="false" outlineLevel="0" collapsed="false">
      <c r="A3" s="797" t="s">
        <v>1374</v>
      </c>
    </row>
    <row r="4" customFormat="false" ht="13.8" hidden="false" customHeight="false" outlineLevel="0" collapsed="false">
      <c r="A4" s="797" t="s">
        <v>1375</v>
      </c>
    </row>
    <row r="5" customFormat="false" ht="13.8" hidden="false" customHeight="false" outlineLevel="0" collapsed="false">
      <c r="A5" s="797" t="s">
        <v>1376</v>
      </c>
    </row>
    <row r="6" customFormat="false" ht="13.8" hidden="false" customHeight="false" outlineLevel="0" collapsed="false">
      <c r="A6" s="797" t="s">
        <v>1377</v>
      </c>
    </row>
    <row r="7" customFormat="false" ht="13.8" hidden="false" customHeight="false" outlineLevel="0" collapsed="false">
      <c r="A7" s="797" t="s">
        <v>1378</v>
      </c>
    </row>
    <row r="8" customFormat="false" ht="13.8" hidden="false" customHeight="false" outlineLevel="0" collapsed="false">
      <c r="A8" s="797" t="s">
        <v>1379</v>
      </c>
    </row>
    <row r="9" customFormat="false" ht="13.8" hidden="false" customHeight="false" outlineLevel="0" collapsed="false">
      <c r="A9" s="798" t="s">
        <v>1380</v>
      </c>
    </row>
    <row r="10" customFormat="false" ht="13.8" hidden="false" customHeight="false" outlineLevel="0" collapsed="false">
      <c r="A10" s="797" t="s">
        <v>1381</v>
      </c>
    </row>
    <row r="11" customFormat="false" ht="13.8" hidden="false" customHeight="false" outlineLevel="0" collapsed="false">
      <c r="A11" s="798" t="s">
        <v>1382</v>
      </c>
    </row>
    <row r="12" customFormat="false" ht="13.8" hidden="false" customHeight="false" outlineLevel="0" collapsed="false">
      <c r="A12" s="798" t="s">
        <v>1383</v>
      </c>
    </row>
    <row r="13" customFormat="false" ht="13.8" hidden="false" customHeight="false" outlineLevel="0" collapsed="false">
      <c r="A13" s="797" t="s">
        <v>1384</v>
      </c>
    </row>
    <row r="14" customFormat="false" ht="13.8" hidden="false" customHeight="false" outlineLevel="0" collapsed="false">
      <c r="A14" s="798" t="s">
        <v>1385</v>
      </c>
    </row>
    <row r="15" customFormat="false" ht="13.8" hidden="false" customHeight="false" outlineLevel="0" collapsed="false">
      <c r="A15" s="416" t="s">
        <v>1386</v>
      </c>
    </row>
    <row r="16" customFormat="false" ht="13.8" hidden="false" customHeight="false" outlineLevel="0" collapsed="false">
      <c r="A16" s="797" t="s">
        <v>1387</v>
      </c>
    </row>
    <row r="17" customFormat="false" ht="13.8" hidden="false" customHeight="false" outlineLevel="0" collapsed="false">
      <c r="A17" s="797" t="s">
        <v>1388</v>
      </c>
    </row>
    <row r="18" customFormat="false" ht="13.8" hidden="false" customHeight="false" outlineLevel="0" collapsed="false">
      <c r="A18" s="797" t="s">
        <v>1389</v>
      </c>
    </row>
    <row r="19" customFormat="false" ht="13.8" hidden="false" customHeight="false" outlineLevel="0" collapsed="false">
      <c r="A19" s="797" t="s">
        <v>1390</v>
      </c>
    </row>
    <row r="20" customFormat="false" ht="13.8" hidden="false" customHeight="false" outlineLevel="0" collapsed="false">
      <c r="A20" s="797" t="s">
        <v>1391</v>
      </c>
    </row>
    <row r="21" customFormat="false" ht="13.8" hidden="false" customHeight="false" outlineLevel="0" collapsed="false">
      <c r="A21" s="798" t="s">
        <v>1392</v>
      </c>
    </row>
    <row r="22" customFormat="false" ht="13.8" hidden="false" customHeight="false" outlineLevel="0" collapsed="false">
      <c r="A22" s="797" t="s">
        <v>1393</v>
      </c>
    </row>
    <row r="23" customFormat="false" ht="13.8" hidden="false" customHeight="false" outlineLevel="0" collapsed="false">
      <c r="A23" s="416" t="s">
        <v>1394</v>
      </c>
    </row>
    <row r="24" customFormat="false" ht="13.8" hidden="false" customHeight="false" outlineLevel="0" collapsed="false">
      <c r="A24" s="416" t="s">
        <v>1395</v>
      </c>
    </row>
    <row r="25" customFormat="false" ht="13.8" hidden="false" customHeight="false" outlineLevel="0" collapsed="false">
      <c r="A25" s="799" t="s">
        <v>1396</v>
      </c>
    </row>
    <row r="26" customFormat="false" ht="13.8" hidden="false" customHeight="false" outlineLevel="0" collapsed="false">
      <c r="A26" s="800" t="s">
        <v>1397</v>
      </c>
    </row>
    <row r="27" customFormat="false" ht="13.8" hidden="false" customHeight="false" outlineLevel="0" collapsed="false">
      <c r="A27" s="797" t="s">
        <v>1398</v>
      </c>
    </row>
    <row r="28" customFormat="false" ht="13.8" hidden="false" customHeight="false" outlineLevel="0" collapsed="false">
      <c r="A28" s="797" t="s">
        <v>1399</v>
      </c>
    </row>
    <row r="29" customFormat="false" ht="13.8" hidden="false" customHeight="false" outlineLevel="0" collapsed="false">
      <c r="A29" s="797" t="s">
        <v>1400</v>
      </c>
    </row>
    <row r="30" customFormat="false" ht="15.6" hidden="false" customHeight="false" outlineLevel="0" collapsed="false">
      <c r="A30" s="801" t="s">
        <v>1401</v>
      </c>
    </row>
    <row r="31" customFormat="false" ht="13.8" hidden="false" customHeight="false" outlineLevel="0" collapsed="false">
      <c r="A31" s="797" t="s">
        <v>1402</v>
      </c>
    </row>
    <row r="32" customFormat="false" ht="13.8" hidden="false" customHeight="false" outlineLevel="0" collapsed="false">
      <c r="A32" s="797" t="s">
        <v>1403</v>
      </c>
    </row>
    <row r="33" customFormat="false" ht="13.8" hidden="false" customHeight="false" outlineLevel="0" collapsed="false">
      <c r="A33" s="798" t="s">
        <v>1404</v>
      </c>
    </row>
    <row r="34" customFormat="false" ht="13.8" hidden="false" customHeight="false" outlineLevel="0" collapsed="false">
      <c r="A34" s="797" t="s">
        <v>1405</v>
      </c>
    </row>
    <row r="35" customFormat="false" ht="13.8" hidden="false" customHeight="false" outlineLevel="0" collapsed="false">
      <c r="A35" s="797" t="s">
        <v>1406</v>
      </c>
    </row>
    <row r="36" customFormat="false" ht="13.8" hidden="false" customHeight="false" outlineLevel="0" collapsed="false">
      <c r="A36" s="798" t="s">
        <v>1407</v>
      </c>
    </row>
    <row r="37" customFormat="false" ht="13.8" hidden="false" customHeight="false" outlineLevel="0" collapsed="false">
      <c r="A37" s="797" t="s">
        <v>1408</v>
      </c>
    </row>
    <row r="38" customFormat="false" ht="13.8" hidden="false" customHeight="false" outlineLevel="0" collapsed="false">
      <c r="A38" s="416" t="s">
        <v>1409</v>
      </c>
    </row>
    <row r="39" customFormat="false" ht="13.8" hidden="false" customHeight="false" outlineLevel="0" collapsed="false">
      <c r="A39" s="416" t="s">
        <v>1410</v>
      </c>
    </row>
    <row r="40" customFormat="false" ht="13.8" hidden="false" customHeight="false" outlineLevel="0" collapsed="false">
      <c r="A40" s="797" t="s">
        <v>1411</v>
      </c>
    </row>
    <row r="41" customFormat="false" ht="13.8" hidden="false" customHeight="false" outlineLevel="0" collapsed="false">
      <c r="A41" s="797" t="s">
        <v>1412</v>
      </c>
    </row>
    <row r="42" customFormat="false" ht="13.8" hidden="false" customHeight="false" outlineLevel="0" collapsed="false">
      <c r="A42" s="797" t="s">
        <v>1413</v>
      </c>
    </row>
    <row r="43" customFormat="false" ht="13.8" hidden="false" customHeight="false" outlineLevel="0" collapsed="false">
      <c r="A43" s="797" t="s">
        <v>1414</v>
      </c>
    </row>
    <row r="44" customFormat="false" ht="13.8" hidden="false" customHeight="false" outlineLevel="0" collapsed="false">
      <c r="A44" s="797" t="s">
        <v>1415</v>
      </c>
    </row>
    <row r="45" customFormat="false" ht="13.8" hidden="false" customHeight="false" outlineLevel="0" collapsed="false">
      <c r="A45" s="797" t="s">
        <v>1416</v>
      </c>
    </row>
    <row r="46" customFormat="false" ht="13.8" hidden="false" customHeight="false" outlineLevel="0" collapsed="false">
      <c r="A46" s="797" t="s">
        <v>1417</v>
      </c>
    </row>
    <row r="47" customFormat="false" ht="13.8" hidden="false" customHeight="false" outlineLevel="0" collapsed="false">
      <c r="A47" s="797" t="s">
        <v>1418</v>
      </c>
    </row>
    <row r="48" customFormat="false" ht="13.8" hidden="false" customHeight="false" outlineLevel="0" collapsed="false">
      <c r="A48" s="797" t="s">
        <v>1419</v>
      </c>
    </row>
    <row r="49" customFormat="false" ht="14.4" hidden="false" customHeight="false" outlineLevel="0" collapsed="false">
      <c r="A49" s="802" t="s">
        <v>1420</v>
      </c>
    </row>
    <row r="50" customFormat="false" ht="13.8" hidden="false" customHeight="false" outlineLevel="0" collapsed="false">
      <c r="A50" s="797" t="s">
        <v>1421</v>
      </c>
    </row>
    <row r="51" customFormat="false" ht="13.8" hidden="false" customHeight="false" outlineLevel="0" collapsed="false">
      <c r="A51" s="797" t="s">
        <v>1422</v>
      </c>
    </row>
    <row r="52" customFormat="false" ht="13.8" hidden="false" customHeight="false" outlineLevel="0" collapsed="false">
      <c r="A52" s="797" t="s">
        <v>1423</v>
      </c>
    </row>
    <row r="53" customFormat="false" ht="13.8" hidden="false" customHeight="false" outlineLevel="0" collapsed="false">
      <c r="A53" s="797" t="s">
        <v>1424</v>
      </c>
    </row>
    <row r="54" customFormat="false" ht="13.8" hidden="false" customHeight="false" outlineLevel="0" collapsed="false">
      <c r="A54" s="797" t="s">
        <v>1425</v>
      </c>
    </row>
    <row r="55" customFormat="false" ht="13.8" hidden="false" customHeight="false" outlineLevel="0" collapsed="false">
      <c r="A55" s="797" t="s">
        <v>1426</v>
      </c>
    </row>
    <row r="56" customFormat="false" ht="13.8" hidden="false" customHeight="false" outlineLevel="0" collapsed="false">
      <c r="A56" s="797" t="s">
        <v>1427</v>
      </c>
    </row>
    <row r="57" customFormat="false" ht="13.8" hidden="false" customHeight="false" outlineLevel="0" collapsed="false">
      <c r="A57" s="797" t="s">
        <v>1428</v>
      </c>
    </row>
    <row r="58" customFormat="false" ht="13.8" hidden="false" customHeight="false" outlineLevel="0" collapsed="false">
      <c r="A58" s="797" t="s">
        <v>1429</v>
      </c>
    </row>
    <row r="59" customFormat="false" ht="13.8" hidden="false" customHeight="false" outlineLevel="0" collapsed="false">
      <c r="A59" s="803" t="s">
        <v>1430</v>
      </c>
    </row>
    <row r="60" customFormat="false" ht="13.8" hidden="false" customHeight="false" outlineLevel="0" collapsed="false">
      <c r="A60" s="797" t="s">
        <v>1431</v>
      </c>
    </row>
    <row r="61" customFormat="false" ht="13.8" hidden="false" customHeight="false" outlineLevel="0" collapsed="false">
      <c r="A61" s="797" t="s">
        <v>1432</v>
      </c>
    </row>
    <row r="62" customFormat="false" ht="13.8" hidden="false" customHeight="false" outlineLevel="0" collapsed="false">
      <c r="A62" s="797" t="s">
        <v>1433</v>
      </c>
    </row>
    <row r="63" customFormat="false" ht="13.8" hidden="false" customHeight="false" outlineLevel="0" collapsed="false">
      <c r="A63" s="797" t="s">
        <v>1434</v>
      </c>
    </row>
    <row r="64" customFormat="false" ht="13.8" hidden="false" customHeight="false" outlineLevel="0" collapsed="false">
      <c r="A64" s="797" t="s">
        <v>1435</v>
      </c>
    </row>
    <row r="65" customFormat="false" ht="13.8" hidden="false" customHeight="false" outlineLevel="0" collapsed="false">
      <c r="A65" s="797" t="s">
        <v>1436</v>
      </c>
    </row>
    <row r="66" customFormat="false" ht="13.8" hidden="false" customHeight="false" outlineLevel="0" collapsed="false">
      <c r="A66" s="797" t="s">
        <v>1437</v>
      </c>
    </row>
    <row r="67" customFormat="false" ht="13.8" hidden="false" customHeight="false" outlineLevel="0" collapsed="false">
      <c r="A67" s="797" t="s">
        <v>1438</v>
      </c>
    </row>
    <row r="68" customFormat="false" ht="13.8" hidden="false" customHeight="false" outlineLevel="0" collapsed="false">
      <c r="A68" s="798" t="s">
        <v>1439</v>
      </c>
    </row>
    <row r="69" customFormat="false" ht="13.8" hidden="false" customHeight="false" outlineLevel="0" collapsed="false">
      <c r="A69" s="798" t="s">
        <v>1440</v>
      </c>
    </row>
    <row r="70" customFormat="false" ht="15.6" hidden="false" customHeight="false" outlineLevel="0" collapsed="false">
      <c r="A70" s="801" t="s">
        <v>1441</v>
      </c>
    </row>
    <row r="71" customFormat="false" ht="13.8" hidden="false" customHeight="false" outlineLevel="0" collapsed="false">
      <c r="A71" s="440" t="s">
        <v>1442</v>
      </c>
    </row>
    <row r="72" customFormat="false" ht="13.8" hidden="false" customHeight="false" outlineLevel="0" collapsed="false">
      <c r="A72" s="416" t="s">
        <v>1443</v>
      </c>
    </row>
    <row r="73" customFormat="false" ht="13.8" hidden="false" customHeight="false" outlineLevel="0" collapsed="false">
      <c r="A73" s="797" t="s">
        <v>1444</v>
      </c>
    </row>
    <row r="74" customFormat="false" ht="13.8" hidden="false" customHeight="false" outlineLevel="0" collapsed="false">
      <c r="A74" s="797" t="s">
        <v>1445</v>
      </c>
    </row>
    <row r="75" customFormat="false" ht="13.8" hidden="false" customHeight="false" outlineLevel="0" collapsed="false">
      <c r="A75" s="799" t="s">
        <v>1446</v>
      </c>
    </row>
    <row r="76" customFormat="false" ht="13.8" hidden="false" customHeight="false" outlineLevel="0" collapsed="false">
      <c r="A76" s="799" t="s">
        <v>1447</v>
      </c>
    </row>
    <row r="77" customFormat="false" ht="13.8" hidden="false" customHeight="false" outlineLevel="0" collapsed="false">
      <c r="A77" s="804" t="s">
        <v>1448</v>
      </c>
    </row>
    <row r="78" customFormat="false" ht="13.8" hidden="false" customHeight="false" outlineLevel="0" collapsed="false">
      <c r="A78" s="797" t="s">
        <v>1449</v>
      </c>
    </row>
    <row r="79" customFormat="false" ht="13.8" hidden="false" customHeight="false" outlineLevel="0" collapsed="false">
      <c r="A79" s="798" t="s">
        <v>1450</v>
      </c>
    </row>
    <row r="80" customFormat="false" ht="13.8" hidden="false" customHeight="false" outlineLevel="0" collapsed="false">
      <c r="A80" s="798" t="s">
        <v>1451</v>
      </c>
    </row>
    <row r="81" customFormat="false" ht="13.8" hidden="false" customHeight="false" outlineLevel="0" collapsed="false">
      <c r="A81" s="797" t="s">
        <v>1452</v>
      </c>
    </row>
    <row r="82" customFormat="false" ht="13.8" hidden="false" customHeight="false" outlineLevel="0" collapsed="false">
      <c r="A82" s="797" t="s">
        <v>1453</v>
      </c>
    </row>
    <row r="83" customFormat="false" ht="13.8" hidden="false" customHeight="false" outlineLevel="0" collapsed="false">
      <c r="A83" s="797" t="s">
        <v>1454</v>
      </c>
    </row>
    <row r="84" customFormat="false" ht="13.8" hidden="false" customHeight="false" outlineLevel="0" collapsed="false">
      <c r="A84" s="797" t="s">
        <v>1455</v>
      </c>
    </row>
    <row r="85" customFormat="false" ht="13.8" hidden="false" customHeight="false" outlineLevel="0" collapsed="false">
      <c r="A85" s="797" t="s">
        <v>1456</v>
      </c>
    </row>
    <row r="86" customFormat="false" ht="13.8" hidden="false" customHeight="false" outlineLevel="0" collapsed="false">
      <c r="A86" s="797" t="s">
        <v>1457</v>
      </c>
    </row>
    <row r="87" customFormat="false" ht="13.8" hidden="false" customHeight="false" outlineLevel="0" collapsed="false">
      <c r="A87" s="797" t="s">
        <v>1458</v>
      </c>
    </row>
    <row r="88" customFormat="false" ht="13.8" hidden="false" customHeight="false" outlineLevel="0" collapsed="false">
      <c r="A88" s="797" t="s">
        <v>1459</v>
      </c>
    </row>
    <row r="89" customFormat="false" ht="13.8" hidden="false" customHeight="false" outlineLevel="0" collapsed="false">
      <c r="A89" s="797" t="s">
        <v>1460</v>
      </c>
    </row>
    <row r="90" customFormat="false" ht="13.8" hidden="false" customHeight="false" outlineLevel="0" collapsed="false">
      <c r="A90" s="797" t="s">
        <v>1461</v>
      </c>
    </row>
    <row r="91" customFormat="false" ht="13.8" hidden="false" customHeight="false" outlineLevel="0" collapsed="false">
      <c r="A91" s="798" t="s">
        <v>1462</v>
      </c>
    </row>
    <row r="92" customFormat="false" ht="13.8" hidden="false" customHeight="false" outlineLevel="0" collapsed="false">
      <c r="A92" s="797" t="s">
        <v>1463</v>
      </c>
    </row>
    <row r="93" customFormat="false" ht="13.8" hidden="false" customHeight="false" outlineLevel="0" collapsed="false">
      <c r="A93" s="797" t="s">
        <v>1464</v>
      </c>
    </row>
    <row r="94" customFormat="false" ht="13.8" hidden="false" customHeight="false" outlineLevel="0" collapsed="false">
      <c r="A94" s="797" t="s">
        <v>1465</v>
      </c>
    </row>
    <row r="95" customFormat="false" ht="13.8" hidden="false" customHeight="false" outlineLevel="0" collapsed="false">
      <c r="A95" s="797" t="s">
        <v>1466</v>
      </c>
    </row>
    <row r="96" customFormat="false" ht="13.8" hidden="false" customHeight="false" outlineLevel="0" collapsed="false">
      <c r="A96" s="797" t="s">
        <v>1467</v>
      </c>
    </row>
    <row r="97" customFormat="false" ht="13.8" hidden="false" customHeight="false" outlineLevel="0" collapsed="false">
      <c r="A97" s="798" t="s">
        <v>1468</v>
      </c>
    </row>
    <row r="98" customFormat="false" ht="13.8" hidden="false" customHeight="false" outlineLevel="0" collapsed="false">
      <c r="A98" s="798" t="s">
        <v>1469</v>
      </c>
    </row>
    <row r="99" customFormat="false" ht="13.8" hidden="false" customHeight="false" outlineLevel="0" collapsed="false">
      <c r="A99" s="797" t="s">
        <v>1470</v>
      </c>
    </row>
    <row r="100" customFormat="false" ht="13.8" hidden="false" customHeight="false" outlineLevel="0" collapsed="false">
      <c r="A100" s="798" t="s">
        <v>1471</v>
      </c>
    </row>
    <row r="101" customFormat="false" ht="13.8" hidden="false" customHeight="false" outlineLevel="0" collapsed="false">
      <c r="A101" s="797" t="s">
        <v>1472</v>
      </c>
    </row>
    <row r="102" customFormat="false" ht="13.8" hidden="false" customHeight="false" outlineLevel="0" collapsed="false">
      <c r="A102" s="797" t="s">
        <v>1473</v>
      </c>
    </row>
    <row r="103" customFormat="false" ht="13.8" hidden="false" customHeight="false" outlineLevel="0" collapsed="false">
      <c r="A103" s="805" t="s">
        <v>1474</v>
      </c>
    </row>
    <row r="104" customFormat="false" ht="13.8" hidden="false" customHeight="false" outlineLevel="0" collapsed="false">
      <c r="A104" s="797" t="s">
        <v>1475</v>
      </c>
    </row>
    <row r="105" customFormat="false" ht="13.8" hidden="false" customHeight="false" outlineLevel="0" collapsed="false">
      <c r="A105" s="799" t="s">
        <v>1476</v>
      </c>
    </row>
    <row r="106" customFormat="false" ht="13.8" hidden="false" customHeight="false" outlineLevel="0" collapsed="false">
      <c r="A106" s="797" t="s">
        <v>1477</v>
      </c>
    </row>
    <row r="107" customFormat="false" ht="13.8" hidden="false" customHeight="false" outlineLevel="0" collapsed="false">
      <c r="A107" s="797" t="s">
        <v>1478</v>
      </c>
    </row>
    <row r="108" customFormat="false" ht="13.8" hidden="false" customHeight="false" outlineLevel="0" collapsed="false">
      <c r="A108" s="797" t="s">
        <v>1479</v>
      </c>
    </row>
    <row r="109" customFormat="false" ht="13.8" hidden="false" customHeight="false" outlineLevel="0" collapsed="false">
      <c r="A109" s="797" t="s">
        <v>1480</v>
      </c>
    </row>
    <row r="110" customFormat="false" ht="13.8" hidden="false" customHeight="false" outlineLevel="0" collapsed="false">
      <c r="A110" s="798" t="s">
        <v>1481</v>
      </c>
    </row>
    <row r="111" customFormat="false" ht="13.8" hidden="false" customHeight="false" outlineLevel="0" collapsed="false">
      <c r="A111" s="797" t="s">
        <v>1482</v>
      </c>
    </row>
    <row r="112" customFormat="false" ht="13.8" hidden="false" customHeight="false" outlineLevel="0" collapsed="false">
      <c r="A112" s="806" t="s">
        <v>1483</v>
      </c>
    </row>
    <row r="113" customFormat="false" ht="13.8" hidden="false" customHeight="false" outlineLevel="0" collapsed="false">
      <c r="A113" s="798" t="s">
        <v>1484</v>
      </c>
    </row>
    <row r="114" customFormat="false" ht="13.8" hidden="false" customHeight="false" outlineLevel="0" collapsed="false">
      <c r="A114" s="797" t="s">
        <v>1485</v>
      </c>
    </row>
    <row r="115" customFormat="false" ht="13.8" hidden="false" customHeight="false" outlineLevel="0" collapsed="false">
      <c r="A115" s="797" t="s">
        <v>1486</v>
      </c>
    </row>
    <row r="116" customFormat="false" ht="13.8" hidden="false" customHeight="false" outlineLevel="0" collapsed="false">
      <c r="A116" s="797" t="s">
        <v>1487</v>
      </c>
    </row>
    <row r="117" customFormat="false" ht="13.8" hidden="false" customHeight="false" outlineLevel="0" collapsed="false">
      <c r="A117" s="797" t="s">
        <v>1488</v>
      </c>
    </row>
    <row r="118" customFormat="false" ht="13.8" hidden="false" customHeight="false" outlineLevel="0" collapsed="false">
      <c r="A118" s="798" t="s">
        <v>1489</v>
      </c>
    </row>
    <row r="119" customFormat="false" ht="15.6" hidden="false" customHeight="false" outlineLevel="0" collapsed="false">
      <c r="A119" s="801" t="s">
        <v>1490</v>
      </c>
    </row>
    <row r="120" customFormat="false" ht="13.8" hidden="false" customHeight="false" outlineLevel="0" collapsed="false">
      <c r="A120" s="797" t="s">
        <v>1491</v>
      </c>
    </row>
    <row r="121" customFormat="false" ht="13.8" hidden="false" customHeight="false" outlineLevel="0" collapsed="false">
      <c r="A121" s="797" t="s">
        <v>1492</v>
      </c>
    </row>
    <row r="122" customFormat="false" ht="13.8" hidden="false" customHeight="false" outlineLevel="0" collapsed="false">
      <c r="A122" s="797" t="s">
        <v>1493</v>
      </c>
    </row>
    <row r="123" customFormat="false" ht="13.8" hidden="false" customHeight="false" outlineLevel="0" collapsed="false">
      <c r="A123" s="798" t="s">
        <v>1494</v>
      </c>
    </row>
    <row r="124" customFormat="false" ht="13.8" hidden="false" customHeight="false" outlineLevel="0" collapsed="false">
      <c r="A124" s="798" t="s">
        <v>1495</v>
      </c>
    </row>
    <row r="125" customFormat="false" ht="13.8" hidden="false" customHeight="false" outlineLevel="0" collapsed="false">
      <c r="A125" s="798" t="s">
        <v>1496</v>
      </c>
    </row>
    <row r="126" customFormat="false" ht="13.8" hidden="false" customHeight="false" outlineLevel="0" collapsed="false">
      <c r="A126" s="797" t="s">
        <v>1497</v>
      </c>
    </row>
    <row r="127" customFormat="false" ht="13.8" hidden="false" customHeight="false" outlineLevel="0" collapsed="false">
      <c r="A127" s="798" t="s">
        <v>1498</v>
      </c>
    </row>
    <row r="128" customFormat="false" ht="13.8" hidden="false" customHeight="false" outlineLevel="0" collapsed="false">
      <c r="A128" s="803" t="s">
        <v>1499</v>
      </c>
    </row>
    <row r="129" customFormat="false" ht="13.8" hidden="false" customHeight="false" outlineLevel="0" collapsed="false">
      <c r="A129" s="803" t="s">
        <v>1500</v>
      </c>
    </row>
    <row r="130" customFormat="false" ht="13.8" hidden="false" customHeight="false" outlineLevel="0" collapsed="false">
      <c r="A130" s="797" t="s">
        <v>1501</v>
      </c>
    </row>
    <row r="131" customFormat="false" ht="13.8" hidden="false" customHeight="false" outlineLevel="0" collapsed="false">
      <c r="A131" s="797" t="s">
        <v>1502</v>
      </c>
    </row>
    <row r="132" customFormat="false" ht="13.8" hidden="false" customHeight="false" outlineLevel="0" collapsed="false">
      <c r="A132" s="797" t="s">
        <v>1503</v>
      </c>
    </row>
    <row r="133" customFormat="false" ht="13.8" hidden="false" customHeight="false" outlineLevel="0" collapsed="false">
      <c r="A133" s="797" t="s">
        <v>1504</v>
      </c>
    </row>
    <row r="134" customFormat="false" ht="13.8" hidden="false" customHeight="false" outlineLevel="0" collapsed="false">
      <c r="A134" s="797" t="s">
        <v>1505</v>
      </c>
    </row>
    <row r="135" customFormat="false" ht="13.8" hidden="false" customHeight="false" outlineLevel="0" collapsed="false">
      <c r="A135" s="797" t="s">
        <v>1506</v>
      </c>
    </row>
    <row r="136" customFormat="false" ht="13.8" hidden="false" customHeight="false" outlineLevel="0" collapsed="false">
      <c r="A136" s="798" t="s">
        <v>1507</v>
      </c>
    </row>
    <row r="137" customFormat="false" ht="13.8" hidden="false" customHeight="false" outlineLevel="0" collapsed="false">
      <c r="A137" s="798" t="s">
        <v>1508</v>
      </c>
    </row>
    <row r="138" customFormat="false" ht="13.8" hidden="false" customHeight="false" outlineLevel="0" collapsed="false">
      <c r="A138" s="798" t="s">
        <v>1509</v>
      </c>
    </row>
    <row r="139" customFormat="false" ht="13.8" hidden="false" customHeight="false" outlineLevel="0" collapsed="false">
      <c r="A139" s="798" t="s">
        <v>1510</v>
      </c>
    </row>
    <row r="140" customFormat="false" ht="13.8" hidden="false" customHeight="false" outlineLevel="0" collapsed="false">
      <c r="A140" s="798" t="s">
        <v>1511</v>
      </c>
    </row>
    <row r="141" customFormat="false" ht="13.8" hidden="false" customHeight="false" outlineLevel="0" collapsed="false">
      <c r="A141" s="797" t="s">
        <v>1512</v>
      </c>
    </row>
    <row r="142" customFormat="false" ht="13.8" hidden="false" customHeight="false" outlineLevel="0" collapsed="false">
      <c r="A142" s="807" t="s">
        <v>1513</v>
      </c>
    </row>
    <row r="143" customFormat="false" ht="13.8" hidden="false" customHeight="false" outlineLevel="0" collapsed="false">
      <c r="A143" s="797" t="s">
        <v>1514</v>
      </c>
    </row>
    <row r="144" customFormat="false" ht="13.8" hidden="false" customHeight="false" outlineLevel="0" collapsed="false">
      <c r="A144" s="804" t="s">
        <v>1515</v>
      </c>
    </row>
    <row r="145" customFormat="false" ht="13.8" hidden="false" customHeight="false" outlineLevel="0" collapsed="false">
      <c r="A145" s="797" t="s">
        <v>1516</v>
      </c>
    </row>
    <row r="146" customFormat="false" ht="13.8" hidden="false" customHeight="false" outlineLevel="0" collapsed="false">
      <c r="A146" s="798" t="s">
        <v>1517</v>
      </c>
    </row>
    <row r="147" customFormat="false" ht="13.8" hidden="false" customHeight="false" outlineLevel="0" collapsed="false">
      <c r="A147" s="797" t="s">
        <v>1518</v>
      </c>
    </row>
    <row r="148" customFormat="false" ht="13.8" hidden="false" customHeight="false" outlineLevel="0" collapsed="false">
      <c r="A148" s="416" t="s">
        <v>1519</v>
      </c>
    </row>
    <row r="149" customFormat="false" ht="13.8" hidden="false" customHeight="false" outlineLevel="0" collapsed="false">
      <c r="A149" s="798" t="s">
        <v>1520</v>
      </c>
    </row>
    <row r="150" customFormat="false" ht="13.8" hidden="false" customHeight="false" outlineLevel="0" collapsed="false">
      <c r="A150" s="797" t="s">
        <v>1521</v>
      </c>
    </row>
    <row r="151" customFormat="false" ht="15.6" hidden="false" customHeight="false" outlineLevel="0" collapsed="false">
      <c r="A151" s="801" t="s">
        <v>1522</v>
      </c>
    </row>
    <row r="152" customFormat="false" ht="13.8" hidden="false" customHeight="false" outlineLevel="0" collapsed="false">
      <c r="A152" s="797" t="s">
        <v>1523</v>
      </c>
    </row>
    <row r="153" customFormat="false" ht="13.8" hidden="false" customHeight="false" outlineLevel="0" collapsed="false">
      <c r="A153" s="797" t="s">
        <v>1524</v>
      </c>
    </row>
    <row r="154" customFormat="false" ht="13.8" hidden="false" customHeight="false" outlineLevel="0" collapsed="false">
      <c r="A154" s="797" t="s">
        <v>1525</v>
      </c>
    </row>
    <row r="155" customFormat="false" ht="13.8" hidden="false" customHeight="false" outlineLevel="0" collapsed="false">
      <c r="A155" s="797" t="s">
        <v>1526</v>
      </c>
    </row>
    <row r="156" customFormat="false" ht="13.8" hidden="false" customHeight="false" outlineLevel="0" collapsed="false">
      <c r="A156" s="797" t="s">
        <v>1527</v>
      </c>
    </row>
    <row r="157" customFormat="false" ht="13.8" hidden="false" customHeight="false" outlineLevel="0" collapsed="false">
      <c r="A157" s="798" t="s">
        <v>1528</v>
      </c>
    </row>
    <row r="158" customFormat="false" ht="13.8" hidden="false" customHeight="false" outlineLevel="0" collapsed="false">
      <c r="A158" s="797" t="s">
        <v>1529</v>
      </c>
    </row>
    <row r="159" customFormat="false" ht="13.8" hidden="false" customHeight="false" outlineLevel="0" collapsed="false">
      <c r="A159" s="416" t="s">
        <v>1530</v>
      </c>
    </row>
    <row r="160" customFormat="false" ht="13.8" hidden="false" customHeight="false" outlineLevel="0" collapsed="false">
      <c r="A160" s="797" t="s">
        <v>1531</v>
      </c>
    </row>
    <row r="161" customFormat="false" ht="13.8" hidden="false" customHeight="false" outlineLevel="0" collapsed="false">
      <c r="A161" s="797" t="s">
        <v>1532</v>
      </c>
    </row>
    <row r="162" customFormat="false" ht="13.8" hidden="false" customHeight="false" outlineLevel="0" collapsed="false">
      <c r="A162" s="797" t="s">
        <v>1533</v>
      </c>
    </row>
    <row r="163" customFormat="false" ht="13.8" hidden="false" customHeight="false" outlineLevel="0" collapsed="false">
      <c r="A163" s="797" t="s">
        <v>1534</v>
      </c>
    </row>
    <row r="164" customFormat="false" ht="13.8" hidden="false" customHeight="false" outlineLevel="0" collapsed="false">
      <c r="A164" s="797" t="s">
        <v>1535</v>
      </c>
    </row>
    <row r="165" customFormat="false" ht="13.8" hidden="false" customHeight="false" outlineLevel="0" collapsed="false">
      <c r="A165" s="797" t="s">
        <v>1536</v>
      </c>
    </row>
    <row r="166" customFormat="false" ht="13.8" hidden="false" customHeight="false" outlineLevel="0" collapsed="false">
      <c r="A166" s="797" t="s">
        <v>1537</v>
      </c>
    </row>
    <row r="167" customFormat="false" ht="13.8" hidden="false" customHeight="false" outlineLevel="0" collapsed="false">
      <c r="A167" s="797" t="s">
        <v>1538</v>
      </c>
    </row>
    <row r="168" customFormat="false" ht="13.8" hidden="false" customHeight="false" outlineLevel="0" collapsed="false">
      <c r="A168" s="797"/>
      <c r="B168" s="794" t="s">
        <v>1539</v>
      </c>
    </row>
    <row r="169" customFormat="false" ht="13.8" hidden="false" customHeight="false" outlineLevel="0" collapsed="false">
      <c r="A169" s="797" t="s">
        <v>1540</v>
      </c>
    </row>
    <row r="170" customFormat="false" ht="13.8" hidden="false" customHeight="false" outlineLevel="0" collapsed="false">
      <c r="A170" s="799" t="s">
        <v>1541</v>
      </c>
    </row>
    <row r="171" customFormat="false" ht="13.8" hidden="false" customHeight="false" outlineLevel="0" collapsed="false">
      <c r="A171" s="797" t="s">
        <v>1542</v>
      </c>
    </row>
    <row r="172" customFormat="false" ht="13.8" hidden="false" customHeight="false" outlineLevel="0" collapsed="false">
      <c r="A172" s="797" t="s">
        <v>1543</v>
      </c>
    </row>
    <row r="173" customFormat="false" ht="13.8" hidden="false" customHeight="false" outlineLevel="0" collapsed="false">
      <c r="A173" s="797"/>
    </row>
    <row r="174" customFormat="false" ht="18" hidden="false" customHeight="false" outlineLevel="0" collapsed="false">
      <c r="A174" s="808" t="s">
        <v>1544</v>
      </c>
    </row>
    <row r="175" customFormat="false" ht="13.8" hidden="false" customHeight="false" outlineLevel="0" collapsed="false">
      <c r="A175" s="794" t="s">
        <v>1545</v>
      </c>
    </row>
    <row r="176" customFormat="false" ht="13.8" hidden="false" customHeight="false" outlineLevel="0" collapsed="false">
      <c r="A176" s="798" t="s">
        <v>1546</v>
      </c>
    </row>
    <row r="177" customFormat="false" ht="13.8" hidden="false" customHeight="false" outlineLevel="0" collapsed="false">
      <c r="A177" s="798" t="s">
        <v>1547</v>
      </c>
    </row>
    <row r="178" customFormat="false" ht="13.8" hidden="false" customHeight="false" outlineLevel="0" collapsed="false">
      <c r="A178" s="798" t="s">
        <v>1548</v>
      </c>
    </row>
    <row r="179" customFormat="false" ht="13.8" hidden="false" customHeight="false" outlineLevel="0" collapsed="false">
      <c r="A179" s="798" t="s">
        <v>1549</v>
      </c>
    </row>
    <row r="180" customFormat="false" ht="13.8" hidden="false" customHeight="false" outlineLevel="0" collapsed="false">
      <c r="A180" s="797" t="s">
        <v>1550</v>
      </c>
    </row>
    <row r="181" customFormat="false" ht="13.8" hidden="false" customHeight="false" outlineLevel="0" collapsed="false">
      <c r="A181" s="797" t="s">
        <v>1551</v>
      </c>
    </row>
    <row r="182" customFormat="false" ht="13.8" hidden="false" customHeight="false" outlineLevel="0" collapsed="false">
      <c r="A182" s="798" t="s">
        <v>1552</v>
      </c>
    </row>
    <row r="183" customFormat="false" ht="13.8" hidden="false" customHeight="false" outlineLevel="0" collapsed="false">
      <c r="A183" s="798" t="s">
        <v>1553</v>
      </c>
    </row>
    <row r="184" customFormat="false" ht="13.8" hidden="false" customHeight="false" outlineLevel="0" collapsed="false">
      <c r="A184" s="794" t="s">
        <v>1554</v>
      </c>
    </row>
    <row r="185" customFormat="false" ht="13.8" hidden="false" customHeight="false" outlineLevel="0" collapsed="false">
      <c r="A185" s="794" t="s">
        <v>1555</v>
      </c>
    </row>
    <row r="186" customFormat="false" ht="13.8" hidden="false" customHeight="false" outlineLevel="0" collapsed="false">
      <c r="A186" s="797" t="s">
        <v>1556</v>
      </c>
    </row>
    <row r="187" customFormat="false" ht="13.8" hidden="false" customHeight="false" outlineLevel="0" collapsed="false">
      <c r="A187" s="797" t="s">
        <v>1557</v>
      </c>
    </row>
    <row r="188" customFormat="false" ht="13.8" hidden="false" customHeight="false" outlineLevel="0" collapsed="false">
      <c r="A188" s="797" t="s">
        <v>1558</v>
      </c>
    </row>
    <row r="189" customFormat="false" ht="13.8" hidden="false" customHeight="false" outlineLevel="0" collapsed="false">
      <c r="A189" s="797" t="s">
        <v>1559</v>
      </c>
    </row>
    <row r="190" customFormat="false" ht="13.8" hidden="false" customHeight="false" outlineLevel="0" collapsed="false">
      <c r="B190" s="395" t="s">
        <v>1560</v>
      </c>
    </row>
    <row r="191" customFormat="false" ht="13.8" hidden="false" customHeight="false" outlineLevel="0" collapsed="false">
      <c r="A191" s="794" t="s">
        <v>1561</v>
      </c>
      <c r="B191" s="395"/>
    </row>
    <row r="192" customFormat="false" ht="13.8" hidden="false" customHeight="false" outlineLevel="0" collapsed="false">
      <c r="A192" s="809" t="s">
        <v>1562</v>
      </c>
    </row>
    <row r="193" customFormat="false" ht="13.8" hidden="false" customHeight="false" outlineLevel="0" collapsed="false">
      <c r="A193" s="797" t="s">
        <v>1563</v>
      </c>
    </row>
    <row r="194" customFormat="false" ht="13.8" hidden="false" customHeight="false" outlineLevel="0" collapsed="false">
      <c r="A194" s="797" t="s">
        <v>1564</v>
      </c>
    </row>
    <row r="195" customFormat="false" ht="13.8" hidden="false" customHeight="false" outlineLevel="0" collapsed="false">
      <c r="A195" s="794" t="s">
        <v>1565</v>
      </c>
    </row>
    <row r="197" customFormat="false" ht="13.8" hidden="false" customHeight="false" outlineLevel="0" collapsed="false">
      <c r="A197" s="798"/>
    </row>
    <row r="198" customFormat="false" ht="13.8" hidden="false" customHeight="false" outlineLevel="0" collapsed="false">
      <c r="A198" s="810"/>
    </row>
    <row r="199" customFormat="false" ht="13.8" hidden="false" customHeight="false" outlineLevel="0" collapsed="false">
      <c r="A199" s="798"/>
    </row>
    <row r="200" customFormat="false" ht="13.8" hidden="false" customHeight="false" outlineLevel="0" collapsed="false">
      <c r="A200" s="798"/>
    </row>
  </sheetData>
  <hyperlinks>
    <hyperlink ref="A49" r:id="rId1" display="               GOULDING (n.d.). Grass Intake of Dairy Cows. [Online] Available: http://www.gouldings.ie/ni/grass-growth/research-on-grazing/grass-intake-of-dairy-cows/ [Accessed April 2018]."/>
    <hyperlink ref="A103" r:id="rId2" display="NATIONAL FOOD AGENCY, SWEDEN. 2009. Livsmedelsverkets författningssamling, Livsmedelsverkets föreskrifter om cider, LIVSFS 2005: 1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en-GB</dc:language>
  <cp:lastModifiedBy/>
  <dcterms:modified xsi:type="dcterms:W3CDTF">2019-03-04T13:51:42Z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