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Exceldesignfiles\Structural design sheets\"/>
    </mc:Choice>
  </mc:AlternateContent>
  <xr:revisionPtr revIDLastSave="0" documentId="13_ncr:1_{1FB4CC20-4C8F-4941-8AF2-1508373FA32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RCC" sheetId="1" r:id="rId1"/>
    <sheet name="RCC2" sheetId="3" r:id="rId2"/>
    <sheet name="Ste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C21" i="3"/>
  <c r="C20" i="3"/>
  <c r="E22" i="3"/>
  <c r="C19" i="3"/>
  <c r="E19" i="3" s="1"/>
  <c r="E20" i="3"/>
  <c r="E21" i="3"/>
  <c r="B21" i="1"/>
  <c r="C16" i="3"/>
  <c r="C18" i="3" s="1"/>
  <c r="C12" i="3"/>
  <c r="C13" i="3"/>
  <c r="C10" i="3"/>
  <c r="C11" i="3" s="1"/>
  <c r="C4" i="3"/>
  <c r="L5" i="1"/>
  <c r="L6" i="1"/>
  <c r="L7" i="1"/>
  <c r="L8" i="1"/>
  <c r="L4" i="1"/>
  <c r="D24" i="1"/>
  <c r="B32" i="1" s="1"/>
  <c r="C41" i="1" s="1"/>
  <c r="C1" i="1"/>
  <c r="G1" i="1" s="1"/>
  <c r="G2" i="1" s="1"/>
  <c r="F33" i="1"/>
  <c r="C40" i="1"/>
  <c r="C39" i="1"/>
  <c r="D40" i="1"/>
  <c r="D41" i="1"/>
  <c r="D39" i="1"/>
  <c r="H17" i="1"/>
  <c r="H16" i="1"/>
  <c r="B25" i="1"/>
  <c r="J8" i="1"/>
  <c r="K8" i="1"/>
  <c r="M8" i="1"/>
  <c r="N8" i="1"/>
  <c r="O8" i="1"/>
  <c r="J7" i="1"/>
  <c r="K7" i="1"/>
  <c r="M7" i="1"/>
  <c r="N7" i="1"/>
  <c r="O7" i="1"/>
  <c r="J6" i="1"/>
  <c r="J5" i="1"/>
  <c r="J4" i="1"/>
  <c r="K5" i="1"/>
  <c r="M5" i="1"/>
  <c r="N5" i="1"/>
  <c r="O5" i="1"/>
  <c r="K6" i="1"/>
  <c r="M6" i="1"/>
  <c r="N6" i="1"/>
  <c r="O6" i="1"/>
  <c r="M4" i="1"/>
  <c r="N4" i="1"/>
  <c r="O4" i="1"/>
  <c r="K4" i="1"/>
  <c r="D17" i="1"/>
  <c r="D16" i="1"/>
  <c r="E9" i="1"/>
  <c r="E8" i="1"/>
  <c r="E17" i="1"/>
  <c r="E16" i="1"/>
  <c r="B10" i="1"/>
  <c r="B11" i="1" s="1"/>
  <c r="E23" i="3" l="1"/>
  <c r="T5" i="1"/>
  <c r="S7" i="1"/>
  <c r="T7" i="1"/>
  <c r="D43" i="1"/>
  <c r="B33" i="1"/>
  <c r="T4" i="1"/>
  <c r="S5" i="1"/>
  <c r="S4" i="1"/>
  <c r="S6" i="1"/>
  <c r="B7" i="1"/>
  <c r="R7" i="1"/>
  <c r="R4" i="1"/>
  <c r="R6" i="1"/>
  <c r="T6" i="1"/>
  <c r="B24" i="1"/>
  <c r="R5" i="1"/>
  <c r="B12" i="1"/>
  <c r="E41" i="1" l="1"/>
  <c r="F41" i="1" s="1"/>
  <c r="G41" i="1" s="1"/>
  <c r="H41" i="1" s="1"/>
  <c r="I41" i="1" s="1"/>
  <c r="H42" i="1"/>
  <c r="C42" i="1"/>
  <c r="E39" i="1"/>
  <c r="E40" i="1"/>
  <c r="I42" i="1" l="1"/>
  <c r="F40" i="1"/>
  <c r="G40" i="1" s="1"/>
  <c r="H40" i="1" s="1"/>
  <c r="I40" i="1" s="1"/>
  <c r="F39" i="1"/>
  <c r="G39" i="1" l="1"/>
  <c r="H39" i="1" s="1"/>
  <c r="I39" i="1" s="1"/>
  <c r="I43" i="1" s="1"/>
  <c r="H43" i="1" l="1"/>
  <c r="H47" i="1" s="1"/>
</calcChain>
</file>

<file path=xl/sharedStrings.xml><?xml version="1.0" encoding="utf-8"?>
<sst xmlns="http://schemas.openxmlformats.org/spreadsheetml/2006/main" count="105" uniqueCount="83">
  <si>
    <t>axial load</t>
  </si>
  <si>
    <t>kN</t>
  </si>
  <si>
    <t>unsupported length</t>
  </si>
  <si>
    <t>m</t>
  </si>
  <si>
    <t>concrete</t>
  </si>
  <si>
    <t>M</t>
  </si>
  <si>
    <t>Steel</t>
  </si>
  <si>
    <t>Fe</t>
  </si>
  <si>
    <t>Factored Load</t>
  </si>
  <si>
    <t>with self weight</t>
  </si>
  <si>
    <t>Assume pc</t>
  </si>
  <si>
    <t>%</t>
  </si>
  <si>
    <t>Ac</t>
  </si>
  <si>
    <t>mm2</t>
  </si>
  <si>
    <t>b</t>
  </si>
  <si>
    <t>d</t>
  </si>
  <si>
    <t>Ap</t>
  </si>
  <si>
    <t>Slenderness</t>
  </si>
  <si>
    <t>&lt;12</t>
  </si>
  <si>
    <t>short column</t>
  </si>
  <si>
    <t>ex</t>
  </si>
  <si>
    <t>ey</t>
  </si>
  <si>
    <t>Lx</t>
  </si>
  <si>
    <t>Ly</t>
  </si>
  <si>
    <t>kx</t>
  </si>
  <si>
    <t>ky</t>
  </si>
  <si>
    <t>ex min</t>
  </si>
  <si>
    <t>ey min</t>
  </si>
  <si>
    <t>Asc, est</t>
  </si>
  <si>
    <t>provide</t>
  </si>
  <si>
    <t>min rein</t>
  </si>
  <si>
    <t>max rein</t>
  </si>
  <si>
    <t>4*20</t>
  </si>
  <si>
    <t>4*25</t>
  </si>
  <si>
    <t>4*28</t>
  </si>
  <si>
    <t>4*32</t>
  </si>
  <si>
    <t>2*lesser</t>
  </si>
  <si>
    <t>6*greater</t>
  </si>
  <si>
    <t>(longitudinal)</t>
  </si>
  <si>
    <t>(transverse)</t>
  </si>
  <si>
    <t>dia=</t>
  </si>
  <si>
    <t>mm</t>
  </si>
  <si>
    <t>spacing</t>
  </si>
  <si>
    <t>4*lesser</t>
  </si>
  <si>
    <t>*4</t>
  </si>
  <si>
    <t>*2</t>
  </si>
  <si>
    <t>reinforcement</t>
  </si>
  <si>
    <t>dia</t>
  </si>
  <si>
    <t>no</t>
  </si>
  <si>
    <t>area</t>
  </si>
  <si>
    <t>depth</t>
  </si>
  <si>
    <t>D</t>
  </si>
  <si>
    <t>clear cover</t>
  </si>
  <si>
    <t>d=</t>
  </si>
  <si>
    <t>com/ten</t>
  </si>
  <si>
    <t>x=</t>
  </si>
  <si>
    <t>max steel strain</t>
  </si>
  <si>
    <t>moment calculation</t>
  </si>
  <si>
    <t>strain</t>
  </si>
  <si>
    <t>stress</t>
  </si>
  <si>
    <t>P</t>
  </si>
  <si>
    <t>total</t>
  </si>
  <si>
    <t>conc</t>
  </si>
  <si>
    <t>kNm</t>
  </si>
  <si>
    <t>with moment consideration</t>
  </si>
  <si>
    <t>corresponding eccentricity</t>
  </si>
  <si>
    <t>factored load</t>
  </si>
  <si>
    <t>factored moment</t>
  </si>
  <si>
    <t>assuming p</t>
  </si>
  <si>
    <t>fc</t>
  </si>
  <si>
    <t>fy</t>
  </si>
  <si>
    <t xml:space="preserve">Assume ties </t>
  </si>
  <si>
    <t>assume main bar</t>
  </si>
  <si>
    <t>d'</t>
  </si>
  <si>
    <t>fsc</t>
  </si>
  <si>
    <t>d'/D</t>
  </si>
  <si>
    <t>p</t>
  </si>
  <si>
    <t>p/fck</t>
  </si>
  <si>
    <t>(y-axis of chart)</t>
  </si>
  <si>
    <t>(x-axis of chart)</t>
  </si>
  <si>
    <t>(read from chart)</t>
  </si>
  <si>
    <t>p=</t>
  </si>
  <si>
    <t>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</si>
</sst>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2" fillId="0" borderId="0" xfId="0" applyFont="1" applyBorder="1"/>
    <xf numFmtId="0" fontId="1" fillId="0" borderId="0" xfId="1"/>
    <xf numFmtId="166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0" fillId="0" borderId="9" xfId="0" applyBorder="1"/>
    <xf numFmtId="2" fontId="0" fillId="0" borderId="9" xfId="0" applyNumberFormat="1" applyBorder="1"/>
    <xf numFmtId="9" fontId="0" fillId="0" borderId="0" xfId="0" applyNumberFormat="1"/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workbookViewId="0">
      <selection activeCell="B40" sqref="B40"/>
    </sheetView>
  </sheetViews>
  <sheetFormatPr defaultRowHeight="15" x14ac:dyDescent="0.25"/>
  <cols>
    <col min="7" max="7" width="10.5703125" bestFit="1" customWidth="1"/>
  </cols>
  <sheetData>
    <row r="1" spans="1:20" x14ac:dyDescent="0.25">
      <c r="A1" t="s">
        <v>0</v>
      </c>
      <c r="C1">
        <f>1400/1.5</f>
        <v>933.33333333333337</v>
      </c>
      <c r="D1" t="s">
        <v>1</v>
      </c>
      <c r="E1" t="s">
        <v>8</v>
      </c>
      <c r="G1">
        <f>1.5*C1</f>
        <v>1400</v>
      </c>
    </row>
    <row r="2" spans="1:20" x14ac:dyDescent="0.25">
      <c r="A2" t="s">
        <v>2</v>
      </c>
      <c r="C2">
        <v>3.2</v>
      </c>
      <c r="D2" t="s">
        <v>3</v>
      </c>
      <c r="E2" t="s">
        <v>9</v>
      </c>
      <c r="G2">
        <f>1.01*G1</f>
        <v>1414</v>
      </c>
    </row>
    <row r="3" spans="1:20" x14ac:dyDescent="0.25">
      <c r="A3" t="s">
        <v>4</v>
      </c>
      <c r="B3" t="s">
        <v>5</v>
      </c>
      <c r="C3">
        <v>25</v>
      </c>
      <c r="E3" t="s">
        <v>10</v>
      </c>
      <c r="G3">
        <v>2</v>
      </c>
      <c r="H3" t="s">
        <v>11</v>
      </c>
      <c r="J3">
        <v>16</v>
      </c>
      <c r="K3">
        <v>20</v>
      </c>
      <c r="L3">
        <v>22</v>
      </c>
      <c r="M3">
        <v>25</v>
      </c>
      <c r="N3">
        <v>28</v>
      </c>
      <c r="O3">
        <v>32</v>
      </c>
      <c r="R3" t="s">
        <v>36</v>
      </c>
      <c r="S3" t="s">
        <v>43</v>
      </c>
      <c r="T3" t="s">
        <v>37</v>
      </c>
    </row>
    <row r="4" spans="1:20" x14ac:dyDescent="0.25">
      <c r="A4" t="s">
        <v>6</v>
      </c>
      <c r="B4" t="s">
        <v>7</v>
      </c>
      <c r="C4">
        <v>415</v>
      </c>
      <c r="I4">
        <v>2</v>
      </c>
      <c r="J4">
        <f t="shared" ref="J4:J8" si="0">$I4*PI()*J$3^2/4</f>
        <v>402.12385965949352</v>
      </c>
      <c r="K4">
        <f>$I4*PI()*K$3^2/4</f>
        <v>628.31853071795865</v>
      </c>
      <c r="L4">
        <f>$I4*PI()*L$3^2/4</f>
        <v>760.26542216872997</v>
      </c>
      <c r="M4">
        <f t="shared" ref="M4:O8" si="1">$I4*PI()*M$3^2/4</f>
        <v>981.74770424681037</v>
      </c>
      <c r="N4">
        <f t="shared" si="1"/>
        <v>1231.5043202071988</v>
      </c>
      <c r="O4">
        <f t="shared" si="1"/>
        <v>1608.4954386379741</v>
      </c>
      <c r="Q4" t="s">
        <v>32</v>
      </c>
      <c r="R4">
        <f>K5+J4</f>
        <v>1658.7609210954108</v>
      </c>
      <c r="S4">
        <f>J5+K5</f>
        <v>2060.8847807549046</v>
      </c>
      <c r="T4">
        <f>K5+J6</f>
        <v>2463.0086404143976</v>
      </c>
    </row>
    <row r="5" spans="1:20" x14ac:dyDescent="0.25">
      <c r="I5">
        <v>4</v>
      </c>
      <c r="J5">
        <f t="shared" si="0"/>
        <v>804.24771931898704</v>
      </c>
      <c r="K5">
        <f t="shared" ref="K5:L8" si="2">$I5*PI()*K$3^2/4</f>
        <v>1256.6370614359173</v>
      </c>
      <c r="L5">
        <f t="shared" si="2"/>
        <v>1520.5308443374599</v>
      </c>
      <c r="M5">
        <f t="shared" si="1"/>
        <v>1963.4954084936207</v>
      </c>
      <c r="N5">
        <f t="shared" si="1"/>
        <v>2463.0086404143976</v>
      </c>
      <c r="O5">
        <f t="shared" si="1"/>
        <v>3216.9908772759482</v>
      </c>
      <c r="Q5" t="s">
        <v>33</v>
      </c>
      <c r="R5">
        <f>M5+K4</f>
        <v>2591.8139392115795</v>
      </c>
      <c r="S5">
        <f>K5+M5</f>
        <v>3220.1324699295383</v>
      </c>
      <c r="T5">
        <f>M5+K6</f>
        <v>3848.4510006474966</v>
      </c>
    </row>
    <row r="6" spans="1:20" x14ac:dyDescent="0.25">
      <c r="I6">
        <v>6</v>
      </c>
      <c r="J6">
        <f t="shared" si="0"/>
        <v>1206.3715789784806</v>
      </c>
      <c r="K6">
        <f t="shared" si="2"/>
        <v>1884.9555921538758</v>
      </c>
      <c r="L6">
        <f t="shared" si="2"/>
        <v>2280.79626650619</v>
      </c>
      <c r="M6">
        <f t="shared" si="1"/>
        <v>2945.2431127404311</v>
      </c>
      <c r="N6">
        <f t="shared" si="1"/>
        <v>3694.5129606215969</v>
      </c>
      <c r="O6">
        <f t="shared" si="1"/>
        <v>4825.4863159139222</v>
      </c>
      <c r="Q6" t="s">
        <v>34</v>
      </c>
      <c r="R6">
        <f>N5+M4</f>
        <v>3444.756344661208</v>
      </c>
      <c r="S6">
        <f>M5+N5</f>
        <v>4426.5040489080184</v>
      </c>
      <c r="T6">
        <f>N5+M6</f>
        <v>5408.2517531548292</v>
      </c>
    </row>
    <row r="7" spans="1:20" x14ac:dyDescent="0.25">
      <c r="A7" t="s">
        <v>12</v>
      </c>
      <c r="B7">
        <f>G1*1000/(0.4*(C3+1.67*C4*G3/100))</f>
        <v>90064.589176809663</v>
      </c>
      <c r="C7" t="s">
        <v>13</v>
      </c>
      <c r="I7">
        <v>8</v>
      </c>
      <c r="J7">
        <f t="shared" si="0"/>
        <v>1608.4954386379741</v>
      </c>
      <c r="K7">
        <f>$I7*PI()*K$3^2/4</f>
        <v>2513.2741228718346</v>
      </c>
      <c r="L7">
        <f t="shared" si="2"/>
        <v>3041.0616886749199</v>
      </c>
      <c r="M7">
        <f t="shared" si="1"/>
        <v>3926.9908169872415</v>
      </c>
      <c r="N7">
        <f t="shared" si="1"/>
        <v>4926.0172808287953</v>
      </c>
      <c r="O7">
        <f t="shared" si="1"/>
        <v>6433.9817545518963</v>
      </c>
      <c r="Q7" t="s">
        <v>35</v>
      </c>
      <c r="R7">
        <f>O5+N4</f>
        <v>4448.4951974831474</v>
      </c>
      <c r="S7">
        <f>N5+O5</f>
        <v>5679.9995176903458</v>
      </c>
      <c r="T7">
        <f>O5+N6</f>
        <v>6911.5038378975451</v>
      </c>
    </row>
    <row r="8" spans="1:20" x14ac:dyDescent="0.25">
      <c r="A8" t="s">
        <v>14</v>
      </c>
      <c r="B8">
        <v>300</v>
      </c>
      <c r="D8" t="s">
        <v>20</v>
      </c>
      <c r="E8">
        <f>5%*B8</f>
        <v>15</v>
      </c>
      <c r="I8">
        <v>10</v>
      </c>
      <c r="J8">
        <f t="shared" si="0"/>
        <v>2010.6192982974676</v>
      </c>
      <c r="K8">
        <f>$I8*PI()*K$3^2/4</f>
        <v>3141.5926535897929</v>
      </c>
      <c r="L8">
        <f t="shared" si="2"/>
        <v>3801.3271108436497</v>
      </c>
      <c r="M8">
        <f t="shared" si="1"/>
        <v>4908.7385212340514</v>
      </c>
      <c r="N8">
        <f t="shared" si="1"/>
        <v>6157.5216010359945</v>
      </c>
      <c r="O8">
        <f t="shared" si="1"/>
        <v>8042.4771931898704</v>
      </c>
    </row>
    <row r="9" spans="1:20" x14ac:dyDescent="0.25">
      <c r="A9" t="s">
        <v>15</v>
      </c>
      <c r="B9">
        <v>300</v>
      </c>
      <c r="D9" t="s">
        <v>21</v>
      </c>
      <c r="E9">
        <f>5%*B9</f>
        <v>15</v>
      </c>
    </row>
    <row r="10" spans="1:20" x14ac:dyDescent="0.25">
      <c r="A10" t="s">
        <v>16</v>
      </c>
      <c r="B10">
        <f>B8*B9</f>
        <v>90000</v>
      </c>
      <c r="C10" t="s">
        <v>13</v>
      </c>
    </row>
    <row r="11" spans="1:20" x14ac:dyDescent="0.25">
      <c r="A11" t="s">
        <v>30</v>
      </c>
      <c r="B11">
        <f>0.8/100*B10</f>
        <v>720</v>
      </c>
    </row>
    <row r="12" spans="1:20" x14ac:dyDescent="0.25">
      <c r="A12" t="s">
        <v>31</v>
      </c>
      <c r="B12">
        <f>4/100*B10</f>
        <v>3600</v>
      </c>
    </row>
    <row r="15" spans="1:20" x14ac:dyDescent="0.25">
      <c r="A15" s="9" t="s">
        <v>17</v>
      </c>
      <c r="B15" s="2"/>
      <c r="C15" s="2"/>
      <c r="D15" s="2"/>
      <c r="E15" s="2"/>
      <c r="F15" s="3"/>
    </row>
    <row r="16" spans="1:20" x14ac:dyDescent="0.25">
      <c r="A16" s="4" t="s">
        <v>24</v>
      </c>
      <c r="B16" s="5">
        <v>1.2</v>
      </c>
      <c r="C16" s="5" t="s">
        <v>22</v>
      </c>
      <c r="D16" s="5">
        <f>B16*C2</f>
        <v>3.84</v>
      </c>
      <c r="E16" s="5">
        <f>C2/B8*1000</f>
        <v>10.666666666666668</v>
      </c>
      <c r="F16" s="6" t="s">
        <v>18</v>
      </c>
      <c r="G16" t="s">
        <v>26</v>
      </c>
      <c r="H16">
        <f>C2*1000/500+B8/30</f>
        <v>16.399999999999999</v>
      </c>
    </row>
    <row r="17" spans="1:8" x14ac:dyDescent="0.25">
      <c r="A17" s="7" t="s">
        <v>25</v>
      </c>
      <c r="B17" s="1">
        <v>1.2</v>
      </c>
      <c r="C17" s="1" t="s">
        <v>23</v>
      </c>
      <c r="D17" s="1">
        <f>B17*C2</f>
        <v>3.84</v>
      </c>
      <c r="E17" s="1">
        <f>C2/B9*1000</f>
        <v>10.666666666666668</v>
      </c>
      <c r="F17" s="8" t="s">
        <v>18</v>
      </c>
      <c r="G17" t="s">
        <v>27</v>
      </c>
      <c r="H17">
        <f>C2*1000/500+B9/30</f>
        <v>16.399999999999999</v>
      </c>
    </row>
    <row r="19" spans="1:8" x14ac:dyDescent="0.25">
      <c r="A19" s="10" t="s">
        <v>19</v>
      </c>
    </row>
    <row r="20" spans="1:8" x14ac:dyDescent="0.25">
      <c r="A20" t="s">
        <v>38</v>
      </c>
    </row>
    <row r="21" spans="1:8" x14ac:dyDescent="0.25">
      <c r="A21" t="s">
        <v>28</v>
      </c>
      <c r="B21">
        <f>(G2*1000-0.4*C3*B8*B9)/(0.67*C4)</f>
        <v>1848.5883833842834</v>
      </c>
    </row>
    <row r="22" spans="1:8" x14ac:dyDescent="0.25">
      <c r="A22" t="s">
        <v>29</v>
      </c>
      <c r="B22">
        <v>2280.7959999999998</v>
      </c>
      <c r="C22">
        <v>22</v>
      </c>
      <c r="D22" t="s">
        <v>44</v>
      </c>
      <c r="E22">
        <v>0</v>
      </c>
      <c r="F22" t="s">
        <v>45</v>
      </c>
    </row>
    <row r="23" spans="1:8" x14ac:dyDescent="0.25">
      <c r="A23" t="s">
        <v>39</v>
      </c>
    </row>
    <row r="24" spans="1:8" x14ac:dyDescent="0.25">
      <c r="A24" t="s">
        <v>40</v>
      </c>
      <c r="B24">
        <f>MAX(C22/4,E22/4,6)</f>
        <v>6</v>
      </c>
      <c r="C24" t="s">
        <v>41</v>
      </c>
      <c r="D24">
        <f>8</f>
        <v>8</v>
      </c>
    </row>
    <row r="25" spans="1:8" x14ac:dyDescent="0.25">
      <c r="A25" t="s">
        <v>42</v>
      </c>
      <c r="B25">
        <f>MIN(B8:B9,16*C22,300)</f>
        <v>300</v>
      </c>
      <c r="C25" t="s">
        <v>41</v>
      </c>
    </row>
    <row r="28" spans="1:8" x14ac:dyDescent="0.25">
      <c r="A28" t="s">
        <v>57</v>
      </c>
    </row>
    <row r="29" spans="1:8" x14ac:dyDescent="0.25">
      <c r="A29" t="s">
        <v>14</v>
      </c>
      <c r="B29">
        <v>450</v>
      </c>
    </row>
    <row r="30" spans="1:8" x14ac:dyDescent="0.25">
      <c r="A30" t="s">
        <v>51</v>
      </c>
      <c r="B30">
        <v>450</v>
      </c>
    </row>
    <row r="31" spans="1:8" x14ac:dyDescent="0.25">
      <c r="A31" t="s">
        <v>52</v>
      </c>
      <c r="B31">
        <v>40</v>
      </c>
    </row>
    <row r="32" spans="1:8" x14ac:dyDescent="0.25">
      <c r="A32" t="s">
        <v>53</v>
      </c>
      <c r="B32">
        <f>B30-B31-A39/2-D24</f>
        <v>391</v>
      </c>
    </row>
    <row r="33" spans="1:9" x14ac:dyDescent="0.25">
      <c r="A33" t="s">
        <v>55</v>
      </c>
      <c r="B33" s="12">
        <f>0.0035/(0.0035+F33)*B32</f>
        <v>187.35416666666669</v>
      </c>
      <c r="D33" t="s">
        <v>56</v>
      </c>
      <c r="F33">
        <f>C4/1.15/200000+0.002</f>
        <v>3.8043478260869567E-3</v>
      </c>
    </row>
    <row r="34" spans="1:9" x14ac:dyDescent="0.25">
      <c r="C34" s="11"/>
    </row>
    <row r="36" spans="1:9" x14ac:dyDescent="0.25">
      <c r="A36" t="s">
        <v>46</v>
      </c>
      <c r="C36" t="s">
        <v>64</v>
      </c>
    </row>
    <row r="38" spans="1:9" x14ac:dyDescent="0.25">
      <c r="A38" s="1" t="s">
        <v>47</v>
      </c>
      <c r="B38" s="1" t="s">
        <v>48</v>
      </c>
      <c r="C38" s="1" t="s">
        <v>50</v>
      </c>
      <c r="D38" s="1" t="s">
        <v>49</v>
      </c>
      <c r="E38" s="1" t="s">
        <v>54</v>
      </c>
      <c r="F38" s="1" t="s">
        <v>58</v>
      </c>
      <c r="G38" s="1" t="s">
        <v>59</v>
      </c>
      <c r="H38" s="1" t="s">
        <v>60</v>
      </c>
      <c r="I38" s="1" t="s">
        <v>5</v>
      </c>
    </row>
    <row r="39" spans="1:9" x14ac:dyDescent="0.25">
      <c r="A39">
        <v>22</v>
      </c>
      <c r="B39">
        <v>3</v>
      </c>
      <c r="C39">
        <f>B31+A39/2</f>
        <v>51</v>
      </c>
      <c r="D39">
        <f>PI()*A39^2/4*B39</f>
        <v>1140.398133253095</v>
      </c>
      <c r="E39" t="str">
        <f>IF(C39&lt;$B$33,"comp","tens")</f>
        <v>comp</v>
      </c>
      <c r="F39">
        <f>MIN(0.0038,IF(E39="tens",(C39-$B$33)/$B$33*0.0035,($B$33-C39)/$B$33*0.0035))</f>
        <v>2.5472589792060493E-3</v>
      </c>
      <c r="G39">
        <f>IF(E39="tens",MIN(F39*200000,$C$4/1.15),IF($C$4=415,-109.1569+537.27*F39*1000-250.9*(F39*1000)^2+55.28*(F39*1000)^3-4.7*(F39*1000)^4,1707.624-2356.6*F39*1000-1444*(F39*1000)^2+366.7*(F39*1000)^3-33.2*(F39*1000)^4))</f>
        <v>347.22822033912905</v>
      </c>
      <c r="H39" s="13">
        <f>IF(E39="comp",(G39-0.446*$C$3)*D39,-G39*D39)/1000</f>
        <v>383.26297510176511</v>
      </c>
      <c r="I39">
        <f>ABS(H39*(C39-$B$30/2))/1000</f>
        <v>66.687757667707132</v>
      </c>
    </row>
    <row r="40" spans="1:9" x14ac:dyDescent="0.25">
      <c r="A40">
        <v>0</v>
      </c>
      <c r="B40">
        <v>2</v>
      </c>
      <c r="C40">
        <f>B30/2</f>
        <v>225</v>
      </c>
      <c r="D40">
        <f>PI()*A40^2/4*B40</f>
        <v>0</v>
      </c>
      <c r="E40" t="str">
        <f>IF(C40&lt;$B$33,"comp","tens")</f>
        <v>tens</v>
      </c>
      <c r="F40">
        <f>MIN(0.0038,IF(E40="tens",(C40-$B$33)/$B$33*0.0035,($B$33-C40)/$B$33*0.0035))</f>
        <v>7.0326920938507684E-4</v>
      </c>
      <c r="G40">
        <f>IF(E40="tens",MIN(F40*200000,$C$4/1.15),IF($C$4=415,-109.1569+537.27*F40*1000-250.9*(F40*1000)^2+55.28*(F40*1000)^3-4.7*(F40*1000)^4,1707.624-2356.6*F40*1000-1444*(F40*1000)^2+366.7*(F40*1000)^3-33.2*(F40*1000)^4))</f>
        <v>140.65384187701537</v>
      </c>
      <c r="H40" s="13">
        <f>IF(E40="comp",(G40-0.446*$B$33)*D40,-G40*D40)/1000</f>
        <v>0</v>
      </c>
      <c r="I40">
        <f>ABS(H40*(C40-$B$30/2))/1000</f>
        <v>0</v>
      </c>
    </row>
    <row r="41" spans="1:9" x14ac:dyDescent="0.25">
      <c r="A41" s="1">
        <v>22</v>
      </c>
      <c r="B41" s="1">
        <v>3</v>
      </c>
      <c r="C41" s="1">
        <f>B32</f>
        <v>391</v>
      </c>
      <c r="D41" s="1">
        <f>PI()*A41^2/4*B41</f>
        <v>1140.398133253095</v>
      </c>
      <c r="E41" s="1" t="str">
        <f>IF(C41&lt;$B$33,"comp","tens")</f>
        <v>tens</v>
      </c>
      <c r="F41" s="1">
        <f>MIN(0.0038,IF(E41="tens",(C41-$B$33)/$B$33*0.0035,($B$33-C41)/$B$33*0.0035))</f>
        <v>3.8E-3</v>
      </c>
      <c r="G41" s="1">
        <f>IF(E41="tens",MIN(F41*200000,$C$4/1.15),IF($C$4=415,-109.1569+537.27*F41*1000-250.9*(F41*1000)^2+55.28*(F41*1000)^3-4.7*(F41*1000)^4,1707.624-2356.6*F41*1000-1444*(F41*1000)^2+366.7*(F41*1000)^3-33.2*(F41*1000)^4))</f>
        <v>360.86956521739131</v>
      </c>
      <c r="H41" s="14">
        <f>IF(E41="comp",(G41-0.446*$B$33)*D41,-G41*D41)/1000</f>
        <v>-411.53497852176906</v>
      </c>
      <c r="I41" s="1">
        <f>ABS(H41*(C41-$B$30/2))/1000</f>
        <v>68.314806434613672</v>
      </c>
    </row>
    <row r="42" spans="1:9" x14ac:dyDescent="0.25">
      <c r="A42" s="15"/>
      <c r="B42" s="15"/>
      <c r="C42" s="15">
        <f>B33*0.416</f>
        <v>77.939333333333337</v>
      </c>
      <c r="D42" s="15"/>
      <c r="E42" s="15"/>
      <c r="F42" s="15"/>
      <c r="G42" s="15" t="s">
        <v>62</v>
      </c>
      <c r="H42" s="16">
        <f>0.36*C3*B29*B33/1000</f>
        <v>758.78437500000007</v>
      </c>
      <c r="I42" s="15">
        <f>ABS(H42*(C42-$B$30/2))/1000</f>
        <v>111.58733604375001</v>
      </c>
    </row>
    <row r="43" spans="1:9" x14ac:dyDescent="0.25">
      <c r="D43">
        <f>SUM(D39:D42)</f>
        <v>2280.79626650619</v>
      </c>
      <c r="G43" t="s">
        <v>61</v>
      </c>
      <c r="H43" s="13">
        <f>SUM(H39:H42)</f>
        <v>730.51237157999617</v>
      </c>
      <c r="I43" s="13">
        <f>SUM(I39:I42)</f>
        <v>246.58990014607082</v>
      </c>
    </row>
    <row r="44" spans="1:9" x14ac:dyDescent="0.25">
      <c r="H44" t="s">
        <v>1</v>
      </c>
      <c r="I44" t="s">
        <v>63</v>
      </c>
    </row>
    <row r="46" spans="1:9" x14ac:dyDescent="0.25">
      <c r="H46" t="s">
        <v>65</v>
      </c>
    </row>
    <row r="47" spans="1:9" x14ac:dyDescent="0.25">
      <c r="H47">
        <f>I43/H43*1000</f>
        <v>337.55745931137528</v>
      </c>
    </row>
  </sheetData>
  <conditionalFormatting sqref="B10">
    <cfRule type="cellIs" dxfId="7" priority="12" operator="lessThan">
      <formula>$B$7</formula>
    </cfRule>
  </conditionalFormatting>
  <conditionalFormatting sqref="E16:E17">
    <cfRule type="cellIs" dxfId="6" priority="11" operator="greaterThan">
      <formula>12</formula>
    </cfRule>
  </conditionalFormatting>
  <conditionalFormatting sqref="H16">
    <cfRule type="cellIs" dxfId="5" priority="10" operator="greaterThan">
      <formula>$E$8</formula>
    </cfRule>
  </conditionalFormatting>
  <conditionalFormatting sqref="H17">
    <cfRule type="cellIs" dxfId="4" priority="9" operator="greaterThan">
      <formula>$E$9</formula>
    </cfRule>
  </conditionalFormatting>
  <conditionalFormatting sqref="R4:T7 J5:K8 M5:O8">
    <cfRule type="cellIs" dxfId="3" priority="4" operator="between">
      <formula>MAX($B$21,$B$11)</formula>
      <formula>$B$12</formula>
    </cfRule>
  </conditionalFormatting>
  <conditionalFormatting sqref="B22">
    <cfRule type="cellIs" dxfId="2" priority="2" operator="lessThan">
      <formula>$B$21</formula>
    </cfRule>
    <cfRule type="cellIs" dxfId="1" priority="3" operator="greaterThan">
      <formula>$B$12</formula>
    </cfRule>
  </conditionalFormatting>
  <conditionalFormatting sqref="L4:L8">
    <cfRule type="cellIs" dxfId="0" priority="1" operator="between">
      <formula>MAX($B$21,$B$11)</formula>
      <formula>$B$12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2013-77A3-436B-B1E9-458D01469BD4}">
  <dimension ref="A1:I23"/>
  <sheetViews>
    <sheetView tabSelected="1" workbookViewId="0">
      <selection activeCell="E21" sqref="E21"/>
    </sheetView>
  </sheetViews>
  <sheetFormatPr defaultRowHeight="15" x14ac:dyDescent="0.25"/>
  <cols>
    <col min="3" max="3" width="12" bestFit="1" customWidth="1"/>
  </cols>
  <sheetData>
    <row r="1" spans="1:9" x14ac:dyDescent="0.25">
      <c r="A1" t="s">
        <v>66</v>
      </c>
      <c r="C1">
        <v>1400</v>
      </c>
      <c r="D1" t="s">
        <v>1</v>
      </c>
      <c r="F1" t="s">
        <v>69</v>
      </c>
      <c r="G1">
        <v>25</v>
      </c>
    </row>
    <row r="2" spans="1:9" x14ac:dyDescent="0.25">
      <c r="A2" t="s">
        <v>67</v>
      </c>
      <c r="C2">
        <v>90</v>
      </c>
      <c r="D2" t="s">
        <v>63</v>
      </c>
      <c r="F2" t="s">
        <v>70</v>
      </c>
      <c r="G2">
        <v>415</v>
      </c>
    </row>
    <row r="3" spans="1:9" x14ac:dyDescent="0.25">
      <c r="A3" t="s">
        <v>68</v>
      </c>
      <c r="C3" s="17">
        <v>0.02</v>
      </c>
      <c r="F3" t="s">
        <v>74</v>
      </c>
    </row>
    <row r="4" spans="1:9" x14ac:dyDescent="0.25">
      <c r="A4" t="s">
        <v>12</v>
      </c>
      <c r="C4">
        <f>C1*1000/(0.4*(G1+1.67*G2*C3))</f>
        <v>90064.589176809663</v>
      </c>
      <c r="D4" t="s">
        <v>13</v>
      </c>
    </row>
    <row r="5" spans="1:9" x14ac:dyDescent="0.25">
      <c r="B5" t="s">
        <v>14</v>
      </c>
      <c r="C5">
        <v>300</v>
      </c>
      <c r="D5" t="s">
        <v>41</v>
      </c>
    </row>
    <row r="6" spans="1:9" x14ac:dyDescent="0.25">
      <c r="B6" t="s">
        <v>51</v>
      </c>
      <c r="C6">
        <v>400</v>
      </c>
      <c r="D6" t="s">
        <v>41</v>
      </c>
      <c r="I6">
        <v>6</v>
      </c>
    </row>
    <row r="7" spans="1:9" x14ac:dyDescent="0.25">
      <c r="A7" t="s">
        <v>52</v>
      </c>
      <c r="C7">
        <v>40</v>
      </c>
      <c r="D7" t="s">
        <v>41</v>
      </c>
      <c r="I7">
        <v>8</v>
      </c>
    </row>
    <row r="8" spans="1:9" x14ac:dyDescent="0.25">
      <c r="A8" t="s">
        <v>71</v>
      </c>
      <c r="C8">
        <v>8</v>
      </c>
      <c r="D8" t="s">
        <v>41</v>
      </c>
      <c r="I8">
        <v>10</v>
      </c>
    </row>
    <row r="9" spans="1:9" x14ac:dyDescent="0.25">
      <c r="A9" t="s">
        <v>72</v>
      </c>
      <c r="C9">
        <v>25</v>
      </c>
      <c r="D9" t="s">
        <v>41</v>
      </c>
      <c r="I9">
        <v>12</v>
      </c>
    </row>
    <row r="10" spans="1:9" x14ac:dyDescent="0.25">
      <c r="B10" t="s">
        <v>73</v>
      </c>
      <c r="C10">
        <f>C7+C8+C9/2</f>
        <v>60.5</v>
      </c>
      <c r="D10" t="s">
        <v>41</v>
      </c>
      <c r="I10">
        <v>16</v>
      </c>
    </row>
    <row r="11" spans="1:9" x14ac:dyDescent="0.25">
      <c r="B11" t="s">
        <v>75</v>
      </c>
      <c r="C11" s="13">
        <f>C10/C6</f>
        <v>0.15125</v>
      </c>
      <c r="I11">
        <v>18</v>
      </c>
    </row>
    <row r="12" spans="1:9" x14ac:dyDescent="0.25">
      <c r="B12" t="s">
        <v>76</v>
      </c>
      <c r="C12" s="12">
        <f>C1/(C5*C6*G1)*1000</f>
        <v>0.46666666666666667</v>
      </c>
      <c r="D12" t="s">
        <v>78</v>
      </c>
      <c r="I12">
        <v>20</v>
      </c>
    </row>
    <row r="13" spans="1:9" x14ac:dyDescent="0.25">
      <c r="B13" t="s">
        <v>3</v>
      </c>
      <c r="C13">
        <f>C2/(G1*C5*C6*C6)*1000000</f>
        <v>7.4999999999999997E-2</v>
      </c>
      <c r="D13" t="s">
        <v>79</v>
      </c>
      <c r="I13">
        <v>22</v>
      </c>
    </row>
    <row r="14" spans="1:9" x14ac:dyDescent="0.25">
      <c r="I14">
        <v>25</v>
      </c>
    </row>
    <row r="15" spans="1:9" x14ac:dyDescent="0.25">
      <c r="B15" t="s">
        <v>77</v>
      </c>
      <c r="C15">
        <v>7.0000000000000007E-2</v>
      </c>
      <c r="D15" t="s">
        <v>80</v>
      </c>
      <c r="I15">
        <v>28</v>
      </c>
    </row>
    <row r="16" spans="1:9" x14ac:dyDescent="0.25">
      <c r="B16" t="s">
        <v>81</v>
      </c>
      <c r="C16">
        <f>G1*C15</f>
        <v>1.7500000000000002</v>
      </c>
      <c r="D16" t="s">
        <v>11</v>
      </c>
      <c r="I16">
        <v>32</v>
      </c>
    </row>
    <row r="18" spans="2:5" x14ac:dyDescent="0.25">
      <c r="B18" t="s">
        <v>82</v>
      </c>
      <c r="C18">
        <f>C16/100*C5*C6</f>
        <v>2100.0000000000005</v>
      </c>
    </row>
    <row r="19" spans="2:5" x14ac:dyDescent="0.25">
      <c r="B19" t="s">
        <v>29</v>
      </c>
      <c r="C19">
        <f>_xlfn.XLOOKUP(ROUNDUP(SQRT($C$18/D19*4/PI()),0),$I$6:$I$16,$I$6:$I$16,,1,1)</f>
        <v>28</v>
      </c>
      <c r="D19">
        <v>4</v>
      </c>
      <c r="E19">
        <f>D19*C19*C19/4*3.14</f>
        <v>2461.7600000000002</v>
      </c>
    </row>
    <row r="20" spans="2:5" x14ac:dyDescent="0.25">
      <c r="C20">
        <f t="shared" ref="C20:C22" si="0">_xlfn.XLOOKUP(ROUNDUP(SQRT($C$18/D20*4/PI()),0),$I$6:$I$16,$I$6:$I$16,,1,1)</f>
        <v>22</v>
      </c>
      <c r="D20">
        <v>6</v>
      </c>
      <c r="E20">
        <f>D20*C20*C20/4*3.14</f>
        <v>2279.64</v>
      </c>
    </row>
    <row r="21" spans="2:5" x14ac:dyDescent="0.25">
      <c r="C21">
        <f t="shared" si="0"/>
        <v>20</v>
      </c>
      <c r="D21">
        <v>8</v>
      </c>
      <c r="E21">
        <f>D21*C21*C21/4*3.14</f>
        <v>2512</v>
      </c>
    </row>
    <row r="22" spans="2:5" x14ac:dyDescent="0.25">
      <c r="C22">
        <f t="shared" si="0"/>
        <v>18</v>
      </c>
      <c r="D22">
        <v>10</v>
      </c>
      <c r="E22">
        <f>D22*C22*C22/4*3.14</f>
        <v>2543.4</v>
      </c>
    </row>
    <row r="23" spans="2:5" x14ac:dyDescent="0.25">
      <c r="E23">
        <f>MIN(E19:E22)</f>
        <v>2279.64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EC1C-75DF-4842-BCED-7C8AA73A46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RCC</vt:lpstr>
      <vt:lpstr>RCC2</vt:lpstr>
      <vt:lpstr>Steel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Samyak</cp:lastModifiedBy>
  <dcterms:created xsi:type="dcterms:W3CDTF">2015-06-05T18:17:20Z</dcterms:created>
  <dcterms:modified xsi:type="dcterms:W3CDTF">2025-04-01T09:53:21Z</dcterms:modified>
</cp:coreProperties>
</file>