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designfiles\Structural design sheets\"/>
    </mc:Choice>
  </mc:AlternateContent>
  <xr:revisionPtr revIDLastSave="0" documentId="13_ncr:1_{0E5DFE61-30CE-4B29-AD3D-B267FF597592}" xr6:coauthVersionLast="47" xr6:coauthVersionMax="47" xr10:uidLastSave="{00000000-0000-0000-0000-000000000000}"/>
  <bookViews>
    <workbookView xWindow="-120" yWindow="-120" windowWidth="20730" windowHeight="11760" activeTab="1" xr2:uid="{080EB4DA-FCC7-4271-9359-BF29FD8446FC}"/>
  </bookViews>
  <sheets>
    <sheet name="Steel" sheetId="1" r:id="rId1"/>
    <sheet name="RCC" sheetId="3" r:id="rId2"/>
  </sheets>
  <definedNames>
    <definedName name="bf">Steel!$C$3</definedName>
    <definedName name="h">Steel!$B$3</definedName>
    <definedName name="tf">Steel!$D$3</definedName>
    <definedName name="tw">Steel!$E$3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3" l="1"/>
  <c r="A32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M26" i="3"/>
  <c r="N26" i="3"/>
  <c r="O26" i="3"/>
  <c r="P26" i="3"/>
  <c r="L26" i="3"/>
  <c r="B32" i="3"/>
  <c r="B29" i="3"/>
  <c r="E25" i="3"/>
  <c r="D19" i="1"/>
  <c r="J11" i="3"/>
  <c r="K11" i="3"/>
  <c r="L11" i="3"/>
  <c r="M11" i="3"/>
  <c r="N11" i="3"/>
  <c r="D20" i="1"/>
  <c r="D8" i="3"/>
  <c r="A15" i="3"/>
  <c r="J7" i="3"/>
  <c r="K7" i="3"/>
  <c r="L7" i="3"/>
  <c r="M7" i="3"/>
  <c r="N7" i="3"/>
  <c r="J9" i="3"/>
  <c r="K9" i="3"/>
  <c r="L9" i="3"/>
  <c r="M9" i="3"/>
  <c r="N9" i="3"/>
  <c r="J10" i="3"/>
  <c r="K10" i="3"/>
  <c r="L10" i="3"/>
  <c r="M10" i="3"/>
  <c r="N10" i="3"/>
  <c r="J8" i="3"/>
  <c r="K8" i="3"/>
  <c r="L8" i="3"/>
  <c r="M8" i="3"/>
  <c r="N8" i="3"/>
  <c r="D11" i="3"/>
  <c r="B19" i="3"/>
  <c r="A19" i="3"/>
  <c r="B15" i="3"/>
  <c r="F3" i="3"/>
  <c r="F8" i="3" s="1"/>
  <c r="G3" i="3"/>
  <c r="A11" i="3" s="1"/>
  <c r="E3" i="3"/>
  <c r="D3" i="3"/>
  <c r="C3" i="3"/>
  <c r="C29" i="3" s="1"/>
  <c r="F28" i="3" s="1"/>
  <c r="G28" i="3" s="1"/>
  <c r="H28" i="3" s="1"/>
  <c r="A17" i="1"/>
  <c r="B8" i="1"/>
  <c r="E5" i="1"/>
  <c r="B6" i="1"/>
  <c r="B7" i="1" s="1"/>
  <c r="I28" i="3" l="1"/>
  <c r="F29" i="3" s="1"/>
  <c r="B11" i="3"/>
  <c r="E11" i="3" s="1"/>
  <c r="B8" i="3"/>
  <c r="C15" i="3"/>
  <c r="C19" i="3"/>
  <c r="E17" i="1"/>
  <c r="B17" i="1"/>
  <c r="C17" i="1" s="1"/>
  <c r="G17" i="1" s="1"/>
  <c r="D17" i="1"/>
  <c r="F17" i="1" s="1"/>
  <c r="G29" i="3" l="1"/>
  <c r="H29" i="3" s="1"/>
  <c r="I29" i="3" s="1"/>
  <c r="F30" i="3" s="1"/>
  <c r="G30" i="3" s="1"/>
  <c r="H30" i="3" s="1"/>
  <c r="I30" i="3" s="1"/>
  <c r="F31" i="3" s="1"/>
  <c r="G31" i="3" s="1"/>
  <c r="H31" i="3" s="1"/>
  <c r="I31" i="3" s="1"/>
  <c r="F32" i="3" s="1"/>
  <c r="D19" i="3"/>
  <c r="E19" i="3" s="1"/>
  <c r="F19" i="3"/>
  <c r="D15" i="3"/>
  <c r="E15" i="3" s="1"/>
  <c r="F15" i="3"/>
  <c r="G32" i="3" l="1"/>
  <c r="H32" i="3" s="1"/>
  <c r="I32" i="3" s="1"/>
  <c r="F33" i="3" s="1"/>
  <c r="G33" i="3" l="1"/>
  <c r="H33" i="3" s="1"/>
  <c r="I33" i="3" s="1"/>
  <c r="F34" i="3" s="1"/>
  <c r="G34" i="3" l="1"/>
  <c r="H34" i="3" s="1"/>
  <c r="I34" i="3" s="1"/>
  <c r="F35" i="3" s="1"/>
  <c r="G35" i="3" l="1"/>
  <c r="H35" i="3" s="1"/>
  <c r="I35" i="3" s="1"/>
  <c r="F36" i="3" s="1"/>
  <c r="G36" i="3" l="1"/>
  <c r="H36" i="3" s="1"/>
  <c r="I36" i="3" s="1"/>
  <c r="F37" i="3" s="1"/>
  <c r="G37" i="3" l="1"/>
  <c r="H37" i="3" s="1"/>
  <c r="I37" i="3" s="1"/>
  <c r="F38" i="3" s="1"/>
  <c r="G38" i="3" l="1"/>
  <c r="H38" i="3" s="1"/>
  <c r="I38" i="3" s="1"/>
  <c r="B3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Samyak</author>
  </authors>
  <commentList>
    <comment ref="F7" authorId="0" shapeId="0" xr:uid="{A94A0C6E-5B0B-4D0F-B511-9E983DEA732B}">
      <text>
        <r>
          <rPr>
            <b/>
            <sz val="9"/>
            <color indexed="81"/>
            <rFont val="Tahoma"/>
            <charset val="1"/>
          </rPr>
          <t>Samyak:</t>
        </r>
        <r>
          <rPr>
            <sz val="9"/>
            <color indexed="81"/>
            <rFont val="Tahoma"/>
            <charset val="1"/>
          </rPr>
          <t xml:space="preserve">
for concrete failure</t>
        </r>
      </text>
    </comment>
  </commentList>
</comments>
</file>

<file path=xl/sharedStrings.xml><?xml version="1.0" encoding="utf-8"?>
<sst xmlns="http://schemas.openxmlformats.org/spreadsheetml/2006/main" count="91" uniqueCount="76">
  <si>
    <t>I - section</t>
  </si>
  <si>
    <t>Section modulus</t>
  </si>
  <si>
    <t>h</t>
  </si>
  <si>
    <t>bf</t>
  </si>
  <si>
    <t>tf</t>
  </si>
  <si>
    <t>tw</t>
  </si>
  <si>
    <t>mm</t>
  </si>
  <si>
    <t>flanges</t>
  </si>
  <si>
    <t>web</t>
  </si>
  <si>
    <t>fy</t>
  </si>
  <si>
    <t>N/mm2</t>
  </si>
  <si>
    <t>b</t>
  </si>
  <si>
    <t>factor</t>
  </si>
  <si>
    <t>b/tf</t>
  </si>
  <si>
    <t>d/tw</t>
  </si>
  <si>
    <t>p.FOS</t>
  </si>
  <si>
    <t>kN-m</t>
  </si>
  <si>
    <t>Zpz(mm3)</t>
  </si>
  <si>
    <t>Plasitc</t>
  </si>
  <si>
    <t>Elastic</t>
  </si>
  <si>
    <t>Moment of Inertia</t>
  </si>
  <si>
    <t>Flanges</t>
  </si>
  <si>
    <t>total(mm4)</t>
  </si>
  <si>
    <t>Izz</t>
  </si>
  <si>
    <t>Zez(mm3)</t>
  </si>
  <si>
    <t>Design bending moment (elastic)</t>
  </si>
  <si>
    <t>Design bending moment (plastic)</t>
  </si>
  <si>
    <t>d</t>
  </si>
  <si>
    <t>z</t>
  </si>
  <si>
    <t>Determination of over or under-reinforced</t>
  </si>
  <si>
    <t>pt lim</t>
  </si>
  <si>
    <t>fck</t>
  </si>
  <si>
    <t>Ast lim</t>
  </si>
  <si>
    <t>Ast provided</t>
  </si>
  <si>
    <t>D</t>
  </si>
  <si>
    <t>pt lim*fy/fck</t>
  </si>
  <si>
    <t>xu/d lim</t>
  </si>
  <si>
    <t>j</t>
  </si>
  <si>
    <t>k1</t>
  </si>
  <si>
    <t>Mu lim</t>
  </si>
  <si>
    <t>k2 or Mu lim</t>
  </si>
  <si>
    <t>material properties</t>
  </si>
  <si>
    <t>geometry of beam</t>
  </si>
  <si>
    <t>T (N)</t>
  </si>
  <si>
    <t>xu</t>
  </si>
  <si>
    <t>C/xu (N/mm)</t>
  </si>
  <si>
    <t>xu (mm)</t>
  </si>
  <si>
    <t>IS 456</t>
  </si>
  <si>
    <t>ACI 318</t>
  </si>
  <si>
    <t>C/xu</t>
  </si>
  <si>
    <t>Mu (kNm)</t>
  </si>
  <si>
    <t>Mu(kNm)</t>
  </si>
  <si>
    <t>xu/d</t>
  </si>
  <si>
    <t>Ast min</t>
  </si>
  <si>
    <t>ReBar dia</t>
  </si>
  <si>
    <t>No of Rebar</t>
  </si>
  <si>
    <t>Rectangular beam, singly reinforced</t>
  </si>
  <si>
    <t>min d</t>
  </si>
  <si>
    <t>Mu req</t>
  </si>
  <si>
    <t>check spacing requirement</t>
  </si>
  <si>
    <t>add required moment calculation</t>
  </si>
  <si>
    <t>to do</t>
  </si>
  <si>
    <t>section moment calculation</t>
  </si>
  <si>
    <t>Rectangular beam, doubly reinforced</t>
  </si>
  <si>
    <t>d'</t>
  </si>
  <si>
    <t>cover (t)</t>
  </si>
  <si>
    <t>Compression reinforcement</t>
  </si>
  <si>
    <t>Tension reinforcement</t>
  </si>
  <si>
    <t>Asc provided</t>
  </si>
  <si>
    <t>Esc</t>
  </si>
  <si>
    <t>fsc</t>
  </si>
  <si>
    <t>fcc</t>
  </si>
  <si>
    <t>fst</t>
  </si>
  <si>
    <t>xu lim</t>
  </si>
  <si>
    <t>Mn</t>
  </si>
  <si>
    <t>kNm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</si>
</sst>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0.0000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1" xfId="0" applyBorder="1" applyAlignment="1">
      <alignment horizontal="centerContinuous" vertical="top"/>
    </xf>
    <xf numFmtId="0" fontId="0" fillId="0" borderId="1" xfId="0" applyBorder="1" applyAlignment="1">
      <alignment horizontal="centerContinuous"/>
    </xf>
    <xf numFmtId="0" fontId="0" fillId="0" borderId="1" xfId="0" applyBorder="1"/>
    <xf numFmtId="2" fontId="0" fillId="0" borderId="0" xfId="0" applyNumberFormat="1"/>
    <xf numFmtId="0" fontId="0" fillId="0" borderId="1" xfId="0" applyFill="1" applyBorder="1"/>
    <xf numFmtId="0" fontId="0" fillId="0" borderId="1" xfId="0" applyBorder="1" applyAlignment="1"/>
    <xf numFmtId="0" fontId="0" fillId="0" borderId="2" xfId="0" applyBorder="1"/>
    <xf numFmtId="2" fontId="0" fillId="0" borderId="0" xfId="0" applyNumberFormat="1" applyBorder="1"/>
    <xf numFmtId="0" fontId="0" fillId="0" borderId="0" xfId="0" applyBorder="1"/>
    <xf numFmtId="0" fontId="0" fillId="0" borderId="3" xfId="0" applyBorder="1"/>
    <xf numFmtId="2" fontId="0" fillId="0" borderId="1" xfId="0" applyNumberFormat="1" applyBorder="1"/>
    <xf numFmtId="0" fontId="0" fillId="0" borderId="4" xfId="0" applyBorder="1"/>
    <xf numFmtId="0" fontId="0" fillId="0" borderId="5" xfId="0" applyBorder="1"/>
    <xf numFmtId="2" fontId="0" fillId="0" borderId="3" xfId="0" applyNumberFormat="1" applyBorder="1"/>
    <xf numFmtId="2" fontId="0" fillId="0" borderId="2" xfId="0" applyNumberFormat="1" applyBorder="1"/>
    <xf numFmtId="0" fontId="0" fillId="0" borderId="0" xfId="0" applyFill="1" applyBorder="1"/>
    <xf numFmtId="164" fontId="3" fillId="0" borderId="3" xfId="0" applyNumberFormat="1" applyFont="1" applyFill="1" applyBorder="1"/>
    <xf numFmtId="164" fontId="0" fillId="0" borderId="3" xfId="0" applyNumberFormat="1" applyFill="1" applyBorder="1"/>
    <xf numFmtId="0" fontId="4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9" xfId="0" applyFont="1" applyBorder="1"/>
    <xf numFmtId="2" fontId="0" fillId="0" borderId="9" xfId="0" applyNumberFormat="1" applyBorder="1"/>
    <xf numFmtId="2" fontId="4" fillId="0" borderId="9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8" fontId="0" fillId="0" borderId="0" xfId="0" applyNumberFormat="1"/>
    <xf numFmtId="170" fontId="0" fillId="0" borderId="0" xfId="0" applyNumberFormat="1"/>
    <xf numFmtId="168" fontId="0" fillId="0" borderId="0" xfId="0" applyNumberFormat="1" applyBorder="1"/>
    <xf numFmtId="170" fontId="0" fillId="0" borderId="0" xfId="0" applyNumberFormat="1" applyBorder="1"/>
    <xf numFmtId="2" fontId="0" fillId="0" borderId="10" xfId="0" applyNumberFormat="1" applyBorder="1"/>
    <xf numFmtId="2" fontId="0" fillId="0" borderId="18" xfId="0" applyNumberFormat="1" applyBorder="1"/>
    <xf numFmtId="168" fontId="0" fillId="0" borderId="18" xfId="0" applyNumberFormat="1" applyBorder="1"/>
    <xf numFmtId="170" fontId="0" fillId="0" borderId="18" xfId="0" applyNumberFormat="1" applyBorder="1"/>
    <xf numFmtId="2" fontId="0" fillId="0" borderId="19" xfId="0" applyNumberFormat="1" applyBorder="1"/>
    <xf numFmtId="0" fontId="0" fillId="0" borderId="20" xfId="0" applyBorder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E4D9-1589-4431-9721-01E177761848}">
  <dimension ref="A1:I20"/>
  <sheetViews>
    <sheetView workbookViewId="0">
      <selection activeCell="D19" sqref="D19"/>
    </sheetView>
  </sheetViews>
  <sheetFormatPr defaultRowHeight="15" x14ac:dyDescent="0.25"/>
  <cols>
    <col min="1" max="1" width="10.5703125" customWidth="1"/>
    <col min="3" max="3" width="11" bestFit="1" customWidth="1"/>
    <col min="4" max="4" width="12" bestFit="1" customWidth="1"/>
    <col min="6" max="6" width="9.85546875" bestFit="1" customWidth="1"/>
    <col min="7" max="7" width="12" bestFit="1" customWidth="1"/>
  </cols>
  <sheetData>
    <row r="1" spans="1:9" x14ac:dyDescent="0.25">
      <c r="A1" t="s">
        <v>0</v>
      </c>
    </row>
    <row r="2" spans="1:9" x14ac:dyDescent="0.25">
      <c r="A2" s="6"/>
      <c r="B2" s="6" t="s">
        <v>2</v>
      </c>
      <c r="C2" s="6" t="s">
        <v>3</v>
      </c>
      <c r="D2" s="6" t="s">
        <v>4</v>
      </c>
      <c r="E2" s="9" t="s">
        <v>5</v>
      </c>
      <c r="F2" s="3"/>
      <c r="G2" s="3"/>
    </row>
    <row r="3" spans="1:9" x14ac:dyDescent="0.25">
      <c r="A3" s="6"/>
      <c r="B3" s="6">
        <v>300</v>
      </c>
      <c r="C3" s="6">
        <v>140</v>
      </c>
      <c r="D3" s="6">
        <v>12.4</v>
      </c>
      <c r="E3" s="6">
        <v>7.5</v>
      </c>
      <c r="F3" t="s">
        <v>6</v>
      </c>
    </row>
    <row r="5" spans="1:9" x14ac:dyDescent="0.25">
      <c r="A5" t="s">
        <v>9</v>
      </c>
      <c r="B5">
        <v>250</v>
      </c>
      <c r="C5" t="s">
        <v>10</v>
      </c>
      <c r="D5" t="s">
        <v>12</v>
      </c>
      <c r="E5">
        <f>SQRT(250/B5)</f>
        <v>1</v>
      </c>
    </row>
    <row r="6" spans="1:9" x14ac:dyDescent="0.25">
      <c r="A6" t="s">
        <v>11</v>
      </c>
      <c r="B6">
        <f>bf/2-tw/2</f>
        <v>66.25</v>
      </c>
    </row>
    <row r="7" spans="1:9" x14ac:dyDescent="0.25">
      <c r="A7" t="s">
        <v>13</v>
      </c>
      <c r="B7" s="7">
        <f>B6/tf</f>
        <v>5.342741935483871</v>
      </c>
    </row>
    <row r="8" spans="1:9" x14ac:dyDescent="0.25">
      <c r="A8" t="s">
        <v>14</v>
      </c>
      <c r="B8" s="7">
        <f>(h-tf*2)/tw</f>
        <v>36.693333333333335</v>
      </c>
    </row>
    <row r="10" spans="1:9" x14ac:dyDescent="0.25">
      <c r="A10" t="s">
        <v>15</v>
      </c>
      <c r="B10">
        <v>1.1000000000000001</v>
      </c>
    </row>
    <row r="14" spans="1:9" x14ac:dyDescent="0.25">
      <c r="A14" s="5" t="s">
        <v>20</v>
      </c>
      <c r="B14" s="5"/>
      <c r="C14" s="5"/>
      <c r="D14" s="4" t="s">
        <v>1</v>
      </c>
      <c r="E14" s="4"/>
      <c r="F14" s="4"/>
      <c r="G14" s="4"/>
      <c r="H14" s="2"/>
      <c r="I14" s="2"/>
    </row>
    <row r="15" spans="1:9" x14ac:dyDescent="0.25">
      <c r="A15" s="5" t="s">
        <v>23</v>
      </c>
      <c r="B15" s="1"/>
      <c r="C15" s="5"/>
      <c r="D15" s="5" t="s">
        <v>18</v>
      </c>
      <c r="E15" s="5"/>
      <c r="F15" s="5"/>
      <c r="G15" s="6" t="s">
        <v>19</v>
      </c>
    </row>
    <row r="16" spans="1:9" x14ac:dyDescent="0.25">
      <c r="A16" s="6" t="s">
        <v>21</v>
      </c>
      <c r="B16" s="6" t="s">
        <v>8</v>
      </c>
      <c r="C16" s="6" t="s">
        <v>22</v>
      </c>
      <c r="D16" s="6" t="s">
        <v>7</v>
      </c>
      <c r="E16" s="6" t="s">
        <v>8</v>
      </c>
      <c r="F16" s="6" t="s">
        <v>17</v>
      </c>
      <c r="G16" s="8" t="s">
        <v>24</v>
      </c>
    </row>
    <row r="17" spans="1:7" x14ac:dyDescent="0.25">
      <c r="A17" s="6">
        <f>2*(tf^3*bf/12+tf*bf*(h/2-tf/2)^2)</f>
        <v>71840031.573333338</v>
      </c>
      <c r="B17" s="6">
        <f>tw*(h-2*tf)^3/12</f>
        <v>13026426.879999997</v>
      </c>
      <c r="C17" s="6">
        <f>A17+B17</f>
        <v>84866458.453333333</v>
      </c>
      <c r="D17" s="6">
        <f>2*(bf*tf)*(h/2-tf/2)</f>
        <v>499273.60000000003</v>
      </c>
      <c r="E17" s="6">
        <f>2*((h/2-tf)*tw*(h/2-tf)/2)</f>
        <v>142003.19999999998</v>
      </c>
      <c r="F17" s="6">
        <f>D17+E17</f>
        <v>641276.80000000005</v>
      </c>
      <c r="G17" s="6">
        <f>C17/(h/2)</f>
        <v>565776.38968888891</v>
      </c>
    </row>
    <row r="19" spans="1:7" x14ac:dyDescent="0.25">
      <c r="A19" t="s">
        <v>25</v>
      </c>
      <c r="D19" s="7">
        <f>G17*B5/B10/1000000</f>
        <v>128.58554311111109</v>
      </c>
      <c r="E19" t="s">
        <v>16</v>
      </c>
    </row>
    <row r="20" spans="1:7" x14ac:dyDescent="0.25">
      <c r="A20" t="s">
        <v>26</v>
      </c>
      <c r="D20" s="7">
        <f>F17*B5/B10/1000000</f>
        <v>145.74472727272726</v>
      </c>
      <c r="E20" t="s">
        <v>16</v>
      </c>
    </row>
  </sheetData>
  <dataValidations count="1">
    <dataValidation type="list" allowBlank="1" showInputMessage="1" showErrorMessage="1" sqref="B5" xr:uid="{A1166A67-8420-4932-9D5D-419274125AD9}">
      <formula1>"250,415,500"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584A-E401-4C04-B945-1304245BCBFF}">
  <dimension ref="A1:R46"/>
  <sheetViews>
    <sheetView tabSelected="1" topLeftCell="A13" workbookViewId="0">
      <selection activeCell="A3" sqref="A3"/>
    </sheetView>
  </sheetViews>
  <sheetFormatPr defaultRowHeight="15" x14ac:dyDescent="0.25"/>
  <cols>
    <col min="1" max="1" width="9.5703125" bestFit="1" customWidth="1"/>
    <col min="2" max="2" width="13" customWidth="1"/>
    <col min="3" max="3" width="11.85546875" customWidth="1"/>
    <col min="4" max="4" width="7.7109375" bestFit="1" customWidth="1"/>
    <col min="6" max="6" width="11.85546875" bestFit="1" customWidth="1"/>
    <col min="10" max="10" width="11" customWidth="1"/>
  </cols>
  <sheetData>
    <row r="1" spans="1:18" x14ac:dyDescent="0.25">
      <c r="A1" s="22" t="s">
        <v>41</v>
      </c>
    </row>
    <row r="2" spans="1:18" x14ac:dyDescent="0.25">
      <c r="A2" t="s">
        <v>31</v>
      </c>
      <c r="B2" t="s">
        <v>9</v>
      </c>
      <c r="C2" t="s">
        <v>36</v>
      </c>
      <c r="D2" t="s">
        <v>37</v>
      </c>
      <c r="E2" t="s">
        <v>38</v>
      </c>
      <c r="F2" t="s">
        <v>40</v>
      </c>
      <c r="G2" t="s">
        <v>35</v>
      </c>
    </row>
    <row r="3" spans="1:18" x14ac:dyDescent="0.25">
      <c r="A3">
        <v>20</v>
      </c>
      <c r="B3">
        <v>415</v>
      </c>
      <c r="C3">
        <f>IF($B$3=0.25,0.531,IF($B$3=415,0.479,0.456))</f>
        <v>0.47899999999999998</v>
      </c>
      <c r="D3">
        <f>IF($B$3=0.25,0.78,IF($B$3=415,0.8,0.81))</f>
        <v>0.8</v>
      </c>
      <c r="E3">
        <f>IF($B$3=0.25,0.191,IF($B$3=415,0.172,0.164))</f>
        <v>0.17199999999999999</v>
      </c>
      <c r="F3">
        <f>IF($B$3=0.25,0.149,IF($B$3=415,0.138,0.133))</f>
        <v>0.13800000000000001</v>
      </c>
      <c r="G3">
        <f>IF($B$3=0.25,21.97,IF($B$3=415,19.82,18.87))</f>
        <v>19.82</v>
      </c>
    </row>
    <row r="4" spans="1:18" ht="15.75" thickBot="1" x14ac:dyDescent="0.3">
      <c r="A4" s="22" t="s">
        <v>42</v>
      </c>
      <c r="R4" t="s">
        <v>61</v>
      </c>
    </row>
    <row r="5" spans="1:18" x14ac:dyDescent="0.25">
      <c r="A5" s="23" t="s">
        <v>56</v>
      </c>
      <c r="B5" s="24"/>
      <c r="C5" s="24"/>
      <c r="D5" s="24"/>
      <c r="E5" s="24"/>
      <c r="F5" s="25"/>
      <c r="I5" s="16"/>
      <c r="J5" s="5" t="s">
        <v>54</v>
      </c>
      <c r="K5" s="5"/>
      <c r="L5" s="5"/>
      <c r="M5" s="5"/>
      <c r="N5" s="5"/>
      <c r="P5" t="s">
        <v>59</v>
      </c>
    </row>
    <row r="6" spans="1:18" x14ac:dyDescent="0.25">
      <c r="A6" s="26"/>
      <c r="B6" s="12"/>
      <c r="C6" s="12"/>
      <c r="D6" s="12"/>
      <c r="E6" s="12"/>
      <c r="F6" s="27"/>
      <c r="I6" s="15" t="s">
        <v>55</v>
      </c>
      <c r="J6" s="6">
        <v>12</v>
      </c>
      <c r="K6" s="6">
        <v>16</v>
      </c>
      <c r="L6" s="6">
        <v>20</v>
      </c>
      <c r="M6" s="6">
        <v>25</v>
      </c>
      <c r="N6" s="6">
        <v>32</v>
      </c>
      <c r="P6" t="s">
        <v>60</v>
      </c>
    </row>
    <row r="7" spans="1:18" x14ac:dyDescent="0.25">
      <c r="A7" s="26" t="s">
        <v>11</v>
      </c>
      <c r="B7" s="19" t="s">
        <v>57</v>
      </c>
      <c r="C7" s="12" t="s">
        <v>27</v>
      </c>
      <c r="D7" s="12" t="s">
        <v>34</v>
      </c>
      <c r="E7" s="12" t="s">
        <v>58</v>
      </c>
      <c r="F7" s="27" t="s">
        <v>39</v>
      </c>
      <c r="I7" s="15">
        <v>2</v>
      </c>
      <c r="J7" s="14">
        <f t="shared" ref="J7:N11" si="0">PI()*J$6^2/4*$I7</f>
        <v>226.1946710584651</v>
      </c>
      <c r="K7" s="14">
        <f t="shared" si="0"/>
        <v>402.12385965949352</v>
      </c>
      <c r="L7" s="14">
        <f t="shared" si="0"/>
        <v>628.31853071795865</v>
      </c>
      <c r="M7" s="14">
        <f t="shared" si="0"/>
        <v>981.74770424681037</v>
      </c>
      <c r="N7" s="14">
        <f t="shared" si="0"/>
        <v>1608.4954386379741</v>
      </c>
    </row>
    <row r="8" spans="1:18" x14ac:dyDescent="0.25">
      <c r="A8" s="28">
        <v>230</v>
      </c>
      <c r="B8" s="11">
        <f>SQRT(E8*1000000/(F3*A3*A8))</f>
        <v>627.55464042350627</v>
      </c>
      <c r="C8" s="6">
        <v>675</v>
      </c>
      <c r="D8" s="12">
        <f>C8+50</f>
        <v>725</v>
      </c>
      <c r="E8" s="12">
        <v>250</v>
      </c>
      <c r="F8" s="27">
        <f>F3*A3*A8*C8^2/1000000</f>
        <v>289.23075000000006</v>
      </c>
      <c r="I8" s="6">
        <v>3</v>
      </c>
      <c r="J8" s="14">
        <f t="shared" si="0"/>
        <v>339.29200658769764</v>
      </c>
      <c r="K8" s="14">
        <f t="shared" si="0"/>
        <v>603.18578948924028</v>
      </c>
      <c r="L8" s="14">
        <f t="shared" si="0"/>
        <v>942.47779607693792</v>
      </c>
      <c r="M8" s="14">
        <f t="shared" si="0"/>
        <v>1472.6215563702156</v>
      </c>
      <c r="N8" s="14">
        <f t="shared" si="0"/>
        <v>2412.7431579569611</v>
      </c>
    </row>
    <row r="9" spans="1:18" x14ac:dyDescent="0.25">
      <c r="A9" s="29" t="s">
        <v>29</v>
      </c>
      <c r="B9" s="12"/>
      <c r="C9" s="12"/>
      <c r="D9" s="12"/>
      <c r="E9" s="12"/>
      <c r="F9" s="27"/>
      <c r="I9" s="6">
        <v>4</v>
      </c>
      <c r="J9" s="14">
        <f t="shared" si="0"/>
        <v>452.38934211693021</v>
      </c>
      <c r="K9" s="14">
        <f t="shared" si="0"/>
        <v>804.24771931898704</v>
      </c>
      <c r="L9" s="14">
        <f t="shared" si="0"/>
        <v>1256.6370614359173</v>
      </c>
      <c r="M9" s="14">
        <f t="shared" si="0"/>
        <v>1963.4954084936207</v>
      </c>
      <c r="N9" s="14">
        <f t="shared" si="0"/>
        <v>3216.9908772759482</v>
      </c>
    </row>
    <row r="10" spans="1:18" x14ac:dyDescent="0.25">
      <c r="A10" s="26" t="s">
        <v>30</v>
      </c>
      <c r="B10" s="12" t="s">
        <v>32</v>
      </c>
      <c r="C10" s="12" t="s">
        <v>33</v>
      </c>
      <c r="D10" s="12" t="s">
        <v>53</v>
      </c>
      <c r="E10" s="12"/>
      <c r="F10" s="27"/>
      <c r="I10" s="6">
        <v>5</v>
      </c>
      <c r="J10" s="14">
        <f t="shared" si="0"/>
        <v>565.48667764616278</v>
      </c>
      <c r="K10" s="14">
        <f t="shared" si="0"/>
        <v>1005.3096491487338</v>
      </c>
      <c r="L10" s="14">
        <f t="shared" si="0"/>
        <v>1570.7963267948967</v>
      </c>
      <c r="M10" s="14">
        <f t="shared" si="0"/>
        <v>2454.3692606170262</v>
      </c>
      <c r="N10" s="14">
        <f t="shared" si="0"/>
        <v>4021.2385965949352</v>
      </c>
    </row>
    <row r="11" spans="1:18" x14ac:dyDescent="0.25">
      <c r="A11" s="30">
        <f>G3*A3/B3</f>
        <v>0.95518072289156619</v>
      </c>
      <c r="B11" s="11">
        <f>A11/100*A8*C8</f>
        <v>1482.9180722891565</v>
      </c>
      <c r="C11" s="14">
        <v>1256.6400000000001</v>
      </c>
      <c r="D11" s="11">
        <f>MAX(0.25*SQRT(A3)/B3,1.4/B3)*A8*C8</f>
        <v>523.73493975903614</v>
      </c>
      <c r="E11" s="12" t="str">
        <f>IF(C11&lt;B11, "under-reinforced","over-reinforced")</f>
        <v>under-reinforced</v>
      </c>
      <c r="F11" s="27"/>
      <c r="I11" s="15">
        <v>6</v>
      </c>
      <c r="J11" s="14">
        <f t="shared" si="0"/>
        <v>678.58401317539528</v>
      </c>
      <c r="K11" s="14">
        <f t="shared" si="0"/>
        <v>1206.3715789784806</v>
      </c>
      <c r="L11" s="14">
        <f t="shared" si="0"/>
        <v>1884.9555921538758</v>
      </c>
      <c r="M11" s="14">
        <f t="shared" si="0"/>
        <v>2945.2431127404311</v>
      </c>
      <c r="N11" s="14">
        <f t="shared" si="0"/>
        <v>4825.4863159139222</v>
      </c>
    </row>
    <row r="12" spans="1:18" x14ac:dyDescent="0.25">
      <c r="A12" s="31" t="s">
        <v>62</v>
      </c>
      <c r="B12" s="11"/>
      <c r="C12" s="12"/>
      <c r="D12" s="12"/>
      <c r="E12" s="12"/>
      <c r="F12" s="27"/>
    </row>
    <row r="13" spans="1:18" x14ac:dyDescent="0.25">
      <c r="A13" s="32"/>
      <c r="B13" s="10" t="s">
        <v>47</v>
      </c>
      <c r="C13" s="10"/>
      <c r="D13" s="10"/>
      <c r="E13" s="10"/>
      <c r="F13" s="33"/>
    </row>
    <row r="14" spans="1:18" x14ac:dyDescent="0.25">
      <c r="A14" s="32" t="s">
        <v>43</v>
      </c>
      <c r="B14" s="10" t="s">
        <v>45</v>
      </c>
      <c r="C14" s="10" t="s">
        <v>46</v>
      </c>
      <c r="D14" s="10" t="s">
        <v>28</v>
      </c>
      <c r="E14" s="10" t="s">
        <v>50</v>
      </c>
      <c r="F14" s="34" t="s">
        <v>52</v>
      </c>
    </row>
    <row r="15" spans="1:18" x14ac:dyDescent="0.25">
      <c r="A15" s="35">
        <f>0.87*B3*C11</f>
        <v>453709.87200000003</v>
      </c>
      <c r="B15" s="13">
        <f>0.36*A3*A8</f>
        <v>1655.9999999999998</v>
      </c>
      <c r="C15" s="17">
        <f>A15/B15</f>
        <v>273.97939130434787</v>
      </c>
      <c r="D15" s="17">
        <f>C8*(1-0.416*C15/C8)</f>
        <v>561.02457321739132</v>
      </c>
      <c r="E15" s="20">
        <f>A15*D15/1000000</f>
        <v>254.54238730331724</v>
      </c>
      <c r="F15" s="36">
        <f>C15/C8</f>
        <v>0.40589539452495982</v>
      </c>
    </row>
    <row r="16" spans="1:18" x14ac:dyDescent="0.25">
      <c r="A16" s="26"/>
      <c r="B16" s="12"/>
      <c r="C16" s="11"/>
      <c r="D16" s="12"/>
      <c r="E16" s="12"/>
      <c r="F16" s="27"/>
    </row>
    <row r="17" spans="1:16" x14ac:dyDescent="0.25">
      <c r="A17" s="32"/>
      <c r="B17" s="10" t="s">
        <v>48</v>
      </c>
      <c r="C17" s="18"/>
      <c r="D17" s="10"/>
      <c r="E17" s="10"/>
      <c r="F17" s="33"/>
    </row>
    <row r="18" spans="1:16" x14ac:dyDescent="0.25">
      <c r="A18" s="32" t="s">
        <v>43</v>
      </c>
      <c r="B18" s="10" t="s">
        <v>49</v>
      </c>
      <c r="C18" s="18" t="s">
        <v>44</v>
      </c>
      <c r="D18" s="10" t="s">
        <v>28</v>
      </c>
      <c r="E18" s="10" t="s">
        <v>51</v>
      </c>
      <c r="F18" s="34" t="s">
        <v>52</v>
      </c>
    </row>
    <row r="19" spans="1:16" x14ac:dyDescent="0.25">
      <c r="A19" s="35">
        <f>0.87*B3*C11</f>
        <v>453709.87200000003</v>
      </c>
      <c r="B19" s="13">
        <f>0.45*A3*A8</f>
        <v>2070</v>
      </c>
      <c r="C19" s="17">
        <f>A19/B19</f>
        <v>219.18351304347829</v>
      </c>
      <c r="D19" s="17">
        <f>C8-C19/2</f>
        <v>565.40824347826083</v>
      </c>
      <c r="E19" s="21">
        <f>A19*D19/1000000</f>
        <v>256.53130177626656</v>
      </c>
      <c r="F19" s="36">
        <f>C19/C8</f>
        <v>0.32471631561996783</v>
      </c>
    </row>
    <row r="20" spans="1:16" ht="15.75" thickBot="1" x14ac:dyDescent="0.3">
      <c r="A20" s="37"/>
      <c r="B20" s="38"/>
      <c r="C20" s="38"/>
      <c r="D20" s="38"/>
      <c r="E20" s="38"/>
      <c r="F20" s="39"/>
    </row>
    <row r="21" spans="1:16" ht="15.75" thickBot="1" x14ac:dyDescent="0.3"/>
    <row r="22" spans="1:16" x14ac:dyDescent="0.25">
      <c r="A22" s="23" t="s">
        <v>63</v>
      </c>
      <c r="B22" s="24"/>
      <c r="C22" s="24"/>
      <c r="D22" s="24"/>
      <c r="E22" s="24"/>
      <c r="F22" s="24"/>
      <c r="G22" s="24"/>
      <c r="H22" s="24"/>
      <c r="I22" s="25"/>
    </row>
    <row r="23" spans="1:16" x14ac:dyDescent="0.25">
      <c r="A23" s="26"/>
      <c r="B23" s="12"/>
      <c r="C23" s="12"/>
      <c r="D23" s="12"/>
      <c r="E23" s="12"/>
      <c r="F23" s="12"/>
      <c r="G23" s="12"/>
      <c r="H23" s="12"/>
      <c r="I23" s="27"/>
    </row>
    <row r="24" spans="1:16" x14ac:dyDescent="0.25">
      <c r="A24" s="26" t="s">
        <v>11</v>
      </c>
      <c r="B24" s="12" t="s">
        <v>27</v>
      </c>
      <c r="C24" s="12" t="s">
        <v>64</v>
      </c>
      <c r="D24" s="12" t="s">
        <v>65</v>
      </c>
      <c r="E24" s="12" t="s">
        <v>34</v>
      </c>
      <c r="F24" s="12"/>
      <c r="G24" s="12"/>
      <c r="H24" s="12"/>
      <c r="I24" s="27"/>
      <c r="K24" s="16"/>
      <c r="L24" s="5" t="s">
        <v>54</v>
      </c>
      <c r="M24" s="5"/>
      <c r="N24" s="5"/>
      <c r="O24" s="5"/>
      <c r="P24" s="5"/>
    </row>
    <row r="25" spans="1:16" x14ac:dyDescent="0.25">
      <c r="A25" s="26">
        <v>230</v>
      </c>
      <c r="B25" s="6">
        <v>500</v>
      </c>
      <c r="C25" s="12">
        <v>30</v>
      </c>
      <c r="D25" s="12">
        <v>50</v>
      </c>
      <c r="E25" s="12">
        <f>B25+D25</f>
        <v>550</v>
      </c>
      <c r="F25" s="12"/>
      <c r="G25" s="12"/>
      <c r="H25" s="12"/>
      <c r="I25" s="27"/>
      <c r="K25" s="15" t="s">
        <v>55</v>
      </c>
      <c r="L25" s="6">
        <v>12</v>
      </c>
      <c r="M25" s="6">
        <v>16</v>
      </c>
      <c r="N25" s="6">
        <v>20</v>
      </c>
      <c r="O25" s="6">
        <v>25</v>
      </c>
      <c r="P25" s="6">
        <v>32</v>
      </c>
    </row>
    <row r="26" spans="1:16" x14ac:dyDescent="0.25">
      <c r="A26" s="26"/>
      <c r="B26" s="12"/>
      <c r="C26" s="12"/>
      <c r="D26" s="12"/>
      <c r="E26" s="12"/>
      <c r="F26" s="12"/>
      <c r="G26" s="12"/>
      <c r="H26" s="12"/>
      <c r="I26" s="27"/>
      <c r="K26" s="15">
        <v>2</v>
      </c>
      <c r="L26" s="14">
        <f>PI()*L$25^2/4*$K26</f>
        <v>226.1946710584651</v>
      </c>
      <c r="M26" s="14">
        <f t="shared" ref="M26:P30" si="1">PI()*M$25^2/4*$K26</f>
        <v>402.12385965949352</v>
      </c>
      <c r="N26" s="14">
        <f t="shared" si="1"/>
        <v>628.31853071795865</v>
      </c>
      <c r="O26" s="14">
        <f t="shared" si="1"/>
        <v>981.74770424681037</v>
      </c>
      <c r="P26" s="14">
        <f t="shared" si="1"/>
        <v>1608.4954386379741</v>
      </c>
    </row>
    <row r="27" spans="1:16" x14ac:dyDescent="0.25">
      <c r="A27" s="26" t="s">
        <v>66</v>
      </c>
      <c r="B27" s="12"/>
      <c r="C27" s="12"/>
      <c r="D27" s="12"/>
      <c r="E27" s="12"/>
      <c r="F27" s="13" t="s">
        <v>44</v>
      </c>
      <c r="G27" s="13" t="s">
        <v>69</v>
      </c>
      <c r="H27" s="13" t="s">
        <v>70</v>
      </c>
      <c r="I27" s="49" t="s">
        <v>44</v>
      </c>
      <c r="K27" s="6">
        <v>3</v>
      </c>
      <c r="L27" s="14">
        <f t="shared" ref="L27:L30" si="2">PI()*L$25^2/4*$K27</f>
        <v>339.29200658769764</v>
      </c>
      <c r="M27" s="14">
        <f t="shared" si="1"/>
        <v>603.18578948924028</v>
      </c>
      <c r="N27" s="14">
        <f t="shared" si="1"/>
        <v>942.47779607693792</v>
      </c>
      <c r="O27" s="14">
        <f t="shared" si="1"/>
        <v>1472.6215563702156</v>
      </c>
      <c r="P27" s="14">
        <f t="shared" si="1"/>
        <v>2412.7431579569611</v>
      </c>
    </row>
    <row r="28" spans="1:16" x14ac:dyDescent="0.25">
      <c r="A28" s="26" t="s">
        <v>68</v>
      </c>
      <c r="B28" s="12" t="s">
        <v>71</v>
      </c>
      <c r="C28" s="12" t="s">
        <v>73</v>
      </c>
      <c r="D28" s="12"/>
      <c r="E28" s="12"/>
      <c r="F28" s="12">
        <f>C29</f>
        <v>239.5</v>
      </c>
      <c r="G28" s="42">
        <f>0.0035*(F28-$C$25)/F28</f>
        <v>3.0615866388308982E-3</v>
      </c>
      <c r="H28" s="43">
        <f>IF($B$3=415,-109.1569+537276.6*G28-250905000*G28^2+55282490000*G28^3-4709357000000*G28^4,1707.624-2356626*G28-1444077000*G28^2+366690400000*G28^3-33180890000000*G28^4)</f>
        <v>356.6447401411944</v>
      </c>
      <c r="I28" s="44">
        <f>($A$32*$B$32-(H28-$B$29)*$A$29)/(0.36*$A$3*$A$25)</f>
        <v>173.60825454972272</v>
      </c>
      <c r="K28" s="6">
        <v>4</v>
      </c>
      <c r="L28" s="14">
        <f t="shared" si="2"/>
        <v>452.38934211693021</v>
      </c>
      <c r="M28" s="14">
        <f t="shared" si="1"/>
        <v>804.24771931898704</v>
      </c>
      <c r="N28" s="14">
        <f t="shared" si="1"/>
        <v>1256.6370614359173</v>
      </c>
      <c r="O28" s="14">
        <f t="shared" si="1"/>
        <v>1963.4954084936207</v>
      </c>
      <c r="P28" s="14">
        <f t="shared" si="1"/>
        <v>3216.9908772759482</v>
      </c>
    </row>
    <row r="29" spans="1:16" x14ac:dyDescent="0.25">
      <c r="A29" s="14">
        <f>M28</f>
        <v>804.24771931898704</v>
      </c>
      <c r="B29" s="12">
        <f>0.447*A3</f>
        <v>8.94</v>
      </c>
      <c r="C29" s="12">
        <f>C3*B25</f>
        <v>239.5</v>
      </c>
      <c r="D29" s="12"/>
      <c r="E29" s="12"/>
      <c r="F29" s="11">
        <f>I28</f>
        <v>173.60825454972272</v>
      </c>
      <c r="G29" s="42">
        <f>0.0035*(F29-$C$25)/F29</f>
        <v>2.8951900485818939E-3</v>
      </c>
      <c r="H29" s="43">
        <f>IF($B$3=415,-109.1569+537276.6*G29-250905000*G29^2+55282490000*G29^3-4709357000000*G29^4,1707.624-2356626*G29-1444077000*G29^2+366690400000*G29^3-33180890000000*G29^4)</f>
        <v>353.95119915899562</v>
      </c>
      <c r="I29" s="44">
        <f>($A$32*$B$32-(H29-$B$29)*$A$29)/(0.36*$A$3*$A$25)</f>
        <v>174.91639113898938</v>
      </c>
      <c r="K29" s="6">
        <v>5</v>
      </c>
      <c r="L29" s="14">
        <f t="shared" si="2"/>
        <v>565.48667764616278</v>
      </c>
      <c r="M29" s="14">
        <f t="shared" si="1"/>
        <v>1005.3096491487338</v>
      </c>
      <c r="N29" s="14">
        <f t="shared" si="1"/>
        <v>1570.7963267948967</v>
      </c>
      <c r="O29" s="14">
        <f t="shared" si="1"/>
        <v>2454.3692606170262</v>
      </c>
      <c r="P29" s="14">
        <f t="shared" si="1"/>
        <v>4021.2385965949352</v>
      </c>
    </row>
    <row r="30" spans="1:16" x14ac:dyDescent="0.25">
      <c r="A30" s="26" t="s">
        <v>67</v>
      </c>
      <c r="B30" s="12"/>
      <c r="C30" s="12"/>
      <c r="D30" s="12"/>
      <c r="E30" s="12"/>
      <c r="F30" s="11">
        <f t="shared" ref="F30:F32" si="3">I29</f>
        <v>174.91639113898938</v>
      </c>
      <c r="G30" s="42">
        <f t="shared" ref="G30:G32" si="4">0.0035*(F30-$C$25)/F30</f>
        <v>2.8997132040269086E-3</v>
      </c>
      <c r="H30" s="43">
        <f t="shared" ref="H30:H32" si="5">IF($B$3=415,-109.1569+537276.6*G30-250905000*G30^2+55282490000*G30^3-4709357000000*G30^4,1707.624-2356626*G30-1444077000*G30^2+366690400000*G30^3-33180890000000*G30^4)</f>
        <v>354.02998098735662</v>
      </c>
      <c r="I30" s="44">
        <f t="shared" ref="I30:I32" si="6">($A$32*$B$32-(H30-$B$29)*$A$29)/(0.36*$A$3*$A$25)</f>
        <v>174.87813020554546</v>
      </c>
      <c r="K30" s="15">
        <v>6</v>
      </c>
      <c r="L30" s="14">
        <f t="shared" si="2"/>
        <v>678.58401317539528</v>
      </c>
      <c r="M30" s="14">
        <f t="shared" si="1"/>
        <v>1206.3715789784806</v>
      </c>
      <c r="N30" s="14">
        <f t="shared" si="1"/>
        <v>1884.9555921538758</v>
      </c>
      <c r="O30" s="14">
        <f t="shared" si="1"/>
        <v>2945.2431127404311</v>
      </c>
      <c r="P30" s="14">
        <f t="shared" si="1"/>
        <v>4825.4863159139222</v>
      </c>
    </row>
    <row r="31" spans="1:16" x14ac:dyDescent="0.25">
      <c r="A31" s="26" t="s">
        <v>33</v>
      </c>
      <c r="B31" s="12" t="s">
        <v>72</v>
      </c>
      <c r="C31" s="12"/>
      <c r="D31" s="12"/>
      <c r="E31" s="12"/>
      <c r="F31" s="11">
        <f t="shared" si="3"/>
        <v>174.87813020554546</v>
      </c>
      <c r="G31" s="42">
        <f t="shared" si="4"/>
        <v>2.8995818695191516E-3</v>
      </c>
      <c r="H31" s="43">
        <f t="shared" si="5"/>
        <v>354.02769785043228</v>
      </c>
      <c r="I31" s="44">
        <f t="shared" si="6"/>
        <v>174.87923902659878</v>
      </c>
    </row>
    <row r="32" spans="1:16" x14ac:dyDescent="0.25">
      <c r="A32" s="14">
        <f>N29</f>
        <v>1570.7963267948967</v>
      </c>
      <c r="B32" s="12">
        <f>0.87*B3</f>
        <v>361.05</v>
      </c>
      <c r="C32" s="12"/>
      <c r="D32" s="12"/>
      <c r="E32" s="12"/>
      <c r="F32" s="11">
        <f t="shared" si="3"/>
        <v>174.87923902659878</v>
      </c>
      <c r="G32" s="42">
        <f t="shared" si="4"/>
        <v>2.8995856764676927E-3</v>
      </c>
      <c r="H32" s="43">
        <f t="shared" si="5"/>
        <v>354.02776403462366</v>
      </c>
      <c r="I32" s="44">
        <f t="shared" si="6"/>
        <v>174.87920688379387</v>
      </c>
    </row>
    <row r="33" spans="1:9" x14ac:dyDescent="0.25">
      <c r="A33" s="26"/>
      <c r="B33" s="12"/>
      <c r="C33" s="12"/>
      <c r="D33" s="12"/>
      <c r="E33" s="12"/>
      <c r="F33" s="11">
        <f>I32</f>
        <v>174.87920688379387</v>
      </c>
      <c r="G33" s="42">
        <f>0.0035*(F33-$C$25)/F33</f>
        <v>2.8995855661115171E-3</v>
      </c>
      <c r="H33" s="43">
        <f>IF($B$3=415,-109.1569+537276.6*G33-250905000*G33^2+55282490000*G33^3-4709357000000*G33^4,1707.624-2356626*G33-1444077000*G33^2+366690400000*G33^3-33180890000000*G33^4)</f>
        <v>354.02776211607318</v>
      </c>
      <c r="I33" s="44">
        <f>($A$32*$B$32-(H33-$B$29)*$A$29)/(0.36*$A$3*$A$25)</f>
        <v>174.87920781555101</v>
      </c>
    </row>
    <row r="34" spans="1:9" x14ac:dyDescent="0.25">
      <c r="A34" s="26"/>
      <c r="B34" s="12"/>
      <c r="C34" s="12"/>
      <c r="D34" s="12"/>
      <c r="E34" s="12"/>
      <c r="F34" s="11">
        <f>I33</f>
        <v>174.87920781555101</v>
      </c>
      <c r="G34" s="42">
        <f>0.0035*(F34-$C$25)/F34</f>
        <v>2.8995855693105272E-3</v>
      </c>
      <c r="H34" s="43">
        <f>IF($B$3=415,-109.1569+537276.6*G34-250905000*G34^2+55282490000*G34^3-4709357000000*G34^4,1707.624-2356626*G34-1444077000*G34^2+366690400000*G34^3-33180890000000*G34^4)</f>
        <v>354.02776217168855</v>
      </c>
      <c r="I34" s="44">
        <f>($A$32*$B$32-(H34-$B$29)*$A$29)/(0.36*$A$3*$A$25)</f>
        <v>174.87920778854104</v>
      </c>
    </row>
    <row r="35" spans="1:9" x14ac:dyDescent="0.25">
      <c r="A35" s="26" t="s">
        <v>74</v>
      </c>
      <c r="B35" s="11">
        <f>(0.36*A3*A25*I38*(B25-0.416*I38)+(H38-B29)*A29*(B25-C25))/1000000</f>
        <v>254.17360011720072</v>
      </c>
      <c r="C35" s="12" t="s">
        <v>75</v>
      </c>
      <c r="D35" s="12"/>
      <c r="E35" s="12"/>
      <c r="F35" s="11">
        <f t="shared" ref="F35:F37" si="7">I34</f>
        <v>174.87920778854104</v>
      </c>
      <c r="G35" s="42">
        <f t="shared" ref="G35:G37" si="8">0.0035*(F35-$C$25)/F35</f>
        <v>2.8995855692177941E-3</v>
      </c>
      <c r="H35" s="43">
        <f t="shared" ref="H35:H37" si="9">IF($B$3=415,-109.1569+537276.6*G35-250905000*G35^2+55282490000*G35^3-4709357000000*G35^4,1707.624-2356626*G35-1444077000*G35^2+366690400000*G35^3-33180890000000*G35^4)</f>
        <v>354.02776217007596</v>
      </c>
      <c r="I35" s="44">
        <f t="shared" ref="I35:I37" si="10">($A$32*$B$32-(H35-$B$29)*$A$29)/(0.36*$A$3*$A$25)</f>
        <v>174.8792077893242</v>
      </c>
    </row>
    <row r="36" spans="1:9" x14ac:dyDescent="0.25">
      <c r="A36" s="26"/>
      <c r="B36" s="12"/>
      <c r="C36" s="12"/>
      <c r="D36" s="12"/>
      <c r="E36" s="12"/>
      <c r="F36" s="11">
        <f t="shared" si="7"/>
        <v>174.8792077893242</v>
      </c>
      <c r="G36" s="42">
        <f t="shared" si="8"/>
        <v>2.8995855692204829E-3</v>
      </c>
      <c r="H36" s="43">
        <f t="shared" si="9"/>
        <v>354.02776217012297</v>
      </c>
      <c r="I36" s="44">
        <f t="shared" si="10"/>
        <v>174.87920778930135</v>
      </c>
    </row>
    <row r="37" spans="1:9" x14ac:dyDescent="0.25">
      <c r="A37" s="26"/>
      <c r="B37" s="12"/>
      <c r="C37" s="12"/>
      <c r="D37" s="12"/>
      <c r="E37" s="12"/>
      <c r="F37" s="11">
        <f t="shared" si="7"/>
        <v>174.87920778930135</v>
      </c>
      <c r="G37" s="42">
        <f t="shared" si="8"/>
        <v>2.8995855692204048E-3</v>
      </c>
      <c r="H37" s="43">
        <f t="shared" si="9"/>
        <v>354.02776217012172</v>
      </c>
      <c r="I37" s="44">
        <f t="shared" si="10"/>
        <v>174.87920778930197</v>
      </c>
    </row>
    <row r="38" spans="1:9" ht="15.75" thickBot="1" x14ac:dyDescent="0.3">
      <c r="A38" s="37"/>
      <c r="B38" s="38"/>
      <c r="C38" s="38"/>
      <c r="D38" s="38"/>
      <c r="E38" s="38"/>
      <c r="F38" s="45">
        <f>I37</f>
        <v>174.87920778930197</v>
      </c>
      <c r="G38" s="46">
        <f>0.0035*(F38-$C$25)/F38</f>
        <v>2.8995855692204066E-3</v>
      </c>
      <c r="H38" s="47">
        <f>IF($B$3=415,-109.1569+537276.6*G38-250905000*G38^2+55282490000*G38^3-4709357000000*G38^4,1707.624-2356626*G38-1444077000*G38^2+366690400000*G38^3-33180890000000*G38^4)</f>
        <v>354.02776217012138</v>
      </c>
      <c r="I38" s="48">
        <f>($A$32*$B$32-(H38-$B$29)*$A$29)/(0.36*$A$3*$A$25)</f>
        <v>174.87920778930211</v>
      </c>
    </row>
    <row r="46" spans="1:9" x14ac:dyDescent="0.25">
      <c r="A46" s="7"/>
      <c r="B46" s="40"/>
      <c r="C46" s="41"/>
      <c r="D46" s="7"/>
    </row>
  </sheetData>
  <conditionalFormatting sqref="J7:N11">
    <cfRule type="cellIs" dxfId="23" priority="9" operator="between">
      <formula>$D$11</formula>
      <formula>$B$11</formula>
    </cfRule>
  </conditionalFormatting>
  <conditionalFormatting sqref="E11">
    <cfRule type="cellIs" dxfId="22" priority="8" operator="equal">
      <formula>"over-reinforced"</formula>
    </cfRule>
  </conditionalFormatting>
  <conditionalFormatting sqref="D11">
    <cfRule type="cellIs" dxfId="21" priority="7" operator="greaterThan">
      <formula>$C$11</formula>
    </cfRule>
  </conditionalFormatting>
  <conditionalFormatting sqref="B11">
    <cfRule type="cellIs" dxfId="20" priority="6" operator="lessThan">
      <formula>$C$11</formula>
    </cfRule>
  </conditionalFormatting>
  <conditionalFormatting sqref="C8">
    <cfRule type="cellIs" dxfId="19" priority="5" operator="lessThan">
      <formula>$B$8</formula>
    </cfRule>
  </conditionalFormatting>
  <conditionalFormatting sqref="E19 E15">
    <cfRule type="cellIs" dxfId="18" priority="11" operator="lessThan">
      <formula>$E$8</formula>
    </cfRule>
  </conditionalFormatting>
  <conditionalFormatting sqref="D46 I28:I38">
    <cfRule type="cellIs" dxfId="17" priority="12" operator="greaterThan">
      <formula>$C$29</formula>
    </cfRule>
  </conditionalFormatting>
  <conditionalFormatting sqref="I28:I38">
    <cfRule type="cellIs" dxfId="0" priority="1" operator="greaterThan">
      <formula>$C$29</formula>
    </cfRule>
  </conditionalFormatting>
  <dataValidations count="1">
    <dataValidation type="list" allowBlank="1" showInputMessage="1" showErrorMessage="1" sqref="B3:B4" xr:uid="{0E73D163-810E-4183-A32F-3B7889566701}">
      <formula1>"250,415,500"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Steel</vt:lpstr>
      <vt:lpstr>RCC</vt:lpstr>
      <vt:lpstr>bf</vt:lpstr>
      <vt:lpstr>h</vt:lpstr>
      <vt:lpstr>tf</vt:lpstr>
      <vt:lpstr>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</dc:creator>
  <cp:lastModifiedBy>Samyak</cp:lastModifiedBy>
  <dcterms:created xsi:type="dcterms:W3CDTF">2025-03-28T09:14:36Z</dcterms:created>
  <dcterms:modified xsi:type="dcterms:W3CDTF">2025-03-31T07:22:17Z</dcterms:modified>
</cp:coreProperties>
</file>