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ructural design sheets\"/>
    </mc:Choice>
  </mc:AlternateContent>
  <xr:revisionPtr revIDLastSave="0" documentId="13_ncr:1_{A07D6F71-C171-4C74-A4B1-56D1B3A93768}" xr6:coauthVersionLast="47" xr6:coauthVersionMax="47" xr10:uidLastSave="{00000000-0000-0000-0000-000000000000}"/>
  <bookViews>
    <workbookView xWindow="-120" yWindow="-120" windowWidth="20730" windowHeight="11760" activeTab="1" xr2:uid="{080EB4DA-FCC7-4271-9359-BF29FD8446FC}"/>
  </bookViews>
  <sheets>
    <sheet name="Steel" sheetId="1" r:id="rId1"/>
    <sheet name="RCC" sheetId="3" r:id="rId2"/>
  </sheets>
  <definedNames>
    <definedName name="bf">Steel!$C$3</definedName>
    <definedName name="h">Steel!$B$3</definedName>
    <definedName name="tf">Steel!$D$3</definedName>
    <definedName name="tw">Steel!$E$3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J11" i="3"/>
  <c r="K11" i="3"/>
  <c r="L11" i="3"/>
  <c r="M11" i="3"/>
  <c r="N11" i="3"/>
  <c r="D19" i="1"/>
  <c r="D20" i="1"/>
  <c r="D7" i="3"/>
  <c r="A14" i="3"/>
  <c r="J7" i="3"/>
  <c r="K7" i="3"/>
  <c r="L7" i="3"/>
  <c r="M7" i="3"/>
  <c r="N7" i="3"/>
  <c r="J9" i="3"/>
  <c r="K9" i="3"/>
  <c r="L9" i="3"/>
  <c r="M9" i="3"/>
  <c r="N9" i="3"/>
  <c r="J10" i="3"/>
  <c r="K10" i="3"/>
  <c r="L10" i="3"/>
  <c r="M10" i="3"/>
  <c r="N10" i="3"/>
  <c r="J8" i="3"/>
  <c r="K8" i="3"/>
  <c r="L8" i="3"/>
  <c r="M8" i="3"/>
  <c r="N8" i="3"/>
  <c r="D10" i="3"/>
  <c r="B18" i="3"/>
  <c r="A18" i="3"/>
  <c r="B14" i="3"/>
  <c r="F3" i="3"/>
  <c r="F7" i="3" s="1"/>
  <c r="G3" i="3"/>
  <c r="E3" i="3"/>
  <c r="D3" i="3"/>
  <c r="C3" i="3"/>
  <c r="A17" i="1"/>
  <c r="B8" i="1"/>
  <c r="E5" i="1"/>
  <c r="B6" i="1"/>
  <c r="B7" i="1" s="1"/>
  <c r="B10" i="3" l="1"/>
  <c r="E10" i="3" s="1"/>
  <c r="B7" i="3"/>
  <c r="C14" i="3"/>
  <c r="C18" i="3"/>
  <c r="E17" i="1"/>
  <c r="B17" i="1"/>
  <c r="C17" i="1" s="1"/>
  <c r="G17" i="1" s="1"/>
  <c r="D17" i="1"/>
  <c r="F17" i="1" s="1"/>
  <c r="D18" i="3" l="1"/>
  <c r="E18" i="3" s="1"/>
  <c r="F18" i="3"/>
  <c r="D14" i="3"/>
  <c r="E14" i="3" s="1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Samyak</author>
  </authors>
  <commentList>
    <comment ref="F6" authorId="0" shapeId="0" xr:uid="{A94A0C6E-5B0B-4D0F-B511-9E983DEA732B}">
      <text>
        <r>
          <rPr>
            <b/>
            <sz val="9"/>
            <color indexed="81"/>
            <rFont val="Tahoma"/>
            <charset val="1"/>
          </rPr>
          <t>Samyak:</t>
        </r>
        <r>
          <rPr>
            <sz val="9"/>
            <color indexed="81"/>
            <rFont val="Tahoma"/>
            <charset val="1"/>
          </rPr>
          <t xml:space="preserve">
for concrete failure</t>
        </r>
      </text>
    </comment>
  </commentList>
</comments>
</file>

<file path=xl/sharedStrings.xml><?xml version="1.0" encoding="utf-8"?>
<sst xmlns="http://schemas.openxmlformats.org/spreadsheetml/2006/main" count="74" uniqueCount="67">
  <si>
    <t>I - section</t>
  </si>
  <si>
    <t>Section modulus</t>
  </si>
  <si>
    <t>h</t>
  </si>
  <si>
    <t>bf</t>
  </si>
  <si>
    <t>tf</t>
  </si>
  <si>
    <t>tw</t>
  </si>
  <si>
    <t>mm</t>
  </si>
  <si>
    <t>flanges</t>
  </si>
  <si>
    <t>web</t>
  </si>
  <si>
    <t>fy</t>
  </si>
  <si>
    <t>N/mm2</t>
  </si>
  <si>
    <t>b</t>
  </si>
  <si>
    <t>factor</t>
  </si>
  <si>
    <t>b/tf</t>
  </si>
  <si>
    <t>d/tw</t>
  </si>
  <si>
    <t>p.FOS</t>
  </si>
  <si>
    <t>kN-m</t>
  </si>
  <si>
    <t>Zpz(mm3)</t>
  </si>
  <si>
    <t>Plasitc</t>
  </si>
  <si>
    <t>Elastic</t>
  </si>
  <si>
    <t>Moment of Inertia</t>
  </si>
  <si>
    <t>Flanges</t>
  </si>
  <si>
    <t>total(mm4)</t>
  </si>
  <si>
    <t>Izz</t>
  </si>
  <si>
    <t>Zez(mm3)</t>
  </si>
  <si>
    <t>Design bending moment (elastic)</t>
  </si>
  <si>
    <t>Design bending moment (plastic)</t>
  </si>
  <si>
    <t>d</t>
  </si>
  <si>
    <t>z</t>
  </si>
  <si>
    <t>Determination of over or under-reinforced</t>
  </si>
  <si>
    <t>pt lim</t>
  </si>
  <si>
    <t>fck</t>
  </si>
  <si>
    <t>Ast lim</t>
  </si>
  <si>
    <t>Ast provided</t>
  </si>
  <si>
    <t>D</t>
  </si>
  <si>
    <t>pt lim*fy/fck</t>
  </si>
  <si>
    <t>xu/d lim</t>
  </si>
  <si>
    <t>j</t>
  </si>
  <si>
    <t>k1</t>
  </si>
  <si>
    <t>Mu lim</t>
  </si>
  <si>
    <t>k2 or Mu lim</t>
  </si>
  <si>
    <t>material properties</t>
  </si>
  <si>
    <t>geometry of beam</t>
  </si>
  <si>
    <t>T (N)</t>
  </si>
  <si>
    <t>xu</t>
  </si>
  <si>
    <t>C/xu (N/mm)</t>
  </si>
  <si>
    <t>xu (mm)</t>
  </si>
  <si>
    <t>IS 456</t>
  </si>
  <si>
    <t>ACI 318</t>
  </si>
  <si>
    <t>C/xu</t>
  </si>
  <si>
    <t>Mu (kNm)</t>
  </si>
  <si>
    <t>Mu(kNm)</t>
  </si>
  <si>
    <t>xu/d</t>
  </si>
  <si>
    <t>Ast min</t>
  </si>
  <si>
    <t>ReBar dia</t>
  </si>
  <si>
    <t>No of Rebar</t>
  </si>
  <si>
    <t>Sum</t>
  </si>
  <si>
    <t>Average</t>
  </si>
  <si>
    <t>Running Total</t>
  </si>
  <si>
    <t>Count</t>
  </si>
  <si>
    <t>Rectangular beam, singly reinforced</t>
  </si>
  <si>
    <t>min d</t>
  </si>
  <si>
    <t>Mu req</t>
  </si>
  <si>
    <t>check spacing requirement</t>
  </si>
  <si>
    <t>add required moment calculation</t>
  </si>
  <si>
    <t>to do</t>
  </si>
  <si>
    <t>section moment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</si>
</sst>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horizontal="centerContinuous" vertical="top"/>
    </xf>
    <xf numFmtId="0" fontId="0" fillId="0" borderId="1" xfId="0" applyBorder="1" applyAlignment="1">
      <alignment horizontal="centerContinuous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2" fontId="0" fillId="0" borderId="3" xfId="0" applyNumberFormat="1" applyBorder="1"/>
    <xf numFmtId="170" fontId="0" fillId="0" borderId="7" xfId="0" applyNumberFormat="1" applyBorder="1"/>
    <xf numFmtId="0" fontId="0" fillId="0" borderId="0" xfId="0" applyFill="1" applyBorder="1"/>
    <xf numFmtId="170" fontId="3" fillId="0" borderId="6" xfId="0" applyNumberFormat="1" applyFont="1" applyFill="1" applyBorder="1"/>
    <xf numFmtId="170" fontId="0" fillId="0" borderId="6" xfId="0" applyNumberFormat="1" applyFill="1" applyBorder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E4D9-1589-4431-9721-01E177761848}">
  <dimension ref="A1:I20"/>
  <sheetViews>
    <sheetView workbookViewId="0">
      <selection activeCell="E13" sqref="E13"/>
    </sheetView>
  </sheetViews>
  <sheetFormatPr defaultRowHeight="15" x14ac:dyDescent="0.25"/>
  <cols>
    <col min="1" max="1" width="10.5703125" customWidth="1"/>
    <col min="3" max="3" width="11" bestFit="1" customWidth="1"/>
    <col min="4" max="4" width="12" bestFit="1" customWidth="1"/>
    <col min="6" max="6" width="9.85546875" bestFit="1" customWidth="1"/>
    <col min="7" max="7" width="12" bestFit="1" customWidth="1"/>
  </cols>
  <sheetData>
    <row r="1" spans="1:9" x14ac:dyDescent="0.25">
      <c r="A1" t="s">
        <v>0</v>
      </c>
    </row>
    <row r="2" spans="1:9" x14ac:dyDescent="0.25">
      <c r="A2" s="6"/>
      <c r="B2" s="6" t="s">
        <v>2</v>
      </c>
      <c r="C2" s="6" t="s">
        <v>3</v>
      </c>
      <c r="D2" s="6" t="s">
        <v>4</v>
      </c>
      <c r="E2" s="9" t="s">
        <v>5</v>
      </c>
      <c r="F2" s="3"/>
      <c r="G2" s="3"/>
    </row>
    <row r="3" spans="1:9" x14ac:dyDescent="0.25">
      <c r="A3" s="6"/>
      <c r="B3" s="6">
        <v>300</v>
      </c>
      <c r="C3" s="6">
        <v>140</v>
      </c>
      <c r="D3" s="6">
        <v>12.4</v>
      </c>
      <c r="E3" s="6">
        <v>7.5</v>
      </c>
      <c r="F3" t="s">
        <v>6</v>
      </c>
    </row>
    <row r="5" spans="1:9" x14ac:dyDescent="0.25">
      <c r="A5" t="s">
        <v>9</v>
      </c>
      <c r="B5">
        <v>250</v>
      </c>
      <c r="C5" t="s">
        <v>10</v>
      </c>
      <c r="D5" t="s">
        <v>12</v>
      </c>
      <c r="E5">
        <f>SQRT(250/B5)</f>
        <v>1</v>
      </c>
    </row>
    <row r="6" spans="1:9" x14ac:dyDescent="0.25">
      <c r="A6" t="s">
        <v>11</v>
      </c>
      <c r="B6">
        <f>bf/2-tw/2</f>
        <v>66.25</v>
      </c>
    </row>
    <row r="7" spans="1:9" x14ac:dyDescent="0.25">
      <c r="A7" t="s">
        <v>13</v>
      </c>
      <c r="B7" s="7">
        <f>B6/tf</f>
        <v>5.342741935483871</v>
      </c>
    </row>
    <row r="8" spans="1:9" x14ac:dyDescent="0.25">
      <c r="A8" t="s">
        <v>14</v>
      </c>
      <c r="B8" s="7">
        <f>(h-tf*2)/tw</f>
        <v>36.693333333333335</v>
      </c>
    </row>
    <row r="10" spans="1:9" x14ac:dyDescent="0.25">
      <c r="A10" t="s">
        <v>15</v>
      </c>
      <c r="B10">
        <v>1.1000000000000001</v>
      </c>
    </row>
    <row r="14" spans="1:9" x14ac:dyDescent="0.25">
      <c r="A14" s="5" t="s">
        <v>20</v>
      </c>
      <c r="B14" s="5"/>
      <c r="C14" s="5"/>
      <c r="D14" s="4" t="s">
        <v>1</v>
      </c>
      <c r="E14" s="4"/>
      <c r="F14" s="4"/>
      <c r="G14" s="4"/>
      <c r="H14" s="2"/>
      <c r="I14" s="2"/>
    </row>
    <row r="15" spans="1:9" x14ac:dyDescent="0.25">
      <c r="A15" s="5" t="s">
        <v>23</v>
      </c>
      <c r="B15" s="1"/>
      <c r="C15" s="5"/>
      <c r="D15" s="5" t="s">
        <v>18</v>
      </c>
      <c r="E15" s="5"/>
      <c r="F15" s="5"/>
      <c r="G15" s="6" t="s">
        <v>19</v>
      </c>
    </row>
    <row r="16" spans="1:9" x14ac:dyDescent="0.25">
      <c r="A16" s="6" t="s">
        <v>21</v>
      </c>
      <c r="B16" s="6" t="s">
        <v>8</v>
      </c>
      <c r="C16" s="6" t="s">
        <v>22</v>
      </c>
      <c r="D16" s="6" t="s">
        <v>7</v>
      </c>
      <c r="E16" s="6" t="s">
        <v>8</v>
      </c>
      <c r="F16" s="6" t="s">
        <v>17</v>
      </c>
      <c r="G16" s="8" t="s">
        <v>24</v>
      </c>
    </row>
    <row r="17" spans="1:7" x14ac:dyDescent="0.25">
      <c r="A17" s="6">
        <f>2*(tf^3*bf/12+tf*bf*(h/2-tf/2)^2)</f>
        <v>71840031.573333338</v>
      </c>
      <c r="B17" s="6">
        <f>tw*(h-2*tf)^3/12</f>
        <v>13026426.879999997</v>
      </c>
      <c r="C17" s="6">
        <f>A17+B17</f>
        <v>84866458.453333333</v>
      </c>
      <c r="D17" s="6">
        <f>2*(bf*tf)*(h/2-tf/2)</f>
        <v>499273.60000000003</v>
      </c>
      <c r="E17" s="6">
        <f>2*((h/2-tf)*tw*(h/2-tf)/2)</f>
        <v>142003.19999999998</v>
      </c>
      <c r="F17" s="6">
        <f>D17+E17</f>
        <v>641276.80000000005</v>
      </c>
      <c r="G17" s="6">
        <f>C17/(h/2)</f>
        <v>565776.38968888891</v>
      </c>
    </row>
    <row r="19" spans="1:7" x14ac:dyDescent="0.25">
      <c r="A19" t="s">
        <v>25</v>
      </c>
      <c r="D19" s="7">
        <f>G17*B5/B10/1000000</f>
        <v>128.58554311111109</v>
      </c>
      <c r="E19" t="s">
        <v>16</v>
      </c>
    </row>
    <row r="20" spans="1:7" x14ac:dyDescent="0.25">
      <c r="A20" t="s">
        <v>26</v>
      </c>
      <c r="D20" s="7">
        <f>F17*B5/B10/1000000</f>
        <v>145.74472727272726</v>
      </c>
      <c r="E20" t="s">
        <v>16</v>
      </c>
    </row>
  </sheetData>
  <dataValidations count="1">
    <dataValidation type="list" allowBlank="1" showInputMessage="1" showErrorMessage="1" sqref="B5" xr:uid="{A1166A67-8420-4932-9D5D-419274125AD9}">
      <formula1>"250,415,500"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584A-E401-4C04-B945-1304245BCBFF}">
  <dimension ref="A1:R18"/>
  <sheetViews>
    <sheetView tabSelected="1" workbookViewId="0">
      <selection activeCell="C10" sqref="C10"/>
    </sheetView>
  </sheetViews>
  <sheetFormatPr defaultRowHeight="15" x14ac:dyDescent="0.25"/>
  <cols>
    <col min="1" max="1" width="9.5703125" bestFit="1" customWidth="1"/>
    <col min="2" max="2" width="13" customWidth="1"/>
    <col min="3" max="3" width="11.85546875" customWidth="1"/>
    <col min="4" max="4" width="7.7109375" bestFit="1" customWidth="1"/>
    <col min="6" max="6" width="11.85546875" bestFit="1" customWidth="1"/>
    <col min="10" max="10" width="11" customWidth="1"/>
  </cols>
  <sheetData>
    <row r="1" spans="1:18" x14ac:dyDescent="0.25">
      <c r="A1" s="26" t="s">
        <v>41</v>
      </c>
    </row>
    <row r="2" spans="1:18" x14ac:dyDescent="0.25">
      <c r="A2" t="s">
        <v>31</v>
      </c>
      <c r="B2" t="s">
        <v>9</v>
      </c>
      <c r="C2" t="s">
        <v>36</v>
      </c>
      <c r="D2" t="s">
        <v>37</v>
      </c>
      <c r="E2" t="s">
        <v>38</v>
      </c>
      <c r="F2" t="s">
        <v>40</v>
      </c>
      <c r="G2" t="s">
        <v>35</v>
      </c>
    </row>
    <row r="3" spans="1:18" x14ac:dyDescent="0.25">
      <c r="A3">
        <v>25</v>
      </c>
      <c r="B3">
        <v>415</v>
      </c>
      <c r="C3">
        <f>IF($B$3=0.25,0.531,IF($B$3=415,0.479,0.456))</f>
        <v>0.47899999999999998</v>
      </c>
      <c r="D3">
        <f>IF($B$3=0.25,0.78,IF($B$3=415,0.8,0.81))</f>
        <v>0.8</v>
      </c>
      <c r="E3">
        <f>IF($B$3=0.25,0.191,IF($B$3=415,0.172,0.164))</f>
        <v>0.17199999999999999</v>
      </c>
      <c r="F3">
        <f>IF($B$3=0.25,0.149,IF($B$3=415,0.138,0.133))</f>
        <v>0.13800000000000001</v>
      </c>
      <c r="G3">
        <f>IF($B$3=0.25,21.97,IF($B$3=415,19.82,18.87))</f>
        <v>19.82</v>
      </c>
    </row>
    <row r="4" spans="1:18" x14ac:dyDescent="0.25">
      <c r="A4" s="26" t="s">
        <v>42</v>
      </c>
      <c r="R4" t="s">
        <v>65</v>
      </c>
    </row>
    <row r="5" spans="1:18" x14ac:dyDescent="0.25">
      <c r="A5" t="s">
        <v>60</v>
      </c>
      <c r="I5" s="19"/>
      <c r="J5" s="5" t="s">
        <v>54</v>
      </c>
      <c r="K5" s="5"/>
      <c r="L5" s="5"/>
      <c r="M5" s="5"/>
      <c r="N5" s="5"/>
      <c r="P5" t="s">
        <v>63</v>
      </c>
    </row>
    <row r="6" spans="1:18" x14ac:dyDescent="0.25">
      <c r="A6" t="s">
        <v>11</v>
      </c>
      <c r="B6" s="23" t="s">
        <v>61</v>
      </c>
      <c r="C6" t="s">
        <v>27</v>
      </c>
      <c r="D6" t="s">
        <v>34</v>
      </c>
      <c r="E6" t="s">
        <v>62</v>
      </c>
      <c r="F6" t="s">
        <v>39</v>
      </c>
      <c r="I6" s="18" t="s">
        <v>55</v>
      </c>
      <c r="J6" s="6">
        <v>12</v>
      </c>
      <c r="K6" s="6">
        <v>16</v>
      </c>
      <c r="L6" s="6">
        <v>20</v>
      </c>
      <c r="M6" s="6">
        <v>25</v>
      </c>
      <c r="N6" s="6">
        <v>32</v>
      </c>
      <c r="P6" t="s">
        <v>64</v>
      </c>
    </row>
    <row r="7" spans="1:18" x14ac:dyDescent="0.25">
      <c r="A7" s="6">
        <v>300</v>
      </c>
      <c r="B7" s="13">
        <f>SQRT(E7*1000000/(F3*A3*A7))</f>
        <v>491.47318718299044</v>
      </c>
      <c r="C7" s="6">
        <v>650</v>
      </c>
      <c r="D7">
        <f>C7+50</f>
        <v>700</v>
      </c>
      <c r="E7">
        <v>250</v>
      </c>
      <c r="F7">
        <f>F3*A3*A7*C7^2/1000000</f>
        <v>437.28750000000002</v>
      </c>
      <c r="I7" s="18">
        <v>2</v>
      </c>
      <c r="J7" s="17">
        <f>PI()*J$6^2/4*$I7</f>
        <v>226.1946710584651</v>
      </c>
      <c r="K7" s="17">
        <f>PI()*K$6^2/4*$I7</f>
        <v>402.12385965949352</v>
      </c>
      <c r="L7" s="17">
        <f>PI()*L$6^2/4*$I7</f>
        <v>628.31853071795865</v>
      </c>
      <c r="M7" s="17">
        <f>PI()*M$6^2/4*$I7</f>
        <v>981.74770424681037</v>
      </c>
      <c r="N7" s="17">
        <f>PI()*N$6^2/4*$I7</f>
        <v>1608.4954386379741</v>
      </c>
    </row>
    <row r="8" spans="1:18" x14ac:dyDescent="0.25">
      <c r="A8" s="26" t="s">
        <v>29</v>
      </c>
      <c r="I8" s="6">
        <v>3</v>
      </c>
      <c r="J8" s="17">
        <f>PI()*J$6^2/4*$I8</f>
        <v>339.29200658769764</v>
      </c>
      <c r="K8" s="17">
        <f>PI()*K$6^2/4*$I8</f>
        <v>603.18578948924028</v>
      </c>
      <c r="L8" s="17">
        <f>PI()*L$6^2/4*$I8</f>
        <v>942.47779607693792</v>
      </c>
      <c r="M8" s="17">
        <f>PI()*M$6^2/4*$I8</f>
        <v>1472.6215563702156</v>
      </c>
      <c r="N8" s="17">
        <f>PI()*N$6^2/4*$I8</f>
        <v>2412.7431579569611</v>
      </c>
    </row>
    <row r="9" spans="1:18" x14ac:dyDescent="0.25">
      <c r="A9" t="s">
        <v>30</v>
      </c>
      <c r="B9" t="s">
        <v>32</v>
      </c>
      <c r="C9" t="s">
        <v>33</v>
      </c>
      <c r="D9" t="s">
        <v>53</v>
      </c>
      <c r="I9" s="6">
        <v>4</v>
      </c>
      <c r="J9" s="17">
        <f>PI()*J$6^2/4*$I9</f>
        <v>452.38934211693021</v>
      </c>
      <c r="K9" s="17">
        <f>PI()*K$6^2/4*$I9</f>
        <v>804.24771931898704</v>
      </c>
      <c r="L9" s="17">
        <f>PI()*L$6^2/4*$I9</f>
        <v>1256.6370614359173</v>
      </c>
      <c r="M9" s="17">
        <f>PI()*M$6^2/4*$I9</f>
        <v>1963.4954084936207</v>
      </c>
      <c r="N9" s="17">
        <f>PI()*N$6^2/4*$I9</f>
        <v>3216.9908772759482</v>
      </c>
    </row>
    <row r="10" spans="1:18" x14ac:dyDescent="0.25">
      <c r="A10" s="7">
        <f>G3*A3/B3</f>
        <v>1.1939759036144579</v>
      </c>
      <c r="B10" s="7">
        <f>A10/100*A7*C7</f>
        <v>2328.2530120481929</v>
      </c>
      <c r="C10" s="17">
        <v>1256.6400000000001</v>
      </c>
      <c r="D10" s="7">
        <f>MAX(0.25*SQRT(A3)/B3,1.4/B3)*A7*C7</f>
        <v>657.83132530120474</v>
      </c>
      <c r="E10" t="str">
        <f>IF(C10&lt;B10, "under-reinforced","over-reinforced")</f>
        <v>under-reinforced</v>
      </c>
      <c r="I10" s="6">
        <v>5</v>
      </c>
      <c r="J10" s="17">
        <f>PI()*J$6^2/4*$I10</f>
        <v>565.48667764616278</v>
      </c>
      <c r="K10" s="17">
        <f>PI()*K$6^2/4*$I10</f>
        <v>1005.3096491487338</v>
      </c>
      <c r="L10" s="17">
        <f>PI()*L$6^2/4*$I10</f>
        <v>1570.7963267948967</v>
      </c>
      <c r="M10" s="17">
        <f>PI()*M$6^2/4*$I10</f>
        <v>2454.3692606170262</v>
      </c>
      <c r="N10" s="17">
        <f>PI()*N$6^2/4*$I10</f>
        <v>4021.2385965949352</v>
      </c>
    </row>
    <row r="11" spans="1:18" x14ac:dyDescent="0.25">
      <c r="A11" s="27" t="s">
        <v>66</v>
      </c>
      <c r="B11" s="7"/>
      <c r="C11" s="14"/>
      <c r="I11" s="18">
        <v>6</v>
      </c>
      <c r="J11" s="17">
        <f>PI()*J$6^2/4*$I11</f>
        <v>678.58401317539528</v>
      </c>
      <c r="K11" s="17">
        <f>PI()*K$6^2/4*$I11</f>
        <v>1206.3715789784806</v>
      </c>
      <c r="L11" s="17">
        <f>PI()*L$6^2/4*$I11</f>
        <v>1884.9555921538758</v>
      </c>
      <c r="M11" s="17">
        <f>PI()*M$6^2/4*$I11</f>
        <v>2945.2431127404311</v>
      </c>
      <c r="N11" s="17">
        <f>PI()*N$6^2/4*$I11</f>
        <v>4825.4863159139222</v>
      </c>
    </row>
    <row r="12" spans="1:18" x14ac:dyDescent="0.25">
      <c r="A12" s="10"/>
      <c r="B12" s="11" t="s">
        <v>47</v>
      </c>
      <c r="C12" s="11"/>
      <c r="D12" s="11"/>
      <c r="E12" s="11"/>
      <c r="F12" s="12"/>
    </row>
    <row r="13" spans="1:18" x14ac:dyDescent="0.25">
      <c r="A13" s="10" t="s">
        <v>43</v>
      </c>
      <c r="B13" s="11" t="s">
        <v>45</v>
      </c>
      <c r="C13" s="11" t="s">
        <v>46</v>
      </c>
      <c r="D13" s="11" t="s">
        <v>28</v>
      </c>
      <c r="E13" s="11" t="s">
        <v>50</v>
      </c>
      <c r="F13" s="19" t="s">
        <v>52</v>
      </c>
    </row>
    <row r="14" spans="1:18" x14ac:dyDescent="0.25">
      <c r="A14" s="15">
        <f>0.87*B3*C10</f>
        <v>453709.87200000003</v>
      </c>
      <c r="B14" s="16">
        <f>0.36*A3*A7</f>
        <v>2700</v>
      </c>
      <c r="C14" s="20">
        <f>A14/B14</f>
        <v>168.04069333333334</v>
      </c>
      <c r="D14" s="20">
        <f>C7*(1-0.416*C14/C7)</f>
        <v>580.09507157333337</v>
      </c>
      <c r="E14" s="24">
        <f>A14*D14/1000000</f>
        <v>263.19486067136796</v>
      </c>
      <c r="F14" s="22">
        <f>C14/C7</f>
        <v>0.25852414358974357</v>
      </c>
    </row>
    <row r="15" spans="1:18" x14ac:dyDescent="0.25">
      <c r="C15" s="7"/>
    </row>
    <row r="16" spans="1:18" x14ac:dyDescent="0.25">
      <c r="A16" s="10"/>
      <c r="B16" s="11" t="s">
        <v>48</v>
      </c>
      <c r="C16" s="21"/>
      <c r="D16" s="11"/>
      <c r="E16" s="11"/>
      <c r="F16" s="12"/>
    </row>
    <row r="17" spans="1:6" x14ac:dyDescent="0.25">
      <c r="A17" s="10" t="s">
        <v>43</v>
      </c>
      <c r="B17" s="11" t="s">
        <v>49</v>
      </c>
      <c r="C17" s="21" t="s">
        <v>44</v>
      </c>
      <c r="D17" s="11" t="s">
        <v>28</v>
      </c>
      <c r="E17" s="11" t="s">
        <v>51</v>
      </c>
      <c r="F17" s="19" t="s">
        <v>52</v>
      </c>
    </row>
    <row r="18" spans="1:6" x14ac:dyDescent="0.25">
      <c r="A18" s="15">
        <f>0.87*B3*C10</f>
        <v>453709.87200000003</v>
      </c>
      <c r="B18" s="16">
        <f>0.45*A3*A7</f>
        <v>3375</v>
      </c>
      <c r="C18" s="20">
        <f>A18/B18</f>
        <v>134.43255466666668</v>
      </c>
      <c r="D18" s="20">
        <f>C7-C18/2</f>
        <v>582.78372266666668</v>
      </c>
      <c r="E18" s="25">
        <f>A18*D18/1000000</f>
        <v>264.41472821477686</v>
      </c>
      <c r="F18" s="22">
        <f>C18/C7</f>
        <v>0.20681931487179489</v>
      </c>
    </row>
  </sheetData>
  <conditionalFormatting sqref="J7:N11">
    <cfRule type="cellIs" dxfId="5" priority="6" operator="between">
      <formula>$D$10</formula>
      <formula>$B$10</formula>
    </cfRule>
  </conditionalFormatting>
  <conditionalFormatting sqref="E10">
    <cfRule type="cellIs" dxfId="4" priority="5" operator="equal">
      <formula>"over-reinforced"</formula>
    </cfRule>
  </conditionalFormatting>
  <conditionalFormatting sqref="D10">
    <cfRule type="cellIs" dxfId="3" priority="4" operator="greaterThan">
      <formula>$C$10</formula>
    </cfRule>
  </conditionalFormatting>
  <conditionalFormatting sqref="B10">
    <cfRule type="cellIs" dxfId="2" priority="3" operator="lessThan">
      <formula>$C$10</formula>
    </cfRule>
  </conditionalFormatting>
  <conditionalFormatting sqref="C7">
    <cfRule type="cellIs" dxfId="1" priority="2" operator="lessThan">
      <formula>$B$7</formula>
    </cfRule>
  </conditionalFormatting>
  <conditionalFormatting sqref="E18 E14">
    <cfRule type="cellIs" dxfId="0" priority="8" operator="lessThan">
      <formula>$E$7</formula>
    </cfRule>
  </conditionalFormatting>
  <dataValidations count="1">
    <dataValidation type="list" allowBlank="1" showInputMessage="1" showErrorMessage="1" sqref="B3:B4" xr:uid="{0E73D163-810E-4183-A32F-3B7889566701}">
      <formula1>"250,415,500"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Steel</vt:lpstr>
      <vt:lpstr>RCC</vt:lpstr>
      <vt:lpstr>bf</vt:lpstr>
      <vt:lpstr>h</vt:lpstr>
      <vt:lpstr>tf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</dc:creator>
  <cp:lastModifiedBy>Samyak</cp:lastModifiedBy>
  <dcterms:created xsi:type="dcterms:W3CDTF">2025-03-28T09:14:36Z</dcterms:created>
  <dcterms:modified xsi:type="dcterms:W3CDTF">2025-03-30T08:34:06Z</dcterms:modified>
</cp:coreProperties>
</file>