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designfiles\Structural design sheets\"/>
    </mc:Choice>
  </mc:AlternateContent>
  <xr:revisionPtr revIDLastSave="0" documentId="13_ncr:1_{4F53A323-3BCD-4091-B9DC-D84EBA87E08B}" xr6:coauthVersionLast="47" xr6:coauthVersionMax="47" xr10:uidLastSave="{00000000-0000-0000-0000-000000000000}"/>
  <bookViews>
    <workbookView xWindow="12180" yWindow="3135" windowWidth="15060" windowHeight="8010" xr2:uid="{00000000-000D-0000-FFFF-FFFF00000000}"/>
  </bookViews>
  <sheets>
    <sheet name="Sheet1" sheetId="1" r:id="rId1"/>
    <sheet name="Sheet2" sheetId="2" r:id="rId2"/>
  </sheets>
  <definedNames>
    <definedName name="h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128" i="1"/>
  <c r="C131" i="1" s="1"/>
  <c r="I119" i="1"/>
  <c r="C118" i="1"/>
  <c r="I103" i="1"/>
  <c r="I112" i="1"/>
  <c r="I88" i="1"/>
  <c r="I79" i="1"/>
  <c r="F53" i="1" l="1"/>
  <c r="F2" i="1"/>
  <c r="F1" i="1"/>
  <c r="F3" i="1"/>
  <c r="C11" i="1"/>
  <c r="F15" i="1" s="1"/>
  <c r="F5" i="1"/>
  <c r="F4" i="1"/>
  <c r="B37" i="1" l="1"/>
  <c r="B38" i="1"/>
  <c r="B66" i="1" s="1"/>
  <c r="C17" i="1"/>
  <c r="E15" i="1"/>
  <c r="F51" i="1" s="1"/>
  <c r="C21" i="1" l="1"/>
  <c r="C119" i="1" s="1"/>
  <c r="D94" i="1"/>
  <c r="D85" i="1"/>
  <c r="D70" i="1"/>
  <c r="C16" i="1"/>
  <c r="C23" i="1" s="1"/>
  <c r="E29" i="1"/>
  <c r="D29" i="1"/>
  <c r="C22" i="1"/>
  <c r="C124" i="1" l="1"/>
  <c r="C132" i="1"/>
  <c r="D30" i="1"/>
  <c r="D32" i="1"/>
  <c r="E30" i="1"/>
  <c r="E31" i="1" s="1"/>
  <c r="E33" i="1"/>
  <c r="E32" i="1"/>
  <c r="C24" i="1"/>
  <c r="C25" i="1" s="1"/>
  <c r="F29" i="1"/>
  <c r="D31" i="1"/>
  <c r="C135" i="1" l="1"/>
  <c r="A133" i="1"/>
  <c r="C120" i="1"/>
  <c r="B40" i="1"/>
  <c r="B41" i="1" s="1"/>
  <c r="C126" i="1" s="1"/>
  <c r="C127" i="1" s="1"/>
  <c r="F32" i="1"/>
  <c r="D71" i="1"/>
  <c r="D41" i="1"/>
  <c r="D33" i="1"/>
  <c r="F33" i="1" s="1"/>
  <c r="F31" i="1"/>
  <c r="F30" i="1"/>
  <c r="J119" i="1" l="1"/>
  <c r="H120" i="1" s="1"/>
  <c r="I120" i="1" s="1"/>
  <c r="J120" i="1" s="1"/>
  <c r="H121" i="1" s="1"/>
  <c r="I121" i="1" s="1"/>
  <c r="J121" i="1" s="1"/>
  <c r="H122" i="1" s="1"/>
  <c r="I122" i="1" s="1"/>
  <c r="J122" i="1" s="1"/>
  <c r="H123" i="1" s="1"/>
  <c r="I123" i="1" s="1"/>
  <c r="J123" i="1" s="1"/>
  <c r="H124" i="1" s="1"/>
  <c r="I124" i="1" s="1"/>
  <c r="J124" i="1" s="1"/>
  <c r="H125" i="1" s="1"/>
  <c r="I125" i="1" s="1"/>
  <c r="J125" i="1" s="1"/>
  <c r="J127" i="1" s="1"/>
  <c r="D34" i="1"/>
  <c r="F34" i="1"/>
  <c r="B42" i="1"/>
  <c r="C45" i="1"/>
  <c r="C57" i="1" l="1"/>
  <c r="C67" i="1" s="1"/>
  <c r="M128" i="1"/>
  <c r="J129" i="1" s="1"/>
  <c r="D42" i="1"/>
  <c r="C46" i="1" s="1"/>
  <c r="C47" i="1" s="1"/>
  <c r="D50" i="1"/>
  <c r="D51" i="1" s="1"/>
  <c r="D52" i="1" s="1"/>
  <c r="D53" i="1" s="1"/>
  <c r="C58" i="1"/>
  <c r="D54" i="1" l="1"/>
  <c r="D75" i="1" s="1"/>
  <c r="D82" i="1" s="1"/>
  <c r="D72" i="1"/>
  <c r="D79" i="1" s="1"/>
  <c r="D73" i="1" l="1"/>
  <c r="D80" i="1" s="1"/>
  <c r="D88" i="1" s="1"/>
  <c r="D74" i="1"/>
  <c r="D81" i="1" s="1"/>
  <c r="J79" i="1" l="1"/>
  <c r="H80" i="1" s="1"/>
  <c r="I80" i="1" s="1"/>
  <c r="J80" i="1" s="1"/>
  <c r="D97" i="1"/>
  <c r="J103" i="1" s="1"/>
  <c r="D96" i="1"/>
  <c r="D98" i="1" s="1"/>
  <c r="D87" i="1"/>
  <c r="D89" i="1" s="1"/>
  <c r="L96" i="1" l="1"/>
  <c r="J94" i="1"/>
  <c r="N94" i="1"/>
  <c r="M95" i="1"/>
  <c r="M96" i="1"/>
  <c r="K94" i="1"/>
  <c r="J95" i="1"/>
  <c r="I94" i="1"/>
  <c r="J96" i="1"/>
  <c r="N96" i="1"/>
  <c r="L94" i="1"/>
  <c r="K95" i="1"/>
  <c r="K96" i="1"/>
  <c r="I96" i="1"/>
  <c r="M94" i="1"/>
  <c r="L95" i="1"/>
  <c r="J73" i="1"/>
  <c r="N73" i="1"/>
  <c r="L71" i="1"/>
  <c r="K73" i="1"/>
  <c r="I73" i="1"/>
  <c r="M71" i="1"/>
  <c r="L73" i="1"/>
  <c r="J71" i="1"/>
  <c r="N71" i="1"/>
  <c r="M73" i="1"/>
  <c r="K71" i="1"/>
  <c r="I71" i="1"/>
  <c r="K72" i="1"/>
  <c r="L72" i="1"/>
  <c r="I72" i="1"/>
  <c r="M72" i="1"/>
  <c r="J72" i="1"/>
  <c r="N72" i="1"/>
  <c r="I95" i="1"/>
  <c r="J97" i="1"/>
  <c r="M74" i="1"/>
  <c r="K74" i="1"/>
  <c r="I74" i="1"/>
  <c r="J74" i="1"/>
  <c r="N74" i="1"/>
  <c r="L74" i="1"/>
  <c r="H104" i="1"/>
  <c r="I104" i="1" s="1"/>
  <c r="J104" i="1" s="1"/>
  <c r="H81" i="1"/>
  <c r="I81" i="1" s="1"/>
  <c r="J81" i="1" s="1"/>
  <c r="H82" i="1" s="1"/>
  <c r="I82" i="1" s="1"/>
  <c r="I97" i="1"/>
  <c r="N95" i="1"/>
  <c r="L97" i="1"/>
  <c r="M97" i="1"/>
  <c r="K97" i="1"/>
  <c r="N97" i="1"/>
  <c r="L75" i="1" l="1"/>
  <c r="M75" i="1"/>
  <c r="K75" i="1"/>
  <c r="N75" i="1"/>
  <c r="N98" i="1"/>
  <c r="I98" i="1"/>
  <c r="I75" i="1"/>
  <c r="J75" i="1"/>
  <c r="J76" i="1" s="1"/>
  <c r="K98" i="1"/>
  <c r="J98" i="1"/>
  <c r="K99" i="1" s="1"/>
  <c r="M98" i="1"/>
  <c r="L98" i="1"/>
  <c r="H105" i="1"/>
  <c r="I105" i="1" s="1"/>
  <c r="J105" i="1" s="1"/>
  <c r="J82" i="1"/>
  <c r="H83" i="1" s="1"/>
  <c r="I83" i="1" s="1"/>
  <c r="J83" i="1" s="1"/>
  <c r="H106" i="1" l="1"/>
  <c r="I106" i="1" s="1"/>
  <c r="N76" i="1"/>
  <c r="H84" i="1"/>
  <c r="I84" i="1" s="1"/>
  <c r="J84" i="1" s="1"/>
  <c r="N99" i="1"/>
  <c r="J106" i="1" l="1"/>
  <c r="H107" i="1" s="1"/>
  <c r="I107" i="1" s="1"/>
  <c r="J107" i="1" s="1"/>
  <c r="H108" i="1" s="1"/>
  <c r="I108" i="1" s="1"/>
  <c r="J108" i="1" s="1"/>
  <c r="H85" i="1"/>
  <c r="I85" i="1" s="1"/>
  <c r="H109" i="1" l="1"/>
  <c r="I109" i="1" s="1"/>
  <c r="J85" i="1"/>
  <c r="N85" i="1" s="1"/>
  <c r="J109" i="1" l="1"/>
  <c r="N109" i="1" s="1"/>
  <c r="J111" i="1" s="1"/>
  <c r="J87" i="1"/>
  <c r="M88" i="1" l="1"/>
  <c r="J89" i="1" s="1"/>
  <c r="M112" i="1"/>
  <c r="J1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Samyak</author>
  </authors>
  <commentList>
    <comment ref="C47" authorId="0" shapeId="0" xr:uid="{B88CFB12-050B-455E-8776-A24A4B5BDFEB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more, increase stem width</t>
        </r>
      </text>
    </comment>
    <comment ref="D51" authorId="0" shapeId="0" xr:uid="{031A6667-1714-49CA-9AD9-3EFDEB6BE97B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more, it denotes tension</t>
        </r>
      </text>
    </comment>
    <comment ref="D53" authorId="0" shapeId="0" xr:uid="{4EDAB481-24C1-4FAD-8060-517F8027E349}">
      <text>
        <r>
          <rPr>
            <b/>
            <sz val="9"/>
            <color indexed="81"/>
            <rFont val="Tahoma"/>
            <family val="2"/>
          </rPr>
          <t xml:space="preserve">Samyak
</t>
        </r>
        <r>
          <rPr>
            <sz val="9"/>
            <color indexed="81"/>
            <rFont val="Tahoma"/>
            <family val="2"/>
          </rPr>
          <t>if more,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increase base width</t>
        </r>
      </text>
    </comment>
    <comment ref="D54" authorId="0" shapeId="0" xr:uid="{A1E4309B-5B2E-4579-A01D-FA0EB11B8FF6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error denotes uplift</t>
        </r>
      </text>
    </comment>
    <comment ref="C58" authorId="0" shapeId="0" xr:uid="{74E3D5D8-15C3-4B7D-9705-595E1BB05FCE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design shear key if less than 1.4</t>
        </r>
      </text>
    </comment>
    <comment ref="C67" authorId="0" shapeId="0" xr:uid="{50AD0975-B36E-4A52-B2C2-A400AF587ADD}">
      <text>
        <r>
          <rPr>
            <b/>
            <sz val="9"/>
            <color indexed="81"/>
            <rFont val="Tahoma"/>
            <family val="2"/>
          </rPr>
          <t>Samyak:</t>
        </r>
        <r>
          <rPr>
            <sz val="9"/>
            <color indexed="81"/>
            <rFont val="Tahoma"/>
            <family val="2"/>
          </rPr>
          <t xml:space="preserve">
if less than 1.4, increase shear key dimensions</t>
        </r>
      </text>
    </comment>
  </commentList>
</comments>
</file>

<file path=xl/sharedStrings.xml><?xml version="1.0" encoding="utf-8"?>
<sst xmlns="http://schemas.openxmlformats.org/spreadsheetml/2006/main" count="245" uniqueCount="152">
  <si>
    <t>retaining height</t>
  </si>
  <si>
    <t>backfill inclination</t>
  </si>
  <si>
    <t>m</t>
  </si>
  <si>
    <t>deg</t>
  </si>
  <si>
    <t>bf soil unit weight</t>
  </si>
  <si>
    <t>kN/m3</t>
  </si>
  <si>
    <t>φ</t>
  </si>
  <si>
    <t>mu</t>
  </si>
  <si>
    <t>SBC</t>
  </si>
  <si>
    <t>Step 1</t>
  </si>
  <si>
    <t>Depth of Foundation</t>
  </si>
  <si>
    <t>Df</t>
  </si>
  <si>
    <t xml:space="preserve">sin φ </t>
  </si>
  <si>
    <t xml:space="preserve">cos φ </t>
  </si>
  <si>
    <t>adopt</t>
  </si>
  <si>
    <t>Step 2</t>
  </si>
  <si>
    <t>Initial size</t>
  </si>
  <si>
    <t>Base width</t>
  </si>
  <si>
    <t>min</t>
  </si>
  <si>
    <t>max</t>
  </si>
  <si>
    <t>overall h</t>
  </si>
  <si>
    <t>width of heel</t>
  </si>
  <si>
    <t>base slab thickness</t>
  </si>
  <si>
    <t>stem</t>
  </si>
  <si>
    <t>top thickness</t>
  </si>
  <si>
    <t>&gt;0.3</t>
  </si>
  <si>
    <t>bottom thickness</t>
  </si>
  <si>
    <t>height of stem</t>
  </si>
  <si>
    <t>toe slab width</t>
  </si>
  <si>
    <t>height of soil above toe</t>
  </si>
  <si>
    <t>tan del</t>
  </si>
  <si>
    <t>Step 3</t>
  </si>
  <si>
    <t>vetical forces</t>
  </si>
  <si>
    <t>Notation</t>
  </si>
  <si>
    <t>item</t>
  </si>
  <si>
    <t>force</t>
  </si>
  <si>
    <t>heel dist</t>
  </si>
  <si>
    <t>heel moment</t>
  </si>
  <si>
    <t>base slab</t>
  </si>
  <si>
    <t>stem (rect)</t>
  </si>
  <si>
    <t>stem (tri)</t>
  </si>
  <si>
    <t>soil above heel (rect)</t>
  </si>
  <si>
    <t>soil above heel (tri)</t>
  </si>
  <si>
    <t>W1</t>
  </si>
  <si>
    <t>W2</t>
  </si>
  <si>
    <t>W3</t>
  </si>
  <si>
    <t>W4</t>
  </si>
  <si>
    <t>W5</t>
  </si>
  <si>
    <t>unit weight of steel</t>
  </si>
  <si>
    <t>additional ht above toe</t>
  </si>
  <si>
    <t>total</t>
  </si>
  <si>
    <t>step 4</t>
  </si>
  <si>
    <t>earth pressure</t>
  </si>
  <si>
    <t>sin del</t>
  </si>
  <si>
    <t>cos del</t>
  </si>
  <si>
    <t>ka</t>
  </si>
  <si>
    <t>kp</t>
  </si>
  <si>
    <t>Pa</t>
  </si>
  <si>
    <t>Pah</t>
  </si>
  <si>
    <t>Pav</t>
  </si>
  <si>
    <t>kN</t>
  </si>
  <si>
    <t>step 5</t>
  </si>
  <si>
    <t>overturing stability</t>
  </si>
  <si>
    <t>overturning moment</t>
  </si>
  <si>
    <t>kNm</t>
  </si>
  <si>
    <t>resisting moment</t>
  </si>
  <si>
    <t>FOS</t>
  </si>
  <si>
    <t>&gt;</t>
  </si>
  <si>
    <t>&gt;1.4</t>
  </si>
  <si>
    <t>step 6</t>
  </si>
  <si>
    <t>Soil bearing pressure</t>
  </si>
  <si>
    <t>resultant distance from heel</t>
  </si>
  <si>
    <t>e</t>
  </si>
  <si>
    <t xml:space="preserve">eccentricity </t>
  </si>
  <si>
    <t>&lt;</t>
  </si>
  <si>
    <t>6e/B</t>
  </si>
  <si>
    <t>q max</t>
  </si>
  <si>
    <t>q min</t>
  </si>
  <si>
    <t>step 7</t>
  </si>
  <si>
    <t>sliding stability</t>
  </si>
  <si>
    <t>Resisiting force</t>
  </si>
  <si>
    <t>step 8</t>
  </si>
  <si>
    <t>shear key</t>
  </si>
  <si>
    <t>Assume</t>
  </si>
  <si>
    <t xml:space="preserve">depth </t>
  </si>
  <si>
    <t>mm</t>
  </si>
  <si>
    <t>width</t>
  </si>
  <si>
    <t>dist from toe</t>
  </si>
  <si>
    <t>Passive pressure</t>
  </si>
  <si>
    <t>step 9</t>
  </si>
  <si>
    <t>toe slab</t>
  </si>
  <si>
    <t>pressure due to self weight</t>
  </si>
  <si>
    <t>kN/m2</t>
  </si>
  <si>
    <t>bearing pressure at toe</t>
  </si>
  <si>
    <t>bearing pressure at heel</t>
  </si>
  <si>
    <t>bearing pressure at stem front</t>
  </si>
  <si>
    <t>bearing pressure at stem back</t>
  </si>
  <si>
    <t>net pressure</t>
  </si>
  <si>
    <t>at toe</t>
  </si>
  <si>
    <t>at stem front</t>
  </si>
  <si>
    <t>at stem back</t>
  </si>
  <si>
    <t>soil pressure on heel</t>
  </si>
  <si>
    <t>at heel</t>
  </si>
  <si>
    <t>assume main bar dia</t>
  </si>
  <si>
    <t>depth of bar</t>
  </si>
  <si>
    <t>ultimate shear force</t>
  </si>
  <si>
    <t>kN/m</t>
  </si>
  <si>
    <t>ultimate moment</t>
  </si>
  <si>
    <t>kNm/m</t>
  </si>
  <si>
    <t>nominal shear</t>
  </si>
  <si>
    <t>IS 456:2000</t>
  </si>
  <si>
    <t>table 19</t>
  </si>
  <si>
    <t>M</t>
  </si>
  <si>
    <t>p</t>
  </si>
  <si>
    <t>concrete</t>
  </si>
  <si>
    <t>IS sp 16</t>
  </si>
  <si>
    <t>Table 2</t>
  </si>
  <si>
    <t>p from shear</t>
  </si>
  <si>
    <t>steel specification</t>
  </si>
  <si>
    <t>N/mm2</t>
  </si>
  <si>
    <t>xu</t>
  </si>
  <si>
    <t>Ast</t>
  </si>
  <si>
    <t>Ast'=Mu/0.87fy(d-0.416xu)</t>
  </si>
  <si>
    <t>p=</t>
  </si>
  <si>
    <t>Ast for shear=</t>
  </si>
  <si>
    <t>Ast for moment</t>
  </si>
  <si>
    <t xml:space="preserve">provide </t>
  </si>
  <si>
    <t>dia at spacing =</t>
  </si>
  <si>
    <t>Ast provided =</t>
  </si>
  <si>
    <t>Ast required=</t>
  </si>
  <si>
    <t>heel slab</t>
  </si>
  <si>
    <t>step 10</t>
  </si>
  <si>
    <t>p more</t>
  </si>
  <si>
    <t>p less</t>
  </si>
  <si>
    <t>tau less</t>
  </si>
  <si>
    <t>tau more</t>
  </si>
  <si>
    <t>step 11</t>
  </si>
  <si>
    <t>stem reinforcement</t>
  </si>
  <si>
    <t>Ast for shear</t>
  </si>
  <si>
    <t>Height of cantilever</t>
  </si>
  <si>
    <t>bar dia</t>
  </si>
  <si>
    <t>clear cover</t>
  </si>
  <si>
    <t>effective depth at base</t>
  </si>
  <si>
    <t>width at base</t>
  </si>
  <si>
    <t>width at top</t>
  </si>
  <si>
    <t>force due to earth pressure</t>
  </si>
  <si>
    <t>Bending moment</t>
  </si>
  <si>
    <t>required anchorage</t>
  </si>
  <si>
    <t xml:space="preserve">available anchorage </t>
  </si>
  <si>
    <t>anchorage value for the bar</t>
  </si>
  <si>
    <t>H/12</t>
  </si>
  <si>
    <t>concrete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</si>
</sst>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0" fontId="0" fillId="0" borderId="3" xfId="0" applyFill="1" applyBorder="1"/>
    <xf numFmtId="0" fontId="0" fillId="0" borderId="4" xfId="0" applyBorder="1"/>
    <xf numFmtId="2" fontId="1" fillId="0" borderId="4" xfId="0" applyNumberFormat="1" applyFont="1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0" fontId="0" fillId="0" borderId="7" xfId="0" applyBorder="1"/>
    <xf numFmtId="0" fontId="1" fillId="0" borderId="6" xfId="0" applyFon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164" fontId="0" fillId="0" borderId="0" xfId="0" applyNumberFormat="1" applyBorder="1"/>
    <xf numFmtId="0" fontId="0" fillId="0" borderId="17" xfId="0" applyBorder="1"/>
    <xf numFmtId="1" fontId="0" fillId="0" borderId="13" xfId="0" applyNumberFormat="1" applyBorder="1"/>
    <xf numFmtId="0" fontId="0" fillId="0" borderId="18" xfId="0" applyBorder="1"/>
    <xf numFmtId="1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topLeftCell="G77" workbookViewId="0">
      <selection activeCell="H78" sqref="H78:N89"/>
    </sheetView>
  </sheetViews>
  <sheetFormatPr defaultRowHeight="15" x14ac:dyDescent="0.25"/>
  <cols>
    <col min="1" max="1" width="13.28515625" customWidth="1"/>
    <col min="4" max="4" width="12" bestFit="1" customWidth="1"/>
    <col min="10" max="10" width="10.28515625" bestFit="1" customWidth="1"/>
  </cols>
  <sheetData>
    <row r="1" spans="1:9" x14ac:dyDescent="0.25">
      <c r="A1" t="s">
        <v>0</v>
      </c>
      <c r="C1">
        <v>4</v>
      </c>
      <c r="D1" t="s">
        <v>2</v>
      </c>
      <c r="E1" t="s">
        <v>53</v>
      </c>
      <c r="F1" s="2">
        <f>SIN(RADIANS(C2))</f>
        <v>0.25881904510252074</v>
      </c>
      <c r="H1" t="s">
        <v>151</v>
      </c>
    </row>
    <row r="2" spans="1:9" x14ac:dyDescent="0.25">
      <c r="A2" t="s">
        <v>1</v>
      </c>
      <c r="C2">
        <v>15</v>
      </c>
      <c r="D2" t="s">
        <v>3</v>
      </c>
      <c r="E2" t="s">
        <v>54</v>
      </c>
      <c r="F2" s="2">
        <f>COS(RADIANS(C2))</f>
        <v>0.96592582628906831</v>
      </c>
      <c r="H2">
        <v>20</v>
      </c>
      <c r="I2" t="s">
        <v>5</v>
      </c>
    </row>
    <row r="3" spans="1:9" x14ac:dyDescent="0.25">
      <c r="A3" t="s">
        <v>4</v>
      </c>
      <c r="C3">
        <v>18</v>
      </c>
      <c r="D3" t="s">
        <v>5</v>
      </c>
      <c r="E3" t="s">
        <v>30</v>
      </c>
      <c r="F3" s="2">
        <f>TAN(RADIANS(C2))</f>
        <v>0.2679491924311227</v>
      </c>
      <c r="H3" t="s">
        <v>48</v>
      </c>
    </row>
    <row r="4" spans="1:9" x14ac:dyDescent="0.25">
      <c r="A4" t="s">
        <v>6</v>
      </c>
      <c r="C4">
        <v>30</v>
      </c>
      <c r="D4" t="s">
        <v>3</v>
      </c>
      <c r="E4" t="s">
        <v>12</v>
      </c>
      <c r="F4" s="2">
        <f>SIN(RADIANS(C4))</f>
        <v>0.49999999999999994</v>
      </c>
      <c r="H4">
        <v>78.5</v>
      </c>
      <c r="I4" t="s">
        <v>5</v>
      </c>
    </row>
    <row r="5" spans="1:9" x14ac:dyDescent="0.25">
      <c r="A5" t="s">
        <v>7</v>
      </c>
      <c r="C5">
        <v>0.5</v>
      </c>
      <c r="E5" t="s">
        <v>13</v>
      </c>
      <c r="F5" s="2">
        <f>COS(RADIANS(C4))</f>
        <v>0.86602540378443871</v>
      </c>
      <c r="H5" t="s">
        <v>118</v>
      </c>
    </row>
    <row r="6" spans="1:9" x14ac:dyDescent="0.25">
      <c r="A6" t="s">
        <v>8</v>
      </c>
      <c r="C6">
        <v>150</v>
      </c>
      <c r="D6" t="s">
        <v>5</v>
      </c>
      <c r="H6">
        <v>415</v>
      </c>
      <c r="I6" t="s">
        <v>119</v>
      </c>
    </row>
    <row r="8" spans="1:9" x14ac:dyDescent="0.25">
      <c r="A8" s="4" t="s">
        <v>9</v>
      </c>
      <c r="B8" s="4" t="s">
        <v>10</v>
      </c>
      <c r="C8" s="4"/>
    </row>
    <row r="9" spans="1:9" x14ac:dyDescent="0.25">
      <c r="A9" t="s">
        <v>11</v>
      </c>
      <c r="C9" s="1">
        <f>C6/C3*((1-F4)/(1+F4))^2</f>
        <v>0.92592592592592593</v>
      </c>
      <c r="D9" t="s">
        <v>2</v>
      </c>
    </row>
    <row r="10" spans="1:9" x14ac:dyDescent="0.25">
      <c r="A10" t="s">
        <v>14</v>
      </c>
      <c r="C10" s="1">
        <v>1.5</v>
      </c>
      <c r="D10" t="s">
        <v>2</v>
      </c>
    </row>
    <row r="11" spans="1:9" x14ac:dyDescent="0.25">
      <c r="A11" t="s">
        <v>20</v>
      </c>
      <c r="C11" s="1">
        <f>C1+C10</f>
        <v>5.5</v>
      </c>
      <c r="D11" t="s">
        <v>2</v>
      </c>
    </row>
    <row r="12" spans="1:9" x14ac:dyDescent="0.25">
      <c r="C12" s="1"/>
    </row>
    <row r="13" spans="1:9" ht="15.75" thickBot="1" x14ac:dyDescent="0.3">
      <c r="A13" s="12" t="s">
        <v>15</v>
      </c>
      <c r="B13" s="12" t="s">
        <v>16</v>
      </c>
      <c r="C13" s="1"/>
    </row>
    <row r="14" spans="1:9" x14ac:dyDescent="0.25">
      <c r="A14" s="13" t="s">
        <v>17</v>
      </c>
      <c r="B14" s="14"/>
      <c r="C14" s="15" t="s">
        <v>14</v>
      </c>
      <c r="D14" s="16"/>
      <c r="E14" s="3" t="s">
        <v>18</v>
      </c>
      <c r="F14" s="3" t="s">
        <v>19</v>
      </c>
    </row>
    <row r="15" spans="1:9" x14ac:dyDescent="0.25">
      <c r="A15" s="17"/>
      <c r="B15" s="12"/>
      <c r="C15" s="18">
        <v>3.5</v>
      </c>
      <c r="D15" s="19" t="s">
        <v>2</v>
      </c>
      <c r="E15">
        <f>0.5*C11</f>
        <v>2.75</v>
      </c>
      <c r="F15">
        <f>0.7*C11</f>
        <v>3.8499999999999996</v>
      </c>
    </row>
    <row r="16" spans="1:9" x14ac:dyDescent="0.25">
      <c r="A16" s="17" t="s">
        <v>21</v>
      </c>
      <c r="B16" s="12"/>
      <c r="C16" s="18">
        <f>0.5*C15</f>
        <v>1.75</v>
      </c>
      <c r="D16" s="19" t="s">
        <v>2</v>
      </c>
    </row>
    <row r="17" spans="1:6" x14ac:dyDescent="0.25">
      <c r="A17" s="17" t="s">
        <v>22</v>
      </c>
      <c r="B17" s="12"/>
      <c r="C17" s="18">
        <f>C11/12</f>
        <v>0.45833333333333331</v>
      </c>
      <c r="D17" s="19" t="s">
        <v>2</v>
      </c>
      <c r="E17" t="s">
        <v>150</v>
      </c>
    </row>
    <row r="18" spans="1:6" x14ac:dyDescent="0.25">
      <c r="A18" s="20" t="s">
        <v>23</v>
      </c>
      <c r="B18" s="12"/>
      <c r="C18" s="18"/>
      <c r="D18" s="19"/>
    </row>
    <row r="19" spans="1:6" x14ac:dyDescent="0.25">
      <c r="A19" s="17" t="s">
        <v>24</v>
      </c>
      <c r="B19" s="12"/>
      <c r="C19" s="18" t="s">
        <v>14</v>
      </c>
      <c r="D19" s="19"/>
      <c r="E19" t="s">
        <v>18</v>
      </c>
      <c r="F19" t="s">
        <v>19</v>
      </c>
    </row>
    <row r="20" spans="1:6" x14ac:dyDescent="0.25">
      <c r="A20" s="17"/>
      <c r="B20" s="12"/>
      <c r="C20" s="18">
        <v>0.3</v>
      </c>
      <c r="D20" s="19" t="s">
        <v>2</v>
      </c>
      <c r="E20">
        <v>0.2</v>
      </c>
      <c r="F20" t="s">
        <v>25</v>
      </c>
    </row>
    <row r="21" spans="1:6" x14ac:dyDescent="0.25">
      <c r="A21" s="17" t="s">
        <v>26</v>
      </c>
      <c r="B21" s="12"/>
      <c r="C21" s="18">
        <f>C17</f>
        <v>0.45833333333333331</v>
      </c>
      <c r="D21" s="19" t="s">
        <v>2</v>
      </c>
    </row>
    <row r="22" spans="1:6" x14ac:dyDescent="0.25">
      <c r="A22" s="17" t="s">
        <v>27</v>
      </c>
      <c r="B22" s="12"/>
      <c r="C22" s="18">
        <f>h-C17</f>
        <v>5.041666666666667</v>
      </c>
      <c r="D22" s="19" t="s">
        <v>2</v>
      </c>
    </row>
    <row r="23" spans="1:6" x14ac:dyDescent="0.25">
      <c r="A23" s="17" t="s">
        <v>28</v>
      </c>
      <c r="B23" s="12"/>
      <c r="C23" s="18">
        <f>C15-C21-C16</f>
        <v>1.2916666666666665</v>
      </c>
      <c r="D23" s="19" t="s">
        <v>2</v>
      </c>
    </row>
    <row r="24" spans="1:6" x14ac:dyDescent="0.25">
      <c r="A24" s="17" t="s">
        <v>49</v>
      </c>
      <c r="B24" s="12"/>
      <c r="C24" s="18">
        <f>C16*F3</f>
        <v>0.46891108675446469</v>
      </c>
      <c r="D24" s="19" t="s">
        <v>2</v>
      </c>
    </row>
    <row r="25" spans="1:6" ht="15.75" thickBot="1" x14ac:dyDescent="0.3">
      <c r="A25" s="21" t="s">
        <v>29</v>
      </c>
      <c r="B25" s="22"/>
      <c r="C25" s="23">
        <f>C22+C24</f>
        <v>5.5105777534211313</v>
      </c>
      <c r="D25" s="24" t="s">
        <v>2</v>
      </c>
    </row>
    <row r="26" spans="1:6" x14ac:dyDescent="0.25">
      <c r="C26" s="1"/>
    </row>
    <row r="27" spans="1:6" x14ac:dyDescent="0.25">
      <c r="A27" s="4" t="s">
        <v>31</v>
      </c>
      <c r="B27" s="4" t="s">
        <v>32</v>
      </c>
      <c r="C27" s="4"/>
    </row>
    <row r="28" spans="1:6" x14ac:dyDescent="0.25">
      <c r="A28" s="8" t="s">
        <v>34</v>
      </c>
      <c r="B28" s="9"/>
      <c r="C28" s="8" t="s">
        <v>33</v>
      </c>
      <c r="D28" s="9" t="s">
        <v>35</v>
      </c>
      <c r="E28" s="9" t="s">
        <v>36</v>
      </c>
      <c r="F28" s="9" t="s">
        <v>37</v>
      </c>
    </row>
    <row r="29" spans="1:6" x14ac:dyDescent="0.25">
      <c r="A29" s="5" t="s">
        <v>38</v>
      </c>
      <c r="C29" t="s">
        <v>43</v>
      </c>
      <c r="D29" s="1">
        <f>C17*C15*H2</f>
        <v>32.083333333333329</v>
      </c>
      <c r="E29" s="1">
        <f>C15/2</f>
        <v>1.75</v>
      </c>
      <c r="F29" s="1">
        <f>D29*E29</f>
        <v>56.145833333333329</v>
      </c>
    </row>
    <row r="30" spans="1:6" x14ac:dyDescent="0.25">
      <c r="A30" s="5" t="s">
        <v>39</v>
      </c>
      <c r="C30" t="s">
        <v>44</v>
      </c>
      <c r="D30" s="1">
        <f>C20*C22*H2</f>
        <v>30.25</v>
      </c>
      <c r="E30" s="1">
        <f>C16+C20/2</f>
        <v>1.9</v>
      </c>
      <c r="F30" s="1">
        <f t="shared" ref="F30:F33" si="0">D30*E30</f>
        <v>57.474999999999994</v>
      </c>
    </row>
    <row r="31" spans="1:6" x14ac:dyDescent="0.25">
      <c r="A31" s="5" t="s">
        <v>40</v>
      </c>
      <c r="C31" t="s">
        <v>45</v>
      </c>
      <c r="D31" s="1">
        <f>0.5*(C21-C20)*C22*H2</f>
        <v>7.9826388888888893</v>
      </c>
      <c r="E31" s="1">
        <f>E30+2/3*(C21-C20)</f>
        <v>2.0055555555555555</v>
      </c>
      <c r="F31" s="1">
        <f t="shared" si="0"/>
        <v>16.009625771604938</v>
      </c>
    </row>
    <row r="32" spans="1:6" x14ac:dyDescent="0.25">
      <c r="A32" s="5" t="s">
        <v>41</v>
      </c>
      <c r="C32" t="s">
        <v>46</v>
      </c>
      <c r="D32" s="1">
        <f>C22*C16*C3</f>
        <v>158.81250000000003</v>
      </c>
      <c r="E32" s="1">
        <f>C16/2</f>
        <v>0.875</v>
      </c>
      <c r="F32" s="1">
        <f t="shared" si="0"/>
        <v>138.96093750000003</v>
      </c>
    </row>
    <row r="33" spans="1:6" x14ac:dyDescent="0.25">
      <c r="A33" s="6" t="s">
        <v>42</v>
      </c>
      <c r="B33" s="4"/>
      <c r="C33" s="4" t="s">
        <v>47</v>
      </c>
      <c r="D33" s="7">
        <f>0.5*C16*C24*C3</f>
        <v>7.3853496163828183</v>
      </c>
      <c r="E33" s="7">
        <f>1/3*C16</f>
        <v>0.58333333333333326</v>
      </c>
      <c r="F33" s="7">
        <f t="shared" si="0"/>
        <v>4.3081206095566431</v>
      </c>
    </row>
    <row r="34" spans="1:6" x14ac:dyDescent="0.25">
      <c r="A34" s="10"/>
      <c r="B34" s="10"/>
      <c r="C34" s="10" t="s">
        <v>50</v>
      </c>
      <c r="D34" s="11">
        <f>SUM(D29:D33)</f>
        <v>236.51382183860505</v>
      </c>
      <c r="E34" s="10"/>
      <c r="F34" s="11">
        <f>SUM(F29:F33)</f>
        <v>272.89951721449489</v>
      </c>
    </row>
    <row r="36" spans="1:6" x14ac:dyDescent="0.25">
      <c r="A36" s="4" t="s">
        <v>51</v>
      </c>
      <c r="B36" s="4" t="s">
        <v>52</v>
      </c>
      <c r="C36" s="4"/>
    </row>
    <row r="37" spans="1:6" x14ac:dyDescent="0.25">
      <c r="A37" t="s">
        <v>55</v>
      </c>
      <c r="B37" s="1">
        <f>F2*(F2-SQRT(F2^2-F5^2))/(F2+SQRT(F2^2-F5^2))</f>
        <v>0.37294985837073757</v>
      </c>
    </row>
    <row r="38" spans="1:6" x14ac:dyDescent="0.25">
      <c r="A38" t="s">
        <v>56</v>
      </c>
      <c r="B38" s="1">
        <f>(1+F4)/(1-F4)</f>
        <v>3</v>
      </c>
    </row>
    <row r="39" spans="1:6" x14ac:dyDescent="0.25">
      <c r="B39" s="1"/>
    </row>
    <row r="40" spans="1:6" x14ac:dyDescent="0.25">
      <c r="A40" t="s">
        <v>57</v>
      </c>
      <c r="B40" s="1">
        <f>B37*C3*(C25+C21)^2/2</f>
        <v>119.58678085984434</v>
      </c>
      <c r="C40" t="s">
        <v>60</v>
      </c>
    </row>
    <row r="41" spans="1:6" x14ac:dyDescent="0.25">
      <c r="A41" t="s">
        <v>58</v>
      </c>
      <c r="B41" s="1">
        <f>B40*F2</f>
        <v>115.51196011529488</v>
      </c>
      <c r="C41" t="s">
        <v>60</v>
      </c>
      <c r="D41" s="1">
        <f>(C25+C17)/3</f>
        <v>1.9896370289181549</v>
      </c>
      <c r="E41" t="s">
        <v>2</v>
      </c>
    </row>
    <row r="42" spans="1:6" x14ac:dyDescent="0.25">
      <c r="A42" t="s">
        <v>59</v>
      </c>
      <c r="B42" s="1">
        <f>B40*F1</f>
        <v>30.951336429029315</v>
      </c>
      <c r="C42" t="s">
        <v>60</v>
      </c>
      <c r="D42" s="1">
        <f>F34/D34</f>
        <v>1.1538417293883108</v>
      </c>
      <c r="E42" t="s">
        <v>2</v>
      </c>
    </row>
    <row r="44" spans="1:6" x14ac:dyDescent="0.25">
      <c r="A44" s="4" t="s">
        <v>61</v>
      </c>
      <c r="B44" s="4" t="s">
        <v>62</v>
      </c>
      <c r="C44" s="4"/>
    </row>
    <row r="45" spans="1:6" x14ac:dyDescent="0.25">
      <c r="A45" s="5" t="s">
        <v>63</v>
      </c>
      <c r="C45" s="1">
        <f>B41*D41</f>
        <v>229.82687312830771</v>
      </c>
      <c r="D45" t="s">
        <v>64</v>
      </c>
    </row>
    <row r="46" spans="1:6" x14ac:dyDescent="0.25">
      <c r="A46" s="5" t="s">
        <v>65</v>
      </c>
      <c r="C46" s="1">
        <f>D34*(C15-D42)</f>
        <v>554.89885922062285</v>
      </c>
      <c r="D46" t="s">
        <v>64</v>
      </c>
    </row>
    <row r="47" spans="1:6" x14ac:dyDescent="0.25">
      <c r="A47" s="5" t="s">
        <v>66</v>
      </c>
      <c r="C47" s="1">
        <f>0.9*C46/C45</f>
        <v>2.1729790189494098</v>
      </c>
      <c r="D47" t="s">
        <v>68</v>
      </c>
    </row>
    <row r="49" spans="1:6" x14ac:dyDescent="0.25">
      <c r="A49" s="4" t="s">
        <v>69</v>
      </c>
      <c r="B49" s="4" t="s">
        <v>70</v>
      </c>
      <c r="C49" s="4"/>
      <c r="D49" s="4"/>
    </row>
    <row r="50" spans="1:6" x14ac:dyDescent="0.25">
      <c r="A50" s="5" t="s">
        <v>71</v>
      </c>
      <c r="D50" s="1">
        <f>(C45+F34)/D34</f>
        <v>2.1255687571860329</v>
      </c>
      <c r="E50" t="s">
        <v>2</v>
      </c>
    </row>
    <row r="51" spans="1:6" x14ac:dyDescent="0.25">
      <c r="A51" s="5" t="s">
        <v>73</v>
      </c>
      <c r="B51" t="s">
        <v>72</v>
      </c>
      <c r="D51" s="1">
        <f>D50-C15/2</f>
        <v>0.37556875718603289</v>
      </c>
      <c r="E51" t="s">
        <v>74</v>
      </c>
      <c r="F51">
        <f>C15/6</f>
        <v>0.58333333333333337</v>
      </c>
    </row>
    <row r="52" spans="1:6" x14ac:dyDescent="0.25">
      <c r="B52" t="s">
        <v>75</v>
      </c>
      <c r="D52" s="1">
        <f>6*D51/C15</f>
        <v>0.64383215517605641</v>
      </c>
    </row>
    <row r="53" spans="1:6" x14ac:dyDescent="0.25">
      <c r="A53" t="s">
        <v>76</v>
      </c>
      <c r="D53">
        <f>D34/C15*(1+D52)</f>
        <v>111.08257870910857</v>
      </c>
      <c r="E53" t="s">
        <v>74</v>
      </c>
      <c r="F53">
        <f>C6</f>
        <v>150</v>
      </c>
    </row>
    <row r="54" spans="1:6" x14ac:dyDescent="0.25">
      <c r="A54" t="s">
        <v>77</v>
      </c>
      <c r="D54">
        <f>D34/C15*(1-D52)</f>
        <v>24.068176627237179</v>
      </c>
      <c r="E54" t="s">
        <v>67</v>
      </c>
      <c r="F54">
        <v>0</v>
      </c>
    </row>
    <row r="56" spans="1:6" x14ac:dyDescent="0.25">
      <c r="A56" s="4" t="s">
        <v>78</v>
      </c>
      <c r="B56" s="4" t="s">
        <v>79</v>
      </c>
      <c r="C56" s="4"/>
    </row>
    <row r="57" spans="1:6" x14ac:dyDescent="0.25">
      <c r="A57" s="5" t="s">
        <v>80</v>
      </c>
      <c r="C57">
        <f>C5*D34</f>
        <v>118.25691091930253</v>
      </c>
    </row>
    <row r="58" spans="1:6" x14ac:dyDescent="0.25">
      <c r="A58" s="5" t="s">
        <v>66</v>
      </c>
      <c r="C58">
        <f>0.9*C57/B41</f>
        <v>0.92138701240236132</v>
      </c>
      <c r="D58" t="s">
        <v>68</v>
      </c>
    </row>
    <row r="60" spans="1:6" x14ac:dyDescent="0.25">
      <c r="A60" s="4" t="s">
        <v>81</v>
      </c>
      <c r="B60" s="4" t="s">
        <v>82</v>
      </c>
      <c r="C60" s="4"/>
    </row>
    <row r="61" spans="1:6" ht="15.75" thickBot="1" x14ac:dyDescent="0.3">
      <c r="A61" s="5" t="s">
        <v>83</v>
      </c>
    </row>
    <row r="62" spans="1:6" x14ac:dyDescent="0.25">
      <c r="A62" s="13" t="s">
        <v>84</v>
      </c>
      <c r="B62" s="14">
        <v>0.3</v>
      </c>
      <c r="C62" s="16" t="s">
        <v>2</v>
      </c>
    </row>
    <row r="63" spans="1:6" x14ac:dyDescent="0.25">
      <c r="A63" s="25" t="s">
        <v>86</v>
      </c>
      <c r="B63" s="12">
        <v>0.4</v>
      </c>
      <c r="C63" s="19" t="s">
        <v>2</v>
      </c>
    </row>
    <row r="64" spans="1:6" ht="15.75" thickBot="1" x14ac:dyDescent="0.3">
      <c r="A64" s="26" t="s">
        <v>87</v>
      </c>
      <c r="B64" s="22">
        <v>1.4</v>
      </c>
      <c r="C64" s="24" t="s">
        <v>2</v>
      </c>
    </row>
    <row r="65" spans="1:15" x14ac:dyDescent="0.25">
      <c r="A65" s="5" t="s">
        <v>88</v>
      </c>
    </row>
    <row r="66" spans="1:15" x14ac:dyDescent="0.25">
      <c r="B66" s="1">
        <f>1/2*C3*B38*(C10-0.3+B62+B64*F4/F5)^2-1/2*C3*B38*(C10-0.3)^2</f>
        <v>104.98152052610351</v>
      </c>
      <c r="C66" t="s">
        <v>60</v>
      </c>
    </row>
    <row r="67" spans="1:15" x14ac:dyDescent="0.25">
      <c r="A67" t="s">
        <v>66</v>
      </c>
      <c r="C67" s="1">
        <f>0.9*(C57+B66)/B41</f>
        <v>1.7393401349983881</v>
      </c>
      <c r="D67" t="s">
        <v>68</v>
      </c>
    </row>
    <row r="68" spans="1:15" s="4" customFormat="1" x14ac:dyDescent="0.25"/>
    <row r="69" spans="1:15" x14ac:dyDescent="0.25">
      <c r="A69" s="4" t="s">
        <v>89</v>
      </c>
      <c r="B69" s="4" t="s">
        <v>90</v>
      </c>
      <c r="C69" s="4"/>
    </row>
    <row r="70" spans="1:15" x14ac:dyDescent="0.25">
      <c r="A70" s="5" t="s">
        <v>91</v>
      </c>
      <c r="D70">
        <f>25*$C$17</f>
        <v>11.458333333333332</v>
      </c>
      <c r="E70" t="s">
        <v>92</v>
      </c>
      <c r="H70" s="31" t="s">
        <v>114</v>
      </c>
      <c r="I70" s="4">
        <v>15</v>
      </c>
      <c r="J70" s="4">
        <v>20</v>
      </c>
      <c r="K70" s="4">
        <v>25</v>
      </c>
      <c r="L70" s="4">
        <v>30</v>
      </c>
      <c r="M70" s="4">
        <v>35</v>
      </c>
      <c r="N70" s="4">
        <v>40</v>
      </c>
    </row>
    <row r="71" spans="1:15" x14ac:dyDescent="0.25">
      <c r="A71" s="5" t="s">
        <v>101</v>
      </c>
      <c r="D71" s="1">
        <f>$C$3*($C$22+$C$24/2)</f>
        <v>94.970199780790196</v>
      </c>
      <c r="E71" t="s">
        <v>92</v>
      </c>
      <c r="H71" s="32" t="s">
        <v>134</v>
      </c>
      <c r="I71" s="12">
        <f>IFERROR(_xlfn.XLOOKUP($D89,Sheet2!$B$6:$B$18,Sheet2!B$6:B$18,,-1),Sheet2!B6)</f>
        <v>0.28000000000000003</v>
      </c>
      <c r="J71" s="12">
        <f>IFERROR(_xlfn.XLOOKUP($D89,Sheet2!$B$6:$B$18,Sheet2!C$6:C$18,,-1),Sheet2!C6)</f>
        <v>0.28000000000000003</v>
      </c>
      <c r="K71" s="12">
        <f>IFERROR(_xlfn.XLOOKUP($D89,Sheet2!$B$6:$B$18,Sheet2!D$6:D$18,,-1),Sheet2!D6)</f>
        <v>0.28999999999999998</v>
      </c>
      <c r="L71" s="12">
        <f>IFERROR(_xlfn.XLOOKUP($D89,Sheet2!$B$6:$B$18,Sheet2!E$6:E$18,,-1),Sheet2!E6)</f>
        <v>0.28999999999999998</v>
      </c>
      <c r="M71" s="12">
        <f>IFERROR(_xlfn.XLOOKUP($D89,Sheet2!$B$6:$B$18,Sheet2!F$6:F$18,,-1),Sheet2!F6)</f>
        <v>0.28999999999999998</v>
      </c>
      <c r="N71" s="12">
        <f>IFERROR(_xlfn.XLOOKUP($D89,Sheet2!$B$6:$B$18,Sheet2!G$6:G$18,,-1),Sheet2!G6)</f>
        <v>0.3</v>
      </c>
    </row>
    <row r="72" spans="1:15" x14ac:dyDescent="0.25">
      <c r="A72" t="s">
        <v>93</v>
      </c>
      <c r="D72" s="1">
        <f>D53</f>
        <v>111.08257870910857</v>
      </c>
      <c r="E72" t="s">
        <v>92</v>
      </c>
      <c r="H72" s="33" t="s">
        <v>135</v>
      </c>
      <c r="I72" s="4">
        <f>_xlfn.XLOOKUP($D89,Sheet2!$B$6:$B$18,Sheet2!B$6:B$18,,1)</f>
        <v>0.35</v>
      </c>
      <c r="J72" s="4">
        <f>_xlfn.XLOOKUP($D89,Sheet2!$B$6:$B$18,Sheet2!C$6:C$18,,1)</f>
        <v>0.36</v>
      </c>
      <c r="K72" s="4">
        <f>_xlfn.XLOOKUP($D89,Sheet2!$B$6:$B$18,Sheet2!D$6:D$18,,1)</f>
        <v>0.36</v>
      </c>
      <c r="L72" s="4">
        <f>_xlfn.XLOOKUP($D89,Sheet2!$B$6:$B$18,Sheet2!E$6:E$18,,1)</f>
        <v>0.37</v>
      </c>
      <c r="M72" s="4">
        <f>_xlfn.XLOOKUP($D89,Sheet2!$B$6:$B$18,Sheet2!F$6:F$18,,1)</f>
        <v>0.37</v>
      </c>
      <c r="N72" s="4">
        <f>_xlfn.XLOOKUP($D89,Sheet2!$B$6:$B$18,Sheet2!G$6:G$18,,1)</f>
        <v>0.38</v>
      </c>
    </row>
    <row r="73" spans="1:15" x14ac:dyDescent="0.25">
      <c r="A73" t="s">
        <v>95</v>
      </c>
      <c r="D73" s="1">
        <f>D75+(D72-D75)*(C16+C21)/C15</f>
        <v>78.970120797941746</v>
      </c>
      <c r="E73" t="s">
        <v>92</v>
      </c>
      <c r="H73" s="35" t="s">
        <v>133</v>
      </c>
      <c r="I73" s="27">
        <f>_xlfn.IFNA(_xlfn.XLOOKUP($D89,Sheet2!$B$6:$B$18,Sheet2!$A$6:$A$18,,-1),Sheet2!$A$6)</f>
        <v>0.15</v>
      </c>
      <c r="J73" s="27">
        <f>_xlfn.IFNA(_xlfn.XLOOKUP($D89,Sheet2!$B$6:$B$18,Sheet2!$A$6:$A$18,,-1),Sheet2!$A$6)</f>
        <v>0.15</v>
      </c>
      <c r="K73" s="27">
        <f>_xlfn.IFNA(_xlfn.XLOOKUP($D89,Sheet2!$B$6:$B$18,Sheet2!$A$6:$A$18,,-1),Sheet2!$A$6)</f>
        <v>0.15</v>
      </c>
      <c r="L73" s="27">
        <f>_xlfn.IFNA(_xlfn.XLOOKUP($D89,Sheet2!$B$6:$B$18,Sheet2!$A$6:$A$18,,-1),Sheet2!$A$6)</f>
        <v>0.15</v>
      </c>
      <c r="M73" s="27">
        <f>_xlfn.IFNA(_xlfn.XLOOKUP($D89,Sheet2!$B$6:$B$18,Sheet2!$A$6:$A$18,,-1),Sheet2!$A$6)</f>
        <v>0.15</v>
      </c>
      <c r="N73" s="27">
        <f>_xlfn.IFNA(_xlfn.XLOOKUP($D89,Sheet2!$B$6:$B$18,Sheet2!$A$6:$A$18,,-1),Sheet2!$A$6)</f>
        <v>0.15</v>
      </c>
    </row>
    <row r="74" spans="1:15" x14ac:dyDescent="0.25">
      <c r="A74" t="s">
        <v>96</v>
      </c>
      <c r="D74" s="1">
        <f>D75+(D72-D75)/C15*C16</f>
        <v>67.575377668172877</v>
      </c>
      <c r="E74" t="s">
        <v>92</v>
      </c>
      <c r="H74" s="31" t="s">
        <v>132</v>
      </c>
      <c r="I74" s="4">
        <f>_xlfn.XLOOKUP($D89,Sheet2!$B$6:$B$18,Sheet2!$A$6:$A$18,,1)</f>
        <v>0.25</v>
      </c>
      <c r="J74" s="4">
        <f>_xlfn.XLOOKUP($D89,Sheet2!$B$6:$B$18,Sheet2!$A$6:$A$18,,1)</f>
        <v>0.25</v>
      </c>
      <c r="K74" s="4">
        <f>_xlfn.XLOOKUP($D89,Sheet2!$B$6:$B$18,Sheet2!$A$6:$A$18,,1)</f>
        <v>0.25</v>
      </c>
      <c r="L74" s="4">
        <f>_xlfn.XLOOKUP($D89,Sheet2!$B$6:$B$18,Sheet2!$A$6:$A$18,,1)</f>
        <v>0.25</v>
      </c>
      <c r="M74" s="4">
        <f>_xlfn.XLOOKUP($D89,Sheet2!$B$6:$B$18,Sheet2!$A$6:$A$18,,1)</f>
        <v>0.25</v>
      </c>
      <c r="N74" s="4">
        <f>_xlfn.XLOOKUP($D89,Sheet2!$B$6:$B$18,Sheet2!$A$6:$A$18,,1)</f>
        <v>0.25</v>
      </c>
    </row>
    <row r="75" spans="1:15" x14ac:dyDescent="0.25">
      <c r="A75" t="s">
        <v>94</v>
      </c>
      <c r="D75" s="1">
        <f>D54</f>
        <v>24.068176627237179</v>
      </c>
      <c r="E75" t="s">
        <v>92</v>
      </c>
      <c r="H75" s="32" t="s">
        <v>113</v>
      </c>
      <c r="I75" s="34">
        <f>IFERROR(I73+($D$89-I71)/(I72-I71)*(I74-I73),AVERAGE(I73:I74))</f>
        <v>0.18718943885899647</v>
      </c>
      <c r="J75" s="34">
        <f t="shared" ref="J75:N75" si="1">IFERROR(J73+($D$89-J71)/(J72-J71)*(J74-J73),AVERAGE(J73:J74))</f>
        <v>0.18254075900162192</v>
      </c>
      <c r="K75" s="34">
        <f t="shared" si="1"/>
        <v>0.17290372457328224</v>
      </c>
      <c r="L75" s="34">
        <f t="shared" si="1"/>
        <v>0.17004075900162197</v>
      </c>
      <c r="M75" s="34">
        <f t="shared" si="1"/>
        <v>0.17004075900162197</v>
      </c>
      <c r="N75" s="34">
        <f t="shared" si="1"/>
        <v>0.15754075900162193</v>
      </c>
      <c r="O75" s="34"/>
    </row>
    <row r="76" spans="1:15" x14ac:dyDescent="0.25">
      <c r="D76" s="1"/>
      <c r="I76" t="s">
        <v>123</v>
      </c>
      <c r="J76" s="2">
        <f>J75</f>
        <v>0.18254075900162192</v>
      </c>
      <c r="M76" t="s">
        <v>138</v>
      </c>
      <c r="N76">
        <f>J76/100*1000*D85*1000</f>
        <v>685.13631545275427</v>
      </c>
    </row>
    <row r="77" spans="1:15" x14ac:dyDescent="0.25">
      <c r="A77" t="s">
        <v>97</v>
      </c>
      <c r="D77" s="1"/>
    </row>
    <row r="78" spans="1:15" x14ac:dyDescent="0.25">
      <c r="D78" s="1"/>
      <c r="H78" t="s">
        <v>121</v>
      </c>
      <c r="I78" t="s">
        <v>120</v>
      </c>
      <c r="J78" t="s">
        <v>122</v>
      </c>
    </row>
    <row r="79" spans="1:15" x14ac:dyDescent="0.25">
      <c r="A79" t="s">
        <v>98</v>
      </c>
      <c r="D79" s="1">
        <f>D72-D70</f>
        <v>99.624245375775246</v>
      </c>
      <c r="E79" t="s">
        <v>92</v>
      </c>
      <c r="H79">
        <v>1000</v>
      </c>
      <c r="I79" s="2">
        <f>0.87*$H$6*H79/(0.36*$H$2*1000)</f>
        <v>50.145833333333343</v>
      </c>
      <c r="J79" s="2">
        <f>$D$88*1000000/(0.87*$H$6*($D$85*1000-0.416*I79))</f>
        <v>869.38465981465185</v>
      </c>
    </row>
    <row r="80" spans="1:15" x14ac:dyDescent="0.25">
      <c r="A80" t="s">
        <v>99</v>
      </c>
      <c r="D80" s="1">
        <f>D73-D70</f>
        <v>67.511787464608418</v>
      </c>
      <c r="E80" t="s">
        <v>92</v>
      </c>
      <c r="H80" s="2">
        <f>J79</f>
        <v>869.38465981465185</v>
      </c>
      <c r="I80" s="2">
        <f>0.87*$H$6*H80/(0.36*$H$2*1000)</f>
        <v>43.59601825362224</v>
      </c>
      <c r="J80" s="2">
        <f>$D$88*1000000/(0.87*$H$6*($D$85*1000-0.416*I80))</f>
        <v>862.75294158240615</v>
      </c>
    </row>
    <row r="81" spans="1:14" x14ac:dyDescent="0.25">
      <c r="A81" t="s">
        <v>100</v>
      </c>
      <c r="D81" s="1">
        <f>C3*(C22+C24/2)+12.5-D74</f>
        <v>39.894822112617319</v>
      </c>
      <c r="E81" t="s">
        <v>92</v>
      </c>
      <c r="H81" s="2">
        <f t="shared" ref="H81:H85" si="2">J80</f>
        <v>862.75294158240615</v>
      </c>
      <c r="I81" s="2">
        <f t="shared" ref="I81:I85" si="3">0.87*$H$6*H81/(0.36*$H$2*1000)</f>
        <v>43.263465216434412</v>
      </c>
      <c r="J81" s="2">
        <f t="shared" ref="J81:J85" si="4">$D$88*1000000/(0.87*$H$6*($D$85*1000-0.416*I81))</f>
        <v>862.41892790400595</v>
      </c>
    </row>
    <row r="82" spans="1:14" x14ac:dyDescent="0.25">
      <c r="A82" t="s">
        <v>102</v>
      </c>
      <c r="D82" s="1">
        <f>(C22+C24/2)*C3+D70-D75</f>
        <v>82.360356486886346</v>
      </c>
      <c r="E82" t="s">
        <v>92</v>
      </c>
      <c r="H82" s="2">
        <f t="shared" si="2"/>
        <v>862.41892790400595</v>
      </c>
      <c r="I82" s="2">
        <f>0.87*$H$6*H82/(0.36*$H$2*1000)</f>
        <v>43.246715822186303</v>
      </c>
      <c r="J82" s="2">
        <f t="shared" si="4"/>
        <v>862.40211178386733</v>
      </c>
    </row>
    <row r="83" spans="1:14" x14ac:dyDescent="0.25">
      <c r="H83" s="2">
        <f t="shared" si="2"/>
        <v>862.40211178386733</v>
      </c>
      <c r="I83" s="2">
        <f t="shared" si="3"/>
        <v>43.24587256382852</v>
      </c>
      <c r="J83" s="2">
        <f>$D$88*1000000/(0.87*$H$6*($D$85*1000-0.416*I83))</f>
        <v>862.40126518349348</v>
      </c>
    </row>
    <row r="84" spans="1:14" x14ac:dyDescent="0.25">
      <c r="A84" t="s">
        <v>103</v>
      </c>
      <c r="D84">
        <v>16</v>
      </c>
      <c r="E84" t="s">
        <v>85</v>
      </c>
      <c r="H84" s="2">
        <f t="shared" si="2"/>
        <v>862.40126518349348</v>
      </c>
      <c r="I84" s="2">
        <f t="shared" si="3"/>
        <v>43.245830110347271</v>
      </c>
      <c r="J84" s="2">
        <f>$D$88*1000000/(0.87*$H$6*($D$85*1000-0.416*I84))</f>
        <v>862.40122256180393</v>
      </c>
    </row>
    <row r="85" spans="1:14" x14ac:dyDescent="0.25">
      <c r="A85" t="s">
        <v>104</v>
      </c>
      <c r="D85">
        <f>$C$17-0.075-D84/2000</f>
        <v>0.3753333333333333</v>
      </c>
      <c r="E85" t="s">
        <v>2</v>
      </c>
      <c r="H85" s="2">
        <f t="shared" si="2"/>
        <v>862.40122256180393</v>
      </c>
      <c r="I85" s="2">
        <f t="shared" si="3"/>
        <v>43.245827973047135</v>
      </c>
      <c r="J85" s="2">
        <f t="shared" si="4"/>
        <v>862.40122041603536</v>
      </c>
      <c r="M85" t="s">
        <v>125</v>
      </c>
      <c r="N85" s="2">
        <f>J85</f>
        <v>862.40122041603536</v>
      </c>
    </row>
    <row r="87" spans="1:14" ht="15.75" thickBot="1" x14ac:dyDescent="0.3">
      <c r="A87" t="s">
        <v>105</v>
      </c>
      <c r="D87" s="2">
        <f>1.5*(D79+D80)/2*(C23-D85)</f>
        <v>114.86423856955366</v>
      </c>
      <c r="E87" t="s">
        <v>106</v>
      </c>
      <c r="H87" t="s">
        <v>129</v>
      </c>
      <c r="J87" s="2">
        <f>MAX(N76,N85)</f>
        <v>862.40122041603536</v>
      </c>
    </row>
    <row r="88" spans="1:14" ht="15.75" thickBot="1" x14ac:dyDescent="0.3">
      <c r="A88" t="s">
        <v>107</v>
      </c>
      <c r="D88" s="2">
        <f>1.5*(D80*C23*C23/2+1/2*C23*(D79-D80)*2/3*C23)</f>
        <v>111.26589729415306</v>
      </c>
      <c r="E88" t="s">
        <v>108</v>
      </c>
      <c r="H88" s="28" t="s">
        <v>126</v>
      </c>
      <c r="I88" s="29">
        <f>D84</f>
        <v>16</v>
      </c>
      <c r="J88" s="29" t="s">
        <v>85</v>
      </c>
      <c r="K88" s="29" t="s">
        <v>127</v>
      </c>
      <c r="L88" s="29"/>
      <c r="M88" s="29">
        <f>INT(PI()*I88^2/4*1000/J87/5-1)*5</f>
        <v>225</v>
      </c>
      <c r="N88" s="30" t="s">
        <v>85</v>
      </c>
    </row>
    <row r="89" spans="1:14" x14ac:dyDescent="0.25">
      <c r="A89" t="s">
        <v>109</v>
      </c>
      <c r="D89" s="2">
        <f>D87/(1000*$D$85)</f>
        <v>0.30603260720129755</v>
      </c>
      <c r="E89" t="s">
        <v>60</v>
      </c>
      <c r="H89" t="s">
        <v>128</v>
      </c>
      <c r="J89">
        <f>1000/M88*I88^2*PI()/4</f>
        <v>893.60857702109672</v>
      </c>
    </row>
    <row r="90" spans="1:14" s="4" customFormat="1" x14ac:dyDescent="0.25"/>
    <row r="91" spans="1:14" x14ac:dyDescent="0.25">
      <c r="A91" s="4" t="s">
        <v>131</v>
      </c>
      <c r="B91" s="4" t="s">
        <v>130</v>
      </c>
    </row>
    <row r="93" spans="1:14" x14ac:dyDescent="0.25">
      <c r="A93" t="s">
        <v>103</v>
      </c>
      <c r="D93">
        <v>16</v>
      </c>
      <c r="E93" t="s">
        <v>85</v>
      </c>
      <c r="H93" s="31" t="s">
        <v>114</v>
      </c>
      <c r="I93" s="4">
        <v>15</v>
      </c>
      <c r="J93" s="4">
        <v>20</v>
      </c>
      <c r="K93" s="4">
        <v>25</v>
      </c>
      <c r="L93" s="4">
        <v>30</v>
      </c>
      <c r="M93" s="4">
        <v>35</v>
      </c>
      <c r="N93" s="4">
        <v>40</v>
      </c>
    </row>
    <row r="94" spans="1:14" x14ac:dyDescent="0.25">
      <c r="A94" t="s">
        <v>104</v>
      </c>
      <c r="D94">
        <f>$C$17-0.075-D93/2000</f>
        <v>0.3753333333333333</v>
      </c>
      <c r="E94" t="s">
        <v>2</v>
      </c>
      <c r="H94" s="32" t="s">
        <v>134</v>
      </c>
      <c r="I94" s="12">
        <f>_xlfn.IFNA(_xlfn.XLOOKUP($D98,Sheet2!$B$6:$B$18,Sheet2!B$6:B$18,,-1),Sheet2!B6)</f>
        <v>0.28000000000000003</v>
      </c>
      <c r="J94" s="12">
        <f>_xlfn.IFNA(_xlfn.XLOOKUP($D98,Sheet2!$B$6:$B$18,Sheet2!C$6:C$18,,-1),Sheet2!C6)</f>
        <v>0.28000000000000003</v>
      </c>
      <c r="K94" s="12">
        <f>_xlfn.IFNA(_xlfn.XLOOKUP($D98,Sheet2!$B$6:$B$18,Sheet2!D$6:D$18,,-1),Sheet2!D6)</f>
        <v>0.28999999999999998</v>
      </c>
      <c r="L94" s="12">
        <f>_xlfn.IFNA(_xlfn.XLOOKUP($D98,Sheet2!$B$6:$B$18,Sheet2!E$6:E$18,,-1),Sheet2!E6)</f>
        <v>0.28999999999999998</v>
      </c>
      <c r="M94" s="12">
        <f>_xlfn.IFNA(_xlfn.XLOOKUP($D98,Sheet2!$B$6:$B$18,Sheet2!F$6:F$18,,-1),Sheet2!F6)</f>
        <v>0.28999999999999998</v>
      </c>
      <c r="N94" s="12">
        <f>_xlfn.IFNA(_xlfn.XLOOKUP($D98,Sheet2!$B$6:$B$18,Sheet2!G$6:G$18,,-1),Sheet2!G6)</f>
        <v>0.3</v>
      </c>
    </row>
    <row r="95" spans="1:14" x14ac:dyDescent="0.25">
      <c r="H95" s="33" t="s">
        <v>135</v>
      </c>
      <c r="I95" s="4">
        <f>_xlfn.XLOOKUP($D98,Sheet2!$B$6:$B$18,Sheet2!B$6:B$18,,1)</f>
        <v>0.35</v>
      </c>
      <c r="J95" s="4">
        <f>_xlfn.XLOOKUP($D98,Sheet2!$B$6:$B$18,Sheet2!C$6:C$18,,1)</f>
        <v>0.36</v>
      </c>
      <c r="K95" s="4">
        <f>_xlfn.XLOOKUP($D98,Sheet2!$B$6:$B$18,Sheet2!D$6:D$18,,1)</f>
        <v>0.36</v>
      </c>
      <c r="L95" s="4">
        <f>_xlfn.XLOOKUP($D98,Sheet2!$B$6:$B$18,Sheet2!E$6:E$18,,1)</f>
        <v>0.37</v>
      </c>
      <c r="M95" s="4">
        <f>_xlfn.XLOOKUP($D98,Sheet2!$B$6:$B$18,Sheet2!F$6:F$18,,1)</f>
        <v>0.37</v>
      </c>
      <c r="N95" s="4">
        <f>_xlfn.XLOOKUP($D98,Sheet2!$B$6:$B$18,Sheet2!G$6:G$18,,1)</f>
        <v>0.38</v>
      </c>
    </row>
    <row r="96" spans="1:14" x14ac:dyDescent="0.25">
      <c r="A96" t="s">
        <v>105</v>
      </c>
      <c r="D96" s="2">
        <f>1.5*(D81+D82)/2*(C16-D85)</f>
        <v>126.04508913608828</v>
      </c>
      <c r="E96" t="s">
        <v>106</v>
      </c>
      <c r="H96" s="35" t="s">
        <v>133</v>
      </c>
      <c r="I96" s="27">
        <f>_xlfn.IFNA(_xlfn.XLOOKUP($D98,Sheet2!$B$6:$B$18,Sheet2!$A$6:$A$18,,-1),Sheet2!$A$6)</f>
        <v>0.15</v>
      </c>
      <c r="J96" s="27">
        <f>_xlfn.IFNA(_xlfn.XLOOKUP($D98,Sheet2!$B$6:$B$18,Sheet2!$A$6:$A$18,,-1),Sheet2!$A$6)</f>
        <v>0.15</v>
      </c>
      <c r="K96" s="27">
        <f>_xlfn.IFNA(_xlfn.XLOOKUP($D98,Sheet2!$B$6:$B$18,Sheet2!$A$6:$A$18,,-1),Sheet2!$A$6)</f>
        <v>0.15</v>
      </c>
      <c r="L96" s="27">
        <f>_xlfn.IFNA(_xlfn.XLOOKUP($D98,Sheet2!$B$6:$B$18,Sheet2!$A$6:$A$18,,-1),Sheet2!$A$6)</f>
        <v>0.15</v>
      </c>
      <c r="M96" s="27">
        <f>_xlfn.IFNA(_xlfn.XLOOKUP($D98,Sheet2!$B$6:$B$18,Sheet2!$A$6:$A$18,,-1),Sheet2!$A$6)</f>
        <v>0.15</v>
      </c>
      <c r="N96" s="27">
        <f>_xlfn.IFNA(_xlfn.XLOOKUP($D98,Sheet2!$B$6:$B$18,Sheet2!$A$6:$A$18,,-1),Sheet2!$A$6)</f>
        <v>0.15</v>
      </c>
    </row>
    <row r="97" spans="1:14" x14ac:dyDescent="0.25">
      <c r="A97" t="s">
        <v>107</v>
      </c>
      <c r="D97" s="2">
        <f>D81*C16*C16/2+1/2*(D82-D81)*C16*2/3*C16</f>
        <v>104.43917936701158</v>
      </c>
      <c r="E97" t="s">
        <v>106</v>
      </c>
      <c r="H97" s="31" t="s">
        <v>132</v>
      </c>
      <c r="I97" s="4">
        <f>_xlfn.XLOOKUP($D98,Sheet2!$B$6:$B$18,Sheet2!$A$6:$A$18,,1)</f>
        <v>0.25</v>
      </c>
      <c r="J97" s="4">
        <f>_xlfn.XLOOKUP($D98,Sheet2!$B$6:$B$18,Sheet2!$A$6:$A$18,,1)</f>
        <v>0.25</v>
      </c>
      <c r="K97" s="4">
        <f>_xlfn.XLOOKUP($D98,Sheet2!$B$6:$B$18,Sheet2!$A$6:$A$18,,1)</f>
        <v>0.25</v>
      </c>
      <c r="L97" s="4">
        <f>_xlfn.XLOOKUP($D98,Sheet2!$B$6:$B$18,Sheet2!$A$6:$A$18,,1)</f>
        <v>0.25</v>
      </c>
      <c r="M97" s="4">
        <f>_xlfn.XLOOKUP($D98,Sheet2!$B$6:$B$18,Sheet2!$A$6:$A$18,,1)</f>
        <v>0.25</v>
      </c>
      <c r="N97" s="4">
        <f>_xlfn.XLOOKUP($D98,Sheet2!$B$6:$B$18,Sheet2!$A$6:$A$18,,1)</f>
        <v>0.25</v>
      </c>
    </row>
    <row r="98" spans="1:14" x14ac:dyDescent="0.25">
      <c r="A98" t="s">
        <v>109</v>
      </c>
      <c r="D98" s="2">
        <f>D96/(1000*$D$85)</f>
        <v>0.33582172949224232</v>
      </c>
      <c r="E98" t="s">
        <v>60</v>
      </c>
      <c r="H98" s="32" t="s">
        <v>113</v>
      </c>
      <c r="I98" s="34">
        <f>IFERROR(I96+($D$98-I94)/(I95-I94)*(I97-I96),AVERAGE(I96:I97))</f>
        <v>0.22974532784606047</v>
      </c>
      <c r="J98" s="34">
        <f t="shared" ref="J98:N98" si="5">IFERROR(J96+($D$98-J94)/(J95-J94)*(J97-J96),AVERAGE(J96:J97))</f>
        <v>0.21977716186530288</v>
      </c>
      <c r="K98" s="34">
        <f t="shared" si="5"/>
        <v>0.21545961356034618</v>
      </c>
      <c r="L98" s="34">
        <f t="shared" si="5"/>
        <v>0.2072771618653029</v>
      </c>
      <c r="M98" s="34">
        <f t="shared" si="5"/>
        <v>0.2072771618653029</v>
      </c>
      <c r="N98" s="34">
        <f t="shared" si="5"/>
        <v>0.19477716186530289</v>
      </c>
    </row>
    <row r="99" spans="1:14" x14ac:dyDescent="0.25">
      <c r="I99" t="s">
        <v>117</v>
      </c>
      <c r="K99" s="2">
        <f>J98</f>
        <v>0.21977716186530288</v>
      </c>
      <c r="M99" t="s">
        <v>124</v>
      </c>
      <c r="N99">
        <f>K99/100*1000*D94*1000</f>
        <v>824.89694753443666</v>
      </c>
    </row>
    <row r="102" spans="1:14" x14ac:dyDescent="0.25">
      <c r="H102" t="s">
        <v>121</v>
      </c>
      <c r="I102" t="s">
        <v>120</v>
      </c>
      <c r="J102" t="s">
        <v>122</v>
      </c>
    </row>
    <row r="103" spans="1:14" x14ac:dyDescent="0.25">
      <c r="H103">
        <v>1000</v>
      </c>
      <c r="I103" s="2">
        <f>0.87*$H$6*H103/(0.36*$H$2*1000)</f>
        <v>50.145833333333343</v>
      </c>
      <c r="J103" s="2">
        <f>$D$97*1000000/(0.87*$H$6*($D$94*1000-0.416*I103))</f>
        <v>816.04357339849651</v>
      </c>
    </row>
    <row r="104" spans="1:14" x14ac:dyDescent="0.25">
      <c r="H104" s="2">
        <f>J103</f>
        <v>816.04357339849651</v>
      </c>
      <c r="I104" s="2">
        <f>0.87*$H$6*H104/(0.36*$H$2*1000)</f>
        <v>40.921185024378779</v>
      </c>
      <c r="J104" s="2">
        <f t="shared" ref="J104:J109" si="6">$D$97*1000000/(0.87*$H$6*($D$94*1000-0.416*I104))</f>
        <v>807.30385534618631</v>
      </c>
    </row>
    <row r="105" spans="1:14" x14ac:dyDescent="0.25">
      <c r="H105" s="2">
        <f t="shared" ref="H105:H109" si="7">J104</f>
        <v>807.30385534618631</v>
      </c>
      <c r="I105" s="2">
        <f>0.87*$H$6*H105/(0.36*$H$2*1000)</f>
        <v>40.482924579547308</v>
      </c>
      <c r="J105" s="2">
        <f t="shared" si="6"/>
        <v>806.89328967399831</v>
      </c>
    </row>
    <row r="106" spans="1:14" x14ac:dyDescent="0.25">
      <c r="H106" s="2">
        <f t="shared" si="7"/>
        <v>806.89328967399831</v>
      </c>
      <c r="I106" s="2">
        <f>0.87*$H$6*H106/(0.36*$H$2*1000)</f>
        <v>40.46233642177738</v>
      </c>
      <c r="J106" s="2">
        <f t="shared" si="6"/>
        <v>806.8740128026493</v>
      </c>
    </row>
    <row r="107" spans="1:14" x14ac:dyDescent="0.25">
      <c r="H107" s="2">
        <f t="shared" si="7"/>
        <v>806.8740128026493</v>
      </c>
      <c r="I107" s="2">
        <f>0.87*$H$6*H107/(0.36*$H$2*1000)</f>
        <v>40.461369766999525</v>
      </c>
      <c r="J107" s="2">
        <f t="shared" si="6"/>
        <v>806.87310773800368</v>
      </c>
    </row>
    <row r="108" spans="1:14" x14ac:dyDescent="0.25">
      <c r="H108" s="2">
        <f t="shared" si="7"/>
        <v>806.87310773800368</v>
      </c>
      <c r="I108" s="2">
        <f>0.87*$H$6*H108/(0.36*$H$2*1000)</f>
        <v>40.461324381778653</v>
      </c>
      <c r="J108" s="2">
        <f t="shared" si="6"/>
        <v>806.87306524453902</v>
      </c>
    </row>
    <row r="109" spans="1:14" x14ac:dyDescent="0.25">
      <c r="H109" s="2">
        <f t="shared" si="7"/>
        <v>806.87306524453902</v>
      </c>
      <c r="I109" s="2">
        <f>0.87*$H$6*H109/(0.36*$H$2*1000)</f>
        <v>40.461322250908452</v>
      </c>
      <c r="J109" s="2">
        <f t="shared" si="6"/>
        <v>806.87306324943904</v>
      </c>
      <c r="M109" t="s">
        <v>125</v>
      </c>
      <c r="N109">
        <f>J109</f>
        <v>806.87306324943904</v>
      </c>
    </row>
    <row r="111" spans="1:14" ht="15.75" thickBot="1" x14ac:dyDescent="0.3">
      <c r="H111" t="s">
        <v>129</v>
      </c>
      <c r="J111">
        <f>MAX(N99,N109)</f>
        <v>824.89694753443666</v>
      </c>
    </row>
    <row r="112" spans="1:14" ht="15.75" thickBot="1" x14ac:dyDescent="0.3">
      <c r="H112" s="28" t="s">
        <v>126</v>
      </c>
      <c r="I112" s="29">
        <f>D93</f>
        <v>16</v>
      </c>
      <c r="J112" s="29" t="s">
        <v>85</v>
      </c>
      <c r="K112" s="29" t="s">
        <v>127</v>
      </c>
      <c r="L112" s="29"/>
      <c r="M112" s="29">
        <f>INT(PI()*I112^2/4*1000/J111/5-1)*5</f>
        <v>235</v>
      </c>
      <c r="N112" s="30" t="s">
        <v>85</v>
      </c>
    </row>
    <row r="113" spans="1:14" x14ac:dyDescent="0.25">
      <c r="H113" t="s">
        <v>128</v>
      </c>
      <c r="J113">
        <f>1000/M112*I112^2*PI()/4</f>
        <v>855.58268012658198</v>
      </c>
    </row>
    <row r="114" spans="1:14" s="4" customFormat="1" x14ac:dyDescent="0.25"/>
    <row r="115" spans="1:14" x14ac:dyDescent="0.25">
      <c r="A115" s="10" t="s">
        <v>136</v>
      </c>
      <c r="B115" s="10" t="s">
        <v>137</v>
      </c>
      <c r="C115" s="10"/>
    </row>
    <row r="118" spans="1:14" x14ac:dyDescent="0.25">
      <c r="A118" t="s">
        <v>144</v>
      </c>
      <c r="C118" s="1">
        <f>C20</f>
        <v>0.3</v>
      </c>
      <c r="H118" t="s">
        <v>121</v>
      </c>
      <c r="I118" t="s">
        <v>120</v>
      </c>
      <c r="J118" t="s">
        <v>122</v>
      </c>
    </row>
    <row r="119" spans="1:14" x14ac:dyDescent="0.25">
      <c r="A119" t="s">
        <v>143</v>
      </c>
      <c r="C119" s="1">
        <f>C21</f>
        <v>0.45833333333333331</v>
      </c>
      <c r="H119">
        <v>3000</v>
      </c>
      <c r="I119" s="2">
        <f>0.87*$H$6*H119/(0.36*$H$2*1000)</f>
        <v>150.43750000000003</v>
      </c>
      <c r="J119" s="2">
        <f>$C$127*1000000/(0.87*$H$6*($C$124-0.416*I119))</f>
        <v>2843.8518758293485</v>
      </c>
    </row>
    <row r="120" spans="1:14" x14ac:dyDescent="0.25">
      <c r="A120" s="17" t="s">
        <v>139</v>
      </c>
      <c r="C120" s="1">
        <f>C25</f>
        <v>5.5105777534211313</v>
      </c>
      <c r="D120" t="s">
        <v>2</v>
      </c>
      <c r="H120" s="2">
        <f>J119</f>
        <v>2843.8518758293485</v>
      </c>
      <c r="I120" s="2">
        <f>0.87*$H$6*H120/(0.36*$H$2*1000)</f>
        <v>142.60732219002591</v>
      </c>
      <c r="J120" s="2">
        <f>$C$127*1000000/(0.87*$H$6*($C$124-0.416*I120))</f>
        <v>2816.5268173815793</v>
      </c>
    </row>
    <row r="121" spans="1:14" x14ac:dyDescent="0.25">
      <c r="H121" s="2">
        <f t="shared" ref="H121:H125" si="8">J120</f>
        <v>2816.5268173815793</v>
      </c>
      <c r="I121" s="2">
        <f>0.87*$H$6*H121/(0.36*$H$2*1000)</f>
        <v>141.23708436328047</v>
      </c>
      <c r="J121" s="2">
        <f>$C$127*1000000/(0.87*$H$6*($C$124-0.416*I121))</f>
        <v>2811.7989778852921</v>
      </c>
    </row>
    <row r="122" spans="1:14" x14ac:dyDescent="0.25">
      <c r="A122" t="s">
        <v>140</v>
      </c>
      <c r="C122" s="1">
        <v>20</v>
      </c>
      <c r="D122" t="s">
        <v>85</v>
      </c>
      <c r="H122" s="2">
        <f t="shared" si="8"/>
        <v>2811.7989778852921</v>
      </c>
      <c r="I122" s="2">
        <f>0.87*$H$6*H122/(0.36*$H$2*1000)</f>
        <v>141.00000291187291</v>
      </c>
      <c r="J122" s="2">
        <f>$C$127*1000000/(0.87*$H$6*($C$124-0.416*I122))</f>
        <v>2810.9825673303426</v>
      </c>
    </row>
    <row r="123" spans="1:14" x14ac:dyDescent="0.25">
      <c r="A123" t="s">
        <v>141</v>
      </c>
      <c r="C123">
        <v>50</v>
      </c>
      <c r="D123" t="s">
        <v>85</v>
      </c>
      <c r="H123" s="2">
        <f t="shared" si="8"/>
        <v>2810.9825673303426</v>
      </c>
      <c r="I123" s="2">
        <f>0.87*$H$6*H123/(0.36*$H$2*1000)</f>
        <v>140.95906332425284</v>
      </c>
      <c r="J123" s="2">
        <f>$C$127*1000000/(0.87*$H$6*($C$124-0.416*I123))</f>
        <v>2810.841636306649</v>
      </c>
    </row>
    <row r="124" spans="1:14" x14ac:dyDescent="0.25">
      <c r="A124" t="s">
        <v>142</v>
      </c>
      <c r="C124">
        <f>C119*1000-C123-C122/2</f>
        <v>398.33333333333331</v>
      </c>
      <c r="D124" t="s">
        <v>85</v>
      </c>
      <c r="H124" s="2">
        <f t="shared" si="8"/>
        <v>2810.841636306649</v>
      </c>
      <c r="I124" s="2">
        <f>0.87*$H$6*H124/(0.36*$H$2*1000)</f>
        <v>140.95199622062719</v>
      </c>
      <c r="J124" s="2">
        <f>$C$127*1000000/(0.87*$H$6*($C$124-0.416*I124))</f>
        <v>2810.8173098379875</v>
      </c>
    </row>
    <row r="125" spans="1:14" x14ac:dyDescent="0.25">
      <c r="H125" s="2">
        <f t="shared" si="8"/>
        <v>2810.8173098379875</v>
      </c>
      <c r="I125" s="2">
        <f>0.87*$H$6*H125/(0.36*$H$2*1000)</f>
        <v>140.95077634958409</v>
      </c>
      <c r="J125" s="2">
        <f>$C$127*1000000/(0.87*$H$6*($C$124-0.416*I125))</f>
        <v>2810.8131108259004</v>
      </c>
    </row>
    <row r="126" spans="1:14" x14ac:dyDescent="0.25">
      <c r="A126" t="s">
        <v>145</v>
      </c>
      <c r="C126" s="1">
        <f>B41*1.5</f>
        <v>173.26794017294233</v>
      </c>
      <c r="D126" t="s">
        <v>106</v>
      </c>
    </row>
    <row r="127" spans="1:14" ht="15.75" thickBot="1" x14ac:dyDescent="0.3">
      <c r="A127" t="s">
        <v>146</v>
      </c>
      <c r="C127">
        <f>C126*(C25+C17)/3</f>
        <v>344.74030969246155</v>
      </c>
      <c r="D127" t="s">
        <v>64</v>
      </c>
      <c r="H127" t="s">
        <v>129</v>
      </c>
      <c r="J127" s="2">
        <f>J125</f>
        <v>2810.8131108259004</v>
      </c>
    </row>
    <row r="128" spans="1:14" ht="15.75" thickBot="1" x14ac:dyDescent="0.3">
      <c r="H128" s="28" t="s">
        <v>126</v>
      </c>
      <c r="I128" s="36">
        <f>C122</f>
        <v>20</v>
      </c>
      <c r="J128" s="29" t="s">
        <v>85</v>
      </c>
      <c r="K128" s="29" t="s">
        <v>127</v>
      </c>
      <c r="L128" s="29"/>
      <c r="M128" s="29">
        <f>INT(PI()*I128^2/4*1000/J127/5-1)*5</f>
        <v>105</v>
      </c>
      <c r="N128" s="30" t="s">
        <v>85</v>
      </c>
    </row>
    <row r="129" spans="1:10" x14ac:dyDescent="0.25">
      <c r="H129" t="s">
        <v>128</v>
      </c>
      <c r="J129">
        <f>1000/M128*I128^2*PI()/4</f>
        <v>2991.9930034188505</v>
      </c>
    </row>
    <row r="130" spans="1:10" s="37" customFormat="1" x14ac:dyDescent="0.25"/>
    <row r="131" spans="1:10" x14ac:dyDescent="0.25">
      <c r="A131" t="s">
        <v>147</v>
      </c>
      <c r="C131">
        <f>47*I128</f>
        <v>940</v>
      </c>
      <c r="D131" t="s">
        <v>85</v>
      </c>
    </row>
    <row r="132" spans="1:10" x14ac:dyDescent="0.25">
      <c r="A132" t="s">
        <v>148</v>
      </c>
      <c r="C132" s="38">
        <f>(C119+B62)*1000-75</f>
        <v>683.33333333333326</v>
      </c>
      <c r="D132" t="s">
        <v>85</v>
      </c>
    </row>
    <row r="133" spans="1:10" x14ac:dyDescent="0.25">
      <c r="A133" t="str">
        <f>IF(C131&lt;C132, "anchorage is enough, no bend required", "bend rods into shear key with 90 deg bend")</f>
        <v>bend rods into shear key with 90 deg bend</v>
      </c>
    </row>
    <row r="134" spans="1:10" x14ac:dyDescent="0.25">
      <c r="A134" t="s">
        <v>149</v>
      </c>
    </row>
    <row r="135" spans="1:10" x14ac:dyDescent="0.25">
      <c r="C135">
        <f>IF(C132&lt;C131,I128*8,"")</f>
        <v>160</v>
      </c>
      <c r="D135" t="s">
        <v>85</v>
      </c>
    </row>
  </sheetData>
  <phoneticPr fontId="4" type="noConversion"/>
  <conditionalFormatting sqref="C10">
    <cfRule type="cellIs" dxfId="10" priority="21" operator="lessThan">
      <formula>$C$9</formula>
    </cfRule>
  </conditionalFormatting>
  <conditionalFormatting sqref="C15">
    <cfRule type="cellIs" dxfId="9" priority="22" operator="lessThan">
      <formula>$E$15</formula>
    </cfRule>
    <cfRule type="cellIs" dxfId="8" priority="23" operator="greaterThan">
      <formula>$F$15</formula>
    </cfRule>
  </conditionalFormatting>
  <conditionalFormatting sqref="C47">
    <cfRule type="cellIs" dxfId="7" priority="18" operator="lessThan">
      <formula>1.4</formula>
    </cfRule>
  </conditionalFormatting>
  <conditionalFormatting sqref="D51">
    <cfRule type="cellIs" dxfId="6" priority="17" operator="greaterThan">
      <formula>$F$51</formula>
    </cfRule>
  </conditionalFormatting>
  <conditionalFormatting sqref="D53">
    <cfRule type="cellIs" dxfId="5" priority="16" operator="greaterThan">
      <formula>$F$53</formula>
    </cfRule>
  </conditionalFormatting>
  <conditionalFormatting sqref="D54">
    <cfRule type="cellIs" dxfId="4" priority="15" operator="lessThan">
      <formula>$F$54</formula>
    </cfRule>
  </conditionalFormatting>
  <conditionalFormatting sqref="C58">
    <cfRule type="cellIs" dxfId="3" priority="14" operator="lessThan">
      <formula>1.4</formula>
    </cfRule>
  </conditionalFormatting>
  <conditionalFormatting sqref="C67">
    <cfRule type="cellIs" dxfId="2" priority="13" operator="lessThan">
      <formula>1.4</formula>
    </cfRule>
  </conditionalFormatting>
  <conditionalFormatting sqref="I93:N95">
    <cfRule type="cellIs" dxfId="1" priority="3" operator="equal">
      <formula>$H$2</formula>
    </cfRule>
  </conditionalFormatting>
  <conditionalFormatting sqref="I70:N70">
    <cfRule type="cellIs" dxfId="0" priority="1" operator="equal">
      <formula>$H$2</formula>
    </cfRule>
  </conditionalFormatting>
  <pageMargins left="0.7" right="0.7" top="0.75" bottom="0.75" header="0.3" footer="0.3"/>
  <pageSetup orientation="portrait" r:id="rId1"/>
  <cellWatches>
    <cellWatch r="C47"/>
    <cellWatch r="C58"/>
    <cellWatch r="C67"/>
    <cellWatch r="M88"/>
    <cellWatch r="M112"/>
    <cellWatch r="M128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958-D6F7-4DFA-B7C7-8EFBA30D3892}">
  <dimension ref="A1:G105"/>
  <sheetViews>
    <sheetView workbookViewId="0">
      <selection activeCell="A6" sqref="A6:A7"/>
    </sheetView>
  </sheetViews>
  <sheetFormatPr defaultRowHeight="15" x14ac:dyDescent="0.25"/>
  <sheetData>
    <row r="1" spans="1:7" x14ac:dyDescent="0.25">
      <c r="A1" t="s">
        <v>110</v>
      </c>
      <c r="C1" t="s">
        <v>111</v>
      </c>
    </row>
    <row r="4" spans="1:7" x14ac:dyDescent="0.25">
      <c r="B4" t="s">
        <v>112</v>
      </c>
    </row>
    <row r="5" spans="1:7" x14ac:dyDescent="0.25">
      <c r="A5" t="s">
        <v>113</v>
      </c>
      <c r="B5">
        <v>15</v>
      </c>
      <c r="C5">
        <v>20</v>
      </c>
      <c r="D5">
        <v>25</v>
      </c>
      <c r="E5">
        <v>30</v>
      </c>
      <c r="F5">
        <v>35</v>
      </c>
      <c r="G5">
        <v>40</v>
      </c>
    </row>
    <row r="6" spans="1:7" x14ac:dyDescent="0.25">
      <c r="A6">
        <v>0.15</v>
      </c>
      <c r="B6">
        <v>0.28000000000000003</v>
      </c>
      <c r="C6">
        <v>0.28000000000000003</v>
      </c>
      <c r="D6">
        <v>0.28999999999999998</v>
      </c>
      <c r="E6">
        <v>0.28999999999999998</v>
      </c>
      <c r="F6">
        <v>0.28999999999999998</v>
      </c>
      <c r="G6">
        <v>0.3</v>
      </c>
    </row>
    <row r="7" spans="1:7" x14ac:dyDescent="0.25">
      <c r="A7">
        <v>0.25</v>
      </c>
      <c r="B7">
        <v>0.35</v>
      </c>
      <c r="C7">
        <v>0.36</v>
      </c>
      <c r="D7">
        <v>0.36</v>
      </c>
      <c r="E7">
        <v>0.37</v>
      </c>
      <c r="F7">
        <v>0.37</v>
      </c>
      <c r="G7">
        <v>0.38</v>
      </c>
    </row>
    <row r="8" spans="1:7" x14ac:dyDescent="0.25">
      <c r="A8">
        <v>0.5</v>
      </c>
      <c r="B8">
        <v>0.46</v>
      </c>
      <c r="C8">
        <v>0.48</v>
      </c>
      <c r="D8">
        <v>0.49</v>
      </c>
      <c r="E8">
        <v>0.5</v>
      </c>
      <c r="F8">
        <v>0.5</v>
      </c>
      <c r="G8">
        <v>0.51</v>
      </c>
    </row>
    <row r="9" spans="1:7" x14ac:dyDescent="0.25">
      <c r="A9">
        <v>0.75</v>
      </c>
      <c r="B9">
        <v>0.54</v>
      </c>
      <c r="C9">
        <v>0.56000000000000005</v>
      </c>
      <c r="D9">
        <v>0.56999999999999995</v>
      </c>
      <c r="E9">
        <v>0.59</v>
      </c>
      <c r="F9">
        <v>0.59</v>
      </c>
      <c r="G9">
        <v>0.6</v>
      </c>
    </row>
    <row r="10" spans="1:7" x14ac:dyDescent="0.25">
      <c r="A10">
        <v>1</v>
      </c>
      <c r="B10">
        <v>0.6</v>
      </c>
      <c r="C10">
        <v>0.62</v>
      </c>
      <c r="D10">
        <v>0.64</v>
      </c>
      <c r="E10">
        <v>0.66</v>
      </c>
      <c r="F10">
        <v>0.67</v>
      </c>
      <c r="G10">
        <v>0.68</v>
      </c>
    </row>
    <row r="11" spans="1:7" x14ac:dyDescent="0.25">
      <c r="A11">
        <v>1.25</v>
      </c>
      <c r="B11">
        <v>0.64</v>
      </c>
      <c r="C11">
        <v>0.67</v>
      </c>
      <c r="D11">
        <v>0.7</v>
      </c>
      <c r="E11">
        <v>0.71</v>
      </c>
      <c r="F11">
        <v>0.73</v>
      </c>
      <c r="G11">
        <v>0.74</v>
      </c>
    </row>
    <row r="12" spans="1:7" x14ac:dyDescent="0.25">
      <c r="A12">
        <v>1.5</v>
      </c>
      <c r="B12">
        <v>0.68</v>
      </c>
      <c r="C12">
        <v>0.72</v>
      </c>
      <c r="D12">
        <v>0.74</v>
      </c>
      <c r="E12">
        <v>0.76</v>
      </c>
      <c r="F12">
        <v>0.78</v>
      </c>
      <c r="G12">
        <v>0.79</v>
      </c>
    </row>
    <row r="13" spans="1:7" x14ac:dyDescent="0.25">
      <c r="A13">
        <v>1.75</v>
      </c>
      <c r="B13">
        <v>0.71</v>
      </c>
      <c r="C13">
        <v>0.75</v>
      </c>
      <c r="D13">
        <v>0.78</v>
      </c>
      <c r="E13">
        <v>0.8</v>
      </c>
      <c r="F13">
        <v>0.82</v>
      </c>
      <c r="G13">
        <v>0.84</v>
      </c>
    </row>
    <row r="14" spans="1:7" x14ac:dyDescent="0.25">
      <c r="A14">
        <v>2</v>
      </c>
      <c r="B14">
        <v>0.71</v>
      </c>
      <c r="C14">
        <v>0.79</v>
      </c>
      <c r="D14">
        <v>0.82</v>
      </c>
      <c r="E14">
        <v>0.84</v>
      </c>
      <c r="F14">
        <v>0.86</v>
      </c>
      <c r="G14">
        <v>0.88</v>
      </c>
    </row>
    <row r="15" spans="1:7" x14ac:dyDescent="0.25">
      <c r="A15">
        <v>2.25</v>
      </c>
      <c r="B15">
        <v>0.71</v>
      </c>
      <c r="C15">
        <v>0.81</v>
      </c>
      <c r="D15">
        <v>0.85</v>
      </c>
      <c r="E15">
        <v>0.88</v>
      </c>
      <c r="F15">
        <v>0.9</v>
      </c>
      <c r="G15">
        <v>0.92</v>
      </c>
    </row>
    <row r="16" spans="1:7" x14ac:dyDescent="0.25">
      <c r="A16">
        <v>2.5</v>
      </c>
      <c r="B16">
        <v>0.71</v>
      </c>
      <c r="C16">
        <v>0.82</v>
      </c>
      <c r="D16">
        <v>0.88</v>
      </c>
      <c r="E16">
        <v>0.91</v>
      </c>
      <c r="F16">
        <v>0.93</v>
      </c>
      <c r="G16">
        <v>0.95</v>
      </c>
    </row>
    <row r="17" spans="1:7" x14ac:dyDescent="0.25">
      <c r="A17">
        <v>2.75</v>
      </c>
      <c r="B17">
        <v>0.71</v>
      </c>
      <c r="C17">
        <v>0.82</v>
      </c>
      <c r="D17">
        <v>0.9</v>
      </c>
      <c r="E17">
        <v>0.94</v>
      </c>
      <c r="F17">
        <v>0.96</v>
      </c>
      <c r="G17">
        <v>0.98</v>
      </c>
    </row>
    <row r="18" spans="1:7" x14ac:dyDescent="0.25">
      <c r="A18">
        <v>3</v>
      </c>
      <c r="B18">
        <v>0.71</v>
      </c>
      <c r="C18">
        <v>0.82</v>
      </c>
      <c r="D18">
        <v>0.92</v>
      </c>
      <c r="E18">
        <v>0.96</v>
      </c>
      <c r="F18">
        <v>0.99</v>
      </c>
      <c r="G18">
        <v>1.01</v>
      </c>
    </row>
    <row r="20" spans="1:7" x14ac:dyDescent="0.25">
      <c r="A20" t="s">
        <v>115</v>
      </c>
      <c r="B20" t="s">
        <v>116</v>
      </c>
    </row>
    <row r="21" spans="1:7" x14ac:dyDescent="0.25">
      <c r="B21">
        <v>415</v>
      </c>
      <c r="C21">
        <v>500</v>
      </c>
    </row>
    <row r="22" spans="1:7" x14ac:dyDescent="0.25">
      <c r="A22" s="1">
        <v>0.3</v>
      </c>
      <c r="B22">
        <v>8.5000000000000006E-2</v>
      </c>
      <c r="C22">
        <v>7.0000000000000007E-2</v>
      </c>
    </row>
    <row r="23" spans="1:7" x14ac:dyDescent="0.25">
      <c r="A23" s="1">
        <v>0.35</v>
      </c>
      <c r="B23">
        <v>9.9000000000000005E-2</v>
      </c>
      <c r="C23">
        <v>0.82</v>
      </c>
    </row>
    <row r="24" spans="1:7" x14ac:dyDescent="0.25">
      <c r="A24" s="1">
        <v>0.4</v>
      </c>
      <c r="B24">
        <v>0.114</v>
      </c>
      <c r="C24">
        <v>9.4E-2</v>
      </c>
    </row>
    <row r="25" spans="1:7" x14ac:dyDescent="0.25">
      <c r="A25" s="1">
        <v>0.45</v>
      </c>
      <c r="B25">
        <v>0.128</v>
      </c>
      <c r="C25">
        <v>0.106</v>
      </c>
    </row>
    <row r="26" spans="1:7" x14ac:dyDescent="0.25">
      <c r="A26" s="1">
        <v>0.5</v>
      </c>
      <c r="B26">
        <v>0.14299999999999999</v>
      </c>
      <c r="C26">
        <v>0.11899999999999999</v>
      </c>
    </row>
    <row r="27" spans="1:7" x14ac:dyDescent="0.25">
      <c r="A27" s="1">
        <v>0.55000000000000004</v>
      </c>
      <c r="B27">
        <v>0.158</v>
      </c>
      <c r="C27">
        <v>0.13100000000000001</v>
      </c>
    </row>
    <row r="28" spans="1:7" x14ac:dyDescent="0.25">
      <c r="A28" s="1">
        <v>0.6</v>
      </c>
      <c r="B28">
        <v>0.17199999999999999</v>
      </c>
      <c r="C28">
        <v>0.14299999999999999</v>
      </c>
    </row>
    <row r="29" spans="1:7" x14ac:dyDescent="0.25">
      <c r="A29" s="1">
        <v>0.65</v>
      </c>
      <c r="B29">
        <v>0.187</v>
      </c>
      <c r="C29">
        <v>0.156</v>
      </c>
    </row>
    <row r="30" spans="1:7" x14ac:dyDescent="0.25">
      <c r="A30" s="1">
        <v>0.7</v>
      </c>
      <c r="B30">
        <v>0.20300000000000001</v>
      </c>
      <c r="C30">
        <v>0.16800000000000001</v>
      </c>
    </row>
    <row r="31" spans="1:7" x14ac:dyDescent="0.25">
      <c r="A31" s="1">
        <v>0.75</v>
      </c>
      <c r="B31">
        <v>0.218</v>
      </c>
      <c r="C31">
        <v>0.18099999999999999</v>
      </c>
    </row>
    <row r="32" spans="1:7" x14ac:dyDescent="0.25">
      <c r="A32" s="1">
        <v>0.8</v>
      </c>
      <c r="B32">
        <v>0.23300000000000001</v>
      </c>
      <c r="C32">
        <v>0.193</v>
      </c>
    </row>
    <row r="33" spans="1:3" x14ac:dyDescent="0.25">
      <c r="A33" s="1">
        <v>0.85</v>
      </c>
      <c r="B33">
        <v>0.248</v>
      </c>
      <c r="C33">
        <v>0.20599999999999999</v>
      </c>
    </row>
    <row r="34" spans="1:3" x14ac:dyDescent="0.25">
      <c r="A34" s="1">
        <v>0.9</v>
      </c>
      <c r="B34">
        <v>0.26400000000000001</v>
      </c>
      <c r="C34">
        <v>0.219</v>
      </c>
    </row>
    <row r="35" spans="1:3" x14ac:dyDescent="0.25">
      <c r="A35" s="1">
        <v>0.95</v>
      </c>
      <c r="B35">
        <v>0.28000000000000003</v>
      </c>
      <c r="C35">
        <v>0.23200000000000001</v>
      </c>
    </row>
    <row r="36" spans="1:3" x14ac:dyDescent="0.25">
      <c r="A36" s="1">
        <v>1</v>
      </c>
      <c r="B36">
        <v>0.29499999999999998</v>
      </c>
      <c r="C36">
        <v>0.245</v>
      </c>
    </row>
    <row r="37" spans="1:3" x14ac:dyDescent="0.25">
      <c r="A37" s="1">
        <v>1.05</v>
      </c>
      <c r="B37">
        <v>0.311</v>
      </c>
      <c r="C37">
        <v>0.25800000000000001</v>
      </c>
    </row>
    <row r="38" spans="1:3" x14ac:dyDescent="0.25">
      <c r="A38" s="1">
        <v>1.1000000000000001</v>
      </c>
      <c r="B38">
        <v>0.32700000000000001</v>
      </c>
      <c r="C38">
        <v>0.27200000000000002</v>
      </c>
    </row>
    <row r="39" spans="1:3" x14ac:dyDescent="0.25">
      <c r="A39" s="1">
        <v>1.1499999999999999</v>
      </c>
      <c r="B39">
        <v>0.34300000000000003</v>
      </c>
      <c r="C39">
        <v>0.28499999999999998</v>
      </c>
    </row>
    <row r="40" spans="1:3" x14ac:dyDescent="0.25">
      <c r="A40" s="1">
        <v>1.2</v>
      </c>
      <c r="B40">
        <v>0.35899999999999999</v>
      </c>
      <c r="C40">
        <v>0.29799999999999999</v>
      </c>
    </row>
    <row r="41" spans="1:3" x14ac:dyDescent="0.25">
      <c r="A41" s="1">
        <v>1.25</v>
      </c>
      <c r="B41">
        <v>0.376</v>
      </c>
      <c r="C41">
        <v>0.312</v>
      </c>
    </row>
    <row r="42" spans="1:3" x14ac:dyDescent="0.25">
      <c r="A42" s="1">
        <v>1.3</v>
      </c>
      <c r="B42">
        <v>0.39200000000000002</v>
      </c>
      <c r="C42">
        <v>0.32600000000000001</v>
      </c>
    </row>
    <row r="43" spans="1:3" x14ac:dyDescent="0.25">
      <c r="A43" s="1">
        <v>1.35</v>
      </c>
      <c r="B43">
        <v>0.40899999999999997</v>
      </c>
      <c r="C43">
        <v>0.33900000000000002</v>
      </c>
    </row>
    <row r="44" spans="1:3" x14ac:dyDescent="0.25">
      <c r="A44" s="1">
        <v>1.4</v>
      </c>
      <c r="B44">
        <v>0.42599999999999999</v>
      </c>
      <c r="C44">
        <v>0.35299999999999998</v>
      </c>
    </row>
    <row r="45" spans="1:3" x14ac:dyDescent="0.25">
      <c r="A45" s="1">
        <v>1.45</v>
      </c>
      <c r="B45">
        <v>0.443</v>
      </c>
      <c r="C45">
        <v>0.36699999999999999</v>
      </c>
    </row>
    <row r="46" spans="1:3" x14ac:dyDescent="0.25">
      <c r="A46" s="1">
        <v>1.5</v>
      </c>
      <c r="B46">
        <v>0.46</v>
      </c>
      <c r="C46">
        <v>0.38200000000000001</v>
      </c>
    </row>
    <row r="47" spans="1:3" x14ac:dyDescent="0.25">
      <c r="A47" s="1">
        <v>1.55</v>
      </c>
      <c r="B47">
        <v>0.47699999999999998</v>
      </c>
      <c r="C47">
        <v>0.39600000000000002</v>
      </c>
    </row>
    <row r="48" spans="1:3" x14ac:dyDescent="0.25">
      <c r="A48" s="1">
        <v>1.6</v>
      </c>
      <c r="B48">
        <v>0.49399999999999999</v>
      </c>
      <c r="C48">
        <v>0.41</v>
      </c>
    </row>
    <row r="49" spans="1:3" x14ac:dyDescent="0.25">
      <c r="A49" s="1">
        <v>1.65</v>
      </c>
      <c r="B49">
        <v>0.51200000000000001</v>
      </c>
      <c r="C49">
        <v>0.42499999999999999</v>
      </c>
    </row>
    <row r="50" spans="1:3" x14ac:dyDescent="0.25">
      <c r="A50" s="1">
        <v>1.7</v>
      </c>
      <c r="B50">
        <v>0.53</v>
      </c>
      <c r="C50">
        <v>0.44</v>
      </c>
    </row>
    <row r="51" spans="1:3" x14ac:dyDescent="0.25">
      <c r="A51" s="1">
        <v>1.75</v>
      </c>
      <c r="B51">
        <v>0.54700000000000004</v>
      </c>
      <c r="C51">
        <v>0.45400000000000001</v>
      </c>
    </row>
    <row r="52" spans="1:3" x14ac:dyDescent="0.25">
      <c r="A52" s="1">
        <v>1.8</v>
      </c>
      <c r="B52">
        <v>0.56499999999999995</v>
      </c>
      <c r="C52">
        <v>0.46899999999999997</v>
      </c>
    </row>
    <row r="53" spans="1:3" x14ac:dyDescent="0.25">
      <c r="A53" s="1">
        <v>1.85</v>
      </c>
      <c r="B53">
        <v>0.58399999999999996</v>
      </c>
      <c r="C53">
        <v>0.48399999999999999</v>
      </c>
    </row>
    <row r="54" spans="1:3" x14ac:dyDescent="0.25">
      <c r="A54" s="1">
        <v>1.9</v>
      </c>
      <c r="B54">
        <v>0.60199999999999998</v>
      </c>
      <c r="C54">
        <v>0.5</v>
      </c>
    </row>
    <row r="55" spans="1:3" x14ac:dyDescent="0.25">
      <c r="A55" s="1">
        <v>1.95</v>
      </c>
      <c r="B55">
        <v>0.621</v>
      </c>
      <c r="C55">
        <v>0.51500000000000001</v>
      </c>
    </row>
    <row r="56" spans="1:3" x14ac:dyDescent="0.25">
      <c r="A56" s="1">
        <v>2</v>
      </c>
      <c r="B56">
        <v>0.64</v>
      </c>
      <c r="C56">
        <v>0.53100000000000003</v>
      </c>
    </row>
    <row r="57" spans="1:3" x14ac:dyDescent="0.25">
      <c r="A57" s="1">
        <v>2.02</v>
      </c>
      <c r="B57">
        <v>0.64700000000000002</v>
      </c>
      <c r="C57">
        <v>0.53700000000000003</v>
      </c>
    </row>
    <row r="58" spans="1:3" x14ac:dyDescent="0.25">
      <c r="A58" s="1">
        <v>2.04</v>
      </c>
      <c r="B58">
        <v>0.65500000000000003</v>
      </c>
      <c r="C58">
        <v>0.51300000000000001</v>
      </c>
    </row>
    <row r="59" spans="1:3" x14ac:dyDescent="0.25">
      <c r="A59" s="1">
        <v>2.06</v>
      </c>
      <c r="B59">
        <v>0.66200000000000003</v>
      </c>
      <c r="C59">
        <v>0.55000000000000004</v>
      </c>
    </row>
    <row r="60" spans="1:3" x14ac:dyDescent="0.25">
      <c r="A60" s="1">
        <v>2.08</v>
      </c>
      <c r="B60">
        <v>0.67</v>
      </c>
      <c r="C60">
        <v>0.55600000000000005</v>
      </c>
    </row>
    <row r="61" spans="1:3" x14ac:dyDescent="0.25">
      <c r="A61" s="1">
        <v>2.1</v>
      </c>
      <c r="B61">
        <v>0.67800000000000005</v>
      </c>
      <c r="C61">
        <v>0.56200000000000006</v>
      </c>
    </row>
    <row r="62" spans="1:3" x14ac:dyDescent="0.25">
      <c r="A62" s="1">
        <v>2.12</v>
      </c>
      <c r="B62">
        <v>0.68500000000000005</v>
      </c>
      <c r="C62">
        <v>0.56899999999999995</v>
      </c>
    </row>
    <row r="63" spans="1:3" x14ac:dyDescent="0.25">
      <c r="A63" s="1">
        <v>2.14</v>
      </c>
      <c r="B63">
        <v>0.69299999999999995</v>
      </c>
      <c r="C63">
        <v>0.57499999999999996</v>
      </c>
    </row>
    <row r="64" spans="1:3" x14ac:dyDescent="0.25">
      <c r="A64" s="1">
        <v>2.16</v>
      </c>
      <c r="B64">
        <v>0.70099999999999996</v>
      </c>
      <c r="C64">
        <v>0.58199999999999996</v>
      </c>
    </row>
    <row r="65" spans="1:3" x14ac:dyDescent="0.25">
      <c r="A65" s="1">
        <v>2.1800000000000002</v>
      </c>
      <c r="B65">
        <v>0.70899999999999996</v>
      </c>
      <c r="C65">
        <v>0.58799999999999997</v>
      </c>
    </row>
    <row r="66" spans="1:3" x14ac:dyDescent="0.25">
      <c r="A66" s="1">
        <v>2.2000000000000002</v>
      </c>
      <c r="B66">
        <v>0.71699999999999997</v>
      </c>
      <c r="C66">
        <v>0.59499999999999997</v>
      </c>
    </row>
    <row r="67" spans="1:3" x14ac:dyDescent="0.25">
      <c r="A67" s="1">
        <v>2.2200000000000002</v>
      </c>
      <c r="B67">
        <v>0.72499999999999998</v>
      </c>
      <c r="C67">
        <v>0.60199999999999998</v>
      </c>
    </row>
    <row r="68" spans="1:3" x14ac:dyDescent="0.25">
      <c r="A68" s="1">
        <v>2.2400000000000002</v>
      </c>
      <c r="B68">
        <v>0.73299999999999998</v>
      </c>
      <c r="C68">
        <v>0.60799999999999998</v>
      </c>
    </row>
    <row r="69" spans="1:3" x14ac:dyDescent="0.25">
      <c r="A69" s="1">
        <v>2.2599999999999998</v>
      </c>
      <c r="B69">
        <v>0.74099999999999999</v>
      </c>
      <c r="C69">
        <v>0.61499999999999999</v>
      </c>
    </row>
    <row r="70" spans="1:3" x14ac:dyDescent="0.25">
      <c r="A70" s="1">
        <v>2.2799999999999998</v>
      </c>
      <c r="B70">
        <v>0.749</v>
      </c>
      <c r="C70">
        <v>0.621</v>
      </c>
    </row>
    <row r="71" spans="1:3" x14ac:dyDescent="0.25">
      <c r="A71" s="1">
        <v>2.2999999999999998</v>
      </c>
      <c r="B71">
        <v>0.75700000000000001</v>
      </c>
      <c r="C71">
        <v>0.628</v>
      </c>
    </row>
    <row r="72" spans="1:3" x14ac:dyDescent="0.25">
      <c r="A72" s="1">
        <v>2.3199999999999998</v>
      </c>
      <c r="B72">
        <v>0.76500000000000001</v>
      </c>
      <c r="C72">
        <v>0.63500000000000001</v>
      </c>
    </row>
    <row r="73" spans="1:3" x14ac:dyDescent="0.25">
      <c r="A73" s="1">
        <v>2.34</v>
      </c>
      <c r="B73">
        <v>0.77300000000000002</v>
      </c>
      <c r="C73">
        <v>0.64200000000000002</v>
      </c>
    </row>
    <row r="74" spans="1:3" x14ac:dyDescent="0.25">
      <c r="A74" s="1">
        <v>2.36</v>
      </c>
      <c r="B74">
        <v>0.78100000000000003</v>
      </c>
      <c r="C74">
        <v>0.64800000000000002</v>
      </c>
    </row>
    <row r="75" spans="1:3" x14ac:dyDescent="0.25">
      <c r="A75" s="1">
        <v>2.38</v>
      </c>
      <c r="B75">
        <v>0.79</v>
      </c>
      <c r="C75">
        <v>0.65500000000000003</v>
      </c>
    </row>
    <row r="76" spans="1:3" x14ac:dyDescent="0.25">
      <c r="A76" s="1">
        <v>2.4</v>
      </c>
      <c r="B76">
        <v>0.79800000000000004</v>
      </c>
      <c r="C76">
        <v>0.66200000000000003</v>
      </c>
    </row>
    <row r="77" spans="1:3" x14ac:dyDescent="0.25">
      <c r="A77" s="1">
        <v>2.42</v>
      </c>
      <c r="B77">
        <v>0.80600000000000005</v>
      </c>
      <c r="C77">
        <v>0.66900000000000004</v>
      </c>
    </row>
    <row r="78" spans="1:3" x14ac:dyDescent="0.25">
      <c r="A78" s="1">
        <v>2.44</v>
      </c>
      <c r="B78">
        <v>0.81399999999999995</v>
      </c>
      <c r="C78">
        <v>0.67600000000000005</v>
      </c>
    </row>
    <row r="79" spans="1:3" x14ac:dyDescent="0.25">
      <c r="A79" s="1">
        <v>2.46</v>
      </c>
      <c r="B79">
        <v>0.82299999999999995</v>
      </c>
      <c r="C79">
        <v>0.68300000000000005</v>
      </c>
    </row>
    <row r="80" spans="1:3" x14ac:dyDescent="0.25">
      <c r="A80" s="1">
        <v>2.48</v>
      </c>
      <c r="B80">
        <v>0.83099999999999996</v>
      </c>
      <c r="C80">
        <v>0.69</v>
      </c>
    </row>
    <row r="81" spans="1:3" x14ac:dyDescent="0.25">
      <c r="A81" s="1">
        <v>2.5</v>
      </c>
      <c r="B81">
        <v>0.84</v>
      </c>
      <c r="C81">
        <v>0.69699999999999995</v>
      </c>
    </row>
    <row r="82" spans="1:3" x14ac:dyDescent="0.25">
      <c r="A82" s="1">
        <v>2.52</v>
      </c>
      <c r="B82">
        <v>0.84799999999999998</v>
      </c>
      <c r="C82">
        <v>0.70399999999999996</v>
      </c>
    </row>
    <row r="83" spans="1:3" x14ac:dyDescent="0.25">
      <c r="A83" s="1">
        <v>2.54</v>
      </c>
      <c r="B83">
        <v>0.85699999999999998</v>
      </c>
      <c r="C83">
        <v>0.71099999999999997</v>
      </c>
    </row>
    <row r="84" spans="1:3" x14ac:dyDescent="0.25">
      <c r="A84" s="1">
        <v>2.56</v>
      </c>
      <c r="B84">
        <v>0.86599999999999999</v>
      </c>
      <c r="C84">
        <v>0.71899999999999997</v>
      </c>
    </row>
    <row r="85" spans="1:3" x14ac:dyDescent="0.25">
      <c r="A85" s="1">
        <v>2.58</v>
      </c>
      <c r="B85">
        <v>0.874</v>
      </c>
      <c r="C85">
        <v>0.72599999999999998</v>
      </c>
    </row>
    <row r="86" spans="1:3" x14ac:dyDescent="0.25">
      <c r="A86" s="1">
        <v>2.6</v>
      </c>
      <c r="B86">
        <v>0.88300000000000001</v>
      </c>
      <c r="C86">
        <v>0.73299999999999998</v>
      </c>
    </row>
    <row r="87" spans="1:3" x14ac:dyDescent="0.25">
      <c r="A87" s="1">
        <v>2.62</v>
      </c>
      <c r="B87">
        <v>0.89200000000000002</v>
      </c>
      <c r="C87">
        <v>0.74</v>
      </c>
    </row>
    <row r="88" spans="1:3" x14ac:dyDescent="0.25">
      <c r="A88" s="1">
        <v>2.64</v>
      </c>
      <c r="B88">
        <v>0.90100000000000002</v>
      </c>
      <c r="C88">
        <v>0.748</v>
      </c>
    </row>
    <row r="89" spans="1:3" x14ac:dyDescent="0.25">
      <c r="A89" s="1">
        <v>2.66</v>
      </c>
      <c r="B89">
        <v>0.91</v>
      </c>
      <c r="C89">
        <v>0.755</v>
      </c>
    </row>
    <row r="90" spans="1:3" x14ac:dyDescent="0.25">
      <c r="A90" s="1">
        <v>2.68</v>
      </c>
      <c r="B90">
        <v>0.92800000000000005</v>
      </c>
    </row>
    <row r="91" spans="1:3" x14ac:dyDescent="0.25">
      <c r="A91" s="1">
        <v>2.7</v>
      </c>
      <c r="B91">
        <v>0.93700000000000006</v>
      </c>
    </row>
    <row r="92" spans="1:3" x14ac:dyDescent="0.25">
      <c r="A92" s="1">
        <v>2.72</v>
      </c>
      <c r="B92">
        <v>0.94599999999999995</v>
      </c>
    </row>
    <row r="93" spans="1:3" x14ac:dyDescent="0.25">
      <c r="A93" s="1">
        <v>2.74</v>
      </c>
      <c r="B93">
        <v>0.95499999999999996</v>
      </c>
    </row>
    <row r="94" spans="1:3" x14ac:dyDescent="0.25">
      <c r="A94" s="1">
        <v>2.76</v>
      </c>
    </row>
    <row r="95" spans="1:3" x14ac:dyDescent="0.25">
      <c r="A95" s="1">
        <v>2.78</v>
      </c>
    </row>
    <row r="96" spans="1:3" x14ac:dyDescent="0.25">
      <c r="A96" s="1">
        <v>2.8</v>
      </c>
    </row>
    <row r="97" spans="1:1" x14ac:dyDescent="0.25">
      <c r="A97" s="1">
        <v>2.82</v>
      </c>
    </row>
    <row r="98" spans="1:1" x14ac:dyDescent="0.25">
      <c r="A98" s="1">
        <v>2.84</v>
      </c>
    </row>
    <row r="99" spans="1:1" x14ac:dyDescent="0.25">
      <c r="A99" s="1">
        <v>2.86</v>
      </c>
    </row>
    <row r="100" spans="1:1" x14ac:dyDescent="0.25">
      <c r="A100" s="1">
        <v>2.88</v>
      </c>
    </row>
    <row r="101" spans="1:1" x14ac:dyDescent="0.25">
      <c r="A101" s="1">
        <v>2.9</v>
      </c>
    </row>
    <row r="102" spans="1:1" x14ac:dyDescent="0.25">
      <c r="A102" s="1">
        <v>2.92</v>
      </c>
    </row>
    <row r="103" spans="1:1" x14ac:dyDescent="0.25">
      <c r="A103" s="1">
        <v>2.94</v>
      </c>
    </row>
    <row r="104" spans="1:1" x14ac:dyDescent="0.25">
      <c r="A104" s="1">
        <v>2.96</v>
      </c>
    </row>
    <row r="105" spans="1:1" x14ac:dyDescent="0.25">
      <c r="A105" s="1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Samyak</cp:lastModifiedBy>
  <dcterms:created xsi:type="dcterms:W3CDTF">2015-06-05T18:17:20Z</dcterms:created>
  <dcterms:modified xsi:type="dcterms:W3CDTF">2025-04-04T06:04:01Z</dcterms:modified>
</cp:coreProperties>
</file>